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C:\Mac\Home\Downloads\archive 2\"/>
    </mc:Choice>
  </mc:AlternateContent>
  <xr:revisionPtr revIDLastSave="0" documentId="13_ncr:1_{6D9761DC-2E5A-4EEE-9979-537E8CC63614}" xr6:coauthVersionLast="47" xr6:coauthVersionMax="47" xr10:uidLastSave="{00000000-0000-0000-0000-000000000000}"/>
  <bookViews>
    <workbookView xWindow="-98" yWindow="-98" windowWidth="22875" windowHeight="13650" xr2:uid="{00000000-000D-0000-FFFF-FFFF00000000}"/>
  </bookViews>
  <sheets>
    <sheet name="TDSheet" sheetId="1" r:id="rId1"/>
    <sheet name="Расчет" sheetId="2" r:id="rId2"/>
  </sheets>
  <definedNames>
    <definedName name="_xlnm._FilterDatabase" localSheetId="0" hidden="1">TDSheet!$A$3:$X$5285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8" i="2" l="1"/>
  <c r="K7" i="2"/>
  <c r="K6" i="2"/>
  <c r="K5" i="2"/>
  <c r="J8" i="2"/>
  <c r="J7" i="2"/>
  <c r="J6" i="2"/>
  <c r="J5" i="2"/>
  <c r="G9" i="2"/>
  <c r="G8" i="2"/>
  <c r="G7" i="2"/>
  <c r="G6" i="2"/>
  <c r="G5" i="2"/>
  <c r="F9" i="2"/>
  <c r="F8" i="2"/>
  <c r="F7" i="2"/>
  <c r="F6" i="2"/>
  <c r="F5" i="2"/>
  <c r="F3" i="2"/>
  <c r="F2" i="2"/>
  <c r="E5285" i="1"/>
  <c r="E5284" i="1"/>
  <c r="E5283" i="1"/>
  <c r="E5282" i="1"/>
  <c r="E5281" i="1"/>
  <c r="E5280" i="1"/>
  <c r="E5279" i="1"/>
  <c r="E5278" i="1"/>
  <c r="E5277" i="1"/>
  <c r="E5276" i="1"/>
  <c r="E5275" i="1"/>
  <c r="E5274" i="1"/>
  <c r="E5273" i="1"/>
  <c r="E5272" i="1"/>
  <c r="E5271" i="1"/>
  <c r="E5270" i="1"/>
  <c r="E5269" i="1"/>
  <c r="E5268" i="1"/>
  <c r="E5267" i="1"/>
  <c r="E5266" i="1"/>
  <c r="E5265" i="1"/>
  <c r="E5264" i="1"/>
  <c r="E5263" i="1"/>
  <c r="E5262" i="1"/>
  <c r="E5261" i="1"/>
  <c r="E5260" i="1"/>
  <c r="E5259" i="1"/>
  <c r="E5258" i="1"/>
  <c r="E5257" i="1"/>
  <c r="E5256" i="1"/>
  <c r="E5255" i="1"/>
  <c r="E5254" i="1"/>
  <c r="E5253" i="1"/>
  <c r="E5252" i="1"/>
  <c r="E5251" i="1"/>
  <c r="E5250" i="1"/>
  <c r="E5249" i="1"/>
  <c r="E5248" i="1"/>
  <c r="E5247" i="1"/>
  <c r="E5246" i="1"/>
  <c r="E5245" i="1"/>
  <c r="E5244" i="1"/>
  <c r="E5243" i="1"/>
  <c r="E5242" i="1"/>
  <c r="E5241" i="1"/>
  <c r="E5240" i="1"/>
  <c r="E5239" i="1"/>
  <c r="E5238" i="1"/>
  <c r="E5237" i="1"/>
  <c r="E5236" i="1"/>
  <c r="E5235" i="1"/>
  <c r="E5234" i="1"/>
  <c r="E5233" i="1"/>
  <c r="E5232" i="1"/>
  <c r="E5231" i="1"/>
  <c r="E5230" i="1"/>
  <c r="E5229" i="1"/>
  <c r="E5228" i="1"/>
  <c r="E5227" i="1"/>
  <c r="E5226" i="1"/>
  <c r="E5225" i="1"/>
  <c r="E5224" i="1"/>
  <c r="E5223" i="1"/>
  <c r="E5222" i="1"/>
  <c r="E5221" i="1"/>
  <c r="E5220" i="1"/>
  <c r="E5219" i="1"/>
  <c r="E5218" i="1"/>
  <c r="E5217" i="1"/>
  <c r="E5216" i="1"/>
  <c r="E5215" i="1"/>
  <c r="E5214" i="1"/>
  <c r="E5213" i="1"/>
  <c r="E5212" i="1"/>
  <c r="E5211" i="1"/>
  <c r="E5210" i="1"/>
  <c r="E5209" i="1"/>
  <c r="E5208" i="1"/>
  <c r="E5207" i="1"/>
  <c r="E5206" i="1"/>
  <c r="E5205" i="1"/>
  <c r="E5204" i="1"/>
  <c r="E5203" i="1"/>
  <c r="E5202" i="1"/>
  <c r="E5201" i="1"/>
  <c r="E5200" i="1"/>
  <c r="E5199" i="1"/>
  <c r="E5198" i="1"/>
  <c r="E5197" i="1"/>
  <c r="E5196" i="1"/>
  <c r="E5195" i="1"/>
  <c r="E5194" i="1"/>
  <c r="E5193" i="1"/>
  <c r="E5192" i="1"/>
  <c r="E5191" i="1"/>
  <c r="E5190" i="1"/>
  <c r="E5189" i="1"/>
  <c r="E5188" i="1"/>
  <c r="E5187" i="1"/>
  <c r="E5186" i="1"/>
  <c r="E5185" i="1"/>
  <c r="E5184" i="1"/>
  <c r="E5183" i="1"/>
  <c r="E5182" i="1"/>
  <c r="E5181" i="1"/>
  <c r="E5180" i="1"/>
  <c r="E5179" i="1"/>
  <c r="E5178" i="1"/>
  <c r="E5177" i="1"/>
  <c r="E5176" i="1"/>
  <c r="E5175" i="1"/>
  <c r="E5174" i="1"/>
  <c r="E5173" i="1"/>
  <c r="E5172" i="1"/>
  <c r="E5171" i="1"/>
  <c r="E5170" i="1"/>
  <c r="E5169" i="1"/>
  <c r="E5168" i="1"/>
  <c r="E5167" i="1"/>
  <c r="E5166" i="1"/>
  <c r="E5165" i="1"/>
  <c r="E5164" i="1"/>
  <c r="E5163" i="1"/>
  <c r="E5162" i="1"/>
  <c r="E5161" i="1"/>
  <c r="E5160" i="1"/>
  <c r="E5159" i="1"/>
  <c r="E5158" i="1"/>
  <c r="E5157" i="1"/>
  <c r="E5156" i="1"/>
  <c r="E5155" i="1"/>
  <c r="E5154" i="1"/>
  <c r="E5153" i="1"/>
  <c r="E5152" i="1"/>
  <c r="E5151" i="1"/>
  <c r="E5150" i="1"/>
  <c r="E5149" i="1"/>
  <c r="E5148" i="1"/>
  <c r="E5147" i="1"/>
  <c r="E5146" i="1"/>
  <c r="E5145" i="1"/>
  <c r="E5144" i="1"/>
  <c r="E5143" i="1"/>
  <c r="E5142" i="1"/>
  <c r="E5141" i="1"/>
  <c r="E5140" i="1"/>
  <c r="E5139" i="1"/>
  <c r="E5138" i="1"/>
  <c r="E5137" i="1"/>
  <c r="E5136" i="1"/>
  <c r="E5135" i="1"/>
  <c r="E5134" i="1"/>
  <c r="E5133" i="1"/>
  <c r="E5132" i="1"/>
  <c r="E5131" i="1"/>
  <c r="E5130" i="1"/>
  <c r="E5129" i="1"/>
  <c r="E5128" i="1"/>
  <c r="E5127" i="1"/>
  <c r="E5126" i="1"/>
  <c r="E5125" i="1"/>
  <c r="E5124" i="1"/>
  <c r="E5123" i="1"/>
  <c r="E5122" i="1"/>
  <c r="E5121" i="1"/>
  <c r="E5120" i="1"/>
  <c r="E5119" i="1"/>
  <c r="E5118" i="1"/>
  <c r="E5117" i="1"/>
  <c r="E5116" i="1"/>
  <c r="E5115" i="1"/>
  <c r="E5114" i="1"/>
  <c r="E5113" i="1"/>
  <c r="E5112" i="1"/>
  <c r="E5111" i="1"/>
  <c r="E5110" i="1"/>
  <c r="E5109" i="1"/>
  <c r="E5108" i="1"/>
  <c r="E5107" i="1"/>
  <c r="E5106" i="1"/>
  <c r="E5105" i="1"/>
  <c r="E5104" i="1"/>
  <c r="E5103" i="1"/>
  <c r="E5102" i="1"/>
  <c r="E5101" i="1"/>
  <c r="E5100" i="1"/>
  <c r="E5099" i="1"/>
  <c r="E5098" i="1"/>
  <c r="E5097" i="1"/>
  <c r="E5096" i="1"/>
  <c r="E5095" i="1"/>
  <c r="E5094" i="1"/>
  <c r="E5093" i="1"/>
  <c r="E5092" i="1"/>
  <c r="E5091" i="1"/>
  <c r="E5090" i="1"/>
  <c r="E5089" i="1"/>
  <c r="E5088" i="1"/>
  <c r="E5087" i="1"/>
  <c r="E5086" i="1"/>
  <c r="E5085" i="1"/>
  <c r="E5084" i="1"/>
  <c r="E5083" i="1"/>
  <c r="E5082" i="1"/>
  <c r="E5081" i="1"/>
  <c r="E5080" i="1"/>
  <c r="E5079" i="1"/>
  <c r="E5078" i="1"/>
  <c r="E5077" i="1"/>
  <c r="E5076" i="1"/>
  <c r="E5075" i="1"/>
  <c r="E5074" i="1"/>
  <c r="E5073" i="1"/>
  <c r="E5072" i="1"/>
  <c r="E5071" i="1"/>
  <c r="E5070" i="1"/>
  <c r="E5069" i="1"/>
  <c r="E5068" i="1"/>
  <c r="E5067" i="1"/>
  <c r="E5066" i="1"/>
  <c r="E5065" i="1"/>
  <c r="E5064" i="1"/>
  <c r="E5063" i="1"/>
  <c r="E5062" i="1"/>
  <c r="E5061" i="1"/>
  <c r="E5060" i="1"/>
  <c r="E5059" i="1"/>
  <c r="E5058" i="1"/>
  <c r="E5057" i="1"/>
  <c r="E5056" i="1"/>
  <c r="E5055" i="1"/>
  <c r="E5054" i="1"/>
  <c r="E5053" i="1"/>
  <c r="E5052" i="1"/>
  <c r="E5051" i="1"/>
  <c r="E5050" i="1"/>
  <c r="E5049" i="1"/>
  <c r="E5048" i="1"/>
  <c r="E5047" i="1"/>
  <c r="E5046" i="1"/>
  <c r="E5045" i="1"/>
  <c r="E5044" i="1"/>
  <c r="E5043" i="1"/>
  <c r="E5042" i="1"/>
  <c r="E5041" i="1"/>
  <c r="E5040" i="1"/>
  <c r="E5039" i="1"/>
  <c r="E5038" i="1"/>
  <c r="E5037" i="1"/>
  <c r="E5036" i="1"/>
  <c r="E5035" i="1"/>
  <c r="E5034" i="1"/>
  <c r="E5033" i="1"/>
  <c r="E5032" i="1"/>
  <c r="E5031" i="1"/>
  <c r="E5030" i="1"/>
  <c r="E5029" i="1"/>
  <c r="E5028" i="1"/>
  <c r="E5027" i="1"/>
  <c r="E5026" i="1"/>
  <c r="E5025" i="1"/>
  <c r="E5024" i="1"/>
  <c r="E5023" i="1"/>
  <c r="E5022" i="1"/>
  <c r="E5021" i="1"/>
  <c r="E5020" i="1"/>
  <c r="E5019" i="1"/>
  <c r="E5018" i="1"/>
  <c r="E5017" i="1"/>
  <c r="E5016" i="1"/>
  <c r="E5015" i="1"/>
  <c r="E5014" i="1"/>
  <c r="E5013" i="1"/>
  <c r="E5012" i="1"/>
  <c r="E5011" i="1"/>
  <c r="E5010" i="1"/>
  <c r="E5009" i="1"/>
  <c r="E5008" i="1"/>
  <c r="E5007" i="1"/>
  <c r="E5006" i="1"/>
  <c r="E5005" i="1"/>
  <c r="E5004" i="1"/>
  <c r="E5003" i="1"/>
  <c r="E5002" i="1"/>
  <c r="E5001" i="1"/>
  <c r="E5000" i="1"/>
  <c r="E4999" i="1"/>
  <c r="E4998" i="1"/>
  <c r="E4997" i="1"/>
  <c r="E4996" i="1"/>
  <c r="E4995" i="1"/>
  <c r="E4994" i="1"/>
  <c r="E4993" i="1"/>
  <c r="E4992" i="1"/>
  <c r="E4991" i="1"/>
  <c r="E4990" i="1"/>
  <c r="E4989" i="1"/>
  <c r="E4988" i="1"/>
  <c r="E4987" i="1"/>
  <c r="E4986" i="1"/>
  <c r="E4985" i="1"/>
  <c r="E4984" i="1"/>
  <c r="E4983" i="1"/>
  <c r="E4982" i="1"/>
  <c r="E4981" i="1"/>
  <c r="E4980" i="1"/>
  <c r="E4979" i="1"/>
  <c r="E4978" i="1"/>
  <c r="E4977" i="1"/>
  <c r="E4976" i="1"/>
  <c r="E4975" i="1"/>
  <c r="E4974" i="1"/>
  <c r="E4973" i="1"/>
  <c r="E4972" i="1"/>
  <c r="E4971" i="1"/>
  <c r="E4970" i="1"/>
  <c r="E4969" i="1"/>
  <c r="E4968" i="1"/>
  <c r="E4967" i="1"/>
  <c r="E4966" i="1"/>
  <c r="E4965" i="1"/>
  <c r="E4964" i="1"/>
  <c r="E4963" i="1"/>
  <c r="E4962" i="1"/>
  <c r="E4961" i="1"/>
  <c r="E4960" i="1"/>
  <c r="E4959" i="1"/>
  <c r="E4958" i="1"/>
  <c r="E4957" i="1"/>
  <c r="E4956" i="1"/>
  <c r="E4955" i="1"/>
  <c r="E4954" i="1"/>
  <c r="E4953" i="1"/>
  <c r="E4952" i="1"/>
  <c r="E4951" i="1"/>
  <c r="E4950" i="1"/>
  <c r="E4949" i="1"/>
  <c r="E4948" i="1"/>
  <c r="E4947" i="1"/>
  <c r="E4946" i="1"/>
  <c r="E4945" i="1"/>
  <c r="E4944" i="1"/>
  <c r="E4943" i="1"/>
  <c r="E4942" i="1"/>
  <c r="E4941" i="1"/>
  <c r="E4940" i="1"/>
  <c r="E4939" i="1"/>
  <c r="E4938" i="1"/>
  <c r="E4937" i="1"/>
  <c r="E4936" i="1"/>
  <c r="E4935" i="1"/>
  <c r="E4934" i="1"/>
  <c r="E4933" i="1"/>
  <c r="E4932" i="1"/>
  <c r="E4931" i="1"/>
  <c r="E4930" i="1"/>
  <c r="E4929" i="1"/>
  <c r="E4928" i="1"/>
  <c r="E4927" i="1"/>
  <c r="E4926" i="1"/>
  <c r="E4925" i="1"/>
  <c r="E4924" i="1"/>
  <c r="E4923" i="1"/>
  <c r="E4922" i="1"/>
  <c r="E4921" i="1"/>
  <c r="E4920" i="1"/>
  <c r="E4919" i="1"/>
  <c r="E4918" i="1"/>
  <c r="E4917" i="1"/>
  <c r="E4916" i="1"/>
  <c r="E4915" i="1"/>
  <c r="E4914" i="1"/>
  <c r="E4913" i="1"/>
  <c r="E4912" i="1"/>
  <c r="E4911" i="1"/>
  <c r="E4910" i="1"/>
  <c r="E4909" i="1"/>
  <c r="E4908" i="1"/>
  <c r="E4907" i="1"/>
  <c r="E4906" i="1"/>
  <c r="E4905" i="1"/>
  <c r="E4904" i="1"/>
  <c r="E4903" i="1"/>
  <c r="E4902" i="1"/>
  <c r="E4901" i="1"/>
  <c r="E4900" i="1"/>
  <c r="E4899" i="1"/>
  <c r="E4898" i="1"/>
  <c r="E4897" i="1"/>
  <c r="E4896" i="1"/>
  <c r="E4895" i="1"/>
  <c r="E4894" i="1"/>
  <c r="E4893" i="1"/>
  <c r="E4892" i="1"/>
  <c r="E4891" i="1"/>
  <c r="E4890" i="1"/>
  <c r="E4889" i="1"/>
  <c r="E4888" i="1"/>
  <c r="E4887" i="1"/>
  <c r="E4886" i="1"/>
  <c r="E4885" i="1"/>
  <c r="E4884" i="1"/>
  <c r="E4883" i="1"/>
  <c r="E4882" i="1"/>
  <c r="E4881" i="1"/>
  <c r="E4880" i="1"/>
  <c r="E4879" i="1"/>
  <c r="E4878" i="1"/>
  <c r="E4877" i="1"/>
  <c r="E4876" i="1"/>
  <c r="E4875" i="1"/>
  <c r="E4874" i="1"/>
  <c r="E4873" i="1"/>
  <c r="E4872" i="1"/>
  <c r="E4871" i="1"/>
  <c r="E4870" i="1"/>
  <c r="E4869" i="1"/>
  <c r="E4868" i="1"/>
  <c r="E4867" i="1"/>
  <c r="E4866" i="1"/>
  <c r="E4865" i="1"/>
  <c r="E4864" i="1"/>
  <c r="E4863" i="1"/>
  <c r="E4862" i="1"/>
  <c r="E4861" i="1"/>
  <c r="E4860" i="1"/>
  <c r="E4859" i="1"/>
  <c r="E4858" i="1"/>
  <c r="E4857" i="1"/>
  <c r="E4856" i="1"/>
  <c r="E4855" i="1"/>
  <c r="E4854" i="1"/>
  <c r="E4853" i="1"/>
  <c r="E4852" i="1"/>
  <c r="E4851" i="1"/>
  <c r="E4850" i="1"/>
  <c r="E4849" i="1"/>
  <c r="E4848" i="1"/>
  <c r="E4847" i="1"/>
  <c r="E4846" i="1"/>
  <c r="E4845" i="1"/>
  <c r="E4844" i="1"/>
  <c r="E4843" i="1"/>
  <c r="E4842" i="1"/>
  <c r="E4841" i="1"/>
  <c r="E4840" i="1"/>
  <c r="E4839" i="1"/>
  <c r="E4838" i="1"/>
  <c r="E4837" i="1"/>
  <c r="E4836" i="1"/>
  <c r="E4835" i="1"/>
  <c r="E4834" i="1"/>
  <c r="E4833" i="1"/>
  <c r="E4832" i="1"/>
  <c r="E4831" i="1"/>
  <c r="E4830" i="1"/>
  <c r="E4829" i="1"/>
  <c r="E4828" i="1"/>
  <c r="E4827" i="1"/>
  <c r="E4826" i="1"/>
  <c r="E4825" i="1"/>
  <c r="E4824" i="1"/>
  <c r="E4823" i="1"/>
  <c r="E4822" i="1"/>
  <c r="E4821" i="1"/>
  <c r="E4820" i="1"/>
  <c r="E4819" i="1"/>
  <c r="E4818" i="1"/>
  <c r="E4817" i="1"/>
  <c r="E4816" i="1"/>
  <c r="E4815" i="1"/>
  <c r="E4814" i="1"/>
  <c r="E4813" i="1"/>
  <c r="E4812" i="1"/>
  <c r="E4811" i="1"/>
  <c r="E4810" i="1"/>
  <c r="E4809" i="1"/>
  <c r="E4808" i="1"/>
  <c r="E4807" i="1"/>
  <c r="E4806" i="1"/>
  <c r="E4805" i="1"/>
  <c r="E4804" i="1"/>
  <c r="E4803" i="1"/>
  <c r="E4802" i="1"/>
  <c r="E4801" i="1"/>
  <c r="E4800" i="1"/>
  <c r="E4799" i="1"/>
  <c r="E4798" i="1"/>
  <c r="E4797" i="1"/>
  <c r="E4796" i="1"/>
  <c r="E4795" i="1"/>
  <c r="E4794" i="1"/>
  <c r="E4793" i="1"/>
  <c r="E4792" i="1"/>
  <c r="E4791" i="1"/>
  <c r="E4790" i="1"/>
  <c r="E4789" i="1"/>
  <c r="E4788" i="1"/>
  <c r="E4787" i="1"/>
  <c r="E4786" i="1"/>
  <c r="E4785" i="1"/>
  <c r="E4784" i="1"/>
  <c r="E4783" i="1"/>
  <c r="E4782" i="1"/>
  <c r="E4781" i="1"/>
  <c r="E4780" i="1"/>
  <c r="E4779" i="1"/>
  <c r="E4778" i="1"/>
  <c r="E4777" i="1"/>
  <c r="E4776" i="1"/>
  <c r="E4775" i="1"/>
  <c r="E4774" i="1"/>
  <c r="E4773" i="1"/>
  <c r="E4772" i="1"/>
  <c r="E4771" i="1"/>
  <c r="E4770" i="1"/>
  <c r="E4769" i="1"/>
  <c r="E4768" i="1"/>
  <c r="E4767" i="1"/>
  <c r="E4766" i="1"/>
  <c r="E4765" i="1"/>
  <c r="E4764" i="1"/>
  <c r="E4763" i="1"/>
  <c r="E4762" i="1"/>
  <c r="E4761" i="1"/>
  <c r="E4760" i="1"/>
  <c r="E4759" i="1"/>
  <c r="E4758" i="1"/>
  <c r="E4757" i="1"/>
  <c r="E4756" i="1"/>
  <c r="E4755" i="1"/>
  <c r="E4754" i="1"/>
  <c r="E4753" i="1"/>
  <c r="E4752" i="1"/>
  <c r="E4751" i="1"/>
  <c r="E4750" i="1"/>
  <c r="E4749" i="1"/>
  <c r="E4748" i="1"/>
  <c r="E4747" i="1"/>
  <c r="E4746" i="1"/>
  <c r="E4745" i="1"/>
  <c r="E4744" i="1"/>
  <c r="E4743" i="1"/>
  <c r="E4742" i="1"/>
  <c r="E4741" i="1"/>
  <c r="E4740" i="1"/>
  <c r="E4739" i="1"/>
  <c r="E4738" i="1"/>
  <c r="E4737" i="1"/>
  <c r="E4736" i="1"/>
  <c r="E4735" i="1"/>
  <c r="E4734" i="1"/>
  <c r="E4733" i="1"/>
  <c r="E4732" i="1"/>
  <c r="E4731" i="1"/>
  <c r="E4730" i="1"/>
  <c r="E4729" i="1"/>
  <c r="E4728" i="1"/>
  <c r="E4727" i="1"/>
  <c r="E4726" i="1"/>
  <c r="E4725" i="1"/>
  <c r="E4724" i="1"/>
  <c r="E4723" i="1"/>
  <c r="E4722" i="1"/>
  <c r="E4721" i="1"/>
  <c r="E4720" i="1"/>
  <c r="E4719" i="1"/>
  <c r="E4718" i="1"/>
  <c r="E4717" i="1"/>
  <c r="E4716" i="1"/>
  <c r="E4715" i="1"/>
  <c r="E4714" i="1"/>
  <c r="E4713" i="1"/>
  <c r="E4712" i="1"/>
  <c r="E4711" i="1"/>
  <c r="E4710" i="1"/>
  <c r="E4709" i="1"/>
  <c r="E4708" i="1"/>
  <c r="E4707" i="1"/>
  <c r="E4706" i="1"/>
  <c r="E4705" i="1"/>
  <c r="E4704" i="1"/>
  <c r="E4703" i="1"/>
  <c r="E4702" i="1"/>
  <c r="E4701" i="1"/>
  <c r="E4700" i="1"/>
  <c r="E4699" i="1"/>
  <c r="E4698" i="1"/>
  <c r="E4697" i="1"/>
  <c r="E4696" i="1"/>
  <c r="E4695" i="1"/>
  <c r="E4694" i="1"/>
  <c r="E4693" i="1"/>
  <c r="E4692" i="1"/>
  <c r="E4691" i="1"/>
  <c r="E4690" i="1"/>
  <c r="E4689" i="1"/>
  <c r="E4688" i="1"/>
  <c r="E4687" i="1"/>
  <c r="E4686" i="1"/>
  <c r="E4685" i="1"/>
  <c r="E4684" i="1"/>
  <c r="E4683" i="1"/>
  <c r="E4682" i="1"/>
  <c r="E4681" i="1"/>
  <c r="E4680" i="1"/>
  <c r="E4679" i="1"/>
  <c r="E4678" i="1"/>
  <c r="E4677" i="1"/>
  <c r="E4676" i="1"/>
  <c r="E4675" i="1"/>
  <c r="E4674" i="1"/>
  <c r="E4673" i="1"/>
  <c r="E4672" i="1"/>
  <c r="E4671" i="1"/>
  <c r="E4670" i="1"/>
  <c r="E4669" i="1"/>
  <c r="E4668" i="1"/>
  <c r="E4667" i="1"/>
  <c r="E4666" i="1"/>
  <c r="E4665" i="1"/>
  <c r="E4664" i="1"/>
  <c r="E4663" i="1"/>
  <c r="E4662" i="1"/>
  <c r="E4661" i="1"/>
  <c r="E4660" i="1"/>
  <c r="E4659" i="1"/>
  <c r="E4658" i="1"/>
  <c r="E4657" i="1"/>
  <c r="E4656" i="1"/>
  <c r="E4655" i="1"/>
  <c r="E4654" i="1"/>
  <c r="E4653" i="1"/>
  <c r="E4652" i="1"/>
  <c r="E4651" i="1"/>
  <c r="E4650" i="1"/>
  <c r="E4649" i="1"/>
  <c r="E4648" i="1"/>
  <c r="E4647" i="1"/>
  <c r="E4646" i="1"/>
  <c r="E4645" i="1"/>
  <c r="E4644" i="1"/>
  <c r="E4643" i="1"/>
  <c r="E4642" i="1"/>
  <c r="E4641" i="1"/>
  <c r="E4640" i="1"/>
  <c r="E4639" i="1"/>
  <c r="E4638" i="1"/>
  <c r="E4637" i="1"/>
  <c r="E4636" i="1"/>
  <c r="E4635" i="1"/>
  <c r="E4634" i="1"/>
  <c r="E4633" i="1"/>
  <c r="E4632" i="1"/>
  <c r="E4631" i="1"/>
  <c r="E4630" i="1"/>
  <c r="E4629" i="1"/>
  <c r="E4628" i="1"/>
  <c r="E4627" i="1"/>
  <c r="E4626" i="1"/>
  <c r="E4625" i="1"/>
  <c r="E4624" i="1"/>
  <c r="E4623" i="1"/>
  <c r="E4622" i="1"/>
  <c r="E4621" i="1"/>
  <c r="E4620" i="1"/>
  <c r="E4619" i="1"/>
  <c r="E4618" i="1"/>
  <c r="E4617" i="1"/>
  <c r="E4616" i="1"/>
  <c r="E4615" i="1"/>
  <c r="E4614" i="1"/>
  <c r="E4613" i="1"/>
  <c r="E4612" i="1"/>
  <c r="E4611" i="1"/>
  <c r="E4610" i="1"/>
  <c r="E4609" i="1"/>
  <c r="E4608" i="1"/>
  <c r="E4607" i="1"/>
  <c r="E4606" i="1"/>
  <c r="E4605" i="1"/>
  <c r="E4604" i="1"/>
  <c r="E4603" i="1"/>
  <c r="E4602" i="1"/>
  <c r="E4601" i="1"/>
  <c r="E4600" i="1"/>
  <c r="E4599" i="1"/>
  <c r="E4598" i="1"/>
  <c r="E4597" i="1"/>
  <c r="E4596" i="1"/>
  <c r="E4595" i="1"/>
  <c r="E4594" i="1"/>
  <c r="E4593" i="1"/>
  <c r="E4592" i="1"/>
  <c r="E4591" i="1"/>
  <c r="E4590" i="1"/>
  <c r="E4589" i="1"/>
  <c r="E4588" i="1"/>
  <c r="E4587" i="1"/>
  <c r="E4586" i="1"/>
  <c r="E4585" i="1"/>
  <c r="E4584" i="1"/>
  <c r="E4583" i="1"/>
  <c r="E4582" i="1"/>
  <c r="E4581" i="1"/>
  <c r="E4580" i="1"/>
  <c r="E4579" i="1"/>
  <c r="E4578" i="1"/>
  <c r="E4577" i="1"/>
  <c r="E4576" i="1"/>
  <c r="E4575" i="1"/>
  <c r="E4574" i="1"/>
  <c r="E4573" i="1"/>
  <c r="E4572" i="1"/>
  <c r="E4571" i="1"/>
  <c r="E4570" i="1"/>
  <c r="E4569" i="1"/>
  <c r="E4568" i="1"/>
  <c r="E4567" i="1"/>
  <c r="E4566" i="1"/>
  <c r="E4565" i="1"/>
  <c r="E4564" i="1"/>
  <c r="E4563" i="1"/>
  <c r="E4562" i="1"/>
  <c r="E4561" i="1"/>
  <c r="E4560" i="1"/>
  <c r="E4559" i="1"/>
  <c r="E4558" i="1"/>
  <c r="E4557" i="1"/>
  <c r="E4556" i="1"/>
  <c r="E4555" i="1"/>
  <c r="E4554" i="1"/>
  <c r="E4553" i="1"/>
  <c r="E4552" i="1"/>
  <c r="E4551" i="1"/>
  <c r="E4550" i="1"/>
  <c r="E4549" i="1"/>
  <c r="E4548" i="1"/>
  <c r="E4547" i="1"/>
  <c r="E4546" i="1"/>
  <c r="E4545" i="1"/>
  <c r="E4544" i="1"/>
  <c r="E4543" i="1"/>
  <c r="E4542" i="1"/>
  <c r="E4541" i="1"/>
  <c r="E4540" i="1"/>
  <c r="E4539" i="1"/>
  <c r="E4538" i="1"/>
  <c r="E4537" i="1"/>
  <c r="E4536" i="1"/>
  <c r="E4535" i="1"/>
  <c r="E4534" i="1"/>
  <c r="E4533" i="1"/>
  <c r="E4532" i="1"/>
  <c r="E4531" i="1"/>
  <c r="E4530" i="1"/>
  <c r="E4529" i="1"/>
  <c r="E4528" i="1"/>
  <c r="E4527" i="1"/>
  <c r="E4526" i="1"/>
  <c r="E4525" i="1"/>
  <c r="E4524" i="1"/>
  <c r="E4523" i="1"/>
  <c r="E4522" i="1"/>
  <c r="E4521" i="1"/>
  <c r="E4520" i="1"/>
  <c r="E4519" i="1"/>
  <c r="E4518" i="1"/>
  <c r="E4517" i="1"/>
  <c r="E4516" i="1"/>
  <c r="E4515" i="1"/>
  <c r="E4514" i="1"/>
  <c r="E4513" i="1"/>
  <c r="E4512" i="1"/>
  <c r="E4511" i="1"/>
  <c r="E4510" i="1"/>
  <c r="E4509" i="1"/>
  <c r="E4508" i="1"/>
  <c r="E4507" i="1"/>
  <c r="E4506" i="1"/>
  <c r="E4505" i="1"/>
  <c r="E4504" i="1"/>
  <c r="E4503" i="1"/>
  <c r="E4502" i="1"/>
  <c r="E4501" i="1"/>
  <c r="E4500" i="1"/>
  <c r="E4499" i="1"/>
  <c r="E4498" i="1"/>
  <c r="E4497" i="1"/>
  <c r="E4496" i="1"/>
  <c r="E4495" i="1"/>
  <c r="E4494" i="1"/>
  <c r="E4493" i="1"/>
  <c r="E4492" i="1"/>
  <c r="E4491" i="1"/>
  <c r="E4490" i="1"/>
  <c r="E4489" i="1"/>
  <c r="E4488" i="1"/>
  <c r="E4487" i="1"/>
  <c r="E4486" i="1"/>
  <c r="E4485" i="1"/>
  <c r="E4484" i="1"/>
  <c r="E4483" i="1"/>
  <c r="E4482" i="1"/>
  <c r="E4481" i="1"/>
  <c r="E4480" i="1"/>
  <c r="E4479" i="1"/>
  <c r="E4478" i="1"/>
  <c r="E4477" i="1"/>
  <c r="E4476" i="1"/>
  <c r="E4475" i="1"/>
  <c r="E4474" i="1"/>
  <c r="E4473" i="1"/>
  <c r="E4472" i="1"/>
  <c r="E4471" i="1"/>
  <c r="E4470" i="1"/>
  <c r="E4469" i="1"/>
  <c r="E4468" i="1"/>
  <c r="E4467" i="1"/>
  <c r="E4466" i="1"/>
  <c r="E4465" i="1"/>
  <c r="E4464" i="1"/>
  <c r="E4463" i="1"/>
  <c r="E4462" i="1"/>
  <c r="E4461" i="1"/>
  <c r="E4460" i="1"/>
  <c r="E4459" i="1"/>
  <c r="E4458" i="1"/>
  <c r="E4457" i="1"/>
  <c r="E4456" i="1"/>
  <c r="E4455" i="1"/>
  <c r="E4454" i="1"/>
  <c r="E4453" i="1"/>
  <c r="E4452" i="1"/>
  <c r="E4451" i="1"/>
  <c r="E4450" i="1"/>
  <c r="E4449" i="1"/>
  <c r="E4448" i="1"/>
  <c r="E4447" i="1"/>
  <c r="E4446" i="1"/>
  <c r="E4445" i="1"/>
  <c r="E4444" i="1"/>
  <c r="E4443" i="1"/>
  <c r="E4442" i="1"/>
  <c r="E4441" i="1"/>
  <c r="E4440" i="1"/>
  <c r="E4439" i="1"/>
  <c r="E4438" i="1"/>
  <c r="E4437" i="1"/>
  <c r="E4436" i="1"/>
  <c r="E4435" i="1"/>
  <c r="E4434" i="1"/>
  <c r="E4433" i="1"/>
  <c r="E4432" i="1"/>
  <c r="E4431" i="1"/>
  <c r="E4430" i="1"/>
  <c r="E4429" i="1"/>
  <c r="E4428" i="1"/>
  <c r="E4427" i="1"/>
  <c r="E4426" i="1"/>
  <c r="E4425" i="1"/>
  <c r="E4424" i="1"/>
  <c r="E4423" i="1"/>
  <c r="E4422" i="1"/>
  <c r="E4421" i="1"/>
  <c r="E4420" i="1"/>
  <c r="E4419" i="1"/>
  <c r="E4418" i="1"/>
  <c r="E4417" i="1"/>
  <c r="E4416" i="1"/>
  <c r="E4415" i="1"/>
  <c r="E4414" i="1"/>
  <c r="E4413" i="1"/>
  <c r="E4412" i="1"/>
  <c r="E4411" i="1"/>
  <c r="E4410" i="1"/>
  <c r="E4409" i="1"/>
  <c r="E4408" i="1"/>
  <c r="E4407" i="1"/>
  <c r="E4406" i="1"/>
  <c r="E4405" i="1"/>
  <c r="E4404" i="1"/>
  <c r="E4403" i="1"/>
  <c r="E4402" i="1"/>
  <c r="E4401" i="1"/>
  <c r="E4400" i="1"/>
  <c r="E4399" i="1"/>
  <c r="E4398" i="1"/>
  <c r="E4397" i="1"/>
  <c r="E4396" i="1"/>
  <c r="E4395" i="1"/>
  <c r="E4394" i="1"/>
  <c r="E4393" i="1"/>
  <c r="E4392" i="1"/>
  <c r="E4391" i="1"/>
  <c r="E4390" i="1"/>
  <c r="E4389" i="1"/>
  <c r="E4388" i="1"/>
  <c r="E4387" i="1"/>
  <c r="E4386" i="1"/>
  <c r="E4385" i="1"/>
  <c r="E4384" i="1"/>
  <c r="E4383" i="1"/>
  <c r="E4382" i="1"/>
  <c r="E4381" i="1"/>
  <c r="E4380" i="1"/>
  <c r="E4379" i="1"/>
  <c r="E4378" i="1"/>
  <c r="E4377" i="1"/>
  <c r="E4376" i="1"/>
  <c r="E4375" i="1"/>
  <c r="E4374" i="1"/>
  <c r="E4373" i="1"/>
  <c r="E4372" i="1"/>
  <c r="E4371" i="1"/>
  <c r="E4370" i="1"/>
  <c r="E4369" i="1"/>
  <c r="E4368" i="1"/>
  <c r="E4367" i="1"/>
  <c r="E4366" i="1"/>
  <c r="E4365" i="1"/>
  <c r="E4364" i="1"/>
  <c r="E4363" i="1"/>
  <c r="E4362" i="1"/>
  <c r="E4361" i="1"/>
  <c r="E4360" i="1"/>
  <c r="E4359" i="1"/>
  <c r="E4358" i="1"/>
  <c r="E4357" i="1"/>
  <c r="E4356" i="1"/>
  <c r="E4355" i="1"/>
  <c r="E4354" i="1"/>
  <c r="E4353" i="1"/>
  <c r="E4352" i="1"/>
  <c r="E4351" i="1"/>
  <c r="E4350" i="1"/>
  <c r="E4349" i="1"/>
  <c r="E4348" i="1"/>
  <c r="E4347" i="1"/>
  <c r="E4346" i="1"/>
  <c r="E4345" i="1"/>
  <c r="E4344" i="1"/>
  <c r="E4343" i="1"/>
  <c r="E4342" i="1"/>
  <c r="E4341" i="1"/>
  <c r="E4340" i="1"/>
  <c r="E4339" i="1"/>
  <c r="E4338" i="1"/>
  <c r="E4337" i="1"/>
  <c r="E4336" i="1"/>
  <c r="E4335" i="1"/>
  <c r="E4334" i="1"/>
  <c r="E4333" i="1"/>
  <c r="E4332" i="1"/>
  <c r="E4331" i="1"/>
  <c r="E4330" i="1"/>
  <c r="E4329" i="1"/>
  <c r="E4328" i="1"/>
  <c r="E4327" i="1"/>
  <c r="E4326" i="1"/>
  <c r="E4325" i="1"/>
  <c r="E4324" i="1"/>
  <c r="E4323" i="1"/>
  <c r="E4322" i="1"/>
  <c r="E4321" i="1"/>
  <c r="E4320" i="1"/>
  <c r="E4319" i="1"/>
  <c r="E4318" i="1"/>
  <c r="E4317" i="1"/>
  <c r="E4316" i="1"/>
  <c r="E4315" i="1"/>
  <c r="E4314" i="1"/>
  <c r="E4313" i="1"/>
  <c r="E4312" i="1"/>
  <c r="E4311" i="1"/>
  <c r="E4310" i="1"/>
  <c r="E4309" i="1"/>
  <c r="E4308" i="1"/>
  <c r="E4307" i="1"/>
  <c r="E4306" i="1"/>
  <c r="E4305" i="1"/>
  <c r="E4304" i="1"/>
  <c r="E4303" i="1"/>
  <c r="E4302" i="1"/>
  <c r="E4301" i="1"/>
  <c r="E4300" i="1"/>
  <c r="E4299" i="1"/>
  <c r="E4298" i="1"/>
  <c r="E4297" i="1"/>
  <c r="E4296" i="1"/>
  <c r="E4295" i="1"/>
  <c r="E4294" i="1"/>
  <c r="E4293" i="1"/>
  <c r="E4292" i="1"/>
  <c r="E4291" i="1"/>
  <c r="E4290" i="1"/>
  <c r="E4289" i="1"/>
  <c r="E4288" i="1"/>
  <c r="E4287" i="1"/>
  <c r="E4286" i="1"/>
  <c r="E4285" i="1"/>
  <c r="E4284" i="1"/>
  <c r="E4283" i="1"/>
  <c r="E4282" i="1"/>
  <c r="E4281" i="1"/>
  <c r="E4280" i="1"/>
  <c r="E4279" i="1"/>
  <c r="E4278" i="1"/>
  <c r="E4277" i="1"/>
  <c r="E4276" i="1"/>
  <c r="E4275" i="1"/>
  <c r="E4274" i="1"/>
  <c r="E4273" i="1"/>
  <c r="E4272" i="1"/>
  <c r="E4271" i="1"/>
  <c r="E4270" i="1"/>
  <c r="E4269" i="1"/>
  <c r="E4268" i="1"/>
  <c r="E4267" i="1"/>
  <c r="E4266" i="1"/>
  <c r="E4265" i="1"/>
  <c r="E4264" i="1"/>
  <c r="E4263" i="1"/>
  <c r="E4262" i="1"/>
  <c r="E4261" i="1"/>
  <c r="E4260" i="1"/>
  <c r="E4259" i="1"/>
  <c r="E4258" i="1"/>
  <c r="E4257" i="1"/>
  <c r="E4256" i="1"/>
  <c r="E4255" i="1"/>
  <c r="E4254" i="1"/>
  <c r="E4253" i="1"/>
  <c r="E4252" i="1"/>
  <c r="E4251" i="1"/>
  <c r="E4250" i="1"/>
  <c r="E4249" i="1"/>
  <c r="E4248" i="1"/>
  <c r="E4247" i="1"/>
  <c r="E4246" i="1"/>
  <c r="E4245" i="1"/>
  <c r="E4244" i="1"/>
  <c r="E4243" i="1"/>
  <c r="E4242" i="1"/>
  <c r="E4241" i="1"/>
  <c r="E4240" i="1"/>
  <c r="E4239" i="1"/>
  <c r="E4238" i="1"/>
  <c r="E4237" i="1"/>
  <c r="E4236" i="1"/>
  <c r="E4235" i="1"/>
  <c r="E4234" i="1"/>
  <c r="E4233" i="1"/>
  <c r="E4232" i="1"/>
  <c r="E4231" i="1"/>
  <c r="E4230" i="1"/>
  <c r="E4229" i="1"/>
  <c r="E4228" i="1"/>
  <c r="E4227" i="1"/>
  <c r="E4226" i="1"/>
  <c r="E4225" i="1"/>
  <c r="E4224" i="1"/>
  <c r="E4223" i="1"/>
  <c r="E4222" i="1"/>
  <c r="E4221" i="1"/>
  <c r="E4220" i="1"/>
  <c r="E4219" i="1"/>
  <c r="E4218" i="1"/>
  <c r="E4217" i="1"/>
  <c r="E4216" i="1"/>
  <c r="E4215" i="1"/>
  <c r="E4214" i="1"/>
  <c r="E4213" i="1"/>
  <c r="E4212" i="1"/>
  <c r="E4211" i="1"/>
  <c r="E4210" i="1"/>
  <c r="E4209" i="1"/>
  <c r="E4208" i="1"/>
  <c r="E4207" i="1"/>
  <c r="E4206" i="1"/>
  <c r="E4205" i="1"/>
  <c r="E4204" i="1"/>
  <c r="E4203" i="1"/>
  <c r="E4202" i="1"/>
  <c r="E4201" i="1"/>
  <c r="E4200" i="1"/>
  <c r="E4199" i="1"/>
  <c r="E4198" i="1"/>
  <c r="E4197" i="1"/>
  <c r="E4196" i="1"/>
  <c r="E4195" i="1"/>
  <c r="E4194" i="1"/>
  <c r="E4193" i="1"/>
  <c r="E4192" i="1"/>
  <c r="E4191" i="1"/>
  <c r="E4190" i="1"/>
  <c r="E4189" i="1"/>
  <c r="E4188" i="1"/>
  <c r="E4187" i="1"/>
  <c r="E4186" i="1"/>
  <c r="E4185" i="1"/>
  <c r="E4184" i="1"/>
  <c r="E4183" i="1"/>
  <c r="E4182" i="1"/>
  <c r="E4181" i="1"/>
  <c r="E4180" i="1"/>
  <c r="E4179" i="1"/>
  <c r="E4178" i="1"/>
  <c r="E4177" i="1"/>
  <c r="E4176" i="1"/>
  <c r="E4175" i="1"/>
  <c r="E4174" i="1"/>
  <c r="E4173" i="1"/>
  <c r="E4172" i="1"/>
  <c r="E4171" i="1"/>
  <c r="E4170" i="1"/>
  <c r="E4169" i="1"/>
  <c r="E4168" i="1"/>
  <c r="E4167" i="1"/>
  <c r="E4166" i="1"/>
  <c r="E4165" i="1"/>
  <c r="E4164" i="1"/>
  <c r="E4163" i="1"/>
  <c r="E4162" i="1"/>
  <c r="E4161" i="1"/>
  <c r="E4160" i="1"/>
  <c r="E4159" i="1"/>
  <c r="E4158" i="1"/>
  <c r="E4157" i="1"/>
  <c r="E4156" i="1"/>
  <c r="E4155" i="1"/>
  <c r="E4154" i="1"/>
  <c r="E4153" i="1"/>
  <c r="E4152" i="1"/>
  <c r="E4151" i="1"/>
  <c r="E4150" i="1"/>
  <c r="E4149" i="1"/>
  <c r="E4148" i="1"/>
  <c r="E4147" i="1"/>
  <c r="E4146" i="1"/>
  <c r="E4145" i="1"/>
  <c r="E4144" i="1"/>
  <c r="E4143" i="1"/>
  <c r="E4142" i="1"/>
  <c r="E4141" i="1"/>
  <c r="E4140" i="1"/>
  <c r="E4139" i="1"/>
  <c r="E4138" i="1"/>
  <c r="E4137" i="1"/>
  <c r="E4136" i="1"/>
  <c r="E4135" i="1"/>
  <c r="E4134" i="1"/>
  <c r="E4133" i="1"/>
  <c r="E4132" i="1"/>
  <c r="E4131" i="1"/>
  <c r="E4130" i="1"/>
  <c r="E4129" i="1"/>
  <c r="E4128" i="1"/>
  <c r="E4127" i="1"/>
  <c r="E4126" i="1"/>
  <c r="E4125" i="1"/>
  <c r="E4124" i="1"/>
  <c r="E4123" i="1"/>
  <c r="E4122" i="1"/>
  <c r="E4121" i="1"/>
  <c r="E4120" i="1"/>
  <c r="E4119" i="1"/>
  <c r="E4118" i="1"/>
  <c r="E4117" i="1"/>
  <c r="E4116" i="1"/>
  <c r="E4115" i="1"/>
  <c r="E4114" i="1"/>
  <c r="E4113" i="1"/>
  <c r="E4112" i="1"/>
  <c r="E4111" i="1"/>
  <c r="E4110" i="1"/>
  <c r="E4109" i="1"/>
  <c r="E4108" i="1"/>
  <c r="E4107" i="1"/>
  <c r="E4106" i="1"/>
  <c r="E4105" i="1"/>
  <c r="E4104" i="1"/>
  <c r="E4103" i="1"/>
  <c r="E4102" i="1"/>
  <c r="E4101" i="1"/>
  <c r="E4100" i="1"/>
  <c r="E4099" i="1"/>
  <c r="E4098" i="1"/>
  <c r="E4097" i="1"/>
  <c r="E4096" i="1"/>
  <c r="E4095" i="1"/>
  <c r="E4094" i="1"/>
  <c r="E4093" i="1"/>
  <c r="E4092" i="1"/>
  <c r="E4091" i="1"/>
  <c r="E4090" i="1"/>
  <c r="E4089" i="1"/>
  <c r="E4088" i="1"/>
  <c r="E4087" i="1"/>
  <c r="E4086" i="1"/>
  <c r="E4085" i="1"/>
  <c r="E4084" i="1"/>
  <c r="E4083" i="1"/>
  <c r="E4082" i="1"/>
  <c r="E4081" i="1"/>
  <c r="E4080" i="1"/>
  <c r="E4079" i="1"/>
  <c r="E4078" i="1"/>
  <c r="E4077" i="1"/>
  <c r="E4076" i="1"/>
  <c r="E4075" i="1"/>
  <c r="E4074" i="1"/>
  <c r="E4073" i="1"/>
  <c r="E4072" i="1"/>
  <c r="E4071" i="1"/>
  <c r="E4070" i="1"/>
  <c r="E4069" i="1"/>
  <c r="E4068" i="1"/>
  <c r="E4067" i="1"/>
  <c r="E4066" i="1"/>
  <c r="E4065" i="1"/>
  <c r="E4064" i="1"/>
  <c r="E4063" i="1"/>
  <c r="E4062" i="1"/>
  <c r="E4061" i="1"/>
  <c r="E4060" i="1"/>
  <c r="E4059" i="1"/>
  <c r="E4058" i="1"/>
  <c r="E4057" i="1"/>
  <c r="E4056" i="1"/>
  <c r="E4055" i="1"/>
  <c r="E4054" i="1"/>
  <c r="E4053" i="1"/>
  <c r="E4052" i="1"/>
  <c r="E4051" i="1"/>
  <c r="E4050" i="1"/>
  <c r="E4049" i="1"/>
  <c r="E4048" i="1"/>
  <c r="E4047" i="1"/>
  <c r="E4046" i="1"/>
  <c r="E4045" i="1"/>
  <c r="E4044" i="1"/>
  <c r="E4043" i="1"/>
  <c r="E4042" i="1"/>
  <c r="E4041" i="1"/>
  <c r="E4040" i="1"/>
  <c r="E4039" i="1"/>
  <c r="E4038" i="1"/>
  <c r="E4037" i="1"/>
  <c r="E4036" i="1"/>
  <c r="E4035" i="1"/>
  <c r="E4034" i="1"/>
  <c r="E4033" i="1"/>
  <c r="E4032" i="1"/>
  <c r="E4031" i="1"/>
  <c r="E4030" i="1"/>
  <c r="E4029" i="1"/>
  <c r="E4028" i="1"/>
  <c r="E4027" i="1"/>
  <c r="E4026" i="1"/>
  <c r="E4025" i="1"/>
  <c r="E4024" i="1"/>
  <c r="E4023" i="1"/>
  <c r="E4022" i="1"/>
  <c r="E4021" i="1"/>
  <c r="E4020" i="1"/>
  <c r="E4019" i="1"/>
  <c r="E4018" i="1"/>
  <c r="E4017" i="1"/>
  <c r="E4016" i="1"/>
  <c r="E4015" i="1"/>
  <c r="E4014" i="1"/>
  <c r="E4013" i="1"/>
  <c r="E4012" i="1"/>
  <c r="E4011" i="1"/>
  <c r="E4010" i="1"/>
  <c r="E4009" i="1"/>
  <c r="E4008" i="1"/>
  <c r="E4007" i="1"/>
  <c r="E4006" i="1"/>
  <c r="E4005" i="1"/>
  <c r="E4004" i="1"/>
  <c r="E4003" i="1"/>
  <c r="E4002" i="1"/>
  <c r="E4001" i="1"/>
  <c r="E4000" i="1"/>
  <c r="E3999" i="1"/>
  <c r="E3998" i="1"/>
  <c r="E3997" i="1"/>
  <c r="E3996" i="1"/>
  <c r="E3995" i="1"/>
  <c r="E3994" i="1"/>
  <c r="E3993" i="1"/>
  <c r="E3992" i="1"/>
  <c r="E3991" i="1"/>
  <c r="E3990" i="1"/>
  <c r="E3989" i="1"/>
  <c r="E3988" i="1"/>
  <c r="E3987" i="1"/>
  <c r="E3986" i="1"/>
  <c r="E3985" i="1"/>
  <c r="E3984" i="1"/>
  <c r="E3983" i="1"/>
  <c r="E3982" i="1"/>
  <c r="E3981" i="1"/>
  <c r="E3980" i="1"/>
  <c r="E3979" i="1"/>
  <c r="E3978" i="1"/>
  <c r="E3977" i="1"/>
  <c r="E3976" i="1"/>
  <c r="E3975" i="1"/>
  <c r="E3974" i="1"/>
  <c r="E3973" i="1"/>
  <c r="E3972" i="1"/>
  <c r="E3971" i="1"/>
  <c r="E3970" i="1"/>
  <c r="E3969" i="1"/>
  <c r="E3968" i="1"/>
  <c r="E3967" i="1"/>
  <c r="E3966" i="1"/>
  <c r="E3965" i="1"/>
  <c r="E3964" i="1"/>
  <c r="E3963" i="1"/>
  <c r="E3962" i="1"/>
  <c r="E3961" i="1"/>
  <c r="E3960" i="1"/>
  <c r="E3959" i="1"/>
  <c r="E3958" i="1"/>
  <c r="E3957" i="1"/>
  <c r="E3956" i="1"/>
  <c r="E3955" i="1"/>
  <c r="E3954" i="1"/>
  <c r="E3953" i="1"/>
  <c r="E3952" i="1"/>
  <c r="E3951" i="1"/>
  <c r="E3950" i="1"/>
  <c r="E3949" i="1"/>
  <c r="E3948" i="1"/>
  <c r="E3947" i="1"/>
  <c r="E3946" i="1"/>
  <c r="E3945" i="1"/>
  <c r="E3944" i="1"/>
  <c r="E3943" i="1"/>
  <c r="E3942" i="1"/>
  <c r="E3941" i="1"/>
  <c r="E3940" i="1"/>
  <c r="E3939" i="1"/>
  <c r="E3938" i="1"/>
  <c r="E3937" i="1"/>
  <c r="E3936" i="1"/>
  <c r="E3935" i="1"/>
  <c r="E3934" i="1"/>
  <c r="E3933" i="1"/>
  <c r="E3932" i="1"/>
  <c r="E3931" i="1"/>
  <c r="E3930" i="1"/>
  <c r="E3929" i="1"/>
  <c r="E3928" i="1"/>
  <c r="E3927" i="1"/>
  <c r="E3926" i="1"/>
  <c r="E3925" i="1"/>
  <c r="E3924" i="1"/>
  <c r="E3923" i="1"/>
  <c r="E3922" i="1"/>
  <c r="E3921" i="1"/>
  <c r="E3920" i="1"/>
  <c r="E3919" i="1"/>
  <c r="E3918" i="1"/>
  <c r="E3917" i="1"/>
  <c r="E3916" i="1"/>
  <c r="E3915" i="1"/>
  <c r="E3914" i="1"/>
  <c r="E3913" i="1"/>
  <c r="E3912" i="1"/>
  <c r="E3911" i="1"/>
  <c r="E3910" i="1"/>
  <c r="E3909" i="1"/>
  <c r="E3908" i="1"/>
  <c r="E3907" i="1"/>
  <c r="E3906" i="1"/>
  <c r="E3905" i="1"/>
  <c r="E3904" i="1"/>
  <c r="E3903" i="1"/>
  <c r="E3902" i="1"/>
  <c r="E3901" i="1"/>
  <c r="E3900" i="1"/>
  <c r="E3899" i="1"/>
  <c r="E3898" i="1"/>
  <c r="E3897" i="1"/>
  <c r="E3896" i="1"/>
  <c r="E3895" i="1"/>
  <c r="E3894" i="1"/>
  <c r="E3893" i="1"/>
  <c r="E3892" i="1"/>
  <c r="E3891" i="1"/>
  <c r="E3890" i="1"/>
  <c r="E3889" i="1"/>
  <c r="E3888" i="1"/>
  <c r="E3887" i="1"/>
  <c r="E3886" i="1"/>
  <c r="E3885" i="1"/>
  <c r="E3884" i="1"/>
  <c r="E3883" i="1"/>
  <c r="E3882" i="1"/>
  <c r="E3881" i="1"/>
  <c r="E3880" i="1"/>
  <c r="E3879" i="1"/>
  <c r="E3878" i="1"/>
  <c r="E3877" i="1"/>
  <c r="E3876" i="1"/>
  <c r="E3875" i="1"/>
  <c r="E3874" i="1"/>
  <c r="E3873" i="1"/>
  <c r="E3872" i="1"/>
  <c r="E3871" i="1"/>
  <c r="E3870" i="1"/>
  <c r="E3869" i="1"/>
  <c r="E3868" i="1"/>
  <c r="E3867" i="1"/>
  <c r="E3866" i="1"/>
  <c r="E3865" i="1"/>
  <c r="E3864" i="1"/>
  <c r="E3863" i="1"/>
  <c r="E3862" i="1"/>
  <c r="E3861" i="1"/>
  <c r="E3860" i="1"/>
  <c r="E3859" i="1"/>
  <c r="E3858" i="1"/>
  <c r="E3857" i="1"/>
  <c r="E3856" i="1"/>
  <c r="E3855" i="1"/>
  <c r="E3854" i="1"/>
  <c r="E3853" i="1"/>
  <c r="E3852" i="1"/>
  <c r="E3851" i="1"/>
  <c r="E3850" i="1"/>
  <c r="E3849" i="1"/>
  <c r="E3848" i="1"/>
  <c r="E3847" i="1"/>
  <c r="E3846" i="1"/>
  <c r="E3845" i="1"/>
  <c r="E3844" i="1"/>
  <c r="E3843" i="1"/>
  <c r="E3842" i="1"/>
  <c r="E3841" i="1"/>
  <c r="E3840" i="1"/>
  <c r="E3839" i="1"/>
  <c r="E3838" i="1"/>
  <c r="E3837" i="1"/>
  <c r="E3836" i="1"/>
  <c r="E3835" i="1"/>
  <c r="E3834" i="1"/>
  <c r="E3833" i="1"/>
  <c r="E3832" i="1"/>
  <c r="E3831" i="1"/>
  <c r="E3830" i="1"/>
  <c r="E3829" i="1"/>
  <c r="E3828" i="1"/>
  <c r="E3827" i="1"/>
  <c r="E3826" i="1"/>
  <c r="E3825" i="1"/>
  <c r="E3824" i="1"/>
  <c r="E3823" i="1"/>
  <c r="E3822" i="1"/>
  <c r="E3821" i="1"/>
  <c r="E3820" i="1"/>
  <c r="E3819" i="1"/>
  <c r="E3818" i="1"/>
  <c r="E3817" i="1"/>
  <c r="E3816" i="1"/>
  <c r="E3815" i="1"/>
  <c r="E3814" i="1"/>
  <c r="E3813" i="1"/>
  <c r="E3812" i="1"/>
  <c r="E3811" i="1"/>
  <c r="E3810" i="1"/>
  <c r="E3809" i="1"/>
  <c r="E3808" i="1"/>
  <c r="E3807" i="1"/>
  <c r="E3806" i="1"/>
  <c r="E3805" i="1"/>
  <c r="E3804" i="1"/>
  <c r="E3803" i="1"/>
  <c r="E3802" i="1"/>
  <c r="E3801" i="1"/>
  <c r="E3800" i="1"/>
  <c r="E3799" i="1"/>
  <c r="E3798" i="1"/>
  <c r="E3797" i="1"/>
  <c r="E3796" i="1"/>
  <c r="E3795" i="1"/>
  <c r="E3794" i="1"/>
  <c r="E3793" i="1"/>
  <c r="E3792" i="1"/>
  <c r="E3791" i="1"/>
  <c r="E3790" i="1"/>
  <c r="E3789" i="1"/>
  <c r="E3788" i="1"/>
  <c r="E3787" i="1"/>
  <c r="E3786" i="1"/>
  <c r="E3785" i="1"/>
  <c r="E3784" i="1"/>
  <c r="E3783" i="1"/>
  <c r="E3782" i="1"/>
  <c r="E3781" i="1"/>
  <c r="E3780" i="1"/>
  <c r="E3779" i="1"/>
  <c r="E3778" i="1"/>
  <c r="E3777" i="1"/>
  <c r="E3776" i="1"/>
  <c r="E3775" i="1"/>
  <c r="E3774" i="1"/>
  <c r="E3773" i="1"/>
  <c r="E3772" i="1"/>
  <c r="E3771" i="1"/>
  <c r="E3770" i="1"/>
  <c r="E3769" i="1"/>
  <c r="E3768" i="1"/>
  <c r="E3767" i="1"/>
  <c r="E3766" i="1"/>
  <c r="E3765" i="1"/>
  <c r="E3764" i="1"/>
  <c r="E3763" i="1"/>
  <c r="E3762" i="1"/>
  <c r="E3761" i="1"/>
  <c r="E3760" i="1"/>
  <c r="E3759" i="1"/>
  <c r="E3758" i="1"/>
  <c r="E3757" i="1"/>
  <c r="E3756" i="1"/>
  <c r="E3755" i="1"/>
  <c r="E3754" i="1"/>
  <c r="E3753" i="1"/>
  <c r="E3752" i="1"/>
  <c r="E3751" i="1"/>
  <c r="E3750" i="1"/>
  <c r="E3749" i="1"/>
  <c r="E3748" i="1"/>
  <c r="E3747" i="1"/>
  <c r="E3746" i="1"/>
  <c r="E3745" i="1"/>
  <c r="E3744" i="1"/>
  <c r="E3743" i="1"/>
  <c r="E3742" i="1"/>
  <c r="E3741" i="1"/>
  <c r="E3740" i="1"/>
  <c r="E3739" i="1"/>
  <c r="E3738" i="1"/>
  <c r="E3737" i="1"/>
  <c r="E3736" i="1"/>
  <c r="E3735" i="1"/>
  <c r="E3734" i="1"/>
  <c r="E3733" i="1"/>
  <c r="E3732" i="1"/>
  <c r="E3731" i="1"/>
  <c r="E3730" i="1"/>
  <c r="E3729" i="1"/>
  <c r="E3728" i="1"/>
  <c r="E3727" i="1"/>
  <c r="E3726" i="1"/>
  <c r="E3725" i="1"/>
  <c r="E3724" i="1"/>
  <c r="E3723" i="1"/>
  <c r="E3722" i="1"/>
  <c r="E3721" i="1"/>
  <c r="E3720" i="1"/>
  <c r="E3719" i="1"/>
  <c r="E3718" i="1"/>
  <c r="E3717" i="1"/>
  <c r="E3716" i="1"/>
  <c r="E3715" i="1"/>
  <c r="E3714" i="1"/>
  <c r="E3713" i="1"/>
  <c r="E3712" i="1"/>
  <c r="E3711" i="1"/>
  <c r="E3710" i="1"/>
  <c r="E3709" i="1"/>
  <c r="E3708" i="1"/>
  <c r="E3707" i="1"/>
  <c r="E3706" i="1"/>
  <c r="E3705" i="1"/>
  <c r="E3704" i="1"/>
  <c r="E3703" i="1"/>
  <c r="E3702" i="1"/>
  <c r="E3701" i="1"/>
  <c r="E3700" i="1"/>
  <c r="E3699" i="1"/>
  <c r="E3698" i="1"/>
  <c r="E3697" i="1"/>
  <c r="E3696" i="1"/>
  <c r="E3695" i="1"/>
  <c r="E3694" i="1"/>
  <c r="E3693" i="1"/>
  <c r="E3692" i="1"/>
  <c r="E3691" i="1"/>
  <c r="E3690" i="1"/>
  <c r="E3689" i="1"/>
  <c r="E3688" i="1"/>
  <c r="E3687" i="1"/>
  <c r="E3686" i="1"/>
  <c r="E3685" i="1"/>
  <c r="E3684" i="1"/>
  <c r="E3683" i="1"/>
  <c r="E3682" i="1"/>
  <c r="E3681" i="1"/>
  <c r="E3680" i="1"/>
  <c r="E3679" i="1"/>
  <c r="E3678" i="1"/>
  <c r="E3677" i="1"/>
  <c r="E3676" i="1"/>
  <c r="E3675" i="1"/>
  <c r="E3674" i="1"/>
  <c r="E3673" i="1"/>
  <c r="E3672" i="1"/>
  <c r="E3671" i="1"/>
  <c r="E3670" i="1"/>
  <c r="E3669" i="1"/>
  <c r="E3668" i="1"/>
  <c r="E3667" i="1"/>
  <c r="E3666" i="1"/>
  <c r="E3665" i="1"/>
  <c r="E3664" i="1"/>
  <c r="E3663" i="1"/>
  <c r="E3662" i="1"/>
  <c r="E3661" i="1"/>
  <c r="E3660" i="1"/>
  <c r="E3659" i="1"/>
  <c r="E3658" i="1"/>
  <c r="E3657" i="1"/>
  <c r="E3656" i="1"/>
  <c r="E3655" i="1"/>
  <c r="E3654" i="1"/>
  <c r="E3653" i="1"/>
  <c r="E3652" i="1"/>
  <c r="E3651" i="1"/>
  <c r="E3650" i="1"/>
  <c r="E3649" i="1"/>
  <c r="E3648" i="1"/>
  <c r="E3647" i="1"/>
  <c r="E3646" i="1"/>
  <c r="E3645" i="1"/>
  <c r="E3644" i="1"/>
  <c r="E3643" i="1"/>
  <c r="E3642" i="1"/>
  <c r="E3641" i="1"/>
  <c r="E3640" i="1"/>
  <c r="E3639" i="1"/>
  <c r="E3638" i="1"/>
  <c r="E3637" i="1"/>
  <c r="E3636" i="1"/>
  <c r="E3635" i="1"/>
  <c r="E3634" i="1"/>
  <c r="E3633" i="1"/>
  <c r="E3632" i="1"/>
  <c r="E3631" i="1"/>
  <c r="E3630" i="1"/>
  <c r="E3629" i="1"/>
  <c r="E3628" i="1"/>
  <c r="E3627" i="1"/>
  <c r="E3626" i="1"/>
  <c r="E3625" i="1"/>
  <c r="E3624" i="1"/>
  <c r="E3623" i="1"/>
  <c r="E3622" i="1"/>
  <c r="E3621" i="1"/>
  <c r="E3620" i="1"/>
  <c r="E3619" i="1"/>
  <c r="E3618" i="1"/>
  <c r="E3617" i="1"/>
  <c r="E3616" i="1"/>
  <c r="E3615" i="1"/>
  <c r="E3614" i="1"/>
  <c r="E3613" i="1"/>
  <c r="E3612" i="1"/>
  <c r="E3611" i="1"/>
  <c r="E3610" i="1"/>
  <c r="E3609" i="1"/>
  <c r="E3608" i="1"/>
  <c r="E3607" i="1"/>
  <c r="E3606" i="1"/>
  <c r="E3605" i="1"/>
  <c r="E3604" i="1"/>
  <c r="E3603" i="1"/>
  <c r="E3602" i="1"/>
  <c r="E3601" i="1"/>
  <c r="E3600" i="1"/>
  <c r="E3599" i="1"/>
  <c r="E3598" i="1"/>
  <c r="E3597" i="1"/>
  <c r="E3596" i="1"/>
  <c r="E3595" i="1"/>
  <c r="E3594" i="1"/>
  <c r="E3593" i="1"/>
  <c r="E3592" i="1"/>
  <c r="E3591" i="1"/>
  <c r="E3590" i="1"/>
  <c r="E3589" i="1"/>
  <c r="E3588" i="1"/>
  <c r="E3587" i="1"/>
  <c r="E3586" i="1"/>
  <c r="E3585" i="1"/>
  <c r="E3584" i="1"/>
  <c r="E3583" i="1"/>
  <c r="E3582" i="1"/>
  <c r="E3581" i="1"/>
  <c r="E3580" i="1"/>
  <c r="E3579" i="1"/>
  <c r="E3578" i="1"/>
  <c r="E3577" i="1"/>
  <c r="E3576" i="1"/>
  <c r="E3575" i="1"/>
  <c r="E3574" i="1"/>
  <c r="E3573" i="1"/>
  <c r="E3572" i="1"/>
  <c r="E3571" i="1"/>
  <c r="E3570" i="1"/>
  <c r="E3569" i="1"/>
  <c r="E3568" i="1"/>
  <c r="E3567" i="1"/>
  <c r="E3566" i="1"/>
  <c r="E3565" i="1"/>
  <c r="E3564" i="1"/>
  <c r="E3563" i="1"/>
  <c r="E3562" i="1"/>
  <c r="E3561" i="1"/>
  <c r="E3560" i="1"/>
  <c r="E3559" i="1"/>
  <c r="E3558" i="1"/>
  <c r="E3557" i="1"/>
  <c r="E3556" i="1"/>
  <c r="E3555" i="1"/>
  <c r="E3554" i="1"/>
  <c r="E3553" i="1"/>
  <c r="E3552" i="1"/>
  <c r="E3551" i="1"/>
  <c r="E3550" i="1"/>
  <c r="E3549" i="1"/>
  <c r="E3548" i="1"/>
  <c r="E3547" i="1"/>
  <c r="E3546" i="1"/>
  <c r="E3545" i="1"/>
  <c r="E3544" i="1"/>
  <c r="E3543" i="1"/>
  <c r="E3542" i="1"/>
  <c r="E3541" i="1"/>
  <c r="E3540" i="1"/>
  <c r="E3539" i="1"/>
  <c r="E3538" i="1"/>
  <c r="E3537" i="1"/>
  <c r="E3536" i="1"/>
  <c r="E3535" i="1"/>
  <c r="E3534" i="1"/>
  <c r="E3533" i="1"/>
  <c r="E3532" i="1"/>
  <c r="E3531" i="1"/>
  <c r="E3530" i="1"/>
  <c r="E3529" i="1"/>
  <c r="E3528" i="1"/>
  <c r="E3527" i="1"/>
  <c r="E3526" i="1"/>
  <c r="E3525" i="1"/>
  <c r="E3524" i="1"/>
  <c r="E3523" i="1"/>
  <c r="E3522" i="1"/>
  <c r="E3521" i="1"/>
  <c r="E3520" i="1"/>
  <c r="E3519" i="1"/>
  <c r="E3518" i="1"/>
  <c r="E3517" i="1"/>
  <c r="E3516" i="1"/>
  <c r="E3515" i="1"/>
  <c r="E3514" i="1"/>
  <c r="E3513" i="1"/>
  <c r="E3512" i="1"/>
  <c r="E3511" i="1"/>
  <c r="E3510" i="1"/>
  <c r="E3509" i="1"/>
  <c r="E3508" i="1"/>
  <c r="E3507" i="1"/>
  <c r="E3506" i="1"/>
  <c r="E3505" i="1"/>
  <c r="E3504" i="1"/>
  <c r="E3503" i="1"/>
  <c r="E3502" i="1"/>
  <c r="E3501" i="1"/>
  <c r="E3500" i="1"/>
  <c r="E3499" i="1"/>
  <c r="E3498" i="1"/>
  <c r="E3497" i="1"/>
  <c r="E3496" i="1"/>
  <c r="E3495" i="1"/>
  <c r="E3494" i="1"/>
  <c r="E3493" i="1"/>
  <c r="E3492" i="1"/>
  <c r="E3491" i="1"/>
  <c r="E3490" i="1"/>
  <c r="E3489" i="1"/>
  <c r="E3488" i="1"/>
  <c r="E3487" i="1"/>
  <c r="E3486" i="1"/>
  <c r="E3485" i="1"/>
  <c r="E3484" i="1"/>
  <c r="E3483" i="1"/>
  <c r="E3482" i="1"/>
  <c r="E3481" i="1"/>
  <c r="E3480" i="1"/>
  <c r="E3479" i="1"/>
  <c r="E3478" i="1"/>
  <c r="E3477" i="1"/>
  <c r="E3476" i="1"/>
  <c r="E3475" i="1"/>
  <c r="E3474" i="1"/>
  <c r="E3473" i="1"/>
  <c r="E3472" i="1"/>
  <c r="E3471" i="1"/>
  <c r="E3470" i="1"/>
  <c r="E3469" i="1"/>
  <c r="E3468" i="1"/>
  <c r="E3467" i="1"/>
  <c r="E3466" i="1"/>
  <c r="E3465" i="1"/>
  <c r="E3464" i="1"/>
  <c r="E3463" i="1"/>
  <c r="E3462" i="1"/>
  <c r="E3461" i="1"/>
  <c r="E3460" i="1"/>
  <c r="E3459" i="1"/>
  <c r="E3458" i="1"/>
  <c r="E3457" i="1"/>
  <c r="E3456" i="1"/>
  <c r="E3455" i="1"/>
  <c r="E3454" i="1"/>
  <c r="E3453" i="1"/>
  <c r="E3452" i="1"/>
  <c r="E3451" i="1"/>
  <c r="E3450" i="1"/>
  <c r="E3449" i="1"/>
  <c r="E3448" i="1"/>
  <c r="E3447" i="1"/>
  <c r="E3446" i="1"/>
  <c r="E3445" i="1"/>
  <c r="E3444" i="1"/>
  <c r="E3443" i="1"/>
  <c r="E3442" i="1"/>
  <c r="E3441" i="1"/>
  <c r="E3440" i="1"/>
  <c r="E3439" i="1"/>
  <c r="E3438" i="1"/>
  <c r="E3437" i="1"/>
  <c r="E3436" i="1"/>
  <c r="E3435" i="1"/>
  <c r="E3434" i="1"/>
  <c r="E3433" i="1"/>
  <c r="E3432" i="1"/>
  <c r="E3431" i="1"/>
  <c r="E3430" i="1"/>
  <c r="E3429" i="1"/>
  <c r="E3428" i="1"/>
  <c r="E3427" i="1"/>
  <c r="E3426" i="1"/>
  <c r="E3425" i="1"/>
  <c r="E3424" i="1"/>
  <c r="E3423" i="1"/>
  <c r="E3422" i="1"/>
  <c r="E3421" i="1"/>
  <c r="E3420" i="1"/>
  <c r="E3419" i="1"/>
  <c r="E3418" i="1"/>
  <c r="E3417" i="1"/>
  <c r="E3416" i="1"/>
  <c r="E3415" i="1"/>
  <c r="E3414" i="1"/>
  <c r="E3413" i="1"/>
  <c r="E3412" i="1"/>
  <c r="E3411" i="1"/>
  <c r="E3410" i="1"/>
  <c r="E3409" i="1"/>
  <c r="E3408" i="1"/>
  <c r="E3407" i="1"/>
  <c r="E3406" i="1"/>
  <c r="E3405" i="1"/>
  <c r="E3404" i="1"/>
  <c r="E3403" i="1"/>
  <c r="E3402" i="1"/>
  <c r="E3401" i="1"/>
  <c r="E3400" i="1"/>
  <c r="E3399" i="1"/>
  <c r="E3398" i="1"/>
  <c r="E3397" i="1"/>
  <c r="E3396" i="1"/>
  <c r="E3395" i="1"/>
  <c r="E3394" i="1"/>
  <c r="E3393" i="1"/>
  <c r="E3392" i="1"/>
  <c r="E3391" i="1"/>
  <c r="E3390" i="1"/>
  <c r="E3389" i="1"/>
  <c r="E3388" i="1"/>
  <c r="E3387" i="1"/>
  <c r="E3386" i="1"/>
  <c r="E3385" i="1"/>
  <c r="E3384" i="1"/>
  <c r="E3383" i="1"/>
  <c r="E3382" i="1"/>
  <c r="E3381" i="1"/>
  <c r="E3380" i="1"/>
  <c r="E3379" i="1"/>
  <c r="E3378" i="1"/>
  <c r="E3377" i="1"/>
  <c r="E3376" i="1"/>
  <c r="E3375" i="1"/>
  <c r="E3374" i="1"/>
  <c r="E3373" i="1"/>
  <c r="E3372" i="1"/>
  <c r="E3371" i="1"/>
  <c r="E3370" i="1"/>
  <c r="E3369" i="1"/>
  <c r="E3368" i="1"/>
  <c r="E3367" i="1"/>
  <c r="E3366" i="1"/>
  <c r="E3365" i="1"/>
  <c r="E3364" i="1"/>
  <c r="E3363" i="1"/>
  <c r="E3362" i="1"/>
  <c r="E3361" i="1"/>
  <c r="E3360" i="1"/>
  <c r="E3359" i="1"/>
  <c r="E3358" i="1"/>
  <c r="E3357" i="1"/>
  <c r="E3356" i="1"/>
  <c r="E3355" i="1"/>
  <c r="E3354" i="1"/>
  <c r="E3353" i="1"/>
  <c r="E3352" i="1"/>
  <c r="E3351" i="1"/>
  <c r="E3350" i="1"/>
  <c r="E3349" i="1"/>
  <c r="E3348" i="1"/>
  <c r="E3347" i="1"/>
  <c r="E3346" i="1"/>
  <c r="E3345" i="1"/>
  <c r="E3344" i="1"/>
  <c r="E3343" i="1"/>
  <c r="E3342" i="1"/>
  <c r="E3341" i="1"/>
  <c r="E3340" i="1"/>
  <c r="E3339" i="1"/>
  <c r="E3338" i="1"/>
  <c r="E3337" i="1"/>
  <c r="E3336" i="1"/>
  <c r="E3335" i="1"/>
  <c r="E3334" i="1"/>
  <c r="E3333" i="1"/>
  <c r="E3332" i="1"/>
  <c r="E3331" i="1"/>
  <c r="E3330" i="1"/>
  <c r="E3329" i="1"/>
  <c r="E3328" i="1"/>
  <c r="E3327" i="1"/>
  <c r="E3326" i="1"/>
  <c r="E3325" i="1"/>
  <c r="E3324" i="1"/>
  <c r="E3323" i="1"/>
  <c r="E3322" i="1"/>
  <c r="E3321" i="1"/>
  <c r="E3320" i="1"/>
  <c r="E3319" i="1"/>
  <c r="E3318" i="1"/>
  <c r="E3317" i="1"/>
  <c r="E3316" i="1"/>
  <c r="E3315" i="1"/>
  <c r="E3314" i="1"/>
  <c r="E3313" i="1"/>
  <c r="E3312" i="1"/>
  <c r="E3311" i="1"/>
  <c r="E3310" i="1"/>
  <c r="E3309" i="1"/>
  <c r="E3308" i="1"/>
  <c r="E3307" i="1"/>
  <c r="E3306" i="1"/>
  <c r="E3305" i="1"/>
  <c r="E3304" i="1"/>
  <c r="E3303" i="1"/>
  <c r="E3302" i="1"/>
  <c r="E3301" i="1"/>
  <c r="E3300" i="1"/>
  <c r="E3299" i="1"/>
  <c r="E3298" i="1"/>
  <c r="E3297" i="1"/>
  <c r="E3296" i="1"/>
  <c r="E3295" i="1"/>
  <c r="E3294" i="1"/>
  <c r="E3293" i="1"/>
  <c r="E3292" i="1"/>
  <c r="E3291" i="1"/>
  <c r="E3290" i="1"/>
  <c r="E3289" i="1"/>
  <c r="E3288" i="1"/>
  <c r="E3287" i="1"/>
  <c r="E3286" i="1"/>
  <c r="E3285" i="1"/>
  <c r="E3284" i="1"/>
  <c r="E3283" i="1"/>
  <c r="E3282" i="1"/>
  <c r="E3281" i="1"/>
  <c r="E3280" i="1"/>
  <c r="E3279" i="1"/>
  <c r="E3278" i="1"/>
  <c r="E3277" i="1"/>
  <c r="E3276" i="1"/>
  <c r="E3275" i="1"/>
  <c r="E3274" i="1"/>
  <c r="E3273" i="1"/>
  <c r="E3272" i="1"/>
  <c r="E3271" i="1"/>
  <c r="E3270" i="1"/>
  <c r="E3269" i="1"/>
  <c r="E3268" i="1"/>
  <c r="E3267" i="1"/>
  <c r="E3266" i="1"/>
  <c r="E3265" i="1"/>
  <c r="E3264" i="1"/>
  <c r="E3263" i="1"/>
  <c r="E3262" i="1"/>
  <c r="E3261" i="1"/>
  <c r="E3260" i="1"/>
  <c r="E3259" i="1"/>
  <c r="E3258" i="1"/>
  <c r="E3257" i="1"/>
  <c r="E3256" i="1"/>
  <c r="E3255" i="1"/>
  <c r="E3254" i="1"/>
  <c r="E3253" i="1"/>
  <c r="E3252" i="1"/>
  <c r="E3251" i="1"/>
  <c r="E3250" i="1"/>
  <c r="E3249" i="1"/>
  <c r="E3248" i="1"/>
  <c r="E3247" i="1"/>
  <c r="E3246" i="1"/>
  <c r="E3245" i="1"/>
  <c r="E3244" i="1"/>
  <c r="E3243" i="1"/>
  <c r="E3242" i="1"/>
  <c r="E3241" i="1"/>
  <c r="E3240" i="1"/>
  <c r="E3239" i="1"/>
  <c r="E3238" i="1"/>
  <c r="E3237" i="1"/>
  <c r="E3236" i="1"/>
  <c r="E3235" i="1"/>
  <c r="E3234" i="1"/>
  <c r="E3233" i="1"/>
  <c r="E3232" i="1"/>
  <c r="E3231" i="1"/>
  <c r="E3230" i="1"/>
  <c r="E3229" i="1"/>
  <c r="E3228" i="1"/>
  <c r="E3227" i="1"/>
  <c r="E3226" i="1"/>
  <c r="E3225" i="1"/>
  <c r="E3224" i="1"/>
  <c r="E3223" i="1"/>
  <c r="E3222" i="1"/>
  <c r="E3221" i="1"/>
  <c r="E3220" i="1"/>
  <c r="E3219" i="1"/>
  <c r="E3218" i="1"/>
  <c r="E3217" i="1"/>
  <c r="E3216" i="1"/>
  <c r="E3215" i="1"/>
  <c r="E3214" i="1"/>
  <c r="E3213" i="1"/>
  <c r="E3212" i="1"/>
  <c r="E3211" i="1"/>
  <c r="E3210" i="1"/>
  <c r="E3209" i="1"/>
  <c r="E3208" i="1"/>
  <c r="E3207" i="1"/>
  <c r="E3206" i="1"/>
  <c r="E3205" i="1"/>
  <c r="E3204" i="1"/>
  <c r="E3203" i="1"/>
  <c r="E3202" i="1"/>
  <c r="E3201" i="1"/>
  <c r="E3200" i="1"/>
  <c r="E3199" i="1"/>
  <c r="E3198" i="1"/>
  <c r="E3197" i="1"/>
  <c r="E3196" i="1"/>
  <c r="E3195" i="1"/>
  <c r="E3194" i="1"/>
  <c r="E3193" i="1"/>
  <c r="E3192" i="1"/>
  <c r="E3191" i="1"/>
  <c r="E3190" i="1"/>
  <c r="E3189" i="1"/>
  <c r="E3188" i="1"/>
  <c r="E3187" i="1"/>
  <c r="E3186" i="1"/>
  <c r="E3185" i="1"/>
  <c r="E3184" i="1"/>
  <c r="E3183" i="1"/>
  <c r="E3182" i="1"/>
  <c r="E3181" i="1"/>
  <c r="E3180" i="1"/>
  <c r="E3179" i="1"/>
  <c r="E3178" i="1"/>
  <c r="E3177" i="1"/>
  <c r="E3176" i="1"/>
  <c r="E3175" i="1"/>
  <c r="E3174" i="1"/>
  <c r="E3173" i="1"/>
  <c r="E3172" i="1"/>
  <c r="E3171" i="1"/>
  <c r="E3170" i="1"/>
  <c r="E3169" i="1"/>
  <c r="E3168" i="1"/>
  <c r="E3167" i="1"/>
  <c r="E3166" i="1"/>
  <c r="E3165" i="1"/>
  <c r="E3164" i="1"/>
  <c r="E3163" i="1"/>
  <c r="E3162" i="1"/>
  <c r="E3161" i="1"/>
  <c r="E3160" i="1"/>
  <c r="E3159" i="1"/>
  <c r="E3158" i="1"/>
  <c r="E3157" i="1"/>
  <c r="E3156" i="1"/>
  <c r="E3155" i="1"/>
  <c r="E3154" i="1"/>
  <c r="E3153" i="1"/>
  <c r="E3152" i="1"/>
  <c r="E3151" i="1"/>
  <c r="E3150" i="1"/>
  <c r="E3149" i="1"/>
  <c r="E3148" i="1"/>
  <c r="E3147" i="1"/>
  <c r="E3146" i="1"/>
  <c r="E3145" i="1"/>
  <c r="E3144" i="1"/>
  <c r="E3143" i="1"/>
  <c r="E3142" i="1"/>
  <c r="E3141" i="1"/>
  <c r="E3140" i="1"/>
  <c r="E3139" i="1"/>
  <c r="E3138" i="1"/>
  <c r="E3137" i="1"/>
  <c r="E3136" i="1"/>
  <c r="E3135" i="1"/>
  <c r="E3134" i="1"/>
  <c r="E3133" i="1"/>
  <c r="E3132" i="1"/>
  <c r="E3131" i="1"/>
  <c r="E3130" i="1"/>
  <c r="E3129" i="1"/>
  <c r="E3128" i="1"/>
  <c r="E3127" i="1"/>
  <c r="E3126" i="1"/>
  <c r="E3125" i="1"/>
  <c r="E3124" i="1"/>
  <c r="E3123" i="1"/>
  <c r="E3122" i="1"/>
  <c r="E3121" i="1"/>
  <c r="E3120" i="1"/>
  <c r="E3119" i="1"/>
  <c r="E3118" i="1"/>
  <c r="E3117" i="1"/>
  <c r="E3116" i="1"/>
  <c r="E3115" i="1"/>
  <c r="E3114" i="1"/>
  <c r="E3113" i="1"/>
  <c r="E3112" i="1"/>
  <c r="E3111" i="1"/>
  <c r="E3110" i="1"/>
  <c r="E3109" i="1"/>
  <c r="E3108" i="1"/>
  <c r="E3107" i="1"/>
  <c r="E3106" i="1"/>
  <c r="E3105" i="1"/>
  <c r="E3104" i="1"/>
  <c r="E3103" i="1"/>
  <c r="E3102" i="1"/>
  <c r="E3101" i="1"/>
  <c r="E3100" i="1"/>
  <c r="E3099" i="1"/>
  <c r="E3098" i="1"/>
  <c r="E3097" i="1"/>
  <c r="E3096" i="1"/>
  <c r="E3095" i="1"/>
  <c r="E3094" i="1"/>
  <c r="E3093" i="1"/>
  <c r="E3092" i="1"/>
  <c r="E3091" i="1"/>
  <c r="E3090" i="1"/>
  <c r="E3089" i="1"/>
  <c r="E3088" i="1"/>
  <c r="E3087" i="1"/>
  <c r="E3086" i="1"/>
  <c r="E3085" i="1"/>
  <c r="E3084" i="1"/>
  <c r="E3083" i="1"/>
  <c r="E3082" i="1"/>
  <c r="E3081" i="1"/>
  <c r="E3080" i="1"/>
  <c r="E3079" i="1"/>
  <c r="E3078" i="1"/>
  <c r="E3077" i="1"/>
  <c r="E3076" i="1"/>
  <c r="E3075" i="1"/>
  <c r="E3074" i="1"/>
  <c r="E3073" i="1"/>
  <c r="E3072" i="1"/>
  <c r="E3071" i="1"/>
  <c r="E3070" i="1"/>
  <c r="E3069" i="1"/>
  <c r="E3068" i="1"/>
  <c r="E3067" i="1"/>
  <c r="E3066" i="1"/>
  <c r="E3065" i="1"/>
  <c r="E3064" i="1"/>
  <c r="E3063" i="1"/>
  <c r="E3062" i="1"/>
  <c r="E3061" i="1"/>
  <c r="E3060" i="1"/>
  <c r="E3059" i="1"/>
  <c r="E3058" i="1"/>
  <c r="E3057" i="1"/>
  <c r="E3056" i="1"/>
  <c r="E3055" i="1"/>
  <c r="E3054" i="1"/>
  <c r="E3053" i="1"/>
  <c r="E3052" i="1"/>
  <c r="E3051" i="1"/>
  <c r="E3050" i="1"/>
  <c r="E3049" i="1"/>
  <c r="E3048" i="1"/>
  <c r="E3047" i="1"/>
  <c r="E3046" i="1"/>
  <c r="E3045" i="1"/>
  <c r="E3044" i="1"/>
  <c r="E3043" i="1"/>
  <c r="E3042" i="1"/>
  <c r="E3041" i="1"/>
  <c r="E3040" i="1"/>
  <c r="E3039" i="1"/>
  <c r="E3038" i="1"/>
  <c r="E3037" i="1"/>
  <c r="E3036" i="1"/>
  <c r="E3035" i="1"/>
  <c r="E3034" i="1"/>
  <c r="E3033" i="1"/>
  <c r="E3032" i="1"/>
  <c r="E3031" i="1"/>
  <c r="E3030" i="1"/>
  <c r="E3029" i="1"/>
  <c r="E3028" i="1"/>
  <c r="E3027" i="1"/>
  <c r="E3026" i="1"/>
  <c r="E3025" i="1"/>
  <c r="E3024" i="1"/>
  <c r="E3023" i="1"/>
  <c r="E3022" i="1"/>
  <c r="E3021" i="1"/>
  <c r="E3020" i="1"/>
  <c r="E3019" i="1"/>
  <c r="E3018" i="1"/>
  <c r="E3017" i="1"/>
  <c r="E3016" i="1"/>
  <c r="E3015" i="1"/>
  <c r="E3014" i="1"/>
  <c r="E3013" i="1"/>
  <c r="E3012" i="1"/>
  <c r="E3011" i="1"/>
  <c r="E3010" i="1"/>
  <c r="E3009" i="1"/>
  <c r="E3008" i="1"/>
  <c r="E3007" i="1"/>
  <c r="E3006" i="1"/>
  <c r="E3005" i="1"/>
  <c r="E3004" i="1"/>
  <c r="E3003" i="1"/>
  <c r="E3002" i="1"/>
  <c r="E3001" i="1"/>
  <c r="E3000" i="1"/>
  <c r="E2999" i="1"/>
  <c r="E2998" i="1"/>
  <c r="E2997" i="1"/>
  <c r="E2996" i="1"/>
  <c r="E2995" i="1"/>
  <c r="E2994" i="1"/>
  <c r="E2993" i="1"/>
  <c r="E2992" i="1"/>
  <c r="E2991" i="1"/>
  <c r="E2990" i="1"/>
  <c r="E2989" i="1"/>
  <c r="E2988" i="1"/>
  <c r="E2987" i="1"/>
  <c r="E2986" i="1"/>
  <c r="E2985" i="1"/>
  <c r="E2984" i="1"/>
  <c r="E2983" i="1"/>
  <c r="E2982" i="1"/>
  <c r="E2981" i="1"/>
  <c r="E2980" i="1"/>
  <c r="E2979" i="1"/>
  <c r="E2978" i="1"/>
  <c r="E2977" i="1"/>
  <c r="E2976" i="1"/>
  <c r="E2975" i="1"/>
  <c r="E2974" i="1"/>
  <c r="E2973" i="1"/>
  <c r="E2972" i="1"/>
  <c r="E2971" i="1"/>
  <c r="E2970" i="1"/>
  <c r="E2969" i="1"/>
  <c r="E2968" i="1"/>
  <c r="E2967" i="1"/>
  <c r="E2966" i="1"/>
  <c r="E2965" i="1"/>
  <c r="E2964" i="1"/>
  <c r="E2963" i="1"/>
  <c r="E2962" i="1"/>
  <c r="E2961" i="1"/>
  <c r="E2960" i="1"/>
  <c r="E2959" i="1"/>
  <c r="E2958" i="1"/>
  <c r="E2957" i="1"/>
  <c r="E2956" i="1"/>
  <c r="E2955" i="1"/>
  <c r="E2954" i="1"/>
  <c r="E2953" i="1"/>
  <c r="E2952" i="1"/>
  <c r="E2951" i="1"/>
  <c r="E2950" i="1"/>
  <c r="E2949" i="1"/>
  <c r="E2948" i="1"/>
  <c r="E2947" i="1"/>
  <c r="E2946" i="1"/>
  <c r="E2945" i="1"/>
  <c r="E2944" i="1"/>
  <c r="E2943" i="1"/>
  <c r="E2942" i="1"/>
  <c r="E2941" i="1"/>
  <c r="E2940" i="1"/>
  <c r="E2939" i="1"/>
  <c r="E2938" i="1"/>
  <c r="E2937" i="1"/>
  <c r="E2936" i="1"/>
  <c r="E2935" i="1"/>
  <c r="E2934" i="1"/>
  <c r="E2933" i="1"/>
  <c r="E2932" i="1"/>
  <c r="E2931" i="1"/>
  <c r="E2930" i="1"/>
  <c r="E2929" i="1"/>
  <c r="E2928" i="1"/>
  <c r="E2927" i="1"/>
  <c r="E2926" i="1"/>
  <c r="E2925" i="1"/>
  <c r="E2924" i="1"/>
  <c r="E2923" i="1"/>
  <c r="E2922" i="1"/>
  <c r="E2921" i="1"/>
  <c r="E2920" i="1"/>
  <c r="E2919" i="1"/>
  <c r="E2918" i="1"/>
  <c r="E2917" i="1"/>
  <c r="E2916" i="1"/>
  <c r="E2915" i="1"/>
  <c r="E2914" i="1"/>
  <c r="E2913" i="1"/>
  <c r="E2912" i="1"/>
  <c r="E2911" i="1"/>
  <c r="E2910" i="1"/>
  <c r="E2909" i="1"/>
  <c r="E2908" i="1"/>
  <c r="E2907" i="1"/>
  <c r="E2906" i="1"/>
  <c r="E2905" i="1"/>
  <c r="E2904" i="1"/>
  <c r="E2903" i="1"/>
  <c r="E2902" i="1"/>
  <c r="E2901" i="1"/>
  <c r="E2900" i="1"/>
  <c r="E2899" i="1"/>
  <c r="E2898" i="1"/>
  <c r="E2897" i="1"/>
  <c r="E2896" i="1"/>
  <c r="E2895" i="1"/>
  <c r="E2894" i="1"/>
  <c r="E2893" i="1"/>
  <c r="E2892" i="1"/>
  <c r="E2891" i="1"/>
  <c r="E2890" i="1"/>
  <c r="E2889" i="1"/>
  <c r="E2888" i="1"/>
  <c r="E2887" i="1"/>
  <c r="E2886" i="1"/>
  <c r="E2885" i="1"/>
  <c r="E2884" i="1"/>
  <c r="E2883" i="1"/>
  <c r="E2882" i="1"/>
  <c r="E2881" i="1"/>
  <c r="E2880" i="1"/>
  <c r="E2879" i="1"/>
  <c r="E2878" i="1"/>
  <c r="E2877" i="1"/>
  <c r="E2876" i="1"/>
  <c r="E2875" i="1"/>
  <c r="E2874" i="1"/>
  <c r="E2873" i="1"/>
  <c r="E2872" i="1"/>
  <c r="E2871" i="1"/>
  <c r="E2870" i="1"/>
  <c r="E2869" i="1"/>
  <c r="E2868" i="1"/>
  <c r="E2867" i="1"/>
  <c r="E2866" i="1"/>
  <c r="E2865" i="1"/>
  <c r="E2864" i="1"/>
  <c r="E2863" i="1"/>
  <c r="E2862" i="1"/>
  <c r="E2861" i="1"/>
  <c r="E2860" i="1"/>
  <c r="E2859" i="1"/>
  <c r="E2858" i="1"/>
  <c r="E2857" i="1"/>
  <c r="E2856" i="1"/>
  <c r="E2855" i="1"/>
  <c r="E2854" i="1"/>
  <c r="E2853" i="1"/>
  <c r="E2852" i="1"/>
  <c r="E2851" i="1"/>
  <c r="E2850" i="1"/>
  <c r="E2849" i="1"/>
  <c r="E2848" i="1"/>
  <c r="E2847" i="1"/>
  <c r="E2846" i="1"/>
  <c r="E2845" i="1"/>
  <c r="E2844" i="1"/>
  <c r="E2843" i="1"/>
  <c r="E2842" i="1"/>
  <c r="E2841" i="1"/>
  <c r="E2840" i="1"/>
  <c r="E2839" i="1"/>
  <c r="E2838" i="1"/>
  <c r="E2837" i="1"/>
  <c r="E2836" i="1"/>
  <c r="E2835" i="1"/>
  <c r="E2834" i="1"/>
  <c r="E2833" i="1"/>
  <c r="E2832" i="1"/>
  <c r="E2831" i="1"/>
  <c r="E2830" i="1"/>
  <c r="E2829" i="1"/>
  <c r="E2828" i="1"/>
  <c r="E2827" i="1"/>
  <c r="E2826" i="1"/>
  <c r="E2825" i="1"/>
  <c r="E2824" i="1"/>
  <c r="E2823" i="1"/>
  <c r="E2822" i="1"/>
  <c r="E2821" i="1"/>
  <c r="E2820" i="1"/>
  <c r="E2819" i="1"/>
  <c r="E2818" i="1"/>
  <c r="E2817" i="1"/>
  <c r="E2816" i="1"/>
  <c r="E2815" i="1"/>
  <c r="E2814" i="1"/>
  <c r="E2813" i="1"/>
  <c r="E2812" i="1"/>
  <c r="E2811" i="1"/>
  <c r="E2810" i="1"/>
  <c r="E2809" i="1"/>
  <c r="E2808" i="1"/>
  <c r="E2807" i="1"/>
  <c r="E2806" i="1"/>
  <c r="E2805" i="1"/>
  <c r="E2804" i="1"/>
  <c r="E2803" i="1"/>
  <c r="E2802" i="1"/>
  <c r="E2801" i="1"/>
  <c r="E2800" i="1"/>
  <c r="E2799" i="1"/>
  <c r="E2798" i="1"/>
  <c r="E2797" i="1"/>
  <c r="E2796" i="1"/>
  <c r="E2795" i="1"/>
  <c r="E2794" i="1"/>
  <c r="E2793" i="1"/>
  <c r="E2792" i="1"/>
  <c r="E2791" i="1"/>
  <c r="E2790" i="1"/>
  <c r="E2789" i="1"/>
  <c r="E2788" i="1"/>
  <c r="E2787" i="1"/>
  <c r="E2786" i="1"/>
  <c r="E2785" i="1"/>
  <c r="E2784" i="1"/>
  <c r="E2783" i="1"/>
  <c r="E2782" i="1"/>
  <c r="E2781" i="1"/>
  <c r="E2780" i="1"/>
  <c r="E2779" i="1"/>
  <c r="E2778" i="1"/>
  <c r="E2777" i="1"/>
  <c r="E2776" i="1"/>
  <c r="E2775" i="1"/>
  <c r="E2774" i="1"/>
  <c r="E2773" i="1"/>
  <c r="E2772" i="1"/>
  <c r="E2771" i="1"/>
  <c r="E2770" i="1"/>
  <c r="E2769" i="1"/>
  <c r="E2768" i="1"/>
  <c r="E2767" i="1"/>
  <c r="E2766" i="1"/>
  <c r="E2765" i="1"/>
  <c r="E2764" i="1"/>
  <c r="E2763" i="1"/>
  <c r="E2762" i="1"/>
  <c r="E2761" i="1"/>
  <c r="E2760" i="1"/>
  <c r="E2759" i="1"/>
  <c r="E2758" i="1"/>
  <c r="E2757" i="1"/>
  <c r="E2756" i="1"/>
  <c r="E2755" i="1"/>
  <c r="E2754" i="1"/>
  <c r="E2753" i="1"/>
  <c r="E2752" i="1"/>
  <c r="E2751" i="1"/>
  <c r="E2750" i="1"/>
  <c r="E2749" i="1"/>
  <c r="E2748" i="1"/>
  <c r="E2747" i="1"/>
  <c r="E2746" i="1"/>
  <c r="E2745" i="1"/>
  <c r="E2744" i="1"/>
  <c r="E2743" i="1"/>
  <c r="E2742" i="1"/>
  <c r="E2741" i="1"/>
  <c r="E2740" i="1"/>
  <c r="E2739" i="1"/>
  <c r="E2738" i="1"/>
  <c r="E2737" i="1"/>
  <c r="E2736" i="1"/>
  <c r="E2735" i="1"/>
  <c r="E2734" i="1"/>
  <c r="E2733" i="1"/>
  <c r="E2732" i="1"/>
  <c r="E2731" i="1"/>
  <c r="E2730" i="1"/>
  <c r="E2729" i="1"/>
  <c r="E2728" i="1"/>
  <c r="E2727" i="1"/>
  <c r="E2726" i="1"/>
  <c r="E2725" i="1"/>
  <c r="E2724" i="1"/>
  <c r="E2723" i="1"/>
  <c r="E2722" i="1"/>
  <c r="E2721" i="1"/>
  <c r="E2720" i="1"/>
  <c r="E2719" i="1"/>
  <c r="E2718" i="1"/>
  <c r="E2717" i="1"/>
  <c r="E2716" i="1"/>
  <c r="E2715" i="1"/>
  <c r="E2714" i="1"/>
  <c r="E2713" i="1"/>
  <c r="E2712" i="1"/>
  <c r="E2711" i="1"/>
  <c r="E2710" i="1"/>
  <c r="E2709" i="1"/>
  <c r="E2708" i="1"/>
  <c r="E2707" i="1"/>
  <c r="E2706" i="1"/>
  <c r="E2705" i="1"/>
  <c r="E2704" i="1"/>
  <c r="E2703" i="1"/>
  <c r="E2702" i="1"/>
  <c r="E2701" i="1"/>
  <c r="E2700" i="1"/>
  <c r="E2699" i="1"/>
  <c r="E2698" i="1"/>
  <c r="E2697" i="1"/>
  <c r="E2696" i="1"/>
  <c r="E2695" i="1"/>
  <c r="E2694" i="1"/>
  <c r="E2693" i="1"/>
  <c r="E2692" i="1"/>
  <c r="E2691" i="1"/>
  <c r="E2690" i="1"/>
  <c r="E2689" i="1"/>
  <c r="E2688" i="1"/>
  <c r="E2687" i="1"/>
  <c r="E2686" i="1"/>
  <c r="E2685" i="1"/>
  <c r="E2684" i="1"/>
  <c r="E2683" i="1"/>
  <c r="E2682" i="1"/>
  <c r="E2681" i="1"/>
  <c r="E2680" i="1"/>
  <c r="E2679" i="1"/>
  <c r="E2678" i="1"/>
  <c r="E2677" i="1"/>
  <c r="E2676" i="1"/>
  <c r="E2675" i="1"/>
  <c r="E2674" i="1"/>
  <c r="E2673" i="1"/>
  <c r="E2672" i="1"/>
  <c r="E2671" i="1"/>
  <c r="E2670" i="1"/>
  <c r="E2669" i="1"/>
  <c r="E2668" i="1"/>
  <c r="E2667" i="1"/>
  <c r="E2666" i="1"/>
  <c r="E2665" i="1"/>
  <c r="E2664" i="1"/>
  <c r="E2663" i="1"/>
  <c r="E2662" i="1"/>
  <c r="E2661" i="1"/>
  <c r="E2660" i="1"/>
  <c r="E2659" i="1"/>
  <c r="E2658" i="1"/>
  <c r="E2657" i="1"/>
  <c r="E2656" i="1"/>
  <c r="E2655" i="1"/>
  <c r="E2654" i="1"/>
  <c r="E2653" i="1"/>
  <c r="E2652" i="1"/>
  <c r="E2651" i="1"/>
  <c r="E2650" i="1"/>
  <c r="E2649" i="1"/>
  <c r="E2648" i="1"/>
  <c r="E2647" i="1"/>
  <c r="E2646" i="1"/>
  <c r="E2645" i="1"/>
  <c r="E2644" i="1"/>
  <c r="E2643" i="1"/>
  <c r="E2642" i="1"/>
  <c r="E2641" i="1"/>
  <c r="E2640" i="1"/>
  <c r="E2639" i="1"/>
  <c r="E2638" i="1"/>
  <c r="E2637" i="1"/>
  <c r="E2636" i="1"/>
  <c r="E2635" i="1"/>
  <c r="E2634" i="1"/>
  <c r="E2633" i="1"/>
  <c r="E2632" i="1"/>
  <c r="E2631" i="1"/>
  <c r="E2630" i="1"/>
  <c r="E2629" i="1"/>
  <c r="E2628" i="1"/>
  <c r="E2627" i="1"/>
  <c r="E2626" i="1"/>
  <c r="E2625" i="1"/>
  <c r="E2624" i="1"/>
  <c r="E2623" i="1"/>
  <c r="E2622" i="1"/>
  <c r="E2621" i="1"/>
  <c r="E2620" i="1"/>
  <c r="E2619" i="1"/>
  <c r="E2618" i="1"/>
  <c r="E2617" i="1"/>
  <c r="E2616" i="1"/>
  <c r="E2615" i="1"/>
  <c r="E2614" i="1"/>
  <c r="E2613" i="1"/>
  <c r="E2612" i="1"/>
  <c r="E2611" i="1"/>
  <c r="E2610" i="1"/>
  <c r="E2609" i="1"/>
  <c r="E2608" i="1"/>
  <c r="E2607" i="1"/>
  <c r="E2606" i="1"/>
  <c r="E2605" i="1"/>
  <c r="E2604" i="1"/>
  <c r="E2603" i="1"/>
  <c r="E2602" i="1"/>
  <c r="E2601" i="1"/>
  <c r="E2600" i="1"/>
  <c r="E2599" i="1"/>
  <c r="E2598" i="1"/>
  <c r="E2597" i="1"/>
  <c r="E2596" i="1"/>
  <c r="E2595" i="1"/>
  <c r="E2594" i="1"/>
  <c r="E2593" i="1"/>
  <c r="E2592" i="1"/>
  <c r="E2591" i="1"/>
  <c r="E2590" i="1"/>
  <c r="E2589" i="1"/>
  <c r="E2588" i="1"/>
  <c r="E2587" i="1"/>
  <c r="E2586" i="1"/>
  <c r="E2585" i="1"/>
  <c r="E2584" i="1"/>
  <c r="E2583" i="1"/>
  <c r="E2582" i="1"/>
  <c r="E2581" i="1"/>
  <c r="E2580" i="1"/>
  <c r="E2579" i="1"/>
  <c r="E2578" i="1"/>
  <c r="E2577" i="1"/>
  <c r="E2576" i="1"/>
  <c r="E2575" i="1"/>
  <c r="E2574" i="1"/>
  <c r="E2573" i="1"/>
  <c r="E2572" i="1"/>
  <c r="E2571" i="1"/>
  <c r="E2570" i="1"/>
  <c r="E2569" i="1"/>
  <c r="E2568" i="1"/>
  <c r="E2567" i="1"/>
  <c r="E2566" i="1"/>
  <c r="E2565" i="1"/>
  <c r="E2564" i="1"/>
  <c r="E2563" i="1"/>
  <c r="E2562" i="1"/>
  <c r="E2561" i="1"/>
  <c r="E2560" i="1"/>
  <c r="E2559" i="1"/>
  <c r="E2558" i="1"/>
  <c r="E2557" i="1"/>
  <c r="E2556" i="1"/>
  <c r="E2555" i="1"/>
  <c r="E2554" i="1"/>
  <c r="E2553" i="1"/>
  <c r="E2552" i="1"/>
  <c r="E2551" i="1"/>
  <c r="E2550" i="1"/>
  <c r="E2549" i="1"/>
  <c r="E2548" i="1"/>
  <c r="E2547" i="1"/>
  <c r="E2546" i="1"/>
  <c r="E2545" i="1"/>
  <c r="E2544" i="1"/>
  <c r="E2543" i="1"/>
  <c r="E2542" i="1"/>
  <c r="E2541" i="1"/>
  <c r="E2540" i="1"/>
  <c r="E2539" i="1"/>
  <c r="E2538" i="1"/>
  <c r="E2537" i="1"/>
  <c r="E2536" i="1"/>
  <c r="E2535" i="1"/>
  <c r="E2534" i="1"/>
  <c r="E2533" i="1"/>
  <c r="E2532" i="1"/>
  <c r="E2531" i="1"/>
  <c r="E2530" i="1"/>
  <c r="E2529" i="1"/>
  <c r="E2528" i="1"/>
  <c r="E2527" i="1"/>
  <c r="E2526" i="1"/>
  <c r="E2525" i="1"/>
  <c r="E2524" i="1"/>
  <c r="E2523" i="1"/>
  <c r="E2522" i="1"/>
  <c r="E2521" i="1"/>
  <c r="E2520" i="1"/>
  <c r="E2519" i="1"/>
  <c r="E2518" i="1"/>
  <c r="E2517" i="1"/>
  <c r="E2516" i="1"/>
  <c r="E2515" i="1"/>
  <c r="E2514" i="1"/>
  <c r="E2513" i="1"/>
  <c r="E2512" i="1"/>
  <c r="E2511" i="1"/>
  <c r="E2510" i="1"/>
  <c r="E2509" i="1"/>
  <c r="E2508" i="1"/>
  <c r="E2507" i="1"/>
  <c r="E2506" i="1"/>
  <c r="E2505" i="1"/>
  <c r="E2504" i="1"/>
  <c r="E2503" i="1"/>
  <c r="E2502" i="1"/>
  <c r="E2501" i="1"/>
  <c r="E2500" i="1"/>
  <c r="E2499" i="1"/>
  <c r="E2498" i="1"/>
  <c r="E2497" i="1"/>
  <c r="E2496" i="1"/>
  <c r="E2495" i="1"/>
  <c r="E2494" i="1"/>
  <c r="E2493" i="1"/>
  <c r="E2492" i="1"/>
  <c r="E2491" i="1"/>
  <c r="E2490" i="1"/>
  <c r="E2489" i="1"/>
  <c r="E2488" i="1"/>
  <c r="E2487" i="1"/>
  <c r="E2486" i="1"/>
  <c r="E2485" i="1"/>
  <c r="E2484" i="1"/>
  <c r="E2483" i="1"/>
  <c r="E2482" i="1"/>
  <c r="E2481" i="1"/>
  <c r="E2480" i="1"/>
  <c r="E2479" i="1"/>
  <c r="E2478" i="1"/>
  <c r="E2477" i="1"/>
  <c r="E2476" i="1"/>
  <c r="E2475" i="1"/>
  <c r="E2474" i="1"/>
  <c r="E2473" i="1"/>
  <c r="E2472" i="1"/>
  <c r="E2471" i="1"/>
  <c r="E2470" i="1"/>
  <c r="E2469" i="1"/>
  <c r="E2468" i="1"/>
  <c r="E2467" i="1"/>
  <c r="E2466" i="1"/>
  <c r="E2465" i="1"/>
  <c r="E2464" i="1"/>
  <c r="E2463" i="1"/>
  <c r="E2462" i="1"/>
  <c r="E2461" i="1"/>
  <c r="E2460" i="1"/>
  <c r="E2459" i="1"/>
  <c r="E2458" i="1"/>
  <c r="E2457" i="1"/>
  <c r="E2456" i="1"/>
  <c r="E2455" i="1"/>
  <c r="E2454" i="1"/>
  <c r="E2453" i="1"/>
  <c r="E2452" i="1"/>
  <c r="E2451" i="1"/>
  <c r="E2450" i="1"/>
  <c r="E2449" i="1"/>
  <c r="E2448" i="1"/>
  <c r="E2447" i="1"/>
  <c r="E2446" i="1"/>
  <c r="E2445" i="1"/>
  <c r="E2444" i="1"/>
  <c r="E2443" i="1"/>
  <c r="E2442" i="1"/>
  <c r="E2441" i="1"/>
  <c r="E2440" i="1"/>
  <c r="E2439" i="1"/>
  <c r="E2438" i="1"/>
  <c r="E2437" i="1"/>
  <c r="E2436" i="1"/>
  <c r="E2435" i="1"/>
  <c r="E2434" i="1"/>
  <c r="E2433" i="1"/>
  <c r="E2432" i="1"/>
  <c r="E2431" i="1"/>
  <c r="E2430" i="1"/>
  <c r="E2429" i="1"/>
  <c r="E2428" i="1"/>
  <c r="E2427" i="1"/>
  <c r="E2426" i="1"/>
  <c r="E2425" i="1"/>
  <c r="E2424" i="1"/>
  <c r="E2423" i="1"/>
  <c r="E2422" i="1"/>
  <c r="E2421" i="1"/>
  <c r="E2420" i="1"/>
  <c r="E2419" i="1"/>
  <c r="E2418" i="1"/>
  <c r="E2417" i="1"/>
  <c r="E2416" i="1"/>
  <c r="E2415" i="1"/>
  <c r="E2414" i="1"/>
  <c r="E2413" i="1"/>
  <c r="E2412" i="1"/>
  <c r="E2411" i="1"/>
  <c r="E2410" i="1"/>
  <c r="E2409" i="1"/>
  <c r="E2408" i="1"/>
  <c r="E2407" i="1"/>
  <c r="E2406" i="1"/>
  <c r="E2405" i="1"/>
  <c r="E2404" i="1"/>
  <c r="E2403" i="1"/>
  <c r="E2402" i="1"/>
  <c r="E2401" i="1"/>
  <c r="E2400" i="1"/>
  <c r="E2399" i="1"/>
  <c r="E2398" i="1"/>
  <c r="E2397" i="1"/>
  <c r="E2396" i="1"/>
  <c r="E2395" i="1"/>
  <c r="E2394" i="1"/>
  <c r="E2393" i="1"/>
  <c r="E2392" i="1"/>
  <c r="E2391" i="1"/>
  <c r="E2390" i="1"/>
  <c r="E2389" i="1"/>
  <c r="E2388" i="1"/>
  <c r="E2387" i="1"/>
  <c r="E2386" i="1"/>
  <c r="E2385" i="1"/>
  <c r="E2384" i="1"/>
  <c r="E2383" i="1"/>
  <c r="E2382" i="1"/>
  <c r="E2381" i="1"/>
  <c r="E2380" i="1"/>
  <c r="E2379" i="1"/>
  <c r="E2378" i="1"/>
  <c r="E2377" i="1"/>
  <c r="E2376" i="1"/>
  <c r="E2375" i="1"/>
  <c r="E2374" i="1"/>
  <c r="E2373" i="1"/>
  <c r="E2372" i="1"/>
  <c r="E2371" i="1"/>
  <c r="E2370" i="1"/>
  <c r="E2369" i="1"/>
  <c r="E2368" i="1"/>
  <c r="E2367" i="1"/>
  <c r="E2366" i="1"/>
  <c r="E2365" i="1"/>
  <c r="E2364" i="1"/>
  <c r="E2363" i="1"/>
  <c r="E2362" i="1"/>
  <c r="E2361" i="1"/>
  <c r="E2360" i="1"/>
  <c r="E2359" i="1"/>
  <c r="E2358" i="1"/>
  <c r="E2357" i="1"/>
  <c r="E2356" i="1"/>
  <c r="E2355" i="1"/>
  <c r="E2354" i="1"/>
  <c r="E2353" i="1"/>
  <c r="E2352" i="1"/>
  <c r="E2351" i="1"/>
  <c r="E2350" i="1"/>
  <c r="E2349" i="1"/>
  <c r="E2348" i="1"/>
  <c r="E2347" i="1"/>
  <c r="E2346" i="1"/>
  <c r="E2345" i="1"/>
  <c r="E2344" i="1"/>
  <c r="E2343" i="1"/>
  <c r="E2342" i="1"/>
  <c r="E2341" i="1"/>
  <c r="E2340" i="1"/>
  <c r="E2339" i="1"/>
  <c r="E2338" i="1"/>
  <c r="E2337" i="1"/>
  <c r="E2336" i="1"/>
  <c r="E2335" i="1"/>
  <c r="E2334" i="1"/>
  <c r="E2333" i="1"/>
  <c r="E2332" i="1"/>
  <c r="E2331" i="1"/>
  <c r="E2330" i="1"/>
  <c r="E2329" i="1"/>
  <c r="E2328" i="1"/>
  <c r="E2327" i="1"/>
  <c r="E2326" i="1"/>
  <c r="E2325" i="1"/>
  <c r="E2324" i="1"/>
  <c r="E2323" i="1"/>
  <c r="E2322" i="1"/>
  <c r="E2321" i="1"/>
  <c r="E2320" i="1"/>
  <c r="E2319" i="1"/>
  <c r="E2318" i="1"/>
  <c r="E2317" i="1"/>
  <c r="E2316" i="1"/>
  <c r="E2315" i="1"/>
  <c r="E2314" i="1"/>
  <c r="E2313" i="1"/>
  <c r="E2312" i="1"/>
  <c r="E2311" i="1"/>
  <c r="E2310" i="1"/>
  <c r="E2309" i="1"/>
  <c r="E2308" i="1"/>
  <c r="E2307" i="1"/>
  <c r="E2306" i="1"/>
  <c r="E2305" i="1"/>
  <c r="E2304" i="1"/>
  <c r="E2303" i="1"/>
  <c r="E2302" i="1"/>
  <c r="E2301" i="1"/>
  <c r="E2300" i="1"/>
  <c r="E2299" i="1"/>
  <c r="E2298" i="1"/>
  <c r="E2297" i="1"/>
  <c r="E2296" i="1"/>
  <c r="E2295" i="1"/>
  <c r="E2294" i="1"/>
  <c r="E2293" i="1"/>
  <c r="E2292" i="1"/>
  <c r="E2291" i="1"/>
  <c r="E2290" i="1"/>
  <c r="E2289" i="1"/>
  <c r="E2288" i="1"/>
  <c r="E2287" i="1"/>
  <c r="E2286" i="1"/>
  <c r="E2285" i="1"/>
  <c r="E2284" i="1"/>
  <c r="E2283" i="1"/>
  <c r="E2282" i="1"/>
  <c r="E2281" i="1"/>
  <c r="E2280" i="1"/>
  <c r="E2279" i="1"/>
  <c r="E2278" i="1"/>
  <c r="E2277" i="1"/>
  <c r="E2276" i="1"/>
  <c r="E2275" i="1"/>
  <c r="E2274" i="1"/>
  <c r="E2273" i="1"/>
  <c r="E2272" i="1"/>
  <c r="E2271" i="1"/>
  <c r="E2270" i="1"/>
  <c r="E2269" i="1"/>
  <c r="E2268" i="1"/>
  <c r="E2267" i="1"/>
  <c r="E2266" i="1"/>
  <c r="E2265" i="1"/>
  <c r="E2264" i="1"/>
  <c r="E2263" i="1"/>
  <c r="E2262" i="1"/>
  <c r="E2261" i="1"/>
  <c r="E2260" i="1"/>
  <c r="E2259" i="1"/>
  <c r="E2258" i="1"/>
  <c r="E2257" i="1"/>
  <c r="E2256" i="1"/>
  <c r="E2255" i="1"/>
  <c r="E2254" i="1"/>
  <c r="E2253" i="1"/>
  <c r="E2252" i="1"/>
  <c r="E2251" i="1"/>
  <c r="E2250" i="1"/>
  <c r="E2249" i="1"/>
  <c r="E2248" i="1"/>
  <c r="E2247" i="1"/>
  <c r="E2246" i="1"/>
  <c r="E2245" i="1"/>
  <c r="E2244" i="1"/>
  <c r="E2243" i="1"/>
  <c r="E2242" i="1"/>
  <c r="E2241" i="1"/>
  <c r="E2240" i="1"/>
  <c r="E2239" i="1"/>
  <c r="E2238" i="1"/>
  <c r="E2237" i="1"/>
  <c r="E2236" i="1"/>
  <c r="E2235" i="1"/>
  <c r="E2234" i="1"/>
  <c r="E2233" i="1"/>
  <c r="E2232" i="1"/>
  <c r="E2231" i="1"/>
  <c r="E2230" i="1"/>
  <c r="E2229" i="1"/>
  <c r="E2228" i="1"/>
  <c r="E2227" i="1"/>
  <c r="E2226" i="1"/>
  <c r="E2225" i="1"/>
  <c r="E2224" i="1"/>
  <c r="E2223" i="1"/>
  <c r="E2222" i="1"/>
  <c r="E2221" i="1"/>
  <c r="E2220" i="1"/>
  <c r="E2219" i="1"/>
  <c r="E2218" i="1"/>
  <c r="E2217" i="1"/>
  <c r="E2216" i="1"/>
  <c r="E2215" i="1"/>
  <c r="E2214" i="1"/>
  <c r="E2213" i="1"/>
  <c r="E2212" i="1"/>
  <c r="E2211" i="1"/>
  <c r="E2210" i="1"/>
  <c r="E2209" i="1"/>
  <c r="E2208" i="1"/>
  <c r="E2207" i="1"/>
  <c r="E2206" i="1"/>
  <c r="E2205" i="1"/>
  <c r="E2204" i="1"/>
  <c r="E2203" i="1"/>
  <c r="E2202" i="1"/>
  <c r="E2201" i="1"/>
  <c r="E2200" i="1"/>
  <c r="E2199" i="1"/>
  <c r="E2198" i="1"/>
  <c r="E2197" i="1"/>
  <c r="E2196" i="1"/>
  <c r="E2195" i="1"/>
  <c r="E2194" i="1"/>
  <c r="E2193" i="1"/>
  <c r="E2192" i="1"/>
  <c r="E2191" i="1"/>
  <c r="E2190" i="1"/>
  <c r="E2189" i="1"/>
  <c r="E2188" i="1"/>
  <c r="E2187" i="1"/>
  <c r="E2186" i="1"/>
  <c r="E2185" i="1"/>
  <c r="E2184" i="1"/>
  <c r="E2183" i="1"/>
  <c r="E2182" i="1"/>
  <c r="E2181" i="1"/>
  <c r="E2180" i="1"/>
  <c r="E2179" i="1"/>
  <c r="E2178" i="1"/>
  <c r="E2177" i="1"/>
  <c r="E2176" i="1"/>
  <c r="E2175" i="1"/>
  <c r="E2174" i="1"/>
  <c r="E2173" i="1"/>
  <c r="E2172" i="1"/>
  <c r="E2171" i="1"/>
  <c r="E2170" i="1"/>
  <c r="E2169" i="1"/>
  <c r="E2168" i="1"/>
  <c r="E2167" i="1"/>
  <c r="E2166" i="1"/>
  <c r="E2165" i="1"/>
  <c r="E2164" i="1"/>
  <c r="E2163" i="1"/>
  <c r="E2162" i="1"/>
  <c r="E2161" i="1"/>
  <c r="E2160" i="1"/>
  <c r="E2159" i="1"/>
  <c r="E2158" i="1"/>
  <c r="E2157" i="1"/>
  <c r="E2156" i="1"/>
  <c r="E2155" i="1"/>
  <c r="E2154" i="1"/>
  <c r="E2153" i="1"/>
  <c r="E2152" i="1"/>
  <c r="E2151" i="1"/>
  <c r="E2150" i="1"/>
  <c r="E2149" i="1"/>
  <c r="E2148" i="1"/>
  <c r="E2147" i="1"/>
  <c r="E2146" i="1"/>
  <c r="E2145" i="1"/>
  <c r="E2144" i="1"/>
  <c r="E2143" i="1"/>
  <c r="E2142" i="1"/>
  <c r="E2141" i="1"/>
  <c r="E2140" i="1"/>
  <c r="E2139" i="1"/>
  <c r="E2138" i="1"/>
  <c r="E2137" i="1"/>
  <c r="E2136" i="1"/>
  <c r="E2135" i="1"/>
  <c r="E2134" i="1"/>
  <c r="E2133" i="1"/>
  <c r="E2132" i="1"/>
  <c r="E2131" i="1"/>
  <c r="E2130" i="1"/>
  <c r="E2129" i="1"/>
  <c r="E2128" i="1"/>
  <c r="E2127" i="1"/>
  <c r="E2126" i="1"/>
  <c r="E2125" i="1"/>
  <c r="E2124" i="1"/>
  <c r="E2123" i="1"/>
  <c r="E2122" i="1"/>
  <c r="E2121" i="1"/>
  <c r="E2120" i="1"/>
  <c r="E2119" i="1"/>
  <c r="E2118" i="1"/>
  <c r="E2117" i="1"/>
  <c r="E2116" i="1"/>
  <c r="E2115" i="1"/>
  <c r="E2114" i="1"/>
  <c r="E2113" i="1"/>
  <c r="E2112" i="1"/>
  <c r="E2111" i="1"/>
  <c r="E2110" i="1"/>
  <c r="E2109" i="1"/>
  <c r="E2108" i="1"/>
  <c r="E2107" i="1"/>
  <c r="E2106" i="1"/>
  <c r="E2105" i="1"/>
  <c r="E2104" i="1"/>
  <c r="E2103" i="1"/>
  <c r="E2102" i="1"/>
  <c r="E2101" i="1"/>
  <c r="E2100" i="1"/>
  <c r="E2099" i="1"/>
  <c r="E2098" i="1"/>
  <c r="E2097" i="1"/>
  <c r="E2096" i="1"/>
  <c r="E2095" i="1"/>
  <c r="E2094" i="1"/>
  <c r="E2093" i="1"/>
  <c r="E2092" i="1"/>
  <c r="E2091" i="1"/>
  <c r="E2090" i="1"/>
  <c r="E2089" i="1"/>
  <c r="E2088" i="1"/>
  <c r="E2087" i="1"/>
  <c r="E2086" i="1"/>
  <c r="E2085" i="1"/>
  <c r="E2084" i="1"/>
  <c r="E2083" i="1"/>
  <c r="E2082" i="1"/>
  <c r="E2081" i="1"/>
  <c r="E2080" i="1"/>
  <c r="E2079" i="1"/>
  <c r="E2078" i="1"/>
  <c r="E2077" i="1"/>
  <c r="E2076" i="1"/>
  <c r="E2075" i="1"/>
  <c r="E2074" i="1"/>
  <c r="E2073" i="1"/>
  <c r="E2072" i="1"/>
  <c r="E2071" i="1"/>
  <c r="E2070" i="1"/>
  <c r="E2069" i="1"/>
  <c r="E2068" i="1"/>
  <c r="E2067" i="1"/>
  <c r="E2066" i="1"/>
  <c r="E2065" i="1"/>
  <c r="E2064" i="1"/>
  <c r="E2063" i="1"/>
  <c r="E2062" i="1"/>
  <c r="E2061" i="1"/>
  <c r="E2060" i="1"/>
  <c r="E2059" i="1"/>
  <c r="E2058" i="1"/>
  <c r="E2057" i="1"/>
  <c r="E2056" i="1"/>
  <c r="E2055" i="1"/>
  <c r="E2054" i="1"/>
  <c r="E2053" i="1"/>
  <c r="E2052" i="1"/>
  <c r="E2051" i="1"/>
  <c r="E2050" i="1"/>
  <c r="E2049" i="1"/>
  <c r="E2048" i="1"/>
  <c r="E2047" i="1"/>
  <c r="E2046" i="1"/>
  <c r="E2045" i="1"/>
  <c r="E2044" i="1"/>
  <c r="E2043" i="1"/>
  <c r="E2042" i="1"/>
  <c r="E2041" i="1"/>
  <c r="E2040" i="1"/>
  <c r="E2039" i="1"/>
  <c r="E2038" i="1"/>
  <c r="E2037" i="1"/>
  <c r="E2036" i="1"/>
  <c r="E2035" i="1"/>
  <c r="E2034" i="1"/>
  <c r="E2033" i="1"/>
  <c r="E2032" i="1"/>
  <c r="E2031" i="1"/>
  <c r="E2030" i="1"/>
  <c r="E2029" i="1"/>
  <c r="E2028" i="1"/>
  <c r="E2027" i="1"/>
  <c r="E2026" i="1"/>
  <c r="E2025" i="1"/>
  <c r="E2024" i="1"/>
  <c r="E2023" i="1"/>
  <c r="E2022" i="1"/>
  <c r="E2021" i="1"/>
  <c r="E2020" i="1"/>
  <c r="E2019" i="1"/>
  <c r="E2018" i="1"/>
  <c r="E2017" i="1"/>
  <c r="E2016" i="1"/>
  <c r="E2015" i="1"/>
  <c r="E2014" i="1"/>
  <c r="E2013" i="1"/>
  <c r="E2012" i="1"/>
  <c r="E2011" i="1"/>
  <c r="E2010" i="1"/>
  <c r="E2009" i="1"/>
  <c r="E2008" i="1"/>
  <c r="E2007" i="1"/>
  <c r="E2006" i="1"/>
  <c r="E2005" i="1"/>
  <c r="E2004" i="1"/>
  <c r="E2003" i="1"/>
  <c r="E2002" i="1"/>
  <c r="E2001" i="1"/>
  <c r="E2000" i="1"/>
  <c r="E1999" i="1"/>
  <c r="E1998" i="1"/>
  <c r="E1997" i="1"/>
  <c r="E1996" i="1"/>
  <c r="E1995" i="1"/>
  <c r="E1994" i="1"/>
  <c r="E1993" i="1"/>
  <c r="E1992" i="1"/>
  <c r="E1991" i="1"/>
  <c r="E1990" i="1"/>
  <c r="E1989" i="1"/>
  <c r="E1988" i="1"/>
  <c r="E1987" i="1"/>
  <c r="E1986" i="1"/>
  <c r="E1985" i="1"/>
  <c r="E1984" i="1"/>
  <c r="E1983" i="1"/>
  <c r="E1982" i="1"/>
  <c r="E1981" i="1"/>
  <c r="E1980" i="1"/>
  <c r="E1979" i="1"/>
  <c r="E1978" i="1"/>
  <c r="E1977" i="1"/>
  <c r="E1976" i="1"/>
  <c r="E1975" i="1"/>
  <c r="E1974" i="1"/>
  <c r="E1973" i="1"/>
  <c r="E1972" i="1"/>
  <c r="E1971" i="1"/>
  <c r="E1970" i="1"/>
  <c r="E1969" i="1"/>
  <c r="E1968" i="1"/>
  <c r="E1967" i="1"/>
  <c r="E1966" i="1"/>
  <c r="E1965" i="1"/>
  <c r="E1964" i="1"/>
  <c r="E1963" i="1"/>
  <c r="E1962" i="1"/>
  <c r="E1961" i="1"/>
  <c r="E1960" i="1"/>
  <c r="E1959" i="1"/>
  <c r="E1958" i="1"/>
  <c r="E1957" i="1"/>
  <c r="E1956" i="1"/>
  <c r="E1955" i="1"/>
  <c r="E1954" i="1"/>
  <c r="E1953" i="1"/>
  <c r="E1952" i="1"/>
  <c r="E1951" i="1"/>
  <c r="E1950" i="1"/>
  <c r="E1949" i="1"/>
  <c r="E1948" i="1"/>
  <c r="E1947" i="1"/>
  <c r="E1946" i="1"/>
  <c r="E1945" i="1"/>
  <c r="E1944" i="1"/>
  <c r="E1943" i="1"/>
  <c r="E1942" i="1"/>
  <c r="E1941" i="1"/>
  <c r="E1940" i="1"/>
  <c r="E1939" i="1"/>
  <c r="E1938" i="1"/>
  <c r="E1937" i="1"/>
  <c r="E1936" i="1"/>
  <c r="E1935" i="1"/>
  <c r="E1934" i="1"/>
  <c r="E1933" i="1"/>
  <c r="E1932" i="1"/>
  <c r="E1931" i="1"/>
  <c r="E1930" i="1"/>
  <c r="E1929" i="1"/>
  <c r="E1928" i="1"/>
  <c r="E1927" i="1"/>
  <c r="E1926" i="1"/>
  <c r="E1925" i="1"/>
  <c r="E1924" i="1"/>
  <c r="E1923" i="1"/>
  <c r="E1922" i="1"/>
  <c r="E1921" i="1"/>
  <c r="E1920" i="1"/>
  <c r="E1919" i="1"/>
  <c r="E1918" i="1"/>
  <c r="E1917" i="1"/>
  <c r="E1916" i="1"/>
  <c r="E1915" i="1"/>
  <c r="E1914" i="1"/>
  <c r="E1913" i="1"/>
  <c r="E1912" i="1"/>
  <c r="E1911" i="1"/>
  <c r="E1910" i="1"/>
  <c r="E1909" i="1"/>
  <c r="E1908" i="1"/>
  <c r="E1907" i="1"/>
  <c r="E1906" i="1"/>
  <c r="E1905" i="1"/>
  <c r="E1904" i="1"/>
  <c r="E1903" i="1"/>
  <c r="E1902" i="1"/>
  <c r="E1901" i="1"/>
  <c r="E1900" i="1"/>
  <c r="E1899" i="1"/>
  <c r="E1898" i="1"/>
  <c r="E1897" i="1"/>
  <c r="E1896" i="1"/>
  <c r="E1895" i="1"/>
  <c r="E1894" i="1"/>
  <c r="E1893" i="1"/>
  <c r="E1892" i="1"/>
  <c r="E1891" i="1"/>
  <c r="E1890" i="1"/>
  <c r="E1889" i="1"/>
  <c r="E1888" i="1"/>
  <c r="E1887" i="1"/>
  <c r="E1886" i="1"/>
  <c r="E1885" i="1"/>
  <c r="E1884" i="1"/>
  <c r="E1883" i="1"/>
  <c r="E1882" i="1"/>
  <c r="E1881" i="1"/>
  <c r="E1880" i="1"/>
  <c r="E1879" i="1"/>
  <c r="E1878" i="1"/>
  <c r="E1877" i="1"/>
  <c r="E1876" i="1"/>
  <c r="E1875" i="1"/>
  <c r="E1874" i="1"/>
  <c r="E1873" i="1"/>
  <c r="E1872" i="1"/>
  <c r="E1871" i="1"/>
  <c r="E1870" i="1"/>
  <c r="E1869" i="1"/>
  <c r="E1868" i="1"/>
  <c r="E1867" i="1"/>
  <c r="E1866" i="1"/>
  <c r="E1865" i="1"/>
  <c r="E1864" i="1"/>
  <c r="E1863" i="1"/>
  <c r="E1862" i="1"/>
  <c r="E1861" i="1"/>
  <c r="E1860" i="1"/>
  <c r="E1859" i="1"/>
  <c r="E1858" i="1"/>
  <c r="E1857" i="1"/>
  <c r="E1856" i="1"/>
  <c r="E1855" i="1"/>
  <c r="E1854" i="1"/>
  <c r="E1853" i="1"/>
  <c r="E1852" i="1"/>
  <c r="E1851" i="1"/>
  <c r="E1850" i="1"/>
  <c r="E1849" i="1"/>
  <c r="E1848" i="1"/>
  <c r="E1847" i="1"/>
  <c r="E1846" i="1"/>
  <c r="E1845" i="1"/>
  <c r="E1844" i="1"/>
  <c r="E1843" i="1"/>
  <c r="E1842" i="1"/>
  <c r="E1841" i="1"/>
  <c r="E1840" i="1"/>
  <c r="E1839" i="1"/>
  <c r="E1838" i="1"/>
  <c r="E1837" i="1"/>
  <c r="E1836" i="1"/>
  <c r="E1835" i="1"/>
  <c r="E1834" i="1"/>
  <c r="E1833" i="1"/>
  <c r="E1832" i="1"/>
  <c r="E1831" i="1"/>
  <c r="E1830" i="1"/>
  <c r="E1829" i="1"/>
  <c r="E1828" i="1"/>
  <c r="E1827" i="1"/>
  <c r="E1826" i="1"/>
  <c r="E1825" i="1"/>
  <c r="E1824" i="1"/>
  <c r="E1823" i="1"/>
  <c r="E1822" i="1"/>
  <c r="E1821" i="1"/>
  <c r="E1820" i="1"/>
  <c r="E1819" i="1"/>
  <c r="E1818" i="1"/>
  <c r="E1817" i="1"/>
  <c r="E1816" i="1"/>
  <c r="E1815" i="1"/>
  <c r="E1814" i="1"/>
  <c r="E1813" i="1"/>
  <c r="E1812" i="1"/>
  <c r="E1811" i="1"/>
  <c r="E1810" i="1"/>
  <c r="E1809" i="1"/>
  <c r="E1808" i="1"/>
  <c r="E1807" i="1"/>
  <c r="E1806" i="1"/>
  <c r="E1805" i="1"/>
  <c r="E1804" i="1"/>
  <c r="E1803" i="1"/>
  <c r="E1802" i="1"/>
  <c r="E1801" i="1"/>
  <c r="E1800" i="1"/>
  <c r="E1799" i="1"/>
  <c r="E1798" i="1"/>
  <c r="E1797" i="1"/>
  <c r="E1796" i="1"/>
  <c r="E1795" i="1"/>
  <c r="E1794" i="1"/>
  <c r="E1793" i="1"/>
  <c r="E1792" i="1"/>
  <c r="E1791" i="1"/>
  <c r="E1790" i="1"/>
  <c r="E1789" i="1"/>
  <c r="E1788" i="1"/>
  <c r="E1787" i="1"/>
  <c r="E1786" i="1"/>
  <c r="E1785" i="1"/>
  <c r="E1784" i="1"/>
  <c r="E1783" i="1"/>
  <c r="E1782" i="1"/>
  <c r="E1781" i="1"/>
  <c r="E1780" i="1"/>
  <c r="E1779" i="1"/>
  <c r="E1778" i="1"/>
  <c r="E1777" i="1"/>
  <c r="E1776" i="1"/>
  <c r="E1775" i="1"/>
  <c r="E1774" i="1"/>
  <c r="E1773" i="1"/>
  <c r="E1772" i="1"/>
  <c r="E1771" i="1"/>
  <c r="E1770" i="1"/>
  <c r="E1769" i="1"/>
  <c r="E1768" i="1"/>
  <c r="E1767" i="1"/>
  <c r="E1766" i="1"/>
  <c r="E1765" i="1"/>
  <c r="E1764" i="1"/>
  <c r="E1763" i="1"/>
  <c r="E1762" i="1"/>
  <c r="E1761" i="1"/>
  <c r="E1760" i="1"/>
  <c r="E1759" i="1"/>
  <c r="E1758" i="1"/>
  <c r="E1757" i="1"/>
  <c r="E1756" i="1"/>
  <c r="E1755" i="1"/>
  <c r="E1754" i="1"/>
  <c r="E1753" i="1"/>
  <c r="E1752" i="1"/>
  <c r="E1751" i="1"/>
  <c r="E1750" i="1"/>
  <c r="E1749" i="1"/>
  <c r="E1748" i="1"/>
  <c r="E1747" i="1"/>
  <c r="E1746" i="1"/>
  <c r="E1745" i="1"/>
  <c r="E1744" i="1"/>
  <c r="E1743" i="1"/>
  <c r="E1742" i="1"/>
  <c r="E1741" i="1"/>
  <c r="E1740" i="1"/>
  <c r="E1739" i="1"/>
  <c r="E1738" i="1"/>
  <c r="E1737" i="1"/>
  <c r="E1736" i="1"/>
  <c r="E1735" i="1"/>
  <c r="E1734" i="1"/>
  <c r="E1733" i="1"/>
  <c r="E1732" i="1"/>
  <c r="E1731" i="1"/>
  <c r="E1730" i="1"/>
  <c r="E1729" i="1"/>
  <c r="E1728" i="1"/>
  <c r="E1727" i="1"/>
  <c r="E1726" i="1"/>
  <c r="E1725" i="1"/>
  <c r="E1724" i="1"/>
  <c r="E1723" i="1"/>
  <c r="E1722" i="1"/>
  <c r="E1721" i="1"/>
  <c r="E1720" i="1"/>
  <c r="E1719" i="1"/>
  <c r="E1718" i="1"/>
  <c r="E1717" i="1"/>
  <c r="E1716" i="1"/>
  <c r="E1715" i="1"/>
  <c r="E1714" i="1"/>
  <c r="E1713" i="1"/>
  <c r="E1712" i="1"/>
  <c r="E1711" i="1"/>
  <c r="E1710" i="1"/>
  <c r="E1709" i="1"/>
  <c r="E1708" i="1"/>
  <c r="E1707" i="1"/>
  <c r="E1706" i="1"/>
  <c r="E1705" i="1"/>
  <c r="E1704" i="1"/>
  <c r="E1703" i="1"/>
  <c r="E1702" i="1"/>
  <c r="E1701" i="1"/>
  <c r="E1700" i="1"/>
  <c r="E1699" i="1"/>
  <c r="E1698" i="1"/>
  <c r="E1697" i="1"/>
  <c r="E1696" i="1"/>
  <c r="E1695" i="1"/>
  <c r="E1694" i="1"/>
  <c r="E1693" i="1"/>
  <c r="E1692" i="1"/>
  <c r="E1691" i="1"/>
  <c r="E1690" i="1"/>
  <c r="E1689" i="1"/>
  <c r="E1688" i="1"/>
  <c r="E1687" i="1"/>
  <c r="E1686" i="1"/>
  <c r="E1685" i="1"/>
  <c r="E1684" i="1"/>
  <c r="E1683" i="1"/>
  <c r="E1682" i="1"/>
  <c r="E1681" i="1"/>
  <c r="E1680" i="1"/>
  <c r="E1679" i="1"/>
  <c r="E1678" i="1"/>
  <c r="E1677" i="1"/>
  <c r="E1676" i="1"/>
  <c r="E1675" i="1"/>
  <c r="E1674" i="1"/>
  <c r="E1673" i="1"/>
  <c r="E1672" i="1"/>
  <c r="E1671" i="1"/>
  <c r="E1670" i="1"/>
  <c r="E1669" i="1"/>
  <c r="E1668" i="1"/>
  <c r="E1667" i="1"/>
  <c r="E1666" i="1"/>
  <c r="E1665" i="1"/>
  <c r="E1664" i="1"/>
  <c r="E1663" i="1"/>
  <c r="E1662" i="1"/>
  <c r="E1661" i="1"/>
  <c r="E1660" i="1"/>
  <c r="E1659" i="1"/>
  <c r="E1658" i="1"/>
  <c r="E1657" i="1"/>
  <c r="E1656" i="1"/>
  <c r="E1655" i="1"/>
  <c r="E1654" i="1"/>
  <c r="E1653" i="1"/>
  <c r="E1652" i="1"/>
  <c r="E1651" i="1"/>
  <c r="E1650" i="1"/>
  <c r="E1649" i="1"/>
  <c r="E1648" i="1"/>
  <c r="E1647" i="1"/>
  <c r="E1646" i="1"/>
  <c r="E1645" i="1"/>
  <c r="E1644" i="1"/>
  <c r="E1643" i="1"/>
  <c r="E1642" i="1"/>
  <c r="E1641" i="1"/>
  <c r="E1640" i="1"/>
  <c r="E1639" i="1"/>
  <c r="E1638" i="1"/>
  <c r="E1637" i="1"/>
  <c r="E1636" i="1"/>
  <c r="E1635" i="1"/>
  <c r="E1634" i="1"/>
  <c r="E1633" i="1"/>
  <c r="E1632" i="1"/>
  <c r="E1631" i="1"/>
  <c r="E1630" i="1"/>
  <c r="E1629" i="1"/>
  <c r="E1628" i="1"/>
  <c r="E1627" i="1"/>
  <c r="E1626" i="1"/>
  <c r="E1625" i="1"/>
  <c r="E1624" i="1"/>
  <c r="E1623" i="1"/>
  <c r="E1622" i="1"/>
  <c r="E1621" i="1"/>
  <c r="E1620" i="1"/>
  <c r="E1619" i="1"/>
  <c r="E1618" i="1"/>
  <c r="E1617" i="1"/>
  <c r="E1616" i="1"/>
  <c r="E1615" i="1"/>
  <c r="E1614" i="1"/>
  <c r="E1613" i="1"/>
  <c r="E1612" i="1"/>
  <c r="E1611" i="1"/>
  <c r="E1610" i="1"/>
  <c r="E1609" i="1"/>
  <c r="E1608" i="1"/>
  <c r="E1607" i="1"/>
  <c r="E1606" i="1"/>
  <c r="E1605" i="1"/>
  <c r="E1604" i="1"/>
  <c r="E1603" i="1"/>
  <c r="E1602" i="1"/>
  <c r="E1601" i="1"/>
  <c r="E1600" i="1"/>
  <c r="E1599" i="1"/>
  <c r="E1598" i="1"/>
  <c r="E1597" i="1"/>
  <c r="E1596" i="1"/>
  <c r="E1595" i="1"/>
  <c r="E1594" i="1"/>
  <c r="E1593" i="1"/>
  <c r="E1592" i="1"/>
  <c r="E1591" i="1"/>
  <c r="E1590" i="1"/>
  <c r="E1589" i="1"/>
  <c r="E1588" i="1"/>
  <c r="E1587" i="1"/>
  <c r="E1586" i="1"/>
  <c r="E1585" i="1"/>
  <c r="E1584" i="1"/>
  <c r="E1583" i="1"/>
  <c r="E1582" i="1"/>
  <c r="E1581" i="1"/>
  <c r="E1580" i="1"/>
  <c r="E1579" i="1"/>
  <c r="E1578" i="1"/>
  <c r="E1577" i="1"/>
  <c r="E1576" i="1"/>
  <c r="E1575" i="1"/>
  <c r="E1574" i="1"/>
  <c r="E1573" i="1"/>
  <c r="E1572" i="1"/>
  <c r="E1571" i="1"/>
  <c r="E1570" i="1"/>
  <c r="E1569" i="1"/>
  <c r="E1568" i="1"/>
  <c r="E1567" i="1"/>
  <c r="E1566" i="1"/>
  <c r="E1565" i="1"/>
  <c r="E1564" i="1"/>
  <c r="E1563" i="1"/>
  <c r="E1562" i="1"/>
  <c r="E1561" i="1"/>
  <c r="E1560" i="1"/>
  <c r="E1559" i="1"/>
  <c r="E1558" i="1"/>
  <c r="E1557" i="1"/>
  <c r="E1556" i="1"/>
  <c r="E1555" i="1"/>
  <c r="E1554" i="1"/>
  <c r="E1553" i="1"/>
  <c r="E1552" i="1"/>
  <c r="E1551" i="1"/>
  <c r="E1550" i="1"/>
  <c r="E1549" i="1"/>
  <c r="E1548" i="1"/>
  <c r="E1547" i="1"/>
  <c r="E1546" i="1"/>
  <c r="E1545" i="1"/>
  <c r="E1544" i="1"/>
  <c r="E1543" i="1"/>
  <c r="E1542" i="1"/>
  <c r="E1541" i="1"/>
  <c r="E1540" i="1"/>
  <c r="E1539" i="1"/>
  <c r="E1538" i="1"/>
  <c r="E1537" i="1"/>
  <c r="E1536" i="1"/>
  <c r="E1535" i="1"/>
  <c r="E1534" i="1"/>
  <c r="E1533" i="1"/>
  <c r="E1532" i="1"/>
  <c r="E1531" i="1"/>
  <c r="E1530" i="1"/>
  <c r="E1529" i="1"/>
  <c r="E1528" i="1"/>
  <c r="E1527" i="1"/>
  <c r="E1526" i="1"/>
  <c r="E1525" i="1"/>
  <c r="E1524" i="1"/>
  <c r="E1523" i="1"/>
  <c r="E1522" i="1"/>
  <c r="E1521" i="1"/>
  <c r="E1520" i="1"/>
  <c r="E1519" i="1"/>
  <c r="E1518" i="1"/>
  <c r="E1517" i="1"/>
  <c r="E1516" i="1"/>
  <c r="E1515" i="1"/>
  <c r="E1514" i="1"/>
  <c r="E1513" i="1"/>
  <c r="E1512" i="1"/>
  <c r="E1511" i="1"/>
  <c r="E1510" i="1"/>
  <c r="E1509" i="1"/>
  <c r="E1508" i="1"/>
  <c r="E1507" i="1"/>
  <c r="E1506" i="1"/>
  <c r="E1505" i="1"/>
  <c r="E1504" i="1"/>
  <c r="E1503" i="1"/>
  <c r="E1502" i="1"/>
  <c r="E1501" i="1"/>
  <c r="E1500" i="1"/>
  <c r="E1499" i="1"/>
  <c r="E1498" i="1"/>
  <c r="E1497" i="1"/>
  <c r="E1496" i="1"/>
  <c r="E1495" i="1"/>
  <c r="E1494" i="1"/>
  <c r="E1493" i="1"/>
  <c r="E1492" i="1"/>
  <c r="E1491" i="1"/>
  <c r="E1490" i="1"/>
  <c r="E1489" i="1"/>
  <c r="E1488" i="1"/>
  <c r="E1487" i="1"/>
  <c r="E1486" i="1"/>
  <c r="E1485" i="1"/>
  <c r="E1484" i="1"/>
  <c r="E1483" i="1"/>
  <c r="E1482" i="1"/>
  <c r="E1481" i="1"/>
  <c r="E1480" i="1"/>
  <c r="E1479" i="1"/>
  <c r="E1478" i="1"/>
  <c r="E1477" i="1"/>
  <c r="E1476" i="1"/>
  <c r="E1475" i="1"/>
  <c r="E1474" i="1"/>
  <c r="E1473" i="1"/>
  <c r="E1472" i="1"/>
  <c r="E1471" i="1"/>
  <c r="E1470" i="1"/>
  <c r="E1469" i="1"/>
  <c r="E1468" i="1"/>
  <c r="E1467" i="1"/>
  <c r="E1466" i="1"/>
  <c r="E1465" i="1"/>
  <c r="E1464" i="1"/>
  <c r="E1463" i="1"/>
  <c r="E1462" i="1"/>
  <c r="E1461" i="1"/>
  <c r="E1460" i="1"/>
  <c r="E1459" i="1"/>
  <c r="E1458" i="1"/>
  <c r="E1457" i="1"/>
  <c r="E1456" i="1"/>
  <c r="E1455" i="1"/>
  <c r="E1454" i="1"/>
  <c r="E1453" i="1"/>
  <c r="E1452" i="1"/>
  <c r="E1451" i="1"/>
  <c r="E1450" i="1"/>
  <c r="E1449" i="1"/>
  <c r="E1448" i="1"/>
  <c r="E1447" i="1"/>
  <c r="E1446" i="1"/>
  <c r="E1445" i="1"/>
  <c r="E1444" i="1"/>
  <c r="E1443" i="1"/>
  <c r="E1442" i="1"/>
  <c r="E1441" i="1"/>
  <c r="E1440" i="1"/>
  <c r="E1439" i="1"/>
  <c r="E1438" i="1"/>
  <c r="E1437" i="1"/>
  <c r="E1436" i="1"/>
  <c r="E1435" i="1"/>
  <c r="E1434" i="1"/>
  <c r="E1433" i="1"/>
  <c r="E1432" i="1"/>
  <c r="E1431" i="1"/>
  <c r="E1430" i="1"/>
  <c r="E1429" i="1"/>
  <c r="E1428" i="1"/>
  <c r="E1427" i="1"/>
  <c r="E1426" i="1"/>
  <c r="E1425" i="1"/>
  <c r="E1424" i="1"/>
  <c r="E1423" i="1"/>
  <c r="E1422" i="1"/>
  <c r="E1421" i="1"/>
  <c r="E1420" i="1"/>
  <c r="E1419" i="1"/>
  <c r="E1418" i="1"/>
  <c r="E1417" i="1"/>
  <c r="E1416" i="1"/>
  <c r="E1415" i="1"/>
  <c r="E1414" i="1"/>
  <c r="E1413" i="1"/>
  <c r="E1412" i="1"/>
  <c r="E1411" i="1"/>
  <c r="E1410" i="1"/>
  <c r="E1409" i="1"/>
  <c r="E1408" i="1"/>
  <c r="E1407" i="1"/>
  <c r="E1406" i="1"/>
  <c r="E1405" i="1"/>
  <c r="E1404" i="1"/>
  <c r="E1403" i="1"/>
  <c r="E1402" i="1"/>
  <c r="E1401" i="1"/>
  <c r="E1400" i="1"/>
  <c r="E1399" i="1"/>
  <c r="E1398" i="1"/>
  <c r="E1397" i="1"/>
  <c r="E1396" i="1"/>
  <c r="E1395" i="1"/>
  <c r="E1394" i="1"/>
  <c r="E1393" i="1"/>
  <c r="E1392" i="1"/>
  <c r="E1391" i="1"/>
  <c r="E1390" i="1"/>
  <c r="E1389" i="1"/>
  <c r="E1388" i="1"/>
  <c r="E1387" i="1"/>
  <c r="E1386" i="1"/>
  <c r="E1385" i="1"/>
  <c r="E1384" i="1"/>
  <c r="E1383" i="1"/>
  <c r="E1382" i="1"/>
  <c r="E1381" i="1"/>
  <c r="E1380" i="1"/>
  <c r="E1379" i="1"/>
  <c r="E1378" i="1"/>
  <c r="E1377" i="1"/>
  <c r="E1376" i="1"/>
  <c r="E1375" i="1"/>
  <c r="E1374" i="1"/>
  <c r="E1373" i="1"/>
  <c r="E1372" i="1"/>
  <c r="E1371" i="1"/>
  <c r="E1370" i="1"/>
  <c r="E1369" i="1"/>
  <c r="E1368" i="1"/>
  <c r="E1367" i="1"/>
  <c r="E1366" i="1"/>
  <c r="E1365" i="1"/>
  <c r="E1364" i="1"/>
  <c r="E1363" i="1"/>
  <c r="E1362" i="1"/>
  <c r="E1361" i="1"/>
  <c r="E1360" i="1"/>
  <c r="E1359" i="1"/>
  <c r="E1358" i="1"/>
  <c r="E1357" i="1"/>
  <c r="E1356" i="1"/>
  <c r="E1355" i="1"/>
  <c r="E1354" i="1"/>
  <c r="E1353" i="1"/>
  <c r="E1352" i="1"/>
  <c r="E1351" i="1"/>
  <c r="E1350" i="1"/>
  <c r="E1349" i="1"/>
  <c r="E1348" i="1"/>
  <c r="E1347" i="1"/>
  <c r="E1346" i="1"/>
  <c r="E1345" i="1"/>
  <c r="E1344" i="1"/>
  <c r="E1343" i="1"/>
  <c r="E1342" i="1"/>
  <c r="E1341" i="1"/>
  <c r="E1340" i="1"/>
  <c r="E1339" i="1"/>
  <c r="E1338" i="1"/>
  <c r="E1337" i="1"/>
  <c r="E1336" i="1"/>
  <c r="E1335" i="1"/>
  <c r="E1334" i="1"/>
  <c r="E1333" i="1"/>
  <c r="E1332" i="1"/>
  <c r="E1331" i="1"/>
  <c r="E1330" i="1"/>
  <c r="E1329" i="1"/>
  <c r="E1328" i="1"/>
  <c r="E1327" i="1"/>
  <c r="E1326" i="1"/>
  <c r="E1325" i="1"/>
  <c r="E1324" i="1"/>
  <c r="E1323" i="1"/>
  <c r="E1322" i="1"/>
  <c r="E1321" i="1"/>
  <c r="E1320" i="1"/>
  <c r="E1319" i="1"/>
  <c r="E1318" i="1"/>
  <c r="E1317" i="1"/>
  <c r="E1316" i="1"/>
  <c r="E1315" i="1"/>
  <c r="E1314" i="1"/>
  <c r="E1313" i="1"/>
  <c r="E1312" i="1"/>
  <c r="E1311" i="1"/>
  <c r="E1310" i="1"/>
  <c r="E1309" i="1"/>
  <c r="E1308" i="1"/>
  <c r="E1307" i="1"/>
  <c r="E1306" i="1"/>
  <c r="E1305" i="1"/>
  <c r="E1304" i="1"/>
  <c r="E1303" i="1"/>
  <c r="E1302" i="1"/>
  <c r="E1301" i="1"/>
  <c r="E1300" i="1"/>
  <c r="E1299" i="1"/>
  <c r="E1298" i="1"/>
  <c r="E1297" i="1"/>
  <c r="E1296" i="1"/>
  <c r="E1295" i="1"/>
  <c r="E1294" i="1"/>
  <c r="E1293" i="1"/>
  <c r="E1292" i="1"/>
  <c r="E1291" i="1"/>
  <c r="E1290" i="1"/>
  <c r="E1289" i="1"/>
  <c r="E1288" i="1"/>
  <c r="E1287" i="1"/>
  <c r="E1286" i="1"/>
  <c r="E1285" i="1"/>
  <c r="E1284" i="1"/>
  <c r="E1283" i="1"/>
  <c r="E1282" i="1"/>
  <c r="E1281" i="1"/>
  <c r="E1280" i="1"/>
  <c r="E1279" i="1"/>
  <c r="E1278" i="1"/>
  <c r="E1277" i="1"/>
  <c r="E1276" i="1"/>
  <c r="E1275" i="1"/>
  <c r="E1274" i="1"/>
  <c r="E1273" i="1"/>
  <c r="E1272" i="1"/>
  <c r="E1271" i="1"/>
  <c r="E1270" i="1"/>
  <c r="E1269" i="1"/>
  <c r="E1268" i="1"/>
  <c r="E1267" i="1"/>
  <c r="E1266" i="1"/>
  <c r="E1265" i="1"/>
  <c r="E1264" i="1"/>
  <c r="E1263" i="1"/>
  <c r="E1262" i="1"/>
  <c r="E1261" i="1"/>
  <c r="E1260" i="1"/>
  <c r="E1259" i="1"/>
  <c r="E1258" i="1"/>
  <c r="E1257" i="1"/>
  <c r="E1256" i="1"/>
  <c r="E1255" i="1"/>
  <c r="E1254" i="1"/>
  <c r="E1253" i="1"/>
  <c r="E1252" i="1"/>
  <c r="E1251" i="1"/>
  <c r="E1250" i="1"/>
  <c r="E1249" i="1"/>
  <c r="E1248" i="1"/>
  <c r="E1247" i="1"/>
  <c r="E1246" i="1"/>
  <c r="E1245" i="1"/>
  <c r="E1244" i="1"/>
  <c r="E1243" i="1"/>
  <c r="E1242" i="1"/>
  <c r="E1241" i="1"/>
  <c r="E1240" i="1"/>
  <c r="E1239" i="1"/>
  <c r="E1238" i="1"/>
  <c r="E1237" i="1"/>
  <c r="E1236" i="1"/>
  <c r="E1235" i="1"/>
  <c r="E1234" i="1"/>
  <c r="E1233" i="1"/>
  <c r="E1232" i="1"/>
  <c r="E1231" i="1"/>
  <c r="E1230" i="1"/>
  <c r="E1229" i="1"/>
  <c r="E1228" i="1"/>
  <c r="E1227" i="1"/>
  <c r="E1226" i="1"/>
  <c r="E1225" i="1"/>
  <c r="E1224" i="1"/>
  <c r="E1223" i="1"/>
  <c r="E1222" i="1"/>
  <c r="E1221" i="1"/>
  <c r="E1220" i="1"/>
  <c r="E1219" i="1"/>
  <c r="E1218" i="1"/>
  <c r="E1217" i="1"/>
  <c r="E1216" i="1"/>
  <c r="E1215" i="1"/>
  <c r="E1214" i="1"/>
  <c r="E1213" i="1"/>
  <c r="E1212" i="1"/>
  <c r="E1211" i="1"/>
  <c r="E1210" i="1"/>
  <c r="E1209" i="1"/>
  <c r="E1208" i="1"/>
  <c r="E1207" i="1"/>
  <c r="E1206" i="1"/>
  <c r="E1205" i="1"/>
  <c r="E1204" i="1"/>
  <c r="E1203" i="1"/>
  <c r="E1202" i="1"/>
  <c r="E1201" i="1"/>
  <c r="E1200" i="1"/>
  <c r="E1199" i="1"/>
  <c r="E1198" i="1"/>
  <c r="E1197" i="1"/>
  <c r="E1196" i="1"/>
  <c r="E1195" i="1"/>
  <c r="E1194" i="1"/>
  <c r="E1193" i="1"/>
  <c r="E1192" i="1"/>
  <c r="E1191" i="1"/>
  <c r="E1190" i="1"/>
  <c r="E1189" i="1"/>
  <c r="E1188" i="1"/>
  <c r="E1187" i="1"/>
  <c r="E1186" i="1"/>
  <c r="E1185" i="1"/>
  <c r="E1184" i="1"/>
  <c r="E1183" i="1"/>
  <c r="E1182" i="1"/>
  <c r="E1181" i="1"/>
  <c r="E1180" i="1"/>
  <c r="E1179" i="1"/>
  <c r="E1178" i="1"/>
  <c r="E1177" i="1"/>
  <c r="E1176" i="1"/>
  <c r="E1175" i="1"/>
  <c r="E1174" i="1"/>
  <c r="E1173" i="1"/>
  <c r="E1172" i="1"/>
  <c r="E1171" i="1"/>
  <c r="E1170" i="1"/>
  <c r="E1169" i="1"/>
  <c r="E1168" i="1"/>
  <c r="E1167" i="1"/>
  <c r="E1166" i="1"/>
  <c r="E1165" i="1"/>
  <c r="E1164" i="1"/>
  <c r="E1163" i="1"/>
  <c r="E1162" i="1"/>
  <c r="E1161" i="1"/>
  <c r="E1160" i="1"/>
  <c r="E1159" i="1"/>
  <c r="E1158" i="1"/>
  <c r="E1157" i="1"/>
  <c r="E1156" i="1"/>
  <c r="E1155" i="1"/>
  <c r="E1154" i="1"/>
  <c r="E1153" i="1"/>
  <c r="E1152" i="1"/>
  <c r="E1151" i="1"/>
  <c r="E1150" i="1"/>
  <c r="E1149" i="1"/>
  <c r="E1148" i="1"/>
  <c r="E1147" i="1"/>
  <c r="E1146" i="1"/>
  <c r="E1145" i="1"/>
  <c r="E1144" i="1"/>
  <c r="E1143" i="1"/>
  <c r="E1142" i="1"/>
  <c r="E1141" i="1"/>
  <c r="E1140" i="1"/>
  <c r="E1139" i="1"/>
  <c r="E1138" i="1"/>
  <c r="E1137" i="1"/>
  <c r="E1136" i="1"/>
  <c r="E1135" i="1"/>
  <c r="E1134" i="1"/>
  <c r="E1133" i="1"/>
  <c r="E1132" i="1"/>
  <c r="E1131" i="1"/>
  <c r="E1130" i="1"/>
  <c r="E1129" i="1"/>
  <c r="E1128" i="1"/>
  <c r="E1127" i="1"/>
  <c r="E1126" i="1"/>
  <c r="E1125" i="1"/>
  <c r="E1124" i="1"/>
  <c r="E1123" i="1"/>
  <c r="E1122" i="1"/>
  <c r="E1121" i="1"/>
  <c r="E1120" i="1"/>
  <c r="E1119" i="1"/>
  <c r="E1118" i="1"/>
  <c r="E1117" i="1"/>
  <c r="E1116" i="1"/>
  <c r="E1115" i="1"/>
  <c r="E1114" i="1"/>
  <c r="E1113" i="1"/>
  <c r="E1112" i="1"/>
  <c r="E1111" i="1"/>
  <c r="E1110" i="1"/>
  <c r="E1109" i="1"/>
  <c r="E1108" i="1"/>
  <c r="E1107" i="1"/>
  <c r="E1106" i="1"/>
  <c r="E1105" i="1"/>
  <c r="E1104" i="1"/>
  <c r="E1103" i="1"/>
  <c r="E1102" i="1"/>
  <c r="E1101" i="1"/>
  <c r="E1100" i="1"/>
  <c r="E1099" i="1"/>
  <c r="E1098" i="1"/>
  <c r="E1097" i="1"/>
  <c r="E1096" i="1"/>
  <c r="E1095" i="1"/>
  <c r="E1094" i="1"/>
  <c r="E1093" i="1"/>
  <c r="E1092" i="1"/>
  <c r="E1091" i="1"/>
  <c r="E1090" i="1"/>
  <c r="E1089" i="1"/>
  <c r="E1088" i="1"/>
  <c r="E1087" i="1"/>
  <c r="E1086" i="1"/>
  <c r="E1085" i="1"/>
  <c r="E1084" i="1"/>
  <c r="E1083" i="1"/>
  <c r="E1082" i="1"/>
  <c r="E1081" i="1"/>
  <c r="E1080" i="1"/>
  <c r="E1079" i="1"/>
  <c r="E1078" i="1"/>
  <c r="E1077" i="1"/>
  <c r="E1076" i="1"/>
  <c r="E1075" i="1"/>
  <c r="E1074" i="1"/>
  <c r="E1073" i="1"/>
  <c r="E1072" i="1"/>
  <c r="E1071" i="1"/>
  <c r="E1070" i="1"/>
  <c r="E1069" i="1"/>
  <c r="E1068" i="1"/>
  <c r="E1067" i="1"/>
  <c r="E1066" i="1"/>
  <c r="E1065" i="1"/>
  <c r="E1064" i="1"/>
  <c r="E1063" i="1"/>
  <c r="E1062" i="1"/>
  <c r="E1061" i="1"/>
  <c r="E1060" i="1"/>
  <c r="E1059" i="1"/>
  <c r="E1058" i="1"/>
  <c r="E1057" i="1"/>
  <c r="E1056" i="1"/>
  <c r="E1055" i="1"/>
  <c r="E1054" i="1"/>
  <c r="E1053" i="1"/>
  <c r="E1052" i="1"/>
  <c r="E1051" i="1"/>
  <c r="E1050" i="1"/>
  <c r="E1049" i="1"/>
  <c r="E1048" i="1"/>
  <c r="E1047" i="1"/>
  <c r="E1046" i="1"/>
  <c r="E1045" i="1"/>
  <c r="E1044" i="1"/>
  <c r="E1043" i="1"/>
  <c r="E1042" i="1"/>
  <c r="E1041" i="1"/>
  <c r="E1040" i="1"/>
  <c r="E1039" i="1"/>
  <c r="E1038" i="1"/>
  <c r="E1037" i="1"/>
  <c r="E1036" i="1"/>
  <c r="E1035" i="1"/>
  <c r="E1034" i="1"/>
  <c r="E1033" i="1"/>
  <c r="E1032" i="1"/>
  <c r="E1031" i="1"/>
  <c r="E1030" i="1"/>
  <c r="E1029" i="1"/>
  <c r="E1028" i="1"/>
  <c r="E1027" i="1"/>
  <c r="E1026" i="1"/>
  <c r="E1025" i="1"/>
  <c r="E1024" i="1"/>
  <c r="E1023" i="1"/>
  <c r="E1022" i="1"/>
  <c r="E1021" i="1"/>
  <c r="E1020" i="1"/>
  <c r="E1019" i="1"/>
  <c r="E1018" i="1"/>
  <c r="E1017" i="1"/>
  <c r="E1016" i="1"/>
  <c r="E1015" i="1"/>
  <c r="E1014" i="1"/>
  <c r="E1013" i="1"/>
  <c r="E1012" i="1"/>
  <c r="E1011" i="1"/>
  <c r="E1010" i="1"/>
  <c r="E1009" i="1"/>
  <c r="E1008" i="1"/>
  <c r="E1007" i="1"/>
  <c r="E1006" i="1"/>
  <c r="E1005" i="1"/>
  <c r="E1004" i="1"/>
  <c r="E1003" i="1"/>
  <c r="E1002" i="1"/>
  <c r="E1001" i="1"/>
  <c r="E1000" i="1"/>
  <c r="E999" i="1"/>
  <c r="E998" i="1"/>
  <c r="E997" i="1"/>
  <c r="E996" i="1"/>
  <c r="E995" i="1"/>
  <c r="E994" i="1"/>
  <c r="E993" i="1"/>
  <c r="E992" i="1"/>
  <c r="E991" i="1"/>
  <c r="E990" i="1"/>
  <c r="E989" i="1"/>
  <c r="E988" i="1"/>
  <c r="E987" i="1"/>
  <c r="E986" i="1"/>
  <c r="E985" i="1"/>
  <c r="E984" i="1"/>
  <c r="E983" i="1"/>
  <c r="E982" i="1"/>
  <c r="E981" i="1"/>
  <c r="E980" i="1"/>
  <c r="E979" i="1"/>
  <c r="E978" i="1"/>
  <c r="E977" i="1"/>
  <c r="E976" i="1"/>
  <c r="E975" i="1"/>
  <c r="E974" i="1"/>
  <c r="E973" i="1"/>
  <c r="E972" i="1"/>
  <c r="E971" i="1"/>
  <c r="E970" i="1"/>
  <c r="E969" i="1"/>
  <c r="E968" i="1"/>
  <c r="E967" i="1"/>
  <c r="E966" i="1"/>
  <c r="E965" i="1"/>
  <c r="E964" i="1"/>
  <c r="E963" i="1"/>
  <c r="E962" i="1"/>
  <c r="E961" i="1"/>
  <c r="E960" i="1"/>
  <c r="E959" i="1"/>
  <c r="E958" i="1"/>
  <c r="E957" i="1"/>
  <c r="E956" i="1"/>
  <c r="E955" i="1"/>
  <c r="E954" i="1"/>
  <c r="E953" i="1"/>
  <c r="E952" i="1"/>
  <c r="E951" i="1"/>
  <c r="E950" i="1"/>
  <c r="E949" i="1"/>
  <c r="E948" i="1"/>
  <c r="E947" i="1"/>
  <c r="E946" i="1"/>
  <c r="E945" i="1"/>
  <c r="E944" i="1"/>
  <c r="E943" i="1"/>
  <c r="E942" i="1"/>
  <c r="E941" i="1"/>
  <c r="E940" i="1"/>
  <c r="E939" i="1"/>
  <c r="E938" i="1"/>
  <c r="E937" i="1"/>
  <c r="E936" i="1"/>
  <c r="E935" i="1"/>
  <c r="E934" i="1"/>
  <c r="E933" i="1"/>
  <c r="E932" i="1"/>
  <c r="E931" i="1"/>
  <c r="E930" i="1"/>
  <c r="E929" i="1"/>
  <c r="E928" i="1"/>
  <c r="E927" i="1"/>
  <c r="E926" i="1"/>
  <c r="E925" i="1"/>
  <c r="E924" i="1"/>
  <c r="E923" i="1"/>
  <c r="E922" i="1"/>
  <c r="E921" i="1"/>
  <c r="E920" i="1"/>
  <c r="E919" i="1"/>
  <c r="E918" i="1"/>
  <c r="E917" i="1"/>
  <c r="E916" i="1"/>
  <c r="E915" i="1"/>
  <c r="E914" i="1"/>
  <c r="E913" i="1"/>
  <c r="E912" i="1"/>
  <c r="E911" i="1"/>
  <c r="E910" i="1"/>
  <c r="E909" i="1"/>
  <c r="E908" i="1"/>
  <c r="E907" i="1"/>
  <c r="E906" i="1"/>
  <c r="E905" i="1"/>
  <c r="E904" i="1"/>
  <c r="E903" i="1"/>
  <c r="E902" i="1"/>
  <c r="E901" i="1"/>
  <c r="E900" i="1"/>
  <c r="E899" i="1"/>
  <c r="E898" i="1"/>
  <c r="E897" i="1"/>
  <c r="E896" i="1"/>
  <c r="E895" i="1"/>
  <c r="E894" i="1"/>
  <c r="E893" i="1"/>
  <c r="E892" i="1"/>
  <c r="E891" i="1"/>
  <c r="E890" i="1"/>
  <c r="E889" i="1"/>
  <c r="E888" i="1"/>
  <c r="E887" i="1"/>
  <c r="E886" i="1"/>
  <c r="E885" i="1"/>
  <c r="E884" i="1"/>
  <c r="E883" i="1"/>
  <c r="E882" i="1"/>
  <c r="E881" i="1"/>
  <c r="E880" i="1"/>
  <c r="E879" i="1"/>
  <c r="E878" i="1"/>
  <c r="E877" i="1"/>
  <c r="E876" i="1"/>
  <c r="E875" i="1"/>
  <c r="E874" i="1"/>
  <c r="E873" i="1"/>
  <c r="E872" i="1"/>
  <c r="E871" i="1"/>
  <c r="E870" i="1"/>
  <c r="E869" i="1"/>
  <c r="E868" i="1"/>
  <c r="E867" i="1"/>
  <c r="E866" i="1"/>
  <c r="E865" i="1"/>
  <c r="E864" i="1"/>
  <c r="E863" i="1"/>
  <c r="E862" i="1"/>
  <c r="E861" i="1"/>
  <c r="E860" i="1"/>
  <c r="E859" i="1"/>
  <c r="E858" i="1"/>
  <c r="E857" i="1"/>
  <c r="E856" i="1"/>
  <c r="E855" i="1"/>
  <c r="E854" i="1"/>
  <c r="E853" i="1"/>
  <c r="E852" i="1"/>
  <c r="E851" i="1"/>
  <c r="E850" i="1"/>
  <c r="E849" i="1"/>
  <c r="E848" i="1"/>
  <c r="E847" i="1"/>
  <c r="E846" i="1"/>
  <c r="E845" i="1"/>
  <c r="E844" i="1"/>
  <c r="E843" i="1"/>
  <c r="E842" i="1"/>
  <c r="E841" i="1"/>
  <c r="E840" i="1"/>
  <c r="E839" i="1"/>
  <c r="E838" i="1"/>
  <c r="E837" i="1"/>
  <c r="E836" i="1"/>
  <c r="E835" i="1"/>
  <c r="E834" i="1"/>
  <c r="E833" i="1"/>
  <c r="E832" i="1"/>
  <c r="E831" i="1"/>
  <c r="E830" i="1"/>
  <c r="E829" i="1"/>
  <c r="E828" i="1"/>
  <c r="E827" i="1"/>
  <c r="E826" i="1"/>
  <c r="E825" i="1"/>
  <c r="E824" i="1"/>
  <c r="E823" i="1"/>
  <c r="E822" i="1"/>
  <c r="E821" i="1"/>
  <c r="E820" i="1"/>
  <c r="E819" i="1"/>
  <c r="E818" i="1"/>
  <c r="E817" i="1"/>
  <c r="E816" i="1"/>
  <c r="E815" i="1"/>
  <c r="E814" i="1"/>
  <c r="E813" i="1"/>
  <c r="E812" i="1"/>
  <c r="E811" i="1"/>
  <c r="E810" i="1"/>
  <c r="E809" i="1"/>
  <c r="E808" i="1"/>
  <c r="E807" i="1"/>
  <c r="E806" i="1"/>
  <c r="E805" i="1"/>
  <c r="E804" i="1"/>
  <c r="E803" i="1"/>
  <c r="E802" i="1"/>
  <c r="E801" i="1"/>
  <c r="E800" i="1"/>
  <c r="E799" i="1"/>
  <c r="E798" i="1"/>
  <c r="E797" i="1"/>
  <c r="E796" i="1"/>
  <c r="E795" i="1"/>
  <c r="E794" i="1"/>
  <c r="E793" i="1"/>
  <c r="E792" i="1"/>
  <c r="E791" i="1"/>
  <c r="E790" i="1"/>
  <c r="E789" i="1"/>
  <c r="E788" i="1"/>
  <c r="E787" i="1"/>
  <c r="E786" i="1"/>
  <c r="E785" i="1"/>
  <c r="E784" i="1"/>
  <c r="E783" i="1"/>
  <c r="E782" i="1"/>
  <c r="E781" i="1"/>
  <c r="E780" i="1"/>
  <c r="E779" i="1"/>
  <c r="E778" i="1"/>
  <c r="E777" i="1"/>
  <c r="E776" i="1"/>
  <c r="E775" i="1"/>
  <c r="E774" i="1"/>
  <c r="E773" i="1"/>
  <c r="E772" i="1"/>
  <c r="E771" i="1"/>
  <c r="E770" i="1"/>
  <c r="E769" i="1"/>
  <c r="E768" i="1"/>
  <c r="E767" i="1"/>
  <c r="E766" i="1"/>
  <c r="E765" i="1"/>
  <c r="E764" i="1"/>
  <c r="E763" i="1"/>
  <c r="E762" i="1"/>
  <c r="E761" i="1"/>
  <c r="E760" i="1"/>
  <c r="E759" i="1"/>
  <c r="E758" i="1"/>
  <c r="E757" i="1"/>
  <c r="E756" i="1"/>
  <c r="E755" i="1"/>
  <c r="E754" i="1"/>
  <c r="E753" i="1"/>
  <c r="E752" i="1"/>
  <c r="E751" i="1"/>
  <c r="E750" i="1"/>
  <c r="E749" i="1"/>
  <c r="E748" i="1"/>
  <c r="E747" i="1"/>
  <c r="E746" i="1"/>
  <c r="E745" i="1"/>
  <c r="E744" i="1"/>
  <c r="E743" i="1"/>
  <c r="E742" i="1"/>
  <c r="E741" i="1"/>
  <c r="E740" i="1"/>
  <c r="E739" i="1"/>
  <c r="E738" i="1"/>
  <c r="E737" i="1"/>
  <c r="E736" i="1"/>
  <c r="E735" i="1"/>
  <c r="E734" i="1"/>
  <c r="E733" i="1"/>
  <c r="E732" i="1"/>
  <c r="E731" i="1"/>
  <c r="E730" i="1"/>
  <c r="E729" i="1"/>
  <c r="E728" i="1"/>
  <c r="E727" i="1"/>
  <c r="E726" i="1"/>
  <c r="E725" i="1"/>
  <c r="E724" i="1"/>
  <c r="E723" i="1"/>
  <c r="E722" i="1"/>
  <c r="E721" i="1"/>
  <c r="E720" i="1"/>
  <c r="E719" i="1"/>
  <c r="E718" i="1"/>
  <c r="E717" i="1"/>
  <c r="E716" i="1"/>
  <c r="E715" i="1"/>
  <c r="E714" i="1"/>
  <c r="E713" i="1"/>
  <c r="E712" i="1"/>
  <c r="E711" i="1"/>
  <c r="E710" i="1"/>
  <c r="E709" i="1"/>
  <c r="E708" i="1"/>
  <c r="E707" i="1"/>
  <c r="E706" i="1"/>
  <c r="E705" i="1"/>
  <c r="E704" i="1"/>
  <c r="E703" i="1"/>
  <c r="E702" i="1"/>
  <c r="E701" i="1"/>
  <c r="E700" i="1"/>
  <c r="E699" i="1"/>
  <c r="E698" i="1"/>
  <c r="E697" i="1"/>
  <c r="E696" i="1"/>
  <c r="E695" i="1"/>
  <c r="E694" i="1"/>
  <c r="E693" i="1"/>
  <c r="E692" i="1"/>
  <c r="E691" i="1"/>
  <c r="E690" i="1"/>
  <c r="E689" i="1"/>
  <c r="E688" i="1"/>
  <c r="E687" i="1"/>
  <c r="E686" i="1"/>
  <c r="E685" i="1"/>
  <c r="E684" i="1"/>
  <c r="E683" i="1"/>
  <c r="E682" i="1"/>
  <c r="E681" i="1"/>
  <c r="E680" i="1"/>
  <c r="E679" i="1"/>
  <c r="E678" i="1"/>
  <c r="E677" i="1"/>
  <c r="E676" i="1"/>
  <c r="E675" i="1"/>
  <c r="E674" i="1"/>
  <c r="E673" i="1"/>
  <c r="E672" i="1"/>
  <c r="E671" i="1"/>
  <c r="E670" i="1"/>
  <c r="E669" i="1"/>
  <c r="E668" i="1"/>
  <c r="E667" i="1"/>
  <c r="E666" i="1"/>
  <c r="E665" i="1"/>
  <c r="E664" i="1"/>
  <c r="E663" i="1"/>
  <c r="E662" i="1"/>
  <c r="E661" i="1"/>
  <c r="E660" i="1"/>
  <c r="E659" i="1"/>
  <c r="E658" i="1"/>
  <c r="E657" i="1"/>
  <c r="E656" i="1"/>
  <c r="E655" i="1"/>
  <c r="E654" i="1"/>
  <c r="E653" i="1"/>
  <c r="E652" i="1"/>
  <c r="E651" i="1"/>
  <c r="E650" i="1"/>
  <c r="E649" i="1"/>
  <c r="E648" i="1"/>
  <c r="E647" i="1"/>
  <c r="E646" i="1"/>
  <c r="E645" i="1"/>
  <c r="E644" i="1"/>
  <c r="E643" i="1"/>
  <c r="E642" i="1"/>
  <c r="E641" i="1"/>
  <c r="E640" i="1"/>
  <c r="E639" i="1"/>
  <c r="E638" i="1"/>
  <c r="E637" i="1"/>
  <c r="E636" i="1"/>
  <c r="E635" i="1"/>
  <c r="E634" i="1"/>
  <c r="E633" i="1"/>
  <c r="E632" i="1"/>
  <c r="E631" i="1"/>
  <c r="E630" i="1"/>
  <c r="E629" i="1"/>
  <c r="E628" i="1"/>
  <c r="E627" i="1"/>
  <c r="E626" i="1"/>
  <c r="E625" i="1"/>
  <c r="E624" i="1"/>
  <c r="E623" i="1"/>
  <c r="E622" i="1"/>
  <c r="E621" i="1"/>
  <c r="E620" i="1"/>
  <c r="E619" i="1"/>
  <c r="E618" i="1"/>
  <c r="E617" i="1"/>
  <c r="E616" i="1"/>
  <c r="E615" i="1"/>
  <c r="E614" i="1"/>
  <c r="E613" i="1"/>
  <c r="E612" i="1"/>
  <c r="E611" i="1"/>
  <c r="E610" i="1"/>
  <c r="E609" i="1"/>
  <c r="E608" i="1"/>
  <c r="E607" i="1"/>
  <c r="E606" i="1"/>
  <c r="E605" i="1"/>
  <c r="E604" i="1"/>
  <c r="E603" i="1"/>
  <c r="E602" i="1"/>
  <c r="E601" i="1"/>
  <c r="E600" i="1"/>
  <c r="E599" i="1"/>
  <c r="E598" i="1"/>
  <c r="E597" i="1"/>
  <c r="E596" i="1"/>
  <c r="E595" i="1"/>
  <c r="E594" i="1"/>
  <c r="E593" i="1"/>
  <c r="E592" i="1"/>
  <c r="E591" i="1"/>
  <c r="E590" i="1"/>
  <c r="E589" i="1"/>
  <c r="E588" i="1"/>
  <c r="E587" i="1"/>
  <c r="E586" i="1"/>
  <c r="E585" i="1"/>
  <c r="E584" i="1"/>
  <c r="E583" i="1"/>
  <c r="E582" i="1"/>
  <c r="E581" i="1"/>
  <c r="E580" i="1"/>
  <c r="E579" i="1"/>
  <c r="E578" i="1"/>
  <c r="E577" i="1"/>
  <c r="E576" i="1"/>
  <c r="E575" i="1"/>
  <c r="E574" i="1"/>
  <c r="E573" i="1"/>
  <c r="E572" i="1"/>
  <c r="E571" i="1"/>
  <c r="E570" i="1"/>
  <c r="E569" i="1"/>
  <c r="E568" i="1"/>
  <c r="E567" i="1"/>
  <c r="E566" i="1"/>
  <c r="E565" i="1"/>
  <c r="E564" i="1"/>
  <c r="E563" i="1"/>
  <c r="E562" i="1"/>
  <c r="E561" i="1"/>
  <c r="E560" i="1"/>
  <c r="E559" i="1"/>
  <c r="E558" i="1"/>
  <c r="E557" i="1"/>
  <c r="E556" i="1"/>
  <c r="E555" i="1"/>
  <c r="E554" i="1"/>
  <c r="E553" i="1"/>
  <c r="E552" i="1"/>
  <c r="E551" i="1"/>
  <c r="E550" i="1"/>
  <c r="E549" i="1"/>
  <c r="E548" i="1"/>
  <c r="E547" i="1"/>
  <c r="E546" i="1"/>
  <c r="E545" i="1"/>
  <c r="E544" i="1"/>
  <c r="E543" i="1"/>
  <c r="E542" i="1"/>
  <c r="E541" i="1"/>
  <c r="E540" i="1"/>
  <c r="E539" i="1"/>
  <c r="E538" i="1"/>
  <c r="E537" i="1"/>
  <c r="E536" i="1"/>
  <c r="E535" i="1"/>
  <c r="E534" i="1"/>
  <c r="E533" i="1"/>
  <c r="E532" i="1"/>
  <c r="E531" i="1"/>
  <c r="E530" i="1"/>
  <c r="E529" i="1"/>
  <c r="E528" i="1"/>
  <c r="E527" i="1"/>
  <c r="E526" i="1"/>
  <c r="E525" i="1"/>
  <c r="E524" i="1"/>
  <c r="E523" i="1"/>
  <c r="E522" i="1"/>
  <c r="E521" i="1"/>
  <c r="E520" i="1"/>
  <c r="E519" i="1"/>
  <c r="E518" i="1"/>
  <c r="E517" i="1"/>
  <c r="E516" i="1"/>
  <c r="E515" i="1"/>
  <c r="E514" i="1"/>
  <c r="E513" i="1"/>
  <c r="E512" i="1"/>
  <c r="E511" i="1"/>
  <c r="E510" i="1"/>
  <c r="E509" i="1"/>
  <c r="E508" i="1"/>
  <c r="E507" i="1"/>
  <c r="E506" i="1"/>
  <c r="E505" i="1"/>
  <c r="E504" i="1"/>
  <c r="E503" i="1"/>
  <c r="E502" i="1"/>
  <c r="E501" i="1"/>
  <c r="E500" i="1"/>
  <c r="E499" i="1"/>
  <c r="E498" i="1"/>
  <c r="E497" i="1"/>
  <c r="E496" i="1"/>
  <c r="E495" i="1"/>
  <c r="E494" i="1"/>
  <c r="E493" i="1"/>
  <c r="E492" i="1"/>
  <c r="E491" i="1"/>
  <c r="E490" i="1"/>
  <c r="E489" i="1"/>
  <c r="E488" i="1"/>
  <c r="E487" i="1"/>
  <c r="E486" i="1"/>
  <c r="E485" i="1"/>
  <c r="E484" i="1"/>
  <c r="E483" i="1"/>
  <c r="E482" i="1"/>
  <c r="E481" i="1"/>
  <c r="E480" i="1"/>
  <c r="E479" i="1"/>
  <c r="E478" i="1"/>
  <c r="E477" i="1"/>
  <c r="E476" i="1"/>
  <c r="E475" i="1"/>
  <c r="E474" i="1"/>
  <c r="E473" i="1"/>
  <c r="E472" i="1"/>
  <c r="E471" i="1"/>
  <c r="E470" i="1"/>
  <c r="E469" i="1"/>
  <c r="E468" i="1"/>
  <c r="E467" i="1"/>
  <c r="E466" i="1"/>
  <c r="E465" i="1"/>
  <c r="E464" i="1"/>
  <c r="E463" i="1"/>
  <c r="E462" i="1"/>
  <c r="E461" i="1"/>
  <c r="E460" i="1"/>
  <c r="E459" i="1"/>
  <c r="E458" i="1"/>
  <c r="E457" i="1"/>
  <c r="E456" i="1"/>
  <c r="E455" i="1"/>
  <c r="E454" i="1"/>
  <c r="E453" i="1"/>
  <c r="E452" i="1"/>
  <c r="E451" i="1"/>
  <c r="E450" i="1"/>
  <c r="E449" i="1"/>
  <c r="E448" i="1"/>
  <c r="E447" i="1"/>
  <c r="E446" i="1"/>
  <c r="E445" i="1"/>
  <c r="E444" i="1"/>
  <c r="E443" i="1"/>
  <c r="E442" i="1"/>
  <c r="E441" i="1"/>
  <c r="E440" i="1"/>
  <c r="E439" i="1"/>
  <c r="E438" i="1"/>
  <c r="E437" i="1"/>
  <c r="E436" i="1"/>
  <c r="E435" i="1"/>
  <c r="E434" i="1"/>
  <c r="E433" i="1"/>
  <c r="E432" i="1"/>
  <c r="E431" i="1"/>
  <c r="E430" i="1"/>
  <c r="E429" i="1"/>
  <c r="E428" i="1"/>
  <c r="E427" i="1"/>
  <c r="E426" i="1"/>
  <c r="E425" i="1"/>
  <c r="E424" i="1"/>
  <c r="E423" i="1"/>
  <c r="E422" i="1"/>
  <c r="E421" i="1"/>
  <c r="E420" i="1"/>
  <c r="E419" i="1"/>
  <c r="E418" i="1"/>
  <c r="E417" i="1"/>
  <c r="E416" i="1"/>
  <c r="E415" i="1"/>
  <c r="E414" i="1"/>
  <c r="E413" i="1"/>
  <c r="E412" i="1"/>
  <c r="E411" i="1"/>
  <c r="E410" i="1"/>
  <c r="E409" i="1"/>
  <c r="E408" i="1"/>
  <c r="E407" i="1"/>
  <c r="E406" i="1"/>
  <c r="E405" i="1"/>
  <c r="E404" i="1"/>
  <c r="E403" i="1"/>
  <c r="E402" i="1"/>
  <c r="E401" i="1"/>
  <c r="E400" i="1"/>
  <c r="E399" i="1"/>
  <c r="E398" i="1"/>
  <c r="E397" i="1"/>
  <c r="E396" i="1"/>
  <c r="E395" i="1"/>
  <c r="E394" i="1"/>
  <c r="E393" i="1"/>
  <c r="E392" i="1"/>
  <c r="E391" i="1"/>
  <c r="E390" i="1"/>
  <c r="E389" i="1"/>
  <c r="E388" i="1"/>
  <c r="E387" i="1"/>
  <c r="E386" i="1"/>
  <c r="E385" i="1"/>
  <c r="E384" i="1"/>
  <c r="E383" i="1"/>
  <c r="E382" i="1"/>
  <c r="E381" i="1"/>
  <c r="E380" i="1"/>
  <c r="E379" i="1"/>
  <c r="E378" i="1"/>
  <c r="E377" i="1"/>
  <c r="E376" i="1"/>
  <c r="E375" i="1"/>
  <c r="E374" i="1"/>
  <c r="E373" i="1"/>
  <c r="E372" i="1"/>
  <c r="E371" i="1"/>
  <c r="E370" i="1"/>
  <c r="E369" i="1"/>
  <c r="E368" i="1"/>
  <c r="E367" i="1"/>
  <c r="E366" i="1"/>
  <c r="E365" i="1"/>
  <c r="E364" i="1"/>
  <c r="E363" i="1"/>
  <c r="E362" i="1"/>
  <c r="E361" i="1"/>
  <c r="E360" i="1"/>
  <c r="E359" i="1"/>
  <c r="E358" i="1"/>
  <c r="E357" i="1"/>
  <c r="E356" i="1"/>
  <c r="E355" i="1"/>
  <c r="E354" i="1"/>
  <c r="E353" i="1"/>
  <c r="E352" i="1"/>
  <c r="E351" i="1"/>
  <c r="E350" i="1"/>
  <c r="E349" i="1"/>
  <c r="E348" i="1"/>
  <c r="E347" i="1"/>
  <c r="E346" i="1"/>
  <c r="E345" i="1"/>
  <c r="E344" i="1"/>
  <c r="E343" i="1"/>
  <c r="E342" i="1"/>
  <c r="E341" i="1"/>
  <c r="E340" i="1"/>
  <c r="E339" i="1"/>
  <c r="E338" i="1"/>
  <c r="E337" i="1"/>
  <c r="E336" i="1"/>
  <c r="E335" i="1"/>
  <c r="E334" i="1"/>
  <c r="E333" i="1"/>
  <c r="E332" i="1"/>
  <c r="E331" i="1"/>
  <c r="E330" i="1"/>
  <c r="E329" i="1"/>
  <c r="E328" i="1"/>
  <c r="E327" i="1"/>
  <c r="E326" i="1"/>
  <c r="E325" i="1"/>
  <c r="E324" i="1"/>
  <c r="E323" i="1"/>
  <c r="E322" i="1"/>
  <c r="E321" i="1"/>
  <c r="E320" i="1"/>
  <c r="E319" i="1"/>
  <c r="E318" i="1"/>
  <c r="E317" i="1"/>
  <c r="E316" i="1"/>
  <c r="E315" i="1"/>
  <c r="E314" i="1"/>
  <c r="E313" i="1"/>
  <c r="E312" i="1"/>
  <c r="E311" i="1"/>
  <c r="E310" i="1"/>
  <c r="E309" i="1"/>
  <c r="E308" i="1"/>
  <c r="E307" i="1"/>
  <c r="E306" i="1"/>
  <c r="E305" i="1"/>
  <c r="E304" i="1"/>
  <c r="E303" i="1"/>
  <c r="E302" i="1"/>
  <c r="E301" i="1"/>
  <c r="E300" i="1"/>
  <c r="E299" i="1"/>
  <c r="E298" i="1"/>
  <c r="E297" i="1"/>
  <c r="E296" i="1"/>
  <c r="E295" i="1"/>
  <c r="E294" i="1"/>
  <c r="E293" i="1"/>
  <c r="E292" i="1"/>
  <c r="E291" i="1"/>
  <c r="E290" i="1"/>
  <c r="E289" i="1"/>
  <c r="E288" i="1"/>
  <c r="E287" i="1"/>
  <c r="E286" i="1"/>
  <c r="E285" i="1"/>
  <c r="E284" i="1"/>
  <c r="E283" i="1"/>
  <c r="E282" i="1"/>
  <c r="E281" i="1"/>
  <c r="E280" i="1"/>
  <c r="E279" i="1"/>
  <c r="E278" i="1"/>
  <c r="E277" i="1"/>
  <c r="E276" i="1"/>
  <c r="E275" i="1"/>
  <c r="E274" i="1"/>
  <c r="E273" i="1"/>
  <c r="E272" i="1"/>
  <c r="E271" i="1"/>
  <c r="E270" i="1"/>
  <c r="E269" i="1"/>
  <c r="E268" i="1"/>
  <c r="E267" i="1"/>
  <c r="E266" i="1"/>
  <c r="E265" i="1"/>
  <c r="E264" i="1"/>
  <c r="E263" i="1"/>
  <c r="E262" i="1"/>
  <c r="E261" i="1"/>
  <c r="E260" i="1"/>
  <c r="E259" i="1"/>
  <c r="E258" i="1"/>
  <c r="E257" i="1"/>
  <c r="E256" i="1"/>
  <c r="E255" i="1"/>
  <c r="E254" i="1"/>
  <c r="E253" i="1"/>
  <c r="E252" i="1"/>
  <c r="E251" i="1"/>
  <c r="E250" i="1"/>
  <c r="E249" i="1"/>
  <c r="E248"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202" i="1"/>
  <c r="E201" i="1"/>
  <c r="E200" i="1"/>
  <c r="E199" i="1"/>
  <c r="E198" i="1"/>
  <c r="E197" i="1"/>
  <c r="E196" i="1"/>
  <c r="E195" i="1"/>
  <c r="E194" i="1"/>
  <c r="E193" i="1"/>
  <c r="E192" i="1"/>
  <c r="E191" i="1"/>
  <c r="E190" i="1"/>
  <c r="E189" i="1"/>
  <c r="E188" i="1"/>
  <c r="E187" i="1"/>
  <c r="E186" i="1"/>
  <c r="E185" i="1"/>
  <c r="E184" i="1"/>
  <c r="E183" i="1"/>
  <c r="E182" i="1"/>
  <c r="E181" i="1"/>
  <c r="E180" i="1"/>
  <c r="E179" i="1"/>
  <c r="E178" i="1"/>
  <c r="E177" i="1"/>
  <c r="E176" i="1"/>
  <c r="E175" i="1"/>
  <c r="E174" i="1"/>
  <c r="E173" i="1"/>
  <c r="E172" i="1"/>
  <c r="E171" i="1"/>
  <c r="E170" i="1"/>
  <c r="E169" i="1"/>
  <c r="E168" i="1"/>
  <c r="E167" i="1"/>
  <c r="E166" i="1"/>
  <c r="E165" i="1"/>
  <c r="E164" i="1"/>
  <c r="E163" i="1"/>
  <c r="E162" i="1"/>
  <c r="E161" i="1"/>
  <c r="E160" i="1"/>
  <c r="E159" i="1"/>
  <c r="E158" i="1"/>
  <c r="E157" i="1"/>
  <c r="E156" i="1"/>
  <c r="E155" i="1"/>
  <c r="E154" i="1"/>
  <c r="E153" i="1"/>
  <c r="E152" i="1"/>
  <c r="E151" i="1"/>
  <c r="E150" i="1"/>
  <c r="E149" i="1"/>
  <c r="E148" i="1"/>
  <c r="E147" i="1"/>
  <c r="E146" i="1"/>
  <c r="E145" i="1"/>
  <c r="E144" i="1"/>
  <c r="E143" i="1"/>
  <c r="E142" i="1"/>
  <c r="E141" i="1"/>
  <c r="E140" i="1"/>
  <c r="E139" i="1"/>
  <c r="E138" i="1"/>
  <c r="E137" i="1"/>
  <c r="E136" i="1"/>
  <c r="E135" i="1"/>
  <c r="E134" i="1"/>
  <c r="E133" i="1"/>
  <c r="E132" i="1"/>
  <c r="E131" i="1"/>
  <c r="E130" i="1"/>
  <c r="E129" i="1"/>
  <c r="E128" i="1"/>
  <c r="E127" i="1"/>
  <c r="E126" i="1"/>
  <c r="E125" i="1"/>
  <c r="E124" i="1"/>
  <c r="E123" i="1"/>
  <c r="E122" i="1"/>
  <c r="E121" i="1"/>
  <c r="E120" i="1"/>
  <c r="E119" i="1"/>
  <c r="E118" i="1"/>
  <c r="E117" i="1"/>
  <c r="E116" i="1"/>
  <c r="E115" i="1"/>
  <c r="E114" i="1"/>
  <c r="E113" i="1"/>
  <c r="E112" i="1"/>
  <c r="E111" i="1"/>
  <c r="E110" i="1"/>
  <c r="E109" i="1"/>
  <c r="E108" i="1"/>
  <c r="E107" i="1"/>
  <c r="E106" i="1"/>
  <c r="E105" i="1"/>
  <c r="E104" i="1"/>
  <c r="E103" i="1"/>
  <c r="E102" i="1"/>
  <c r="E101" i="1"/>
  <c r="E100" i="1"/>
  <c r="E99" i="1"/>
  <c r="E98" i="1"/>
  <c r="E97" i="1"/>
  <c r="E96" i="1"/>
  <c r="E95" i="1"/>
  <c r="E94" i="1"/>
  <c r="E93" i="1"/>
  <c r="E92" i="1"/>
  <c r="E91" i="1"/>
  <c r="E90" i="1"/>
  <c r="E89" i="1"/>
  <c r="E88" i="1"/>
  <c r="E87" i="1"/>
  <c r="E86" i="1"/>
  <c r="E85" i="1"/>
  <c r="E84" i="1"/>
  <c r="E83" i="1"/>
  <c r="E82" i="1"/>
  <c r="E81" i="1"/>
  <c r="E80" i="1"/>
  <c r="E79" i="1"/>
  <c r="E78" i="1"/>
  <c r="E77" i="1"/>
  <c r="E76" i="1"/>
  <c r="E75" i="1"/>
  <c r="E74" i="1"/>
  <c r="E73" i="1"/>
  <c r="E72" i="1"/>
  <c r="E71" i="1"/>
  <c r="E70" i="1"/>
  <c r="E69" i="1"/>
  <c r="E68" i="1"/>
  <c r="E67" i="1"/>
  <c r="E66" i="1"/>
  <c r="E65" i="1"/>
  <c r="E64" i="1"/>
  <c r="E63" i="1"/>
  <c r="E62" i="1"/>
  <c r="E61" i="1"/>
  <c r="E60" i="1"/>
  <c r="E59" i="1"/>
  <c r="E58" i="1"/>
  <c r="E57" i="1"/>
  <c r="E56" i="1"/>
  <c r="E55" i="1"/>
  <c r="E54" i="1"/>
  <c r="E53" i="1"/>
  <c r="E52" i="1"/>
  <c r="E51" i="1"/>
  <c r="E50" i="1"/>
  <c r="E49" i="1"/>
  <c r="E48" i="1"/>
  <c r="E47" i="1"/>
  <c r="E46" i="1"/>
  <c r="E45" i="1"/>
  <c r="E44" i="1"/>
  <c r="E43" i="1"/>
  <c r="E42" i="1"/>
  <c r="E41" i="1"/>
  <c r="E40" i="1"/>
  <c r="E39" i="1"/>
  <c r="E38" i="1"/>
  <c r="E37" i="1"/>
  <c r="E36" i="1"/>
  <c r="E35" i="1"/>
  <c r="E34" i="1"/>
  <c r="E33" i="1"/>
  <c r="E32" i="1"/>
  <c r="E31" i="1"/>
  <c r="E30" i="1"/>
  <c r="E29" i="1"/>
  <c r="E28" i="1"/>
  <c r="E27" i="1"/>
  <c r="E26" i="1"/>
  <c r="E25" i="1"/>
  <c r="E24" i="1"/>
  <c r="E23" i="1"/>
  <c r="E22" i="1"/>
  <c r="E21" i="1"/>
  <c r="E20" i="1"/>
  <c r="E19" i="1"/>
  <c r="E18" i="1"/>
  <c r="E17" i="1"/>
  <c r="E16" i="1"/>
  <c r="E15" i="1"/>
  <c r="E14" i="1"/>
  <c r="E13" i="1"/>
  <c r="E12" i="1"/>
  <c r="E11" i="1"/>
  <c r="E10" i="1"/>
  <c r="E9" i="1"/>
  <c r="E8" i="1"/>
  <c r="E7" i="1"/>
  <c r="E6" i="1"/>
  <c r="E5" i="1"/>
  <c r="E4" i="1"/>
  <c r="G10" i="2" l="1"/>
  <c r="F10" i="2"/>
</calcChain>
</file>

<file path=xl/sharedStrings.xml><?xml version="1.0" encoding="utf-8"?>
<sst xmlns="http://schemas.openxmlformats.org/spreadsheetml/2006/main" count="65834" uniqueCount="5011">
  <si>
    <t>Бренд</t>
  </si>
  <si>
    <t>Наименование</t>
  </si>
  <si>
    <t>Артикул</t>
  </si>
  <si>
    <t>Фото</t>
  </si>
  <si>
    <t>Больше фотографий</t>
  </si>
  <si>
    <t>Внимание</t>
  </si>
  <si>
    <t>Рос.описание</t>
  </si>
  <si>
    <t>Категория</t>
  </si>
  <si>
    <t>Подкатегория</t>
  </si>
  <si>
    <t>Предназначение</t>
  </si>
  <si>
    <t>Пол</t>
  </si>
  <si>
    <t>Описание</t>
  </si>
  <si>
    <t>Технологии</t>
  </si>
  <si>
    <t>Цвет</t>
  </si>
  <si>
    <t>Сезон</t>
  </si>
  <si>
    <t>Состав</t>
  </si>
  <si>
    <t>RRP</t>
  </si>
  <si>
    <t>Скидка %</t>
  </si>
  <si>
    <t>Шкала</t>
  </si>
  <si>
    <t>Р-р</t>
  </si>
  <si>
    <t>Рос. размер</t>
  </si>
  <si>
    <t>Нали-
чие</t>
  </si>
  <si>
    <t>Заказ</t>
  </si>
  <si>
    <t>Mothercare</t>
  </si>
  <si>
    <t>Pants (3 pcs)</t>
  </si>
  <si>
    <t>MC-BC718</t>
  </si>
  <si>
    <t>Леггинсы (3 шт)</t>
  </si>
  <si>
    <t>Одежда</t>
  </si>
  <si>
    <t>Брюки</t>
  </si>
  <si>
    <t>Спортивный стиль</t>
  </si>
  <si>
    <t>Дети</t>
  </si>
  <si>
    <t>Экономичная упаковка из трёх укороченных детских легинсов — это превосходное решение для разнообразия и придания стильности детскому гардеробу. Каждая пара легинсов выполнена в разных цветах, что позволяет легко комбинировать их с различными нарядами, создавая уникальные и яркие образы для любого случая. Эластичный пояс обеспечивает надежную посадку, даря ощущение комфорта и удобства в течение всего дня. Особый акцент сделан на одной из пар, которая украшена шикарным полосатым узором, добавляющим яркости и игривости в детский облик. Эти легинсы идеально подходят как для активных игр, так и для повседневной носки благодаря своей эластичности и способности свободно тянуться, не сковывая движений. Такой набор станет практичным и стильным дополнением в гардероб маленькой модницы, даря уверенность и комфорт в любых ситуациях.</t>
  </si>
  <si>
    <t>разноцветный</t>
  </si>
  <si>
    <t>95% Хлопок, 5% Эластан</t>
  </si>
  <si>
    <t>СМ</t>
  </si>
  <si>
    <t>116</t>
  </si>
  <si>
    <t>122</t>
  </si>
  <si>
    <t>128</t>
  </si>
  <si>
    <t>Pants</t>
  </si>
  <si>
    <t>MC-CA871</t>
  </si>
  <si>
    <t>Спортивные брюки для мальчика, выполненные из мягкого трикотажного полотна, предлагают стильный и функциональный образ. Узор с имитацией "елочки" придает брюкам особый шарм и оригинальность. Пояс со шнуровкой позволяет легко регулировать посадку, обеспечивая комфорт при движении. Эластичные манжеты надежно фиксируют брюки, предотвращая их съезжание и создавая завершенный вид. Эти брюки идеально подходят для активных игр и повседневной носки, сочетая практичность и модный дизайн, который наверняка понравится как мальчикам, так и их родителям.</t>
  </si>
  <si>
    <t>серый</t>
  </si>
  <si>
    <t>98% Хлопок, 2% Вискоза</t>
  </si>
  <si>
    <t>110</t>
  </si>
  <si>
    <t>Peak</t>
  </si>
  <si>
    <t>KNITTED PANTS</t>
  </si>
  <si>
    <t>FW3231008-BLK</t>
  </si>
  <si>
    <t>Женщины</t>
  </si>
  <si>
    <t>Peak KNITTED PANTS - это удобные и стильные спортивные штаны для женщин. Они выполнены из мягкого и приятного на ощупь материала, который обеспечивает комфорт и свободу движений. Штаны имеют свободный крой, эластичный пояс на шнурке и манжеты на щиколотках. Два боковых кармана обеспечивают дополнительную удобство для хранения мелочей. Яркий контрастный цвет и логотип бренда на левой штанине придают штанам эффектный вид. Peak KNITTED PANTS идеально подходят для занятий спортом, работы в спортивном клубе или просто для повседневной носки. Комфорт, свободу движений и стильный дизайн делают эти штаны незаменимой частью гардероба для активных женщин. Они могут быть сочетаны с множеством топов и худи, чтобы создать современный и стильный образ.</t>
  </si>
  <si>
    <t>черный</t>
  </si>
  <si>
    <t>74% хлопок, 26% полиэстер</t>
  </si>
  <si>
    <t>INT</t>
  </si>
  <si>
    <t>XL</t>
  </si>
  <si>
    <t>48-50</t>
  </si>
  <si>
    <t>FW3231291-BLK</t>
  </si>
  <si>
    <t>Мужчины</t>
  </si>
  <si>
    <t>Peak Knitted Pants - это стильный и удобный выбор для мужчин, которые хотят подчеркнуть свой индивидуальный стиль. Сделанные из мягкой и комфортной ткани, эти брюки идеально подходят для повседневной носки в различных условиях и погодных условиях. Логотип в виде надписи «Peak» на левой штанине придает им стильный и эффектный вид, добавляя оригинальность вашему образу. Благодаря эластичному поясу с шнурком, можно выбрать комфортную идеальную посадку на талии. Карманы на молнии обеспечивают удобное место для хранения необходимых вещей. Peak Knitted Pants - это отличный выбор для тех, кто желает комфорта и элегантности в одежде на каждый день. Это универсальные брюки, которые можно сочетать с различными верхами и обувью, чтобы создавать новые модные образы.</t>
  </si>
  <si>
    <t>92% хлопок, 8% полиэстер</t>
  </si>
  <si>
    <t>L</t>
  </si>
  <si>
    <t>50-52</t>
  </si>
  <si>
    <t>52-54</t>
  </si>
  <si>
    <t>FW3231172-BLK</t>
  </si>
  <si>
    <t>Женские брюки Peak Knitted Pants с лампасами - это отличный выбор для тех, кто хочет сочетать стиль и комфорт. Изготовленные из мягкой и теплой ткани, они обеспечивают максимальный комфорт в любую погоду. Лампасы вдоль боковых швов добавляют спортивный акцент к образу. Благодаря своей простоте и универсальности, женские брюки Peak Knitted Pants с лампасами с легкостью сочетаются с другой одеждой, делая ваш образ восхитительным. Брюки также имеют эластичный пояс со шнурком, что обеспечивает идеальную посадку.</t>
  </si>
  <si>
    <t>53% хлопок, 47% полиэстер</t>
  </si>
  <si>
    <t>S</t>
  </si>
  <si>
    <t>42-44</t>
  </si>
  <si>
    <t>M</t>
  </si>
  <si>
    <t>44-46</t>
  </si>
  <si>
    <t>46-48</t>
  </si>
  <si>
    <t>FW3231162-PUCB</t>
  </si>
  <si>
    <t>синий</t>
  </si>
  <si>
    <t>92% полиэстер, 8% спандекс</t>
  </si>
  <si>
    <t>MC-CA852</t>
  </si>
  <si>
    <t>N/A.</t>
  </si>
  <si>
    <t>100% хлопок</t>
  </si>
  <si>
    <t>MC-CC873</t>
  </si>
  <si>
    <t>100% Хлопок</t>
  </si>
  <si>
    <t>92</t>
  </si>
  <si>
    <t>98</t>
  </si>
  <si>
    <t>WARRIOR</t>
  </si>
  <si>
    <t>Alpha Sportwear Sweat Pant YTH</t>
  </si>
  <si>
    <t>JP738110-NV</t>
  </si>
  <si>
    <t>Спортивные брюки от фирмы Warriors, отлично подходят как для тренировок, так и для повседневной носки. Пояс со шнурком позволит вам регулировать размер. Сами по себе брюки очень легкие, поэтому создают для вас комфортную носку, плюс ко всему за счет своих материалов они приятны на ощупь.</t>
  </si>
  <si>
    <t>хлопок 60%; полиэстер 40%</t>
  </si>
  <si>
    <t>US</t>
  </si>
  <si>
    <t>XSB</t>
  </si>
  <si>
    <t>102-113</t>
  </si>
  <si>
    <t>MC-BB152</t>
  </si>
  <si>
    <t>Представляем стильные спортивные брюки для девочки в элегантном белом цвете, выполненные из органического хлопка, что обеспечивает комфорт и заботу об окружающей среде. Эти брюки украшены модным узором "Леопард", добавляющим яркости и выразительности образу. Петельчатая изнанка делает их невероятно мягкими и приятными к телу. Пояс и манжеты на резинке обеспечивают удобную посадку, а завязки на поясе с защитой от вытягивания гарантируют надежность. Функциональные карманы позволят носить с собой все необходимое. Брюки изготовлены из мягкого эластичного материала, который сохраняет форму и яркость после стирки. Идеальный выбор для активных прогулок и занятий спортом.</t>
  </si>
  <si>
    <t>белый</t>
  </si>
  <si>
    <t>100% Хлопок;</t>
  </si>
  <si>
    <t>134</t>
  </si>
  <si>
    <t>MC-BC364</t>
  </si>
  <si>
    <t>Спортивные брюки для мальчика с петельчатой изнанкой станут идеальным выбором для активных дней. Они выполнены из мягкого эластичного материала, который отлично сохраняет форму даже после многократных стирок. Брюки украшены стильным узором "Камуфляж", который добавляет модный акцент. Пояс и манжеты на резинке обеспечивают комфортную посадку, а завязки на поясе предотвращают вытягивание и гарантируют надежность. Функциональные карманы позволяют носить с собой необходимые мелочи. Эти брюки подойдут как для спорта, так и для повседневного ношения, обеспечивая постоянное удобство и свободу движений.</t>
  </si>
  <si>
    <t>104</t>
  </si>
  <si>
    <t>Leggings</t>
  </si>
  <si>
    <t>MC-VD992</t>
  </si>
  <si>
    <t>Леггинсы</t>
  </si>
  <si>
    <t>Откройте мир стиля и комфорта с джинсами от Mothercare — идеальным выбором для активных и модных малышей! Эти джинсы, сочетающие в себе непревзойденное качество и современный дизайн, станут незаменимым элементом гардероба вашего ребенка, готового к любым приключениям.
Созданные из высококачественного и мягкого денима, джинсы обеспечивают максимальное удобство и свободу движений. Их прочный материал выдерживает все детские шалости и внешние воздействия, гарантируя долговечность и надежность. 
Джинсы от Mothercare представлены в различных стилях и оттенках, подходящих для любой ситуации — будь то семейный выход, прогулка с друзьями или день в школе. Мы тщательно продумываем каждый элемент: от стильных карманов до аккуратных швов, чтобы подарить вашему малышу не только комфорт, но и уверенность в своем стиле.
Эти джинсы легко сочетаются с любимыми футболками, свитшотами и рубашками вашего ребенка, создавая безупречные образы на каждый день. Они не требуют сложного ухода и сохраняют свою форму и цвет даже после многочисленных стирок, делая их практичным и удобным выбором для всех родителей.</t>
  </si>
  <si>
    <t>71% Хлопок, 27% Полиэстер, 2% Эластан</t>
  </si>
  <si>
    <t>Pants (2 pcs)</t>
  </si>
  <si>
    <t>MC-ZA020-1</t>
  </si>
  <si>
    <t>Брюки (2 шт)</t>
  </si>
  <si>
    <t>Экономичная упаковка из двух детских легинсов предлагает практичное решение для маленьких модников. Легинсы оснащены эластичным поясом, обеспечивающим комфортную посадку, а закрытый носок добавляет теплоту и уют. Размеры 50-56 см продуманы до мелочей: швы расположены снаружи, чтобы не раздражать нежную кожу малыша. Эти легинсы идеально подходят для повседневного ношения, обеспечивая свободу движений и лёгкость в уходе. Универсальная модель легко сочетается с различными элементами гардероба, оставаясь стильной и комфортной.</t>
  </si>
  <si>
    <t>50</t>
  </si>
  <si>
    <t>62</t>
  </si>
  <si>
    <t>80</t>
  </si>
  <si>
    <t>MC-ZB453</t>
  </si>
  <si>
    <t>100% полиэстер</t>
  </si>
  <si>
    <t>HAT</t>
  </si>
  <si>
    <t>M7231010-RED</t>
  </si>
  <si>
    <t>Панама</t>
  </si>
  <si>
    <t>Аксессуары</t>
  </si>
  <si>
    <t>Головные уборы</t>
  </si>
  <si>
    <t>Унисекс</t>
  </si>
  <si>
    <t>Peak Hat - это стильная и универсальность панама, которая защитит вас от солнца и придаст вам неповторимый образ. Эта панама отличается высоким качеством материалов и внимательной проработкой деталей, чтобы вы могли наслаждаться максимальным комфортом и защитой во время активных отдыха и на пляже. Сделанная из прочного и легкого материала, Peak Hat обеспечивает хорошую вентиляцию, предотвращает перегрев и позволяет вашей голове оставаться прохладной даже в самые жаркие дни. Изящное и элегантное исполнение делает эту панаму подходящей для любого образа и события. Вместе с панамой Peak Hat вы сможете наслаждаться отдыхом на пляже, гулять по городу или заниматься спортом, зная, что ваша голова защищена от вредных солнечных лучей. Панама также легко складывается и помещается в сумку или рюкзак, что делает ее удобной и практичной в использовании. Независимо от того, какой сезон или место вы выбираете для отдыха, Peak Hat будет незаменимым аксессуаром, добавляющим стиль и защиту в вашем образе. Выражайте свою индивидуальность и наслаждайтесь комфортом с Peak Hat - панамой, которая будет с вами во всех приключениях.</t>
  </si>
  <si>
    <t>красный</t>
  </si>
  <si>
    <t>Tech size</t>
  </si>
  <si>
    <t>Onesize</t>
  </si>
  <si>
    <t>_</t>
  </si>
  <si>
    <t>Cap</t>
  </si>
  <si>
    <t>MC-BB494</t>
  </si>
  <si>
    <t>Шляпа</t>
  </si>
  <si>
    <t>86% бумага, 14% полиэстер</t>
  </si>
  <si>
    <t>46/54</t>
  </si>
  <si>
    <t>46-54</t>
  </si>
  <si>
    <t>48/56</t>
  </si>
  <si>
    <t>48-56</t>
  </si>
  <si>
    <t>Kerchief</t>
  </si>
  <si>
    <t>MC-BD869</t>
  </si>
  <si>
    <t>Косынка</t>
  </si>
  <si>
    <t>голубой/желтый</t>
  </si>
  <si>
    <t>Bucket hat</t>
  </si>
  <si>
    <t>MC-VD378</t>
  </si>
  <si>
    <t>Lee Cooper</t>
  </si>
  <si>
    <t>EMMA Mom Jeans</t>
  </si>
  <si>
    <t>MT4B116877AS2LC1-DW</t>
  </si>
  <si>
    <t>Джинсы</t>
  </si>
  <si>
    <t>Casual</t>
  </si>
  <si>
    <t>Женские джинсы Lee Cooper Mom Emma из денима с винтажными потертостями. Выполнены из  хлопка с добавлением эластана для комфорта движения. Свободный крой от бедра, высокая посадка на талии. Ширинка на молнии. Классический стиль с пятью карманами. Фирменный лейбл и зигзагообразные строчки на задних карманах.</t>
  </si>
  <si>
    <t>темно-синий</t>
  </si>
  <si>
    <t>98% хлопок, 2% эластан</t>
  </si>
  <si>
    <t>28</t>
  </si>
  <si>
    <t>Jeans</t>
  </si>
  <si>
    <t>MC-RA610</t>
  </si>
  <si>
    <t>99% хлопок, 1% эластан</t>
  </si>
  <si>
    <t>MC-WB895</t>
  </si>
  <si>
    <t>Napapijri</t>
  </si>
  <si>
    <t>F2SNOWJOG01-NYS</t>
  </si>
  <si>
    <t>NA4H71WA1</t>
  </si>
  <si>
    <t>Ботинки</t>
  </si>
  <si>
    <t>Обувь</t>
  </si>
  <si>
    <t>Зимняя обувь</t>
  </si>
  <si>
    <t>Представляем ботинки Napapijri F2Snowjog01-Nys, сочетающие модный стиль с функциональностью, предназначенные для справления с зимними приключениями. Эти прочные ботинки идеально подходят для тех, кто ценит комфорт, долговечность и современный дизайн.</t>
  </si>
  <si>
    <t>коричневый</t>
  </si>
  <si>
    <t>верх 45% полиэстер, 35% кожа коровы, 20% полиуретан, подкладка 90% полиэстер, 10% полиуретан, подошва 80% эва, 20% резина</t>
  </si>
  <si>
    <t>7,5</t>
  </si>
  <si>
    <t>8</t>
  </si>
  <si>
    <t>F4HERB01/SYN</t>
  </si>
  <si>
    <t>NA4IJH041</t>
  </si>
  <si>
    <t>Вдохновленные горами, ботинки Herb изготовлены из технических материалов и резиновых подошв. Характерные детали включают шнуровку, люверсы на передней части и двойные крючки в верхней части, что позволяет эффективно регулировать застежку и защищать лодыжку. Идеально подходят для города и для досуга.</t>
  </si>
  <si>
    <t>верх: 100% полиуретан, подкладка: 100% полиэстер, подошва: 100% резина</t>
  </si>
  <si>
    <t>9</t>
  </si>
  <si>
    <t>10</t>
  </si>
  <si>
    <t>11</t>
  </si>
  <si>
    <t>F3SNOWJOG01-SUP</t>
  </si>
  <si>
    <t>NA4HUZWA1</t>
  </si>
  <si>
    <t>Верх из искусственной кожи и натуральной замши
Оригинальный дизайн
Высокий силуэт
Усиленная носочная область
Шнуровка на D-образных кольцах
Стабилизационная вставка в пяточной области
Петля на заднике
Промежуточная подошва из EVA
Износостойкая подметка
Контрастный брендинг
Фирменный патч</t>
  </si>
  <si>
    <t>верх 60% кожа коровы, 40% полиуретан, подкладка 90% полиэстер, 10% полиуретан, подошва 80% эва, 20% резина</t>
  </si>
  <si>
    <t>NA4H71FC1</t>
  </si>
  <si>
    <t>Ботинки Napapijri Snowjog Og City Boots обладают комфортом, функциональностью и модным дизайном. Данная обувь отлично подойдет для повседневных прогулок в холодную погоду.
Верх выполнен из сочетания нейлона и замши
Технология Winterproof включает в себя ветрозащитную и водоотталкивающую мембрану, а также слой теплоизоляционного материала
Резиновая вставка над подошвой для защиты от влаги и грязи
Резиновая подошва обеспечивает надежное сцепление с поверхностью</t>
  </si>
  <si>
    <t>верх: 45% полиэстер, 35% коровья кожа, 20% полиуретан, подкладка: 90% полиэстер, 10% полиуретан, подошва: 80% этиленвинилацетат, 20% резина</t>
  </si>
  <si>
    <t>F3SLATE13-SUP</t>
  </si>
  <si>
    <t>NA4HVFGF2</t>
  </si>
  <si>
    <t>Napapijri Slate City - это спортивные, очень удобные ботинки, подходящие для повседневного городского использования. В этой версии они выполнены из искусственной кожи и технологичной ткани, украшены боковым логотипом NPJ87 (Napapijri 1987, год основания компании), а на язычке размещен знаковый флаг. 
Амортизирующая филоновая промежуточная подошва обеспечивает комфорт при каждом шаге, а рифленый резиновый протектор гарантирует надежное сцепление и долговечность. 
Материал: Верх - искусственная кожа (полиуретан), текстиль (полиэстер); подкладка - текстиль (полиэстер); подошва - 80 % ЭВА + 20 % резина. 
Усиленная носочная область. 
Стабилизационная вставка в пяточной области. 
Классическая система шнуровки. Износостойкая подметка</t>
  </si>
  <si>
    <t>хаки</t>
  </si>
  <si>
    <t>верх 85% полиуретан, 15% полиэстер, подкладка 100% полиэстер, подошва 80% филон, 20% резина</t>
  </si>
  <si>
    <t>NA4HUZ041</t>
  </si>
  <si>
    <t>Billabong</t>
  </si>
  <si>
    <t>PODIUM TRUCKER</t>
  </si>
  <si>
    <t>W5CT01BIP1-0019</t>
  </si>
  <si>
    <t>Кепка</t>
  </si>
  <si>
    <t>Кепки</t>
  </si>
  <si>
    <t>1SZ</t>
  </si>
  <si>
    <t>MC-BB861</t>
  </si>
  <si>
    <t>AGE</t>
  </si>
  <si>
    <t>3-6M</t>
  </si>
  <si>
    <t>3-6 мес</t>
  </si>
  <si>
    <t>Jumpsuit</t>
  </si>
  <si>
    <t>MC-CD330-1</t>
  </si>
  <si>
    <t>Комбинезон</t>
  </si>
  <si>
    <t>Комбинезоны</t>
  </si>
  <si>
    <t>Пушистый комбинезон "Крольчонок" в изысканном персиковом цвете — идеальное решение для маленьких модников, обеспечивающее максимальный комфорт и стиль. Внутренняя подкладка из мягкого хлопка бережно заботится о коже ребенка, создавая уют и защищая от прохлады. Удобный капюшон оборудован милыми объемными ушками, которые добавляют образу игривости и оригинальности — ваше чадо будет выглядеть невероятно очаровательно! Комбинезон легко надевается и снимается благодаря продуманным застежкам, что облегчает процесс переодевания. Он прекрасно адаптирован для активных малышей, обеспечивая свободу движений. Этот комбинезон не только функционален, но и стильный элемент гардероба, который подойдет для прогулок, посещений детских мероприятий или семейных фотосессий, делая каждый момент особенным.</t>
  </si>
  <si>
    <t>100% Полиэстер</t>
  </si>
  <si>
    <t>68</t>
  </si>
  <si>
    <t>74</t>
  </si>
  <si>
    <t>86</t>
  </si>
  <si>
    <t>MC-ZC561-1</t>
  </si>
  <si>
    <t>Этот очаровательный детский нарядный комбинезон преобразит вашего малыша в стильного модника, создавая иллюзию комплекта из футболки и легинсов. Выполненный из мягкого и дышащего хлопка, комбинезон обеспечивает комфорт на весь день. Украсившая его забавная аппликация "Праздничные друзья" добавляет особого настроения и делает его идеальным выбором для любого торжества. Для размеров от 80 см комбинезон дополнен элементиками с нескользящей подошвой на ножках, что делает первые шаги малыша более уверенными и безопасными. Этот комбинезон — идеальный выбор для родителей, ценящих как стиль, так и удобство для своего ребёнка.</t>
  </si>
  <si>
    <t>56</t>
  </si>
  <si>
    <t>MC-CD365-1</t>
  </si>
  <si>
    <t>Пушистый комбинезон для детей "Медвежонок" в нежном мятном цвете — это идеальное сочетание уюта, комфорта и стиля, благодаря которому ваш малыш всегда будет в центре внимания. Мягкая внутренняя хлопковая подкладка обеспечивает оптимальное теплосбережение и заботится о деликатной коже, позволяя малышу с удовольствием исследовать окружающий мир. Удобный капюшон украшен очаровательными объемными ушками, добавляющими комбинезону забавный и игривый вид, что превращает каждую прогулку в захватывающее приключение. Универсальный дизайн делает этот комбинезон подходящим как для девочек, так и для мальчиков, и он станет верным выбором для стильных и активных малышей. Легкость надевания и умеренный крой обеспечивают свободу движений, что делает его идеальным для повседневной носки в любое время года, будь то прохладное лето или теплая зима.</t>
  </si>
  <si>
    <t>MC-ZC358-1</t>
  </si>
  <si>
    <t>Вязаный детский нарядный комбинезон — это идеальный выбор для праздничного сезона, который принесёт радость и уют вашему малышу. Выполненный в ярком красном цвете, этот комбинезон приковывает внимание своим стильным и оригинальным дизайном. Длинные рукава обеспечивают дополнительное тепло и комфорт, что особенно важно в зимний период, позволяя вашему ребенку чувствовать себя уютно в любой обстановке. 
Комбинезон украшен очаровательными новогодними мотивами "Оленята", которые создают атмосферу праздника и поднимают настроение как детям, так и взрослым. Благодаря использованию высококачественных материалов, изделие отличается мягкостью и приятно на ощупь, обеспечивая комфорт на протяжении всего дня. 
Этот комбинезон станет идеальным выбором для праздничных мероприятий, семейных встреч и фотосессий, превращая вашего малыша в настоящую звезду любого праздника и создавая незабываемые моменты.</t>
  </si>
  <si>
    <t>Sleepsuit</t>
  </si>
  <si>
    <t>MC-ZA066-1</t>
  </si>
  <si>
    <t>Детский нательный комбинезон — это универсальная и незаменимая одежда для новорожденных малышей, разработанная с учетом их нежных потребностей. Выполненный из 100% хлопка, комбинезон обеспечивает максимальную мягкость и комфорт, что особенно важно для чувствительной кожи младенца. Безникелевые кнопки, используемые в конструкции, надежно удерживают боди на месте, не раздражая кожу и не вызывая аллергию, что позволяет малышу свободно двигаться и активно познавать мир. Простой и функциональный дизайн комбинезона облегчает процесс одевания и смены подгузников, существенно упрощая уход за ребенком. Для точного выбора подходящего размера мы рекомендуем ознакомиться с таблицей размеров, представленной в фотогалерее. Этот комбинезон станет идеальным выбором для повседневного использования, обеспечивая комфорт и свободу движений вашему малышу.</t>
  </si>
  <si>
    <t>Denim overalls</t>
  </si>
  <si>
    <t>MC-CA269</t>
  </si>
  <si>
    <t>Полукомбинезон джинсовый</t>
  </si>
  <si>
    <t>Jumpsuit (3 pcs)</t>
  </si>
  <si>
    <t>MC-CB240-1</t>
  </si>
  <si>
    <t>Комбинезон (3 шт)</t>
  </si>
  <si>
    <t>Sleepsuit (3 pcs)</t>
  </si>
  <si>
    <t>MC-CB242-1</t>
  </si>
  <si>
    <t>MC-CB257-1</t>
  </si>
  <si>
    <t>Представляем упаковку из трех комбинезонов для маленького мальчика, каждый из которых оснащен безникелевыми кнопками по всей длине спереди, обеспечивая быстрое и безопасное переодевание. В размерах до 68 см предусмотрены вшитые рукавички-антицарапки и закрытый носок, выполненный по технологии Toe-Safe, которая защищает малыша. Для размеров с 80 см добавлена нескользящая подошва для безопасности при попытках ходьбы. Комбинезоны выполнены в ярких морских дизайнах: первый украшен аппликацией "Машинка", второй – с узором "Машинки", третий – в полоску. Внутренние швы обработаны для мягкости, а подкладка защищает кожу от раздражений. Специальная обработка ткани сохраняет ее мягкость после стирок.</t>
  </si>
  <si>
    <t>MC-CB303-1</t>
  </si>
  <si>
    <t>MC-CB306-1</t>
  </si>
  <si>
    <t>Эта упаковка из трёх слипов для маленького мальчика предлагает удобство и безопасность в одном наборе. Каждое изделие оснащено безникелевыми кнопками, расположенными по всей длине спереди, что делает процесс одевания быстрым и лёгким. Для самых маленьких, в размерах до 68 см, предусмотрены вшитые рукавички-антицарапки, обеспечивающие защиту нежной кожи. Закрытый носок, выполненный по технологии Toe-Safe, добавляет комфорт и безопасность. Для малышей, начинающих ходить, слипы от 80 см оснащены нескользящей подошвой. Три ярких дизайна придают разнообразие и настроение в гардероб вашего ребёнка.</t>
  </si>
  <si>
    <t>MC-CB308-1</t>
  </si>
  <si>
    <t>MC-CB347-1</t>
  </si>
  <si>
    <t>MC-CB371-1</t>
  </si>
  <si>
    <t>MC-CB375-1</t>
  </si>
  <si>
    <t>Яркий детский комбинезон в элегантном черном цвете, который обладает удивительной способностью светиться в темноте, станет незаменимой частью гардероба вашего ребенка. Этот стильный и практичный комбинезон не только выглядит эффектно, но и обеспечивает безопасность благодаря специальным деталям. В моделях от 80 см предусмотрена практичная нескользящая подошва, что особенно важно для малышей, которые начинают активно двигаться и исследовать мир вокруг них. Для самых маленьких, размером 50-56 см, комбинезон снабжен наружными швами, что обеспечивает дополнительный комфорт и заботу о нежной коже новорожденных, предотвращая возможные раздражения. Материал изделия мягкий и приятный на ощупь, что делает его подходящим для повседневного использования. Удобные застежки облегчают процесс одевания и обеспечения комфорта в течении всего дня. Этот комбинезон станет истинным фаворитом среди родителей, которые ценят сочетание стиля, удобства и безопасности для своих детей.</t>
  </si>
  <si>
    <t>Set (bodysuit/jumpsuit)</t>
  </si>
  <si>
    <t>MC-CB629-1</t>
  </si>
  <si>
    <t>Комплект (боди/комбинезон)</t>
  </si>
  <si>
    <t>MC-CB825-1</t>
  </si>
  <si>
    <t>MC-CD327-1</t>
  </si>
  <si>
    <t>BE U WB 3PK SLEEPSUIT</t>
  </si>
  <si>
    <t>MC-CD362-1</t>
  </si>
  <si>
    <t>Детский нательный комбинезон — это универсальная одежда для новорожденных малышей, которая сочетает в себе качество, комфорт и практичность. Выполненный из 100% хлопка, этот комбинезон обеспечивает максимальную мягкость и нежность для чувствительной кожи вашего маленького чуда. Хлопковая ткань обладает превосходными дышащими свойствами, что гарантирует вашему малышу оптимальную вентиляцию и комфорт в течение всего дня и ночи.
Использование безникелевых кнопок подчеркивает внимание к деталям и заботу о здоровье ребенка. Эти кнопки специально разработаны для того, чтобы не раздражать кожу малыша даже при активных движениях, исключая риск возникновения аллергических реакций. Кнопки надежно фиксируют комбинезон, обеспечивая его стабильное положение и удобство при ношении. Расположение кнопок также облегчает процесс смены подгузников, делая его быстрым и удобным для родителей.
Чтобы убедиться в правильном выборе размера, мы рекомендуем ознакомиться с таблицей размеров в фотогалерее, которая поможет точно подобрать наиболее подходящий вариант.</t>
  </si>
  <si>
    <t>зеленый/голубой/белый</t>
  </si>
  <si>
    <t>MC-WE139</t>
  </si>
  <si>
    <t>Полукомбинезон</t>
  </si>
  <si>
    <t>Использование высококачественного денима гарантирует, что комбинезон является одновременно долговечным и чрезвычайно мягким на ощупь, идеальный для детской кожи. Модный, но в то же время классический силуэт комбинезона подойдет для любой фигуры, а его универсальность позволяет легко сочетать его с различными аксессуарами и обувью. Крепкие кнопки и пуговицы обеспечивают легкость в одевании и снимании комбинезона, что делает процесс более комфортным как для ребенка, так и для родителей. Джинсовый комбинезон прошел предварительную стирку для устранения усадки и обеспечения легкого ухода в домашних условиях, сохраняя свой первозданный вид на долгие годы. Для точного выбора размера рекомендуем ознакомиться с таблицей в фотогалерее.</t>
  </si>
  <si>
    <t>99% Хлопок, 1% Эластан</t>
  </si>
  <si>
    <t>MC-WE139-1</t>
  </si>
  <si>
    <t>MC-YA059-1</t>
  </si>
  <si>
    <t>MC-YD294-1</t>
  </si>
  <si>
    <t>Утепленный детский комбинезон с удобной застежкой на молнии — это идеальный выбор для прохладной погоды, обеспечивающий комфорт и защиту вашему малышу. Комбинезон украшен ярким и забавным узором "Динозаврики", который обязательно понравится маленьким исследователям и развеселит их повседневные приключения. Мягкая подкладка гарантирует дополнительное тепло и нежно заботится о коже ребенка, создавая уютную атмосферу даже в самую прохладную погоду. Практичный дизайн комбинезона с молнией позволяет легко и быстро одеть малыша, что особенно важно для родителей в условиях динамичного дня. Широкие манжеты и удобный крой обеспечивают свободу движений, что делает его идеальным для активных игр на улице. Этот комбинезон станет неотъемлемой частью гардероба вашего малыша, сочетая в себе функциональность и веселый дизайн, и подойдет для прогулок, прогулок по парку и других мероприятий на свежем воздухе.</t>
  </si>
  <si>
    <t>зеленый</t>
  </si>
  <si>
    <t>MG CM MW DENIM DUNGAREES FLEECE LINED/074</t>
  </si>
  <si>
    <t>MC-ZC080</t>
  </si>
  <si>
    <t>Полукомбинезон джинсовый утепленный</t>
  </si>
  <si>
    <t>Полукомбинезон джинсовый на флисовой подкладке от Mothercare – это превосходное сочетание стиля, комфорта и практичности, созданное для вашего маленького исследователя. Этот изысканный комбинезон не только универсален и стоек к активным детским играм, но и мгновенно приковывает взгляды, делая вашего малыша настоящей звездой среди сверстников. Использование высококачественного денима гарантирует, что комбинезон является одновременно долговечным и чрезвычайно мягким на ощупь, идеально подходящим для нежной детской кожи. Прочный и надежный материал выдерживает множество стирок, сохраняя свою форму и цвет, что делает его долговечным элементом детского гардероба. Флисовая подкладка добавляет дополнительный уровень комфорта, обеспечивая тепло в прохладную погоду. Флис известен своим мягким и обволакивающим эффектом, он не вызывает раздражения и приятен к телу, что позволяет ребенку чувствовать себя уютно и защищено в любую погоду. Бретели на регулируемых пряжках позволяют легко подогнать комбинезон под рост ребенка, обеспечивая идеальную посадку и свободу движений для любого возраста. Карманы добавляют функциональности.</t>
  </si>
  <si>
    <t>98% Хлопок, 2% Эластан</t>
  </si>
  <si>
    <t>MC-ZC080-1</t>
  </si>
  <si>
    <t>MC-ZC363-1</t>
  </si>
  <si>
    <t>Нарядный комбинезон для малыша, в ярком дизайне "Рождественский подарочек". Имеет закрытый носок, выполненный по технологии Toe-Safe, и нескользящую подошву в размерах с 80 см. Комбинезон украшен аппликациями и объемными элементами.</t>
  </si>
  <si>
    <t>SURF CAPSULE LS</t>
  </si>
  <si>
    <t>EBJWR03026-BQT0</t>
  </si>
  <si>
    <t>Рашгард</t>
  </si>
  <si>
    <t>Купальные костюмы</t>
  </si>
  <si>
    <t>Плавание</t>
  </si>
  <si>
    <t>82% полиэстер, 18% эластан</t>
  </si>
  <si>
    <t>XS/6</t>
  </si>
  <si>
    <t>S/8</t>
  </si>
  <si>
    <t>M/10</t>
  </si>
  <si>
    <t>L/12</t>
  </si>
  <si>
    <t>Joss</t>
  </si>
  <si>
    <t>Girls' swimsuit</t>
  </si>
  <si>
    <t>A19AJSWSK01-QW</t>
  </si>
  <si>
    <t>Купальник</t>
  </si>
  <si>
    <t>голубой</t>
  </si>
  <si>
    <t>80% полиамид, 20% эластан</t>
  </si>
  <si>
    <t>Swimwear</t>
  </si>
  <si>
    <t>MC-BA024</t>
  </si>
  <si>
    <t>Купальник слитный</t>
  </si>
  <si>
    <t>MC-BA024-1</t>
  </si>
  <si>
    <t>MC-BA027</t>
  </si>
  <si>
    <t>Купальник (низ)</t>
  </si>
  <si>
    <t>MC-BA029</t>
  </si>
  <si>
    <t>MC-BA032</t>
  </si>
  <si>
    <t>розовый</t>
  </si>
  <si>
    <t>MC-BA034</t>
  </si>
  <si>
    <t>Купальник раздельный</t>
  </si>
  <si>
    <t>MC-BA035</t>
  </si>
  <si>
    <t>MC-BA035-1</t>
  </si>
  <si>
    <t>MC-BA037</t>
  </si>
  <si>
    <t>MC-BA037-1</t>
  </si>
  <si>
    <t>MC-BA047</t>
  </si>
  <si>
    <t>MC-BA047-1</t>
  </si>
  <si>
    <t>Swimsuit</t>
  </si>
  <si>
    <t>MC-BA053</t>
  </si>
  <si>
    <t>Основной материал: 82% полиэстер, 18% эластан, Подкладка: 100% полиэстер</t>
  </si>
  <si>
    <t>MC-BA053-1</t>
  </si>
  <si>
    <t>MC-BA225</t>
  </si>
  <si>
    <t>MC-BA226</t>
  </si>
  <si>
    <t>140</t>
  </si>
  <si>
    <t>MC-BA229</t>
  </si>
  <si>
    <t>MC-BA460</t>
  </si>
  <si>
    <t>Плавки</t>
  </si>
  <si>
    <t>MC-BA460-1</t>
  </si>
  <si>
    <t>MC-BA466</t>
  </si>
  <si>
    <t>MC-BA925</t>
  </si>
  <si>
    <t>Купальник (верх)</t>
  </si>
  <si>
    <t>MC-BB208</t>
  </si>
  <si>
    <t>MC-BB208-1</t>
  </si>
  <si>
    <t>MC-BB209</t>
  </si>
  <si>
    <t>MC-BB209-1</t>
  </si>
  <si>
    <t>MC-BC672</t>
  </si>
  <si>
    <t>MC-YA180</t>
  </si>
  <si>
    <t>MC-YA197</t>
  </si>
  <si>
    <t>Jacket</t>
  </si>
  <si>
    <t>MC-CB199</t>
  </si>
  <si>
    <t>Куртка</t>
  </si>
  <si>
    <t>Куртки и пуховики</t>
  </si>
  <si>
    <t>Эта утепленная куртка для мальчика идеально подходит для холодных дней, обеспечивая максимальный комфорт и защиту от непогоды благодаря подкладке из искусственного меха. Стильный дизайн дополнен резиновой нашивкой на рукаве, что придает современный акцент. Эластичные манжеты обеспечивают плотное прилегание, удерживая тепло, а накладные карманы обеспечивают вместительность и удобство, позволяя хранить мелочи под рукой. Это идеальный выбор для активных мальчиков, которые ценят тепло, практичность и стиль в каждом образе.</t>
  </si>
  <si>
    <t>Верх 100% Полиэстер, Утеплитель 100% Полиэстер, Подкладка 100% Полиэстер (искусственный мех)</t>
  </si>
  <si>
    <t>MC-CB195</t>
  </si>
  <si>
    <t>Эта утепленная куртка для мальчика с мягкой флисовой подкладкой станет отличным выбором для холодной погоды. Она обеспечит ребенку тепло и уют даже в самые ветреные дни. Особый стиль добавляет резиновая нашивка на рукаве, придавая куртке модный акцент. Практичное и стильное решение для повседневного гардероба.</t>
  </si>
  <si>
    <t>желтый</t>
  </si>
  <si>
    <t>MC-BB203</t>
  </si>
  <si>
    <t>Стильная стеганая куртка с утеплителем и капюшоном в нежном розовом цвете станет отличным выбором для прохладной погоды. Благодаря уникальной конструкции на молнии, её легко сложить и взять с собой. Эта куртка отлично садится по фигуре, не стесняет движений и украшена модным камуфляжным узором по всей поверхности, добавляя особый шарм. Идеально подходит для активного образа жизни и помогает сохранить тепло даже в ветреную и прохладную погоду, обеспечивая комфорт и стиль каждый день.</t>
  </si>
  <si>
    <t>100% Нейлон, 100% Полиэстер</t>
  </si>
  <si>
    <t>MC-ZA883</t>
  </si>
  <si>
    <t>Стеганая куртка для мальчика в элегантном темно-синем цвете сочетает стиль и функциональность. Утеплённая подкладка из искусственного меха обеспечивает тепло и комфорт в холодные дни, а удобный капюшон защищает от ветра и осадков. Практичные карманы позволяют носить важные мелочи, а прочные застёжки облегчают одевание. Эта куртка станет идеальным выбором для активных прогулок, сохраняя тепло и обеспечивая свободу движений даже в зимнюю пору. Современный дизайн делает её универсальной для любого случая.</t>
  </si>
  <si>
    <t>MC-CB214</t>
  </si>
  <si>
    <t>Утепленная куртка для мальчика идеально подходит для холодной погоды. Она оснащена эластичными манжетами и низом, которые обеспечивают оптимальное прилегание и сохранение тепла. Подкладка из искусственного меха добавляет комфорта и защищает от холода. Накладные карманы не только практичны, но и стильны, предоставляя дополнительное место для необходимых мелочей. Эта куртка сочетает в себе функциональность и современный дизайн, идеально подходя для активного образа жизни мальчика.</t>
  </si>
  <si>
    <t>Martyn Bal</t>
  </si>
  <si>
    <t>Martyn Bal down jacket</t>
  </si>
  <si>
    <t>FBS2345BJ</t>
  </si>
  <si>
    <t>Пуховик</t>
  </si>
  <si>
    <t>Стильный функциональный пуховик от бренда Martyn Bal создан специально для суровых погодных условий. 
Верх из практичного полиэстера с добавлением нейлона, прочная несъемная подкладка. 
Кулиска с утяжкой на поясе позволяет регулировать размер. 
В качестве утеплителя использован натуральный гусиный пух с минимальным содержанием перьев. 
Объемный капюшон имеет роскошную отделку натуральным мехом енота. Капюшон крепится к воротнику с помощью молнии, поэтому при желании его можно отстегнуть. Мех крепится к капюшону на кнопки, поэтому его также при необходимости можно снять. 
Пуховик застегивается на молнию с двумя бегунками, что позволяет быстро расстегивать его также и снизу. Ветрозащитный клапан поверх молнии застегивается на кнопки, обеспечивая дополнительную защиту от проникновения ветра. 
Двойные карманы с клапанами на кнопках подходят для хранения важных мелочей и для согрева рук. 
Пуховик имеет также внутренний карман на молнии с левой стороны для хранения документов, мобильного или бумажника. 
Рукава с внутренними манжетами завершают теплый зимний образ. 
Параметры модели на фото (размер L): рост 183, грудь 104 см, талия 80 см, бедра 97 см</t>
  </si>
  <si>
    <t>бежевый</t>
  </si>
  <si>
    <t>верх 95% полиэстер, 5% нейлон, подкладка 100% полиэстер, наполнитель 80% пух, 20% перо, отделка капюшона мех (енот)</t>
  </si>
  <si>
    <t>EUR</t>
  </si>
  <si>
    <t>(100/L)</t>
  </si>
  <si>
    <t>Vest</t>
  </si>
  <si>
    <t>MC-BB202</t>
  </si>
  <si>
    <t>Жилет</t>
  </si>
  <si>
    <t>Яркий стеганый жилет с утеплителем в розовом цвете станет отличным выбором для вашего ребенка в прохладную погоду, идеально подходя для температур от +5°C до +15°C. Элегантный узор "Камуфляж" добавляет современный стиль. Жилет выполнен без рукавов, что позволяет носить его поверх свитеров или толстовок, обеспечивая свободу движений. Гладкая подкладка обеспечивает комфорт при носке, а функциональные карманы идеально подходят для хранения мелочей. Обработанные края придают жилету долговечность и аккуратный вид. Уникальная конструкция на молнии облегчает его складывание и хранение. Не забудьте воспользоваться биркой для имени, чтобы жилет всегда оставался при вашем ребенке.</t>
  </si>
  <si>
    <t>100% Нейлон</t>
  </si>
  <si>
    <t>MC-ZA884</t>
  </si>
  <si>
    <t>Представляем стильную и практичную парку для мальчика в ярком жёлтом цвете, которая станет идеальным выбором для холодного времени года. Изделие оснащено удобным капюшоном с отделкой из искусственного меха, обеспечивающим дополнительное тепло и уют. Подкладка из искусственного меха до пояса и гладкая подкладка в рукавах делают куртку комфортной в ношении. Эластичная трикотажная бейка и манжеты обеспечивают плотное облегание, защищая от ветра. Молния во всю длину имеет защиту от защемления кожи и ветрозащитную планку. Парка оснащена четырьмя функциональными карманами на кнопках для мелочей и яркой удлиненной спинкой, что обеспечивает дополнительную защиту от холода.</t>
  </si>
  <si>
    <t>MC-ZB186</t>
  </si>
  <si>
    <t>Стеганая куртка — это идеальное решение для вашего ребенка в холодную погоду. Она обеспечивает комфорт и тепло благодаря мягкой флисовой подкладке, которая сохраняет естественное тепло тела. Куртка обладает продуманным кроем, который удобно садится по фигуре и не сковывает движений, благодаря чему ребенок будет чувствовать себя свободно и комфортно в любой активности. Практичные карманы позволят хранить мелочи под рукой, а стильный дизайн сделает куртку универсальной частью гардероба, подходящей как для повседневной носки, так и для прогулок на свежем воздухе.</t>
  </si>
  <si>
    <t>MC-CB201</t>
  </si>
  <si>
    <t>Верх: 100% полиэстер, Утеплитель: 100% полиэстер, Подкладка: 100% полиэстер (искусственный мех)</t>
  </si>
  <si>
    <t>MC-CB207</t>
  </si>
  <si>
    <t>Верх: 100% полиэстер с эффектом софт-шелл, Утеплитель: 100% полиэстер, Подкладка: 100% полиэстер</t>
  </si>
  <si>
    <t>MC-CA915</t>
  </si>
  <si>
    <t>100% полиэстер с подкладкой из флиса</t>
  </si>
  <si>
    <t>MT4A200202AS2LC-BLK</t>
  </si>
  <si>
    <t>Женская стеганная утепленная куртка Lee Cooper прямого кроя. Неотстегивающийся капюшон на кулиске, воротник стойка, 2 нагрудных кармана  и 2 боковых, застежка на молнию и кнопках.</t>
  </si>
  <si>
    <t>Осень/Зима</t>
  </si>
  <si>
    <t>MC-CB200</t>
  </si>
  <si>
    <t>SKIDOO WOM EF 4 041 BLACK</t>
  </si>
  <si>
    <t>NA4GM8041</t>
  </si>
  <si>
    <t>Анорак</t>
  </si>
  <si>
    <t>Ветро-влагозащитный материал
Утеплитель: 100% полиэстер
Съемная отделка из экомеха
Три кармана на груди на молнии
Эластичный шнурок-резинка на талии для регулировки размера
Боковая молния в нижней части куртки для регулировки размера
Эластичный шнурок-резинка по нижнему краю куртки для регулировки размера
Регулируемые манжеты на липучках</t>
  </si>
  <si>
    <t>96% полиамид, 4% эластан</t>
  </si>
  <si>
    <t>XS</t>
  </si>
  <si>
    <t>40-42</t>
  </si>
  <si>
    <t>A-SUOMI 3 GE4 GREEN DEPTHS</t>
  </si>
  <si>
    <t>NA4GJFGE4</t>
  </si>
  <si>
    <t>Короткий стеганый пуховик Suomi от итальянского бренда Napapijri. Выполнен из полиамида, оснащен слоем технологичного синтетического утеплителя Thermo-Fibre. Застежка-молния; воротник-стойка; два боковых кармана для рук на молниях и один внутренний на липучке. Пуховик представлен в однотонной расцветке, дополнен принтом с логотипом бренда на груди и спине.</t>
  </si>
  <si>
    <t>100% полиамид</t>
  </si>
  <si>
    <t>AERONS RISE W 176 BLU MARINE</t>
  </si>
  <si>
    <t>NA4HCR176</t>
  </si>
  <si>
    <t>Представляем вам куртку Napapijri AERONS RISE W – сочетание неотразимого женского стиля и практичности, идеально подходящее для городской среды и активного отдыха. Эта куртка создана для женщин, которые ищут качество и удобство. Вдохновлённый эко-ориентированным подходом и адвентуристским духом Napapijri, AERONS RISE W адаптирована для современного образа жизни и обеспечивает тепло без утяжеления на фигуру.
Особенности:
- Экологичный Утеплитель: Представляет собой инновационный материал, который отличается легкостью и способностью сохранять тепло, подходит для всех типов погоды.
- Водонепроницаемая Ткань: Специальная обработка ткани гарантирует защиту от влаги и снега.
- Ветрозащитная Функция: Крой куртки и материалы защищают от пронизывающих ветров и помогают сохранить комфортную температуру тела.
- Удобство и Мобильность: Специально разработанная женская модель куртки обеспечивает свободу движений и подчёркивает фигуру.
- Продуманные Карманы: Несколько карманов на молнии обеспечивают безопасное хранение ваших предметов первой необходимости.
- Изысканная Отделка: Мягкая подкладка, застежки-молнии и пуллеры с логотипом Napapijri добавляют детали премиум-класса.</t>
  </si>
  <si>
    <t>MC-CB209</t>
  </si>
  <si>
    <t>Теплый жилет для мальчика с подкладкой из искусственного меха создаст уют и комфорт в холодное время года. Удобный воротник-стойка надежно защищает шею от ветра, а центральная застежка на пластиковой молнии и кнопки на ветрозащитной планке обеспечивают дополнительную защиту от холода. Жилет оснащен несъемным капюшоном с опушкой из искусственного меха, который добавляет стиль и функциональность. Накладные карманы с клапаном делают жилет еще более практичным, предоставляя отличное место для хранения мелочей или согревания рук. Идеальный выбор для активных прогулок и игр на свежем воздухе.</t>
  </si>
  <si>
    <t>Верх: 100% Полиэстер, Утеплитель: 100% Полиэстер, Подкладка: 100% Полиэстер (искусственный мех)</t>
  </si>
  <si>
    <t>MC-CA892</t>
  </si>
  <si>
    <t>MC-ZA878</t>
  </si>
  <si>
    <t>Верх: 100% полиэстер, Подкладка капюшона: 100% хлопок, Подкладка: 100% полиэстер, Наполнитель: 100% полиэстер</t>
  </si>
  <si>
    <t>MC-CB213</t>
  </si>
  <si>
    <t>Представляем утепленную стеганую куртку для мальчика с модным принтом "Камуфляж", которая обязательно понравится юным исследователям. Эта куртка изготовлена с легкой степенью защиты от влаги, что делает её идеальной для прогулок в прохладную и дождливую погоду. Гладкая подкладка в рукавах обеспечивает комфортное ношение, а несъемный капюшон надежно защищает от ветра и дождя. Манжеты отделаны трикотажным кантом и имеют эластичную конструкцию, обеспечивая удобство и тепло. Молния во всю длину снабжена защитой от защемления кожи. Эластичные манжеты и подол помогают сохранить тепло, а два функциональных кармана на заклепках обеспечивают место для необходимых вещей. Внутри куртки предусмотрена бирка для имени, чтобы она не потерялась.</t>
  </si>
  <si>
    <t>серебряный</t>
  </si>
  <si>
    <t>MC-BB179</t>
  </si>
  <si>
    <t>Нежно-розовая стеганая куртка с капюшоном идеально подойдет для прохладной погоды. Она отличается особой конструкцией на молнии, благодаря которой её легко сложить и компактно упаковать, что удобно для путешествий и активных прогулок. Куртка прекрасно сидит по фигуре, при этом её продуманный крой не ограничивает движений, обеспечивая свободу и комфорт для вашего ребенка. Материал приятный на ощупь и хорошо удерживает тепло, защищая от ветра. Эта куртка станет стильным и практичным элементом гардероба, прекрасно сочетающимся с различной одеждой. Отличный выбор для маленьких модников, которым важно выглядеть великолепно и чувствовать себя уютно.</t>
  </si>
  <si>
    <t>MC-CA103</t>
  </si>
  <si>
    <t>Этот утепленный детский жилет идеально подойдет для прохладных дней, обеспечивая тепло и комфорт. Встроенный высокий воротник надежно защищает от ветра и холода, а застежка на молнии позволяет легко и быстро одевать и снимать жилет. Боковые карманы добавляют функциональности, предоставляя удобное место для хранения мелочей и согревания рук. Стильный и практичный, этот жилет станет отличным дополнением к гардеробу вашего ребенка, сочетаясь с разными вариантами одежды для создания уютных повседневных образов.</t>
  </si>
  <si>
    <t>MC-CB967</t>
  </si>
  <si>
    <t>Этот стильный утепленный двусторонний жилет для мальчика станет универсальным элементом гардероба благодаря своему функциональному дизайну. Модель позволяет выбирать между яркой неоновой стороной для создания смелого образа и тёмной стороной с космическим принтом для более сдержанного, но всё же интересного вида. Воротник-стойка обеспечивает дополнительную защиту от ветра, а центральная пластиковая молния гарантирует лёгкость использования. Прорезные карманы добавляют практичности и удобства для хранения мелочей. Идеальный выбор для юного исследователя, который сочетает в себе функциональность и стиль.</t>
  </si>
  <si>
    <t>Верх: 100% Полиэстер, Утеплитель: 100% Полиэстер, Подкладка: 100% Полиэстер</t>
  </si>
  <si>
    <t>Pajamas</t>
  </si>
  <si>
    <t>MC-CD459</t>
  </si>
  <si>
    <t>Пижама</t>
  </si>
  <si>
    <t>Нижнее белье</t>
  </si>
  <si>
    <t>Panties (5 pcs)</t>
  </si>
  <si>
    <t>MC-YB801</t>
  </si>
  <si>
    <t>Трусы (5 шт)</t>
  </si>
  <si>
    <t>Представляем набор из пяти ярких детских трусов для мальчиков, который станет отличным дополнением гардероба вашего малыша. Каждый из трусов украшен динамичным дизайном "Супергерой", вдохновляющим на веселые игры и приключения. Экономичная упаковка из пяти штук обеспечивает разнообразие и практичность. Трусы выполнены с удобным эластичным поясом, который обеспечивает комфорт и хорошую посадку. Дизайны включают узоры в полоску и звездочку, дополняемые надписью "Супергерой".</t>
  </si>
  <si>
    <t>Pajamas (2 pcs)</t>
  </si>
  <si>
    <t>MC-YD276-1</t>
  </si>
  <si>
    <t>Пижама (2 шт)</t>
  </si>
  <si>
    <t>Познакомьтесь с ярким и веселым комплектом для вашего ребенка, который состоит из двух футболок и двух шорт. Этот набор идеально подходит для теплых дней, предлагая разнообразие стилей и комфорта. Обе футболки выполнены с короткими рукавами и круглым вырезом, который обеспечивает легкость и удобство надевания. Изготовленные из мягкой и дышащей хлопковой ткани, они подарят вашему ребенку чувство комфорта на протяжении всего дня.
Футболки украшают забавные и красочные принты с осьминогами, которые обязательно станут любимыми у вашего малыша и добавят игривое настроение в его повседневные образы. Шорты в комплекте идеально гармонируют с футболками, поддерживая общий стиль благодаря продуманной цветовой палитре. 
Этот комплект — отличный выбор для прогулок, походов на пляж или просто отдыха дома. Практичный и стильный, он станет незаменимой частью гардероба вашего малыша, обеспечивая ему комфорт и отличный внешний вид каждый день.</t>
  </si>
  <si>
    <t>Xtep</t>
  </si>
  <si>
    <t>Basketball arena competition athletic performance</t>
  </si>
  <si>
    <t>977119120018-7683</t>
  </si>
  <si>
    <t>Кроссовки</t>
  </si>
  <si>
    <t>Обувь для спорта</t>
  </si>
  <si>
    <t>Баскетбол</t>
  </si>
  <si>
    <t>Xtep Basketball Arena Competition Athletic Performance - это баскетбольные кроссовки высокого качества, разработанные для улучшения производительности баскетболистов на площадке. Эти кроссовки имеют прочную и легкую конструкцию, которая обеспечивает устойчивость и комфорт во время бега, прыжков и других действий на площадке.
Кроссовки Xtep Basketball Arena Competition Athletic Performance оснащены подошвой, которая обеспечивает хорошую амортизацию и сцепление с поверхностью. Это позволяет баскетболистам быстро передвигаться по площадке, делать резкие повороты и торможения.
Верхняя часть кроссовок выполнена из прочных и дышащих материалов, что позволяет ногам дышать и оставаться сухими в течение всей игры. Кроме того, кроссовки имеют эргономичную форму для оптимальной поддержки стопы и предотвращения травм.</t>
  </si>
  <si>
    <t>Текстиль 40%, 60% резина</t>
  </si>
  <si>
    <t>40</t>
  </si>
  <si>
    <t>41</t>
  </si>
  <si>
    <t>43</t>
  </si>
  <si>
    <t>44</t>
  </si>
  <si>
    <t>45</t>
  </si>
  <si>
    <t>CUSHION RUNNING SHOES</t>
  </si>
  <si>
    <t>E231058H-BLWH</t>
  </si>
  <si>
    <t>Бег и Фитнес</t>
  </si>
  <si>
    <t>Peak RETRO CASUAL SHOES - это модные и комфортные женские кроссовки, которые подойдут как для повседневной носки, так и для занятий спортом. Изготовленные из качественных материалов, они имеют дышащую верхнюю часть из сетки и прочную резиновую подошву. Кроссовки имеют стильный дизайн, который сочетает в себе класические элементы и современные тренды. Они также обладают амортизирующей подошвой, которая обеспечивает удобство и поддержку во время активной носки. Идеально подходят для любительниц комфортной и стильной обуви.</t>
  </si>
  <si>
    <t>ВЕРХ: 90% полиэстер, 10% полиуретан  ПОДКЛАДКА: 100% полиэстер НИЗ: 100% ЭВА</t>
  </si>
  <si>
    <t>37</t>
  </si>
  <si>
    <t>E231138H-WHT</t>
  </si>
  <si>
    <t>Мужские кроссовки Peak E231138H-GGR - идеальный выбор для повседневной носки. Эти кроссовки отличаются стильным дизайном и комфортом, делая их идеальными для активных мужчин, желающих выглядеть модно и чувствовать себя комфортно в любой ситуации.
Верхняя часть кроссовок изготовлена из прочных материалов, которые обеспечивают превосходную прочность и долговечность. Они также обладают отличной вентиляцией, позволяющей ногам оставаться свежими даже в течение длительного времени. Кроссовки имеют удобную систему шнуровки, которая обеспечивает плотное прилегание и поддержку стопы.
Подошва кроссовок Peak E231138H-GGR обеспечивает отличное сцепление с поверхностью и амортизацию во время ходьбы. Она также обладает хорошим смягчением ударов, что помогает снизить нагрузку на ноги и суставы. Кроссовки имеют устойчивую конструкцию, обеспечивая комфорт и уверенность в каждом шаге.
Дизайн кроссовок Peak E231138H-GGR является современным и элегантным. Они доступны в различных цветовых вариантах, позволяя мужчинам выбирать кроссовки, которые соответствуют их индивидуальному стилю и предпочтениям.
Независимо от того, куда вы направляетесь - на прогулку по городу, в спортзал или на тренировку, мужские кроссовки Peak E231138H-GGR обеспечат комфорт и стиль во время каждого шага. Будь то повседневная носка или активные физические нагрузки, эти кроссовки позволяют вам чувствовать себя уверенно и выглядеть модно в любой ситуации.</t>
  </si>
  <si>
    <t>ВЕРХ: 90% полиэстер, 10% полиуретан  ПОДКЛАДКА: 100% полиэстер НИЗ: 80% ЭВА, 20% резина</t>
  </si>
  <si>
    <t>39</t>
  </si>
  <si>
    <t>BASKETBALL MATCH SHOES</t>
  </si>
  <si>
    <t>E231837A-BLK</t>
  </si>
  <si>
    <t>Peak BASKETBALL MATCH SHOES – это высококачественные баскетбольные кроссовки, которые предназначены для серьезных спортсменов, идеально подходят для игры в залах и на открытых площадках. 
Кроссовки изготовлены из высококачественных материалов - кожи и сетки, которые обеспечивают максимальную поддержку и удобство во время игры. Верх кроссовок также имеет дышащие свойства, что позволяет ногам оставаться сухими и комфортными во время самых интенсивных игр. 
Кроссовки обладают прочной резиновой подошвой, что обеспечивает надежность и прекрасную амортизацию при прыжках. Технология Peak Stabilization снижает вероятность получения травм и повышает устойчивость в процессе движения на площадке. 
Эти баскетбольные кроссовки также имеют удобную и надежную шнуровку, которая обеспечивает индивидуальную посадку на ногу, а также специальную защиту для пальцев, которая обеспечивает максимальную защиту от ударов и травм. Все эти функции делают Peak BASKETBALL MATCH SHOES отличным выбором для серьезных игроков баскетбола в любом уровне игры.</t>
  </si>
  <si>
    <t>ВЕРХ: 85% полиэстер, 15% полиуретан ПОДКЛАДКА: 100% полиэстер НИЗ: 80% ЭВА, 20% резина</t>
  </si>
  <si>
    <t>F3VIRTUS02-RIS</t>
  </si>
  <si>
    <t>NA4HVANS5</t>
  </si>
  <si>
    <t>Классическая  мужская обувь Napapijri теперь доступна в сезонных цветах и ​​со культовым логотипом.</t>
  </si>
  <si>
    <t>верх 51% коровья кожа, 35% полиэстер, 14% полиуретан, подкладка 100% полиэстер, подошва 80% этиленвинилацетат, 20% резина</t>
  </si>
  <si>
    <t>Street Classic sneakers series sports life</t>
  </si>
  <si>
    <t>977118310037-F186</t>
  </si>
  <si>
    <t>Повседневная обувь</t>
  </si>
  <si>
    <t>Женские высокие кеды Xtep Street Classic Sneakers Series Sports Life - это идеальный выбор для любителей уличной моды и активного образа жизни. Эти кеды сочетают в себе стильный дизайн и высокий уровень комфорта. Верхний материал выполнен из прочной кожи и искусственных материалов, которые обеспечивают дополнительную поддержку и защиту ног во время ношения. Внутренняя подкладка выполнена из мягкого материала, который обеспечивает ощущение комфорта и защищает ноги от натирания. Кроссовки Xtep Street Classic Sneakers Series Sports Life также оснащены прочной и износостойкой резиновой подошвой, которая обеспечивает надежное сцепление с любой поверхностью и защищает стопу от случайных травм. Дополнительные преимущества включают в себя удобную шнуровку, что обеспечивает идеальную посадку на стопе, а также встроенную амортизацию и технологию арочной поддержки для повышения уровня комфорта и уменьшения усталости во время длительных прогулок или физических нагрузок.</t>
  </si>
  <si>
    <t>38</t>
  </si>
  <si>
    <t>977118310037-9071</t>
  </si>
  <si>
    <t>Retro 70 series sports life</t>
  </si>
  <si>
    <t>977118320031-B797</t>
  </si>
  <si>
    <t>Женские кроссовки Xtep Retro 70 series sports life сочетают в себе стильный дизайн и комфорт. Верхний материал выполнен из прочной сетки и кожи, которые обеспечивают хорошую вентиляцию ног и защищают их от внешних воздействий. Подкладка кроссовок изогнута анатомически, что позволяет повторить форму стопы и обеспечить дополнительный комфорт.
Кроссовки оснащены современными замшевыми вставками, амортизирующей подошвой и технологией арочной поддержки, которая обеспечивает устойчивость и поддержку стопы во время физических нагрузок. Резиновая подошва с нескользящим протектором обеспечивает надежное сцепление с поверхностью, что делает эти кроссовки идеальными для занятий спортом и активного образа жизни.</t>
  </si>
  <si>
    <t>35</t>
  </si>
  <si>
    <t>F4IRMIN01/SYN</t>
  </si>
  <si>
    <t>NA4IJVNB4</t>
  </si>
  <si>
    <t>Irmin Trainers от Napapijri — это стильные и современные кеды, которые идеально подходят для городского образа. Эти кроссовки отличаются минималистичным дизайном и высокой функциональностью. Верх изготовлен из качественных материалов, которые обеспечивают долговечность и комфорт при носке. Подошва из прочной резины гарантирует хорошую амортизацию и сцепление с поверхностью. Napapijri уделяет внимание деталям, поэтому кеды украшены фирменным логотипом, придающим оригинальность. Irmin Trainers — отличный выбор для тех, кто ценит стиль и удобство.</t>
  </si>
  <si>
    <t>8,5</t>
  </si>
  <si>
    <t>9,5</t>
  </si>
  <si>
    <t>Ecco</t>
  </si>
  <si>
    <t>ECCO BIOM 2.1 X COUNTRY M</t>
  </si>
  <si>
    <t>822834-51052</t>
  </si>
  <si>
    <t>Отправляйся покорять неизведанное в мужских кроссовках из текстиля ECCO BIOM 2.1 X COUNTRY. Анатомическая подошва и водозащитная мембрана делают пару идеальной обувью для хайкинга и трейлраннинга.
Подошва дополнена резиновым протектором ECCO PERFORMANCE RUBBER+ для исключительного сцепления. Посадка кроссовок легко регулируется шнуровкой.
Четкие линии, геометричный декор, крупная подошва и сглаженный силуэт верха передают идею динамики и скорости движения. 
Съемные стельки OrthoLite UltraLite поддерживают стопу и амортизируют. Технология BIOM NATURAL MOTION формирует уникальную колодку для максимально естественного движения. Мембранный слой GORE-TEХ на 100% защищает от влаги и ветра, сохраняя ноги теплыми и сухими. Технология ECCO FLUIDFORM позволяет получить анатомически правильную подошву и бесшовно соединить ее с верхом. Подошва модели изготовлена из сверхлегкого материала ECCO PHORENE, вес которого на треть меньше обычного полиуретана, а амортизация при этом в два раза выше.</t>
  </si>
  <si>
    <t>верх текстиль/искусственная кожа, подкладка текстиль, стелька текстиль/пеноматериал, подошва форин/резина</t>
  </si>
  <si>
    <t>Street Street shoes series sports life</t>
  </si>
  <si>
    <t>977118310083-6435</t>
  </si>
  <si>
    <t>Женские кроссовки Xtep Street Shoes Series Sports Life сочетают в себе стильный дизайн и высокий уровень комфорта, что делает их идеальным выбором для повседневной носки и занятий спортом. Эти кроссовки выполнены из качественных материалов, которые обеспечивают дополнительную защиту и комфорт стопе.
Верхняя часть кроссовок выполнена из дышащих материалов, что делает их легкими и удобными для носки в любое время года. Внутренняя подкладка и стелька выполнены из мягких материалов, что обеспечивает дополнительный комфорт при ношении.
Кроссовки Xtep Street Shoes Series Sports Life также оснащены прочной и износоустойчивой резиновой подошвой, которая обеспечивает надежное сцепление с поверхностью и уменьшает риск травм. Дополнительно, они имеют технологию арочной поддержки и встроенную амортизацию, что повышает уровень комфорта и снижает усталость во время физических нагрузок.
Кроссовки Xtep Street Shoes Series Sports Life представлены в стильном дизайне и различных цветовых вариантах, что позволяет выбрать обувь под свой индивидуальный стиль. Они идеально подходят для повседневной носки</t>
  </si>
  <si>
    <t>Retro Daddy series sports life</t>
  </si>
  <si>
    <t>977118320041-0200</t>
  </si>
  <si>
    <t>Женские кроссовки Xtep Retro Daddy Series Sports Life - это стильная и комфортная обувь, созданная для активного образа жизни. Эти кроссовки выполнены из качественных материалов, которые гарантируют комфорт и снижение утомления во время физических нагрузок.
Верх кроссовок выполнен из кожи и мягких материалов, что обеспечивает комфорт и дополнительную поддержку ноги во время движения. Мягкая и удобная подкладка предотвращает натирания и создает ощущение комфорта на всю ногу.
Кроссовки Xtep Retro Daddy Series Sports Life также оснащены современными технологиями, такими как специальная протекторная конструкция подошвы, которая обеспечивает надежное сцепление с поверхностью. Дополнительно, эти обувь имеют встроенную амортизацию и инновационную технологию арочной поддержки, которые повышают уровень комфорта и уменьшают утомляемость стопы.
Кроссовки Xtep Retro Daddy Series Sports Life имеют стильный дизайн, который представляет собой сочетание ретро-стиля и современных технологий в одном. Эти кроссовки идеально подходят для физических нагрузок, таких как бег, занятия в зале и других видов спорта, а также для повседневной носки.</t>
  </si>
  <si>
    <t>977118310037-6431</t>
  </si>
  <si>
    <t>FASHION CASUAL SHOES</t>
  </si>
  <si>
    <t>ET31507E-OWBL</t>
  </si>
  <si>
    <t>Мужские кроссовки Peak Fashion Casual Shoes представляют собой идеальный микс трендов и комфорта в повседневной обуви. Изготовленные из высококачественных материалов, эти кроссовки обеспечивают длительный срок использования и комфортность.
Модель Fashion Casual Shoes имеет легкий и прочный верх, который обеспечивает хорошую вентиляцию и поддержку стопы. Они также имеют удобную промежуточную подошву, которая обеспечивает поддержку и защиту стопы во время ходьбы. Надежная резиновая подошва обеспечивает отличное сцепление с поверхностью и устойчивость в любых условиях.
Peak Fashion Casual Shoes отлично подходят для повседневных дел, торговых поездок и прогулок по городу. Эти кроссовки сочетают в себе стильный дизайн, высокую производительность и комфортность. Если вы ищете альтернативу классической обуви, то Peak Fashion Casual Shoes – это именно то, что вам нужно.</t>
  </si>
  <si>
    <t>ВЕРХ: 70% полиуретан, 30% полиэстер ПОДКЛАДКА: 100% полиэстер НИЗ: 80% ЭВА, 20% резина</t>
  </si>
  <si>
    <t>ECCO TERRACRUISE II M</t>
  </si>
  <si>
    <t>843064-51052</t>
  </si>
  <si>
    <t>Мужские ботинки ECCO TERRACRUISE II -  идеальный выбор для активного отдыха и повседневной носки. Эта модель обуви сочетает в себе стильный дизайн, технологичность и комфорт. Верх ботинка изготовлен из высококачественных синтетических материалов и текстиля, что обеспечивает прочность и долговечность. Климатическая мембрана GORE-TEX обеспечивает воздухопроницаемость, препятствует проникновению воды внутрь ботинка и отводит влагу изнутри, сохраняя ощущение сухости и комфорта при любой погоде. Удобная анатомическая подошва ECCO FLUIDFORM полностью повторяет естественные изгибы стопы, сохраняя баланс мягкости и упругости для исключительного комфорта и полной свободы движения. Бесшовный метод крепления подошвы к верху позволяет сделать место стыка водонепроницаемым и особенно прочным на сгибе.
Эластичная система быстрой шнуровки для исключительного комфорта и естественной посадки.
Съемная стелька обеспечивает циркуляцию воздуха и поддерживает оптимальный климат для ноги, а также амортизацию и поддержку в течение всего дня. Эти ботинки идеальны для любого вида активностей на открытом воздухе, будь то лёгкий трекинг, прогулки по городу или ежедневные поездки.</t>
  </si>
  <si>
    <t>текстиль</t>
  </si>
  <si>
    <t>42</t>
  </si>
  <si>
    <t>F4CONIFER02/SUE</t>
  </si>
  <si>
    <t>NA4IKOWA1</t>
  </si>
  <si>
    <t>Ботинки Napapijri Conifer Suede Boots представляют собой идеальное сочетание комфорта и стиля. Изготовленные из высококачественной замши, они привлекают внимание своим элегантным дизайном и изысканными деталями. Длинная шнуровка подчеркивает их уникальный стиль, вдохновленный природой, и обеспечивает надежную фиксацию на ноге. Легкая подошва из филона гарантирует комфорт на протяжении всего дня, делая эти ботинки отличным выбором для городской жизни в зимний период. Эти ботинки не только теплые и удобные, но и придают образу современный и модный акцент, идеально сочетаясь с повседневной одеждой.</t>
  </si>
  <si>
    <t>верх: 90% кожа коровы, 10% полиэстер, подкладка: 100% полиэстер, подошва: 100% резина</t>
  </si>
  <si>
    <t>12</t>
  </si>
  <si>
    <t>F2MATCH01-SUP</t>
  </si>
  <si>
    <t>NA4H6SCV002</t>
  </si>
  <si>
    <t>Кроссовки Napapijri Match Casual, легкие и удобные, с мягкими и современными линиями, идеально подходят для повседневной носки. Верх выполнен из замши и украшен контрастным логотипом и отделкой. Легкая, амортизирующая, микропористая подошва с рифленым протектором обеспечивает отличное сцепление с поверхностью.Материал: Верх - натуральная кожа (замша), полиуретан; Подкладка - текстиль (полиэстер); Подошва - 80 % ЭВА + 20 % резинаЛаконичный дизайнФилоновая промежуточная подошва из ЭВА обеспечивает амортизацию и комфортУсиленная носочная областьИзносостойкая подметка</t>
  </si>
  <si>
    <t>верх 50% полиуретан, 50% кожа коровы, подкладка 100% полиэстер, подошва 80% филон, 20% резина</t>
  </si>
  <si>
    <t>ECCO NOUVELLE</t>
  </si>
  <si>
    <t>216263-60825</t>
  </si>
  <si>
    <t>Ботильоны</t>
  </si>
  <si>
    <t>Женские зимние ботильоны из натуральной замши Ecco Nouvelle  - идеальный выбор для холодной погоды. Основной материал - высококачественная натуральная замша, обработанная на собственных кожевенных производствах Ecco.
Носок и пятка модели обтянуты кожей, чтобы защитить мягкий верх от влаги и грязи и надолго сохранить великолепный внешний вид. Утепленная подкладка из натуральной овчины сохранит тепло и уют в течение всего дня. Легкая и гибкая полиуретановая подошва обладает высокой амортизацией и обеспечивает устойчивость и комфорт.
Мягкое голенище можно носить поднятым или опустить, чтобы была видна подкладка из шерсти. 
Современная технология бренда Ecco Fluidform позволяет создать анатомически правильную подошву и соединить ее с верхом модели. Такое решение позволяет сохранить гибкость, мягкость и прочность подошвы.</t>
  </si>
  <si>
    <t>Материал верха: замша/кожа. Материал подкладки: нат. мех(овчина)/текстиль (шерсть). Утеплитель: текстиль (шерсть/искусственный мех). Материал подошвы: Полиуретан/резина</t>
  </si>
  <si>
    <t>977119320038-0200</t>
  </si>
  <si>
    <t>Мужские кроссовки Xtep Retro Daddy Series Sports Life - это стильная и комфортная обувь, созданная для активного образа жизни. Эти кроссовки выполнены из качественных материалов, которые гарантируют комфорт и снижение утомления во время физических нагрузок.
Верх кроссовок выполнен из кожи и мягких материалов, что обеспечивает комфорт и дополнительную поддержку ноги во время движения. Мягкая и удобная подкладка предотвращает натирания и создает ощущение комфорта на всю ногу.
Кроссовки Xtep Retro Daddy Series Sports Life также оснащены современными технологиями, такими как специальная протекторная конструкция подошвы, которая обеспечивает надежное сцепление с поверхностью. Дополнительно, эти обувь имеют встроенную амортизацию и инновационную технологию арочной поддержки, которые повышают уровень комфорта и уменьшают утомляемость стопы.
Кроссовки Xtep Retro Daddy Series Sports Life имеют стильный дизайн, который представляет собой сочетание ретро-стиля и современных технологий в одном. Эти кроссовки идеально подходят для физических нагрузок, таких как бег, занятия в зале и других видов спорта, а также для повседневной носки.</t>
  </si>
  <si>
    <t>F4CONIFER01/SUE</t>
  </si>
  <si>
    <t>NA4IKQWA1</t>
  </si>
  <si>
    <t>Conifer String — это ботинки на шнуровке с характерной длинной шнуровкой и стилем, вдохновленным природой. Изготовлены из 100% мягкой замши с легкой подошвой из филона для обеспечения максимального комфорта. Классика с модным акцентом, идеально подходят для использования в городе зимой.</t>
  </si>
  <si>
    <t>верх: 100% кожа коровы, подкладка: 100% полиэстер, подошва: 100% резина</t>
  </si>
  <si>
    <t>BIOM 2.1 X MOUNTAIN M</t>
  </si>
  <si>
    <t>823874-50869</t>
  </si>
  <si>
    <t>Универсальная модель мужских кроссовок ECCO BIOM 2.1 X MOUNTAIN M подойдёт как для городской среды, так и для горных трейлов и пеших походов. Всё дело в амортизирующей конструкции подошвы ECCO FLUIDFORM и технологии BIOM NATURAL MOTION, которые дарят естественное движение без усталости, сколько бы километров ни было за плечами, а резиновые шипы EPR+ подарят устойчивость на любой поверхности. Тёплая флисовая подкладка Primaloft 200 согреет при небольшом морозе, чтобы защитить ноги от перепада температур на разных высотах в горах или в изменчивых погодных условиях межсезонья.
Стильный монохромный дизайн в стиле датского минимализма дополнит образ в повседневном или спортивном стиле для любого повода. Энергичный и динамичный облик модели достигается за счёт комбинации разных материалов и необычной фактуры. Идеальный выбор для города, активного отдыха на природе, горных прогулок или всего сразу!
Лёгкая подошва из материала ECCO PHORENE не утяжеляет шаг и сохраняет свою упругость и амортизацию при низких температурах и в мороз. Резиновый протектор с разнонаправленными шипами ECCO PERFORMANCE RUBBER+ справится даже со сложными поверхностями гор и каменистых трейлов и подарит устойчивое и стабильное движение.
Анатомическая колодка ECCO FLUIDFORM равномерно загружает стопу, снижая при этом усталость при интенсивных нагрузках. Технология BIOM NATURAL MOTION подключает те мышцы и связки, которые обычно участвуют в движении босиком, усиливая естественность шага, чтобы обувь ощущалась как продолжение ноги.
Верх из роскошной натуральной кожи имеет оригинальный облик и прочную структуру. Материал обработан на собственных кожевенных фабриках ECCO с применением новейших технологий в области дубления и выделки кожи. Синтетический утеплитель Primaloft® 200 согревает в условиях мороза до минус 10–15°C (зависит от физической активности и индивидуальных ощущений от холода). Текстильная подкладка и стелька обеспечивают воздухообмен и поглощают влагу для комфортной посадки.</t>
  </si>
  <si>
    <t>Кожа, текстиль</t>
  </si>
  <si>
    <t>MAN CANVAS SNEAKER</t>
  </si>
  <si>
    <t>NA4HLHB3A</t>
  </si>
  <si>
    <t>Кеды</t>
  </si>
  <si>
    <t>Napapijri MAN CANVAS SNEAKER - это удобные и элегантные мужские кеды, выполненные из качественных материалов. Верхняя часть кед выполнена из прочного канваса, который обеспечивает хорошую вентиляцию и защиту ноги от наружных воздействий. Кеды имеют классический дизайн с закругленным носком и шнуровкой на передней части, что позволяет дополнительно регулировать полноту и удобство. 
Модель обеспечивает максимальный комфорт при ходьбе. Легкая подошва из ЭВА материала обеспечивает комфортную амортизацию и дополнительную защиту от ударов. Профиль подошвы также обеспечивает максимальное сцепление при ходьбе на различных поверхностях, что делает эти кеды отличным выбором для ежедневной носки, занятий спортом или прогулок по городу.
Napapijri MAN CANVAS SNEAKER - это прочная и стильная обувь, которая станет отличным дополнением для вашего гардероба, и позволит вам чувствовать себя уверенно и комфортно в любой ситуации.</t>
  </si>
  <si>
    <t>верх: 90% текстиль (100% хлопок), 10% синтетические материалы (50% полиэстер, 50% полиуретан), подкладка: 80% хлопок, 20% полиуретан, подошва: 100% резина</t>
  </si>
  <si>
    <t>BIRCH</t>
  </si>
  <si>
    <t>NA4I7F176</t>
  </si>
  <si>
    <t>Кроссовки Napapijri Birch отличаются чистыми линиями и объемами, идеально подходя для повседневного casual-стиля. Эти кроссовки станут отличным дополнением к вашему гардеробу, обеспечивая комфорт и стиль в течение всего дня.
Данные кроссовки созданы для тех, кто ценит сочетание стиля и функциональности. Их прочная резиновая подошва и хлопковый верх обеспечивают долговечность и комфорт, делая их идеальными для повседневной носки.
Особенности:
- Лаконичные линии с контрастным логотипом на боку;
- Материалы верха: 100% хлопок для удобства и вентиляции;
- Подошва: 100% резина, прочная и легкая;
- Легкие и удобные кроссовки для ежедневного использования.</t>
  </si>
  <si>
    <t>верх: 100% хлопок, подкладка: текстиль, подошва: резина</t>
  </si>
  <si>
    <t>F4ASTRA01/PUN</t>
  </si>
  <si>
    <t>NA4IJY02U</t>
  </si>
  <si>
    <t>Napapijri Astra Trainers — это сочетание современного дизайна и непревзойденного комфорта, что делает их идеальными для повседневной носки. Верхняя часть кроссовок выполнена из сетчатого материала, который обеспечивает отличную вентиляцию и комфорт на протяжении всего дня. Оптимальная амортизация достигается благодаря легкой и гибкой подошве, которая гарантирует удобство при ходьбе. Стильный внешний вид дополняется узнаваемым брендингом Napapijri, который подчеркивает уникальность и качество. Astra Trainers подойдут тем, кто ищет универсальную и модную обувь для динамичной жизни.</t>
  </si>
  <si>
    <t>белый/розовый</t>
  </si>
  <si>
    <t>верх: 55% полиуретан, 45% полиэстер, подкладка: 100% полиэстер, подошва: 100% резина</t>
  </si>
  <si>
    <t>F2HAZEL02-LEA</t>
  </si>
  <si>
    <t>NA4H7ANBI</t>
  </si>
  <si>
    <t>Женские стильные кроссовки из коллекции Napapijri в современном цветовом сочетании. Они подходят для повседневной носки.
Верх из кожи и резиновая подошва гарантируют вам комфорт при ношении.Эта обувь идеально подходит для повседневной носки и для легкого спорта. Они являются идеальным выбором и подойдут практически к любому современному наряду.</t>
  </si>
  <si>
    <t>верх: 65% свиная кожа, 35% полиуретан, подкладка: 90% полиэстер, 10% полиуретан, подошва: 80% этиленвинилацетат, 20% резина</t>
  </si>
  <si>
    <t>6,5</t>
  </si>
  <si>
    <t>NA4HLI041</t>
  </si>
  <si>
    <t>977118310035-6353</t>
  </si>
  <si>
    <t>ВЕРХ: 95% ПОЛИУРЕТАН, 5% ПОЛИЭСТЕР ПОДКЛАДКА: 100% ПОЛИЭСТЕР НИЗ: 100% ЭВА</t>
  </si>
  <si>
    <t>977118310071-0200</t>
  </si>
  <si>
    <t>ECCO ULT-TRN M</t>
  </si>
  <si>
    <t>824254-56665</t>
  </si>
  <si>
    <t>ХИТ</t>
  </si>
  <si>
    <t>Мужские кроссовки ECCO ULT-TRN M с эргономичной сверхлегкой подошвой смотрятся органично не только на природе, но и на городских улицах. Эффект многослойности и использование материалов разных фактур делает верх объемнее и современнее. Изготовлены из натурального нубука по экологичной технологии ECCO DriTan. Этот материал устойчив к внешнему воздействию и прост в уходе, поэтому кроссовки надолго сохранят превосходный внешний вид. 
Сетчатый текстиль идеален для спортивной обуви: он легкий, тонкий и дышащий, поэтому ноги не перегреваются и меньше потеют даже при интенсивных нагрузках. 
Инновационная мембрана Waterproof не допускает промокания верха и отводит испарения изнутри, сохраняя ноги сухими в любую погоду
Подкладка из мягкого текстиля поддерживает комфортный внутренний микроклимат. 
Уникальная сверхлегкая подошва ECCO PHORENE обладает повышенной амортизацией и гибкостью. Супинатор в зоне пятки улучшает стабильность шага и снижает ударную нагрузку. Самоочищающийся резиновый протектор Michelin имеет разнонаправленный глубокий рисунок и две зоны устойчивости для уверенного и безопасного движения даже на сложных трейлах.
Инновационная технология ECCO FLUIDFORM формирует анатомически правильную подошву в соответствии с естественными контурами стопы. Подошва крепится к верху модели без клея и швов, поэтому получается гибкой, мягкой и прочной.</t>
  </si>
  <si>
    <t>Waterproof. Водооталкивающий материал.</t>
  </si>
  <si>
    <t>промасленный нубук</t>
  </si>
  <si>
    <t>COG BELT  BLTS STH</t>
  </si>
  <si>
    <t>ABYAA00263-STH</t>
  </si>
  <si>
    <t>Ремень</t>
  </si>
  <si>
    <t>Прочие аксессуары</t>
  </si>
  <si>
    <t>Headband</t>
  </si>
  <si>
    <t>MC-BB728</t>
  </si>
  <si>
    <t>Повязка на голову</t>
  </si>
  <si>
    <t>OS</t>
  </si>
  <si>
    <t>Set (T-shirt/shirt)</t>
  </si>
  <si>
    <t>MC-BC311</t>
  </si>
  <si>
    <t>Комплект (футболка/рубашка)</t>
  </si>
  <si>
    <t>Рубашки</t>
  </si>
  <si>
    <t>Представляем стильный комплект для мальчика, состоящий из рубашки с коротким рукавом и футболки, идеально подходящий для активного летнего отдыха. Рубашка украшена классическим узором в клетку и имеет ряд деталей, обеспечивающих комфорт и практичность: короткие рукава, классический воротник и контрастную бейку, защищающую кожу от раздражения. Она оснащена пуговицами по всей длине спереди, карманом на груди для небольших сокровищ и округленным подолом для добавления стиля. Футболка с ярким рисунком "Акула" добавляет игривой нотки и придаёт образу динамичность. Выполненный из мягких, дышащих материалов, этот комплект гарантирует удобство и свободу движений вашего малыша в течение всего дня. Он идеально подойдёт как для повседневных прогулок, так и для особых случаев, делая каждое появление вашего ребенка ярким и запоминающимся.</t>
  </si>
  <si>
    <t>70% Хлопок,30% Лен;</t>
  </si>
  <si>
    <t>Blouse</t>
  </si>
  <si>
    <t>MC-BC763</t>
  </si>
  <si>
    <t>Блузка</t>
  </si>
  <si>
    <t>Эта очаровательная хлопковая блузка для девочек привносит яркий летний акцент в детский гардероб благодаря изысканному узору с "Тропическими птичками". Изготовленная из 100% хлопка, она обеспечивает комфорт и воздухопроницаемость в течение всего дня. Особое внимание привлекают рукава-фонарики, которые придают модели воздушность и романтичность. Блузка оснащена хлопковой подкладкой, что делает её ещё более приятной к телу. Застежка на пуговицы располагается на спинке, облегчая процесс одевания и снимая акцент с передней части, позволяя узору выглядеть ещё более эффектно. Эта блузка станет идеальной парой как с юбками, так и с джинсами, создавая стильные и удобные образы для любых поводов.</t>
  </si>
  <si>
    <t>Shirt</t>
  </si>
  <si>
    <t>MC-CA891</t>
  </si>
  <si>
    <t>Рубашка</t>
  </si>
  <si>
    <t>Представляем рубашку-куртку для мальчика, которая станет незаменимой вещью в прохладные дни. Эта стильная модель с подкладкой из мягкого искусственного меха обеспечивает дополнительное тепло и комфорт. Крой оверсайз дает свободу движения, что особенно важно для активных ребят. Длинные рукава защитят от холода, а накладные карманы на пуговицах добавляют практичности, позволяя хранить важные мелочи. Узор в клеточку придает изделию модный и современный вид. Такая рубашка-куртка будет отлично сочетаться как с джинсами, так и с более классическими брюками, создавая стильные образы для любой ситуации.</t>
  </si>
  <si>
    <t>BACKPACK</t>
  </si>
  <si>
    <t>B1231060-RED</t>
  </si>
  <si>
    <t>Рюкзак</t>
  </si>
  <si>
    <t>Сумки и рюкзаки</t>
  </si>
  <si>
    <t>Рюкзаки</t>
  </si>
  <si>
    <t>Рюкзак Peak - это прочный и удобный рюкзак для ношения в повседневной жизни, путешествиях или спортивных мероприятиях. Он выполнен из качественных материалов и имеет прочную конструкцию, что делает его долговечным и надежным.
Рюкзак Peak имеет удобную форму и достаточную вместительность, чтобы хранить все необходимые вещи. Его внутреннее отделение разделено на несколько секций для удобства хранения, а также имеется карман на молнии для хранения ценных вещей. Он имеет дополнительный карман на передней стенке и боковые карманы для хранения бутылок с водой или других вещей, которые необходимо иметь под рукой. Ремни на лямках регулируются по длине, что позволяет настроить крепление рюкзака на любом росте и оставить руки свободными.
Рюкзак Peak также имеет дополнительное усиление на дне, что обеспечивает дополнительную защиту и прочность для рюкзака. Сочетание износостойких материалов и качественной конструкции делают рюкзак Peak идеальным выбором для повседневного использования, путешествий, походов и спортивных мероприятий.
Если вы ищете простой и удобный рюкзак, который прослужит вам долгое время, рюкзак Peak является идеальным выбором для вас.</t>
  </si>
  <si>
    <t>OneSize</t>
  </si>
  <si>
    <t>Backpack</t>
  </si>
  <si>
    <t>B1231140-KHK</t>
  </si>
  <si>
    <t>Рюкзак Peak Backpack - ваш незаменимый спутник для каждого приключения! Этот стильный и прочный рюкзак обеспечивает максимальный комфорт и удобство в любых условиях. С его помощью вы сможете легко организовать свои вещи и снаряжение, благодаря большому основному отделению и многочисленным карманам. Прочные материалы и плотные швы обеспечивают долговечность и надежность, а эргономичная конструкция смягчает нагрузку на спину и позволяет вам чувствовать себя комфортно даже при длительных путешествиях. Независимо от того, отправляетесь ли вы в горы, в парк или на путешествие, рюкзак Peak Backpack станет вашим верным спутником, готовым помочь вам достичь новых высот!</t>
  </si>
  <si>
    <t>Clogs</t>
  </si>
  <si>
    <t>MC-BB590</t>
  </si>
  <si>
    <t>Сабо</t>
  </si>
  <si>
    <t>Сандалии и шлепанцы</t>
  </si>
  <si>
    <t>100% этиленвинилацетат</t>
  </si>
  <si>
    <t>25,5</t>
  </si>
  <si>
    <t>26,5</t>
  </si>
  <si>
    <t>29</t>
  </si>
  <si>
    <t>30,5</t>
  </si>
  <si>
    <t>32</t>
  </si>
  <si>
    <t>33</t>
  </si>
  <si>
    <t>34</t>
  </si>
  <si>
    <t>Flip-flops</t>
  </si>
  <si>
    <t>MC-BB592</t>
  </si>
  <si>
    <t>Шлепанцы</t>
  </si>
  <si>
    <t>100% поливинилхлорид</t>
  </si>
  <si>
    <t>24</t>
  </si>
  <si>
    <t>MC-BB633</t>
  </si>
  <si>
    <t>Set (T-shirt/shorts)</t>
  </si>
  <si>
    <t>MC-CA428</t>
  </si>
  <si>
    <t>Комплект (футболка/шорты)</t>
  </si>
  <si>
    <t>Спортивные костюмы</t>
  </si>
  <si>
    <t>Детский комплект, состоящий из шорт и футболки, идеально подходит для активных и солнечных дней. Футболка с короткими рукавами и круглым вырезом выполнена из мягкой и дышащей ткани, обеспечивая максимальный комфорт и свободу движений. Прямой крой позволяет ребёнку чувствовать себя легко и непринуждённо, а отсутствие застёжек делает её особенно удобной для быстрого переодевания.
Шорты дополняют образ своей простотой и удобством. Эластичный пояс обеспечивает надёжную посадку без необходимости застёжек, что делает комплект идеальным выбором для игр и прогулок. Шорты изготовлены из лёгкого материала, который обеспечивает комфорт даже в жаркую погоду. Этот комплект сочетает в себе практичность и стиль, позволяя ребёнку выглядеть модно и чувствовать себя уверенно в любой ситуации.</t>
  </si>
  <si>
    <t>ROUND NECK SWEATER</t>
  </si>
  <si>
    <t>FW6231152-BLK</t>
  </si>
  <si>
    <t>Джемпер</t>
  </si>
  <si>
    <t>Толстовки и ветровки</t>
  </si>
  <si>
    <t>Женский свитшот Peak ROUND NECK SWEATER - это удобная и практичная вещь для расслабленного образа. Он выполнен из мягкого и приятного к телу материала высокого качества, состоящего из 100% хлопка. Свитшот имеет круглый вырез и длинные рукава с манжетами, что делает его удобным и легким в ношении. На груди украшен логотипом Peak Performance, что добавляет элементы элегантности и красивого дизайна. Свитшот идеально подходит для повседневного ношения и может быть сочетан с любыми другими предметами гардероба. Он доступен в различных размерах и цветах, чтобы каждая женщина могла выбрать подходящий вариант для себя.</t>
  </si>
  <si>
    <t>46% полиэстер, 45% хлопок, 9% спандекс</t>
  </si>
  <si>
    <t>Sweatshirt</t>
  </si>
  <si>
    <t>MC-CA407</t>
  </si>
  <si>
    <t>Толстовка</t>
  </si>
  <si>
    <t>Толстовка для девочек Mothercare — оптимальный выбор для повседневного комфорта и стиля. Изготовленная из 100% качественного хлопка, она обеспечивает тепло и мягкость, сохраняя кожу ребенка сухой и защищенной в прохладные дни. Толстовка легко сочетает с различными элементами гардероба – от джинсов до юбок, что делает её универсальным вариантом для создания стильных образов.
- Натуральный хлопок высокого качества гарантирует мягкость и воздухопроницаемость, заботясь о комфорте даже во время активных игр.
- Застежка-молния облегчает процесс одевания и снятия, экономя время родителей и предоставляя удобство детям.
- Эластичные манжеты и низ толстовки обеспечивают дополнительную защиту от холода и идеальную посадку по фигуре.
- Свободный крой не стесняет движений, позволяя ребенку заниматься любимыми делами без лишнего дискомфорта.
- Каждое изделие проходит строгий контроль качества, гарантируя безопасность и долговечность, чтобы вы могли быть уверены в выборе для вашего ребенка.</t>
  </si>
  <si>
    <t>фиолетовый</t>
  </si>
  <si>
    <t>MC-BA805</t>
  </si>
  <si>
    <t>Это очаровательное детское худи станет незаменимой вещью в гардеробе вашего ребёнка. Оно выполнено с заботой о комфорте и стильном внешнем виде. Внутренняя сторона с петельчатой изнанкой обеспечивает мягкость и уют в носке. Длинные рукава с эластичными манжетами добавляют удобства, а объемный капюшон с трикотажной подкладкой защитит от ветра и холода. Для предотвращения раздражения кожи шеи используется однотонная бейка. Особое внимание привлекает узор в горошек и отделка пайетками на рукавах. Надпись из пайеток "Добрая" придаёт изделию уникальный и доброжелательный вид. Подкладка в аппликации обеспечивает дополнительную защиту кожи от возможного раздражения. Это худи не только стильное, но и практичное, идеально подходит для активных детей.</t>
  </si>
  <si>
    <t>Sweater</t>
  </si>
  <si>
    <t>MC-CA406</t>
  </si>
  <si>
    <t>Эта стильная детская толстовка из трикотажа с петельчатой изнанкой сочетает в себе максимальный комфорт и современный дизайн. Выполненная в модной технике дип-дай, она создает впечатляющий градиентный эффект, который привлекает внимание и выделяет ребенка из толпы. Декоративная лента "металлик" добавляет яркий акцент, подчеркивая индивидуальный стиль и придавая изделию неповторимую оригинальность. Толстовка отлично подходит для создания повседневного образа с ноткой креативности, позволяя легко сочетать ее с различными элементами гардероба, от джинсов до спортивных брюк. Мягкая и приятная на ощупь ткань обеспечивает уют и комфорт, а свободный крой не стесняет движений, что особенно важно для активных детей. Эта толстовка станет яркой изюминкой гардероба, обеспечивая стиль и удобство в любую погоду. Независимо от того, идет ли дело о прогулке в парке или занятиях в школе, эта толстовка внесет в образ вашего ребенка свежесть и яркость.</t>
  </si>
  <si>
    <t>MC-CD159</t>
  </si>
  <si>
    <t>Этот уютный детский свитшот из теплого футера с начесом — идеальный компаньон в прохладную погоду. Материал свитшота мягкий и приятен на ощупь, обеспечивая необходимое тепло и комфорт в любой ситуации. Классический крой этого изделия гарантирует свободу движений, что позволяет ребенку активно двигаться и играть без каких-либо ограничений. Свитшот отлично подходит для прогулок, игр и повседневного ношения. Он легко сочетается как с джинсами, так и со спортивными брюками, создавая стильные образы. Манжеты и пояс из резинки плотно прилегают к телу, защищая от продувания и обеспечивая дополнительный комфорт. Эта деталь делает свитшот отличным выбором для активных ребят, которым нужно выглядеть стильно и чувствовать себя удобно. Комбинируя практичность и долговечность, свитшот станет любимым элементом гардероба вашего ребенка.</t>
  </si>
  <si>
    <t>Set (sweater/pants)</t>
  </si>
  <si>
    <t>MC-ZC560-1</t>
  </si>
  <si>
    <t>Комплект (джемпер/брюки)</t>
  </si>
  <si>
    <t>Этот милый вязаный комплект для малыша прекрасно подходит для зимнего сезона и праздничных мероприятий. Комплект включает в себя уютный джемпер с очаровательной аппликацией "Санта", которая обязательно вызовет улыбку у всех вокруг. Джемпер изготовлен из мягких, высококачественных материалов, чтобы обеспечить максимальный комфорт вашему малышу. В комплект также входят мягкие брюки, которые идеально сидят и не стесняют движений, позволяя малышу свободно играть и исследовать мир. Этот комплект не только теплый, но и стильный, идеально дополняющий праздничную атмосферу своего ярким и забавным дизайном.</t>
  </si>
  <si>
    <t>NB B IA AOP SWEAT</t>
  </si>
  <si>
    <t>MC-CB833</t>
  </si>
  <si>
    <t>Свитшот от Mothercare: Комфорт и стиль для маленьких исследователей.
Эргономичный крой и эластичные манжеты на рукавах и поясе гарантируют отличную посадку и свободу движений. Свитшот не сковывает активные движения ребенка, будь то игры на улице или домашние занятия.
 Мы предлагаем разнообразие модных цветов и стильных принтов, которые порадуют как детей, так и их родителей. От веселых и ярких рисунков до сдержанных и элегантных вариантов — каждый найдет что-то по душе. Свитшот легко стирается и быстро сохнет, что делает его незаменимым элементом повседневной одежды. Высококачественные материалы сохраняют свои свойства и внешний вид даже после многократных стирок.
Комбинируйте наш свитшот с джинсами, леггинсами или спортивными брюками. Этот базовый элемент гардероба подойдет для любых ситуаций – от школьных будней до прогулок в парке.
 Mothercare всегда ставит на первое место безопасность вашего ребенка. Все наши изделия проходят строгий контроль качества и соответствуют международным стандартам.</t>
  </si>
  <si>
    <t>светло-серый</t>
  </si>
  <si>
    <t>B-NEDLES H DARK OLIVE G3A</t>
  </si>
  <si>
    <t>NA8926G3A</t>
  </si>
  <si>
    <t>Приобретая худи B-NEDLES H от NAPAPIJRI, вы инвестируете в долговечную, качественную и спортивно-элегантную вещь, которая должна быть в гардеробе каждого активного человека.
Ещё одна сдержанная, но стильная деталь — небольшой вышитый логотип бренда и фирменная нашивка-флаг на уровне груди. Эти элементы создают чёткий модный акцент, не выглядя навязчиво, и подчёркивают идентичность бренда NAPAPIJRI. Лаконичный, чистый дизайн модели B-NEDLES H делает её надёжной базой для любого спортивного гардероба — идеально подходит для расслабленных стритстайл-образов, занятий в тренажёрном зале или прогулок по городу в сочетании с джинсами.
Ключевая особенность этого худи — регулируемый капюшон с практичным шнурком-утяжкой. Капюшон можно индивидуально подстроить под ваши потребности: он надёжно защищает от ветра и лёгкого дождя. Эластичные трикотажные манжеты на рукавах и по низу изделия не только сохраняют форму толстовки, но и придают ей спортивный вид, а также обеспечивают дополнительное тепло в прохладные дни.
Изготовленное из 100% мягкой хлопка качества французского терри (French Terry), худи B-NEDLES H NAPAPIJRI обеспечивает приятные тактильные ощущения и отличную воздухопроницаемость — будь то тренировка, активный отдых на природе или повседневная носка. Стандартный крой худи оптимально облегает различные типы фигур, не стесняя движений, — так сохраняется максимальная свобода перемещения, что особенно важно для спорта и активного досуга.
Изделие «B-NEDLES H NAPAPIJRI» от известного бренда NAPAPIJRI сочетает в себе спортивную непринуждённость и премиальный комфорт. Этот худи с капюшоном станет идеальным спутником для активных людей, ценящих функциональность и стиль. Те, кто ищет надёжный, модный и универсальный в комбинировании худи, непременно оценят эту модель по достоинству.</t>
  </si>
  <si>
    <t>3XL</t>
  </si>
  <si>
    <t>XXL</t>
  </si>
  <si>
    <t>POLAR FLEECE WINDBREAKER</t>
  </si>
  <si>
    <t>FW2231058-RED</t>
  </si>
  <si>
    <t>Ветровка</t>
  </si>
  <si>
    <t>Peak POLAR FLEECE WINDBREAKER - это легкая куртка, которая защищает от ветра и холода в зимний период. Она выполнена из мягкого полар-флиса, который эффективно сохраняет тепло и не сковывает движения. Куртка имеет приталенный крой, удобный капюшон, два боковых кармана и застежку на молнию с защитой подбородка. Ее гладкая поверхность и минималистичный дизайн делают ее идеальным вариантом для повседневной носки в городе или для занятий легкой физической активностью на свежем воздухе. Кроме того, она отлично сочетается с другими предметами одежды и легко упаковывается в сумку, что делает ее идеальной для поездок и путешествий.</t>
  </si>
  <si>
    <t>MC-BD009</t>
  </si>
  <si>
    <t>MC-CB991</t>
  </si>
  <si>
    <t>Худи для мальчиков Mothercare — комфорт и стиль в одном худи для повседневного использования. Изготовленное из 100% хлопка, это худи станет неотъемлемой частью гардероба вашего ребенка. Подходит как для ежедневных прогулок, так и для активных игр, обеспечивая уют и защиту. Качественная ткань из 100% хлопка обеспечивает мягкость и воздухопроницаемость, снижая риск раздражений на коже ребенка и удерживая тепло без излишков.
- Универсальный дизайн позволяет сочетать изделие с джинсами или спортивными штанами, создавая стильные образы для школы и игр.
- Высокие стандарты качества гарантируют, что каждая деталь прошла тщательную проверку на безопасность, обеспечивая родителям душевное спокойствие.
- Легкий уход за тканью позволяет сохранять форму и насыщенность цвета даже после частых стирок, продлевая срок службы изделия.
- Простой крой не ограничивает движения, позволяя ребенку активно проводить время и чувствовать себя уверенно.
- Модный серый цвет гармонирует с яркими и пастельными элементами гардероба, делая худи идеальным решением на каждый день.</t>
  </si>
  <si>
    <t>MC-ZB073</t>
  </si>
  <si>
    <t>MC-ZB455</t>
  </si>
  <si>
    <t>Cardigan</t>
  </si>
  <si>
    <t>MC-ZB456</t>
  </si>
  <si>
    <t>Кардиган</t>
  </si>
  <si>
    <t>Alpha 1/4 ZIP Yth</t>
  </si>
  <si>
    <t>JT738112-NV</t>
  </si>
  <si>
    <t>Разогреваясь, охлаждаясь или отдыхая, Alpha 1/4 Zip поможет вам. Технология Wartech: система управления влажностью: ткани сохраняют тепло, отводя пот и влагу от тела.</t>
  </si>
  <si>
    <t>Полиэстер 100%</t>
  </si>
  <si>
    <t>T-shirt</t>
  </si>
  <si>
    <t>MC-BC694</t>
  </si>
  <si>
    <t>Футболка</t>
  </si>
  <si>
    <t>Футболки и майки</t>
  </si>
  <si>
    <t>Внесите в гардероб вашей юной модницы яркий акцент с модной футболкой, которая идеально сочетает уникальный стиль и комфорт. Эта модель, выполненная из мягких, дышащих тканей, обеспечит комфорт в течение всего дня. Объемный короткий рукав добавляет изысканности и женственности, придавая образу особую утонченность. 
Захватывающий узор в стиле тай-дай превращает каждый день в праздник цвета, гарантируя, что ваша маленькая модница будет выделяться из толпы. Уникальная палитра оттенков создаёт эффект динамики и веселого настроения, что идеально подходит для летних дней. Завершающим штрихом футболки выступает бахрома по подолу, которая добавляет образу легкость и игривость, делая её более экстравагантной и запоминающейся.
Эта футболка станет незаменимым выбором для прогулок и летних приключений, подчеркивая индивидуальность каждой маленькой модницы. Отличное дополнение к любому образу!</t>
  </si>
  <si>
    <t>MC-BA885</t>
  </si>
  <si>
    <t>Футболка от Mothercare — это сочетание яркости и комфорта. Изготовленная из 100% хлопка, она заботится о нежной коже вашего ребенка. Этот универсальный элемент гардероба подходит как для игры, так и для учебы, сохраняя свежий вид даже после множества стирок. Подходит для многих случаев, начиная с семейных прогулок и заканчивая активными играми и занятиями спортом.
- Мягкий и дышащий хлопок обеспечивает максимальный комфорт и гипоаллергенную защиту, что важно для чувствительной кожи детей.
- Продуманный крой и прочные швы гарантируют долговечность и позволяют сохранять первоначальный вид футболки.
- Удобная посадка и свободная конструкция обеспечивают полную свободу движений, идеально подходя для активных детей.
- Универсальность дизайна позволяет комбинировать её с джинсами, шортами или юбками, создавая стильные образы.
- Благодаря ярким цветам и гипоаллергенной ткани, эта футболка идеально подходит для повседневного использования.</t>
  </si>
  <si>
    <t>MC-BA883</t>
  </si>
  <si>
    <t>Укороченная хлопковая футболка для девочки с коротким рукавом, выполнена в стильном темно-синем цвете. Изюминкой модели является очаровательный узор "Горох", придающий ей игривость и модный акцент. Идеально подходит для создания ярких и комфортных образов.</t>
  </si>
  <si>
    <t>MC-BA845</t>
  </si>
  <si>
    <t>Откройте для вашего ребенка мир яркости и комфорта с новой футболкой от Mothercare! Эта универсальная и стильная футболка станет незаменимым элементом гардероба, идеально подходящим для активных игр, походов в школу или семейных прогулок. Футболка от Mothercare изготовлена из высококачественного, 100% мягкого и дышащего хлопка, обеспечивающего максимальный комфорт и удобство. Ультра-мягкая ткань не только приятна на ощупь, но и гипоаллергенна, заботясь о нежной коже вашего малыша. Специально разработанный крой и прочные швы гарантируют долговечность, сохраняя первоначальный вид даже после множества стирок. Каждый мелкий элемент этой футболки, начиная с тщательно выполненных швов и заканчивая аккуратной отделкой горловины, обеспечивает долгий срок службы и неизменный стиль. Футболка также отличается яркими и насыщенными цветами, которые не поблекнут и после многочисленных стирок, сохраняя свою привлекательность и яркость. Благодаря универсальному дизайну футболка легко сочетается с любыми другими элементами одежды, будь то джинсы, шорты или юбки, создавая стильные и удобные образы на каждый день. Ваша забота о комфорте и безопасности малыша будет на высоте.</t>
  </si>
  <si>
    <t>MC-BA628</t>
  </si>
  <si>
    <t>Подарите вашему мальчику комфорт и стиль с этой уникальной темно-серой хлопковой футболкой. Она отличается оригинальным светящимся в темноте рисунком динозавра, который обязательно привлечет внимание и станет любимым элементом гардероба. На спине футболки расположена надпись "Не оглядывайся", добавляющая нотку дерзости и уверенности. Изготовленная из мягкого и дышащего хлопка, эта футболка обеспечивает свободу движений и удобство на каждый день. Короткие рукава и эластичная горловина делают её идеальной для активных прогулок и игр. Контрастная бейка предотвращает раздражение кожи шеи, а удлиненная спинка с разрезами по бокам придает современный вид и дополнительный комфорт. Эта футболка легко сочетается с джинсами или шортами, создавая стильные образы для любых приключений.</t>
  </si>
  <si>
    <t>MC-BA594</t>
  </si>
  <si>
    <t>Эта темно-синяя хлопковая футболка станет отличным дополнением гардероба вашего маленького исследователя. Она украшена вдохновляющей надписью "Следуй за дикой природой", которая побуждает к приключениям и исследованию мира вокруг. Изготовленная из мягкого, дышащего хлопка, эта футболка обеспечивает комфорт в течение всего дня. Короткие рукава и эластичная горловина делают её идеальной для активных игр. Контрастная бейка на горловине предотвращает раздражение кожи, позволяя чувствовать себя комфортно даже в самых жарких условиях. Эта футболка отлично сочетается с джинсами или шортами, добавляя стиль и удобство в каждый день.</t>
  </si>
  <si>
    <t>MC-BA559</t>
  </si>
  <si>
    <t>Представляем стильную футболку с коротким рукавом в энергичном красном цвете, украшенную вдохновляющим принтом-надписью "Играй и побеждай!". Эта футболка станет отличным выбором для активных и уверенных в себе детей, стремящихся к победам каждый день. Эластичная горловина обеспечивает комфорт и свободу движений, а контрастная бейка предотвращает раздражение кожи шеи, делая ношение футболки максимально приятным. Яркий дизайн и мотивационный слоган добавят уверенности и настроения в любой день. Эта футболка идеально подойдет для учебы, прогулок и активного отдыха.</t>
  </si>
  <si>
    <t>MC-BA561</t>
  </si>
  <si>
    <t>Представляем хлопковую футболку для мальчика в универсальном сером цвете, которая станет отличным дополнением к повседневному гардеробу. Модель украшена ярким рисунком с надписью "Команда", вдохновляющим духом коллективной игры и поддержки. Футболка выполнена с коротким рукавом и эластичной горловиной, что обеспечивает комфортное ношение и свободу движений. Контрастная бейка на горловине предотвращает возможное раздражение кожи шеи, делая футболку ещё более удобной. Особенностью дизайна является удлиненная спинка, придающая модели современный и стильный вид. Идеальный выбор для активного отдыха и игр!</t>
  </si>
  <si>
    <t>MC-BA578</t>
  </si>
  <si>
    <t>Эта стильная хлопковая футболка для мальчика в белом цвете станет отличным выбором для активных и энергичных ребят. Она украшена ярким фотопринтом и рисунком с изображением скейтборда, сопровождаемым мотивирующей надписью "Время покататься", что непременно понравится каждому юному скейтбордисту.
Детали:
- Короткий рукав: идеально подходит для теплой погоды и активных игр.
- Эластичная горловина: обеспечивает легкость надевания и свободу движений.
- Контрастная бейка: предотвращает раздражение кожи шеи, добавляя комфорта на весь день.
- Фотопринт и рисунок "Скейтборд": создают динамичный и модный образ, мотивируя к новым приключениям.
Футболка легко сочетается с любой одеждой, делая её универсальным элементом детского гардероба. Эта футболка — отличный выбор для повседневной жизни и ярких моментов для вашего ребенка.</t>
  </si>
  <si>
    <t>MC-BA596</t>
  </si>
  <si>
    <t>Эта стильная хлопковая футболка станет любимой вещью в гардеробе вашего мальчика благодаря своим уникальным деталям и яркому дизайну. На передней части футболки изображен забавный рисунок "Тигренок в кедах", который добавит озорство и креативность в повседневный образ. Модель с коротким рукавом и эластичной горловиной обеспечивает свободу движения и комфорт на каждый день. Контрастная бейка предотвращает раздражение нежной кожи шеи, благодаря чему футболка приятна к телу. Особое внимание привлекает удлиненная спинка и удобные разрезы по бокам, которые придают модели модный силуэт и позволяют сочетать её с любыми шортами или джинсами. Эта футболка идеально подходит для школьных и уличных приключений, даря комфорт и стиль в любой ситуации.</t>
  </si>
  <si>
    <t>оранжевый</t>
  </si>
  <si>
    <t>MC-BA625</t>
  </si>
  <si>
    <t>Представляем яркую и стильную хлопковую футболку для мальчика, выполненную в насыщенном синем цвете. Эта футболка станет не только удобной частью повседневного гардероба, но и вдохновляющим элементом благодаря яркой надписи "Я и есть будущее". Изготовленная из мягкого, дышащего хлопка, она обеспечивает комфорт и свободу движений в течение всего дня. Модель с коротким рукавом и эластичной горловиной идеально подходит для активного отдыха. Контрастная бейка на шее предотвращает раздражение кожи, обеспечивая дополнительное удобство. Эта универсальная футболка без подкладки легко сочетается с различными видами одежды, будь то джинсы или шорты, позволяя вашему мальчику выглядеть модно и чувствовать себя уверенно в любой ситуации.</t>
  </si>
  <si>
    <t>MC-BA863</t>
  </si>
  <si>
    <t>Эта очаровательная хлопковая футболка для девочки в розовом цвете станет прекрасным дополнением её гардероба. Она украшена милым рисунком "Радужное сердечко", которому особое сияние придают стразы, и вдохновляющей надписью "Мечтательница". Изготовленная из мягкого, дышащего хлопка, футболка обеспечивает комфорт в течение всего дня и подходит для активных игр и отдыха. Короткие рукава и эластичная горловина прекрасно сочетаются с удобной посадкой. Однотонная бейка предотвращает раздражение нежной кожи шеи, добавляя дополнительный уют. Эта футболка, не имеющая подкладки, легко комбинируется как с юбками, так и с джинсами, позволяя создавать яркие и стильные образы для любого случая. Пусть ваша маленькая мечтательница покоряет мир в стиле и комфорте!</t>
  </si>
  <si>
    <t>T-shirt (2 pcs)</t>
  </si>
  <si>
    <t>MC-BA997</t>
  </si>
  <si>
    <t>Футболка (2 шт)</t>
  </si>
  <si>
    <t>MC-BC367</t>
  </si>
  <si>
    <t>Погрузите вашего юного искателя приключений в настоящее летнее настроение с нашей яркой хлопковой футболкой! Эта модель, выполненная в сочном желтом цвете, сразу привлекает внимание и напоминает о солнце и тепле. Идеально подходящая для активных дней, футболка украшена динамичным рисунком "Серфер", который несомненно вдохновит вашего ребёнка на новые свершения и придаст энергии любому образу. 
С короткими рукавами, она обеспечивает максимальный комфорт и полную свободу движений, что делает её незаменимой для игр на свежем воздухе и любых спортивных занятий. Хлопковый материал заботливо относится к нежной детской коже, гарантируя, что ваш мальчик будет чувствовать себя комфортно и уверенно в течение всего дня. Подарите своему ребёнку стиль и яркость каждый день с этой замечательной футболкой!</t>
  </si>
  <si>
    <t>MC-BC375</t>
  </si>
  <si>
    <t>Представляем вашему вниманию стильную хлопковую футболку для мальчика, которая станет отличным дополнением летнего гардероба. Эта удобная и модная футболка выполнена в насыщенном коричневом цвете, что придаёт ей универсальность и позволяет сочетать с различными вещами. Короткие рукава делают её идеальной для жарких дней, а эластичная горловина обеспечивает комфорт при носке. Футболка украшена яркой и жизнерадостной надписью "Алоха, время серфинга", которая создаёт атмосферу отдыха на пляже и летних приключений. Контрастная бейка на воротнике защищает нежную кожу ребёнка от раздражения. Футболка подходит для активных игр и повседневного использования.</t>
  </si>
  <si>
    <t>Bodysuit (3 pcs)</t>
  </si>
  <si>
    <t>MC-BD221-1</t>
  </si>
  <si>
    <t>Боди (3 шт)</t>
  </si>
  <si>
    <t>Представляем вашему вниманию экономичную упаковку из трех детских боди с коротким рукавом, которая станет отличным выбором для маленьких исследователей. Каждое боди украшено уникальными рисунками, которые перенесут вашего малыша в захватывающий мир тропического леса. Первый боди оживляет пейзаж с изображением "Тропический лес". Второй боди добавляет ощущение летнего бриза с рисунком "Пальмы", а третий украшен аппликацией "Тукан на пальме", которая включает подкладку для предотвращения раздражения нежной кожи малыша. Особое внимание уделено деталям: горловина-конверт облегчит процесс надевания, а контрастная бейка предотвратит раздражение кожи на шее. Боди оснащены безникелевыми кнопками в области подгузника для безопасной и удобной смены одежды. Мягкий хлопковый материал надежно сохраняет форму и цвет даже после многократных стирок, обеспечивая вашему ребенку комфорт в любой ситуации. Эта упаковка — сочетание стиля и практичности для вашего малыша!</t>
  </si>
  <si>
    <t>Longsleeve</t>
  </si>
  <si>
    <t>MC-CA146</t>
  </si>
  <si>
    <t>Лонгслив</t>
  </si>
  <si>
    <t>MC-CA438</t>
  </si>
  <si>
    <t>Представляем вам лонгслив от Mothercare – идеальное сочетание модного дизайна и непревзойденного комфорта для вашего малыша. Этот базовый элемент гардероба пригодится в любую погоду и станет незаменимым в повседневной жизни. Лонгслив имеет свободный, но при этом идеально сидящий крой, который не стесняет движений и позволяет ребенку активно проводить время. Круглый вырез горловины и эластичные манжеты на рукавах обеспечивают дополнительный комфорт и удобство при надевании. Лонгслив легко сочетается с различными предметами гардероба – джинсами, шортами, юбками и спортивными брюками. Его можно носить как самостоятельный элемент или комбинировать с жилетами, свитерами и куртками. Наш лонгслив не требует особого ухода – его легко стирать и быстро сушить. Ткань сохраняет свою форму и яркость цвета даже после многочисленных стирок, оставаясь неизменно мягкой и приятной на ощупь. Все продукты Mothercare проходят строгий контроль качества и соответствуют международным стандартам безопасности. Вы можете быть уверены, что ваш ребенок находится в надежных руках.</t>
  </si>
  <si>
    <t>60% Хлопок, 40% Полиэстер</t>
  </si>
  <si>
    <t>Singlet (2 pcs)</t>
  </si>
  <si>
    <t>MC-CA950</t>
  </si>
  <si>
    <t>Майка (2 шт)</t>
  </si>
  <si>
    <t>белый/голубой</t>
  </si>
  <si>
    <t>MC-CB106</t>
  </si>
  <si>
    <t>MC-CB106-1</t>
  </si>
  <si>
    <t>Cap (2 pcs)</t>
  </si>
  <si>
    <t>MC-CB603</t>
  </si>
  <si>
    <t>Шапка (2 шт)</t>
  </si>
  <si>
    <t>Шапки</t>
  </si>
  <si>
    <t>0-3M</t>
  </si>
  <si>
    <t>0-3 мес</t>
  </si>
  <si>
    <t>6-12M</t>
  </si>
  <si>
    <t>6-12 мес</t>
  </si>
  <si>
    <t>MC-CB819</t>
  </si>
  <si>
    <t>Shorts</t>
  </si>
  <si>
    <t>MC-BA852</t>
  </si>
  <si>
    <t>Шорты</t>
  </si>
  <si>
    <t>Джинсовые эластичные шорты в черном цвете для девочки станут стильным и удобным дополнением летнего гардероба. Они украшены оригинальным рисунком из пайеток в виде яркого "Смайлика", который добавит веселья и настроения в повседневный образ. Шорты выполнены без подкладки, что делает их легкими и приятными к телу. Застежка-кнопка на поясе обеспечивает надежную фиксацию, а эластичная регулировка внутри пояса позволяет подогнать шорты по фигуре ребенка. Декоративная ширинка и петли для ремня добавляют классические элементы дизайна. Функциональные карманы спереди и сзади делают модель не только стильной, но и практичной, позволяя держать нужные мелочи всегда под рукой. Эти шорты идеально подойдут для активных игр и прогулок в теплую погоду.</t>
  </si>
  <si>
    <t>63% Хлопок,27% Полиэстер,10% Вискоза;</t>
  </si>
  <si>
    <t>MC-BA485</t>
  </si>
  <si>
    <t>MC-BA567</t>
  </si>
  <si>
    <t>MC-BB264</t>
  </si>
  <si>
    <t>MC-BB282</t>
  </si>
  <si>
    <t>Shorts (3 pcs)</t>
  </si>
  <si>
    <t>MC-BC346</t>
  </si>
  <si>
    <t>Шорты (3 шт)</t>
  </si>
  <si>
    <t>Представляем вам экономичную упаковку из трёх практичных трикотажных шорт для мальчика, выполненных в разных оттенках синего. Этот комплект включает две однотонные пары и одну с узором в полоску, придающим стильный акцент. Каждая пара шорт выполнена без подкладки, что обеспечивает легкость и комфорт в носке. Эластичный пояс дополнен завязками, специально разработанными с защитой от вытягивания, чтобы обеспечить надёжную фиксацию. Удобство добавляют два боковых кармана, а декоративная прострочка ширинки придаёт дополнительный элемент стиля. Цветовая палитра включает синий, голубой и темно-синий оттенки.</t>
  </si>
  <si>
    <t>MC-BC365</t>
  </si>
  <si>
    <t>Джинсовые удлиненные шорты для мальчика в голубом цвете — идеальный выбор для летних прогулок и активного отдыха. Эти шорты выполнены из качественного денима, что обеспечивает комфорт и долговечность. Удлиненный фасон придаёт современный стиль и защитит колени во время игр. Безникелевая кнопка на поясе обеспечивает безопасность и удобство, а декоративная ширинка добавляет классический акцент. Функциональные карманы спереди и сзади позволят носить с собой все необходимые мелочи. Декоративные потертости придают шортам модный, слегка дерзкий вид, а отвороты на манжетах добавляют стильный штрих. Эти шорты станут универсальной частью гардероба, сочетаясь с любыми футболками и рубашками.</t>
  </si>
  <si>
    <t>74% Хлопок,25% Полиэстер,1% Эластан;</t>
  </si>
  <si>
    <t>MC-BC636</t>
  </si>
  <si>
    <t>MC-BC722</t>
  </si>
  <si>
    <t>Шорты (2 шт)</t>
  </si>
  <si>
    <t>Эта экономичная упаковка из 2-х пар шорт является отличным выбором для обновления детского гардероба. Шорты выполнены в нежных однотонных цветах, которые легко сочетаются с другими элементами одежды, обеспечивая разнообразие образов. Каждая пара оснащена эластичным поясом, что обеспечивает удобную посадку и комфорт в течение всего дня. Декоративный бантик на поясе добавляет очарования и стильности в дизайн. Функциональные карманы спереди позволяют удобно носить с собой мелкие предметы, а отделка из нежных оборок на карманах привносит романтичные нотки. Эти шорты идеально подходят для активных игр, прогулок и летних приключений. Благодаря удобной упаковке, вы получаете сразу две стильные пары по привлекательной цене, что делает их ещё более выгодным приобретением.</t>
  </si>
  <si>
    <t>MC-VD477</t>
  </si>
  <si>
    <t>Dress</t>
  </si>
  <si>
    <t>MC-CA410</t>
  </si>
  <si>
    <t>Платье</t>
  </si>
  <si>
    <t>Юбки и платья</t>
  </si>
  <si>
    <t>Погрузитесь в мир безупречной легкости и элегантности с трикотажным платьем с петельчитой изнанкой от Mothercare! Созданное для того, чтобы радовать как вас, так и вашего маленького модника, это платье из мягкого и дышащего трикотажа станет незаменимым элементом летнего гардероба вашего ребенка.
Его лаконичный крой подчеркивает изящество и непринужденность, а отсутствие рукавов обеспечивает свободу движений и комфорт даже в самый жаркий день. Оттенки и стильные принты добавляют образу утонченности и игривости, делая каждую прогулку и каждое мероприятие особенным.
Платье невероятно удобно носить благодаря высококачественному материалу, сохраняя свою форму и яркость даже после многочисленных стирок. Заботливо разработанное Mothercare, оно сочетает в себе красоту и практичность, даря вашему ребенку не только великолепный внешний вид, но и радость от каждого момента, проведенного в нем.
Придайте яркость и комфорт  с трикотажным платьем от Mothercare — идеальный выбор для маленьких принцесс, готовых исследовать мир с улыбкой и стилем!</t>
  </si>
  <si>
    <t>80% Хлопок, 20% Полиэстер</t>
  </si>
  <si>
    <t>Set (dress/panties)</t>
  </si>
  <si>
    <t>MC-VA128-1</t>
  </si>
  <si>
    <t>Комплект (платье/трусы)</t>
  </si>
  <si>
    <t>Комплект для девочки из высококачественного хлопка состоит из платья и трусиков на подгузник( в размерах до 86 см включительно). Этот наряд с оборками и застежкой на пуговицах сзади - прекрасный вариант для повседневной носки в детском саду или дома, на фотосессию, на новый год, на день рождение, на любое мероприятие. Чувствительная кожа малышей требует особого ухода, поэтому данный комплект изготовлен из хлопка. Это является одним из главных преимуществ этого комплекта, дышащий материал позволяет коже ребенка дышать и не вызывает дискомфорта. Свободный крой не сковывает движение, яркая расцветка  порадует маленькую модницу. Трусики с эластичной резиной на талии для лучшей посадки. Данный комплект - идеальная вариант на подарок для малышки. Для точного выбора размера рекомендуем ознакомиться с таблицей в фотогалерее.</t>
  </si>
  <si>
    <t>MC-CA411</t>
  </si>
  <si>
    <t>Комбинированное детское платье в спортивном стиле, выполненное из мягкого трикотажа с теплым начесом, готово стать любимым элементом гардероба вашего ребенка. Оно мастерски сочетает в себе комфорт и стиль, делая его идеальным воплощением современной моды для юных модников. Оригинальная вышивка придаёт платью уникальность и добавляет особую изюминку, привлекая внимание и подчеркивая индивидуальность вашего ребенка. Это платье идеально подходит для активного образа жизни, обеспечивая свободу движений и уютное тепло в прохладные дни. Будь то прогулки в парке, занятия спортом или повседневные приключения, это платье сохранит тепло и позволит вашему ребенку оставаться стильным. Практичность и модный вид делают его отличным выбором для мам, которые ценят комфорт и непринужденную элегантность в детской одежде. Пополняя гардероб этим платьем, вы выбираете универсальность и удовольствие от носки каждый день.</t>
  </si>
  <si>
    <t>MC-CA365</t>
  </si>
  <si>
    <t>Представляем замечательное детское платье с начесом и капюшоном в забавной расцветке жираф, которое станет ярким дополнением гардероба вашего ребенка. Это уютное и стильное изделие разработано с особым вниманием к комфорту и удобству, что делает его идеальным выбором для активных детей. Платье выполнено из мягкого и теплого материала, который обеспечивает комфорт в прохладную погоду, позволяя вашему ребёнку оставаться в тепле и уюте, независимо от времени года. Яркий жирафовый принт придаёт платью особую игривость и оригинальность, которая обязательно понравится детям и привлечёт внимание окружающих. Это платье станет отличным выбором для ежедневных прогулок и активных приключений на свежем воздухе, добавляя радость и яркие краски в каждый день. Капюшон обеспечивает дополнительное удобство и защиту от ветра, а свободный крой не стесняет движений, позволяя ребёнку чувствовать себя свободно и уверенно. Платье легко сочетается с различной обувью и аксессуарами, что позволяет создавать разнообразные образы для любого случая.</t>
  </si>
  <si>
    <t>Set (dress/pants)</t>
  </si>
  <si>
    <t>MC-CD215</t>
  </si>
  <si>
    <t>Комплект (платье/леггинсы)</t>
  </si>
  <si>
    <t>Этот стильный комплект, состоящий из платья и легинсов из теплого футера с начесом, гарантирует комфорт и отличную посадку в любую погоду. Мягкий материал обеспечивает тепло и уют, а яркий дизайн платья добавляет изюминку в гардероб. Легинсы обеспечивают свободу движений, идеально подходя для активных игр и прогулок. Комплект легко комбинируется с другими элементами гардероба, создавая множество разнообразных образов на каждый день. Отличный выбор для прохладных дней, который порадует и ребенка, и родителей!</t>
  </si>
  <si>
    <t>Skirt</t>
  </si>
  <si>
    <t>MC-YC561</t>
  </si>
  <si>
    <t>Юбка</t>
  </si>
  <si>
    <t>Длинная летняя юбка для девочки с кружевной тесьмой. Представляем вам прекрасную юбку для девочек, которая станет незаменимым элементом их гардероба. Она отличается не только стильным дизайном, но и высоким качеством, ведь она изготовлена из 100% хлопка, что делает ее очень приятной на ощупь и комфортной для носки. Особенностью этой модели является дышащий материал, который обеспечивает оптимальный воздухообмен и комфорт в жаркую погоду. Это очень важно для детей, особенно когда они активно играют и двигаются. Юбка на резинке обеспечивает идеальную посадку на талии и легкость в носке. Эта юбка идеальна не только для повседневного использования, но и для походов в садик или школу, ведь она сочетает в себе комфорт и сдержанность.</t>
  </si>
  <si>
    <t>MC-BA813</t>
  </si>
  <si>
    <t>Джинсовое платье трапециевидной формы идеально подойдет для юных модниц. Оно выполнено из практичного денима, что обеспечивает комфорт и свободу движений. Короткие рукава и круглая горловина делают эту модель универсальной для теплого времени года. Украшением платья служат оригинальные карманы в форме сердечек, один из которых дополнен блестящими пайетками, добавляя игривости и нежного блеска. Задняя часть платья оснащена застежкой на пуговицу и изящным вырезом-капелькой, что облегчает процесс одевания. Это платье станет отличным выбором для прогулок и праздников.</t>
  </si>
  <si>
    <t>MC-CA211</t>
  </si>
  <si>
    <t>Vans</t>
  </si>
  <si>
    <t>UA SK8-HI Navy</t>
  </si>
  <si>
    <t>V00D5INVY</t>
  </si>
  <si>
    <t>Кеды высокие</t>
  </si>
  <si>
    <t>Кеды UA SK8-Hi Navy - это идеальный выбор для тех, кто ищет удобную и стильную обувь на каждый день. Эти кеды имеют классический дизайн, который никогда не выйдет из моды, а также обладают высокой прочностью и долговечностью.</t>
  </si>
  <si>
    <t>54% замша; 46% текстиль, подошва: 100% резина</t>
  </si>
  <si>
    <t>035</t>
  </si>
  <si>
    <t>040</t>
  </si>
  <si>
    <t>045</t>
  </si>
  <si>
    <t>050</t>
  </si>
  <si>
    <t>055</t>
  </si>
  <si>
    <t>075</t>
  </si>
  <si>
    <t>085</t>
  </si>
  <si>
    <t>UA SK8-HI Black/Black/Whi</t>
  </si>
  <si>
    <t>V00D5IB8C</t>
  </si>
  <si>
    <t>Кеды UA SK8-Hi – это классические высокие кеды, созданные для скейтбординга. Они оснащены технологией U-образной формы, которая обеспечивает стабильность и поддержку стопы во время катания. Кеды выполнены из высококачественной кожи, которая придает им стильный и элегантный вид.
Кеды имеют удобную посадку, а также мягкую и гибкую подошву, которая обеспечивает комфорт при ходьбе. Кроме того, они оснащены резиновыми вставками на подошве, которые обеспечивают хорошее сцепление с поверхностью.</t>
  </si>
  <si>
    <t>090</t>
  </si>
  <si>
    <t>UA OLD SKOOL Black/Black</t>
  </si>
  <si>
    <t>V00D3HBKA</t>
  </si>
  <si>
    <t>Новое поступление</t>
  </si>
  <si>
    <t>Кеды UA OLD SKOOL - это идеальное сочетание стиля и комфорта. Они выполнены из высококачественных материалов, которые обеспечивают долговечность и устойчивость к износу. Кеды имеют удобную посадку и обеспечивают отличную амортизацию, что делает их идеальными для повседневного использования. Стильный дизайн и черный цвет делают эти кеды универсальными и подходящими для любого случая</t>
  </si>
  <si>
    <t>70% текстиль, 30% резина подкладка: текстиль подошва: резина</t>
  </si>
  <si>
    <t>060</t>
  </si>
  <si>
    <t>065</t>
  </si>
  <si>
    <t>070</t>
  </si>
  <si>
    <t>080</t>
  </si>
  <si>
    <t>MTE Crosspath Mid</t>
  </si>
  <si>
    <t>VN000CVVBA2</t>
  </si>
  <si>
    <t>Модель  Vans MTE Crosspath Mid в черном цвете. Это действительно кроссовки, но с усиленными характеристиками для защиты от непогоды. 
 Crosspath Mid (средняя высота), входящая в коллекцию MTE (Made For The Elements — «Сделано для стихий»).
Это универсальная обувь, разработанная для активного использования как в городе, так и на легких природных маршрутах. Она сочетает повседневный стиль с функциональностью.
 Кроссовки обладают продуманной легкой конструкцией, максимальной амортизацией и улучшенным сцеплением подошвы на различных поверхностях. 
 Благодаря своим всепогодным характеристикам, эта модель подходит для ношения в переходные сезоны (весна и осень), а также может использоваться в нехолодную зиму или прохладным летом.
Модель Crosspath имеет встроенную влагостойкость (water-resistant), что защищает от брызг и небольшого дождя. Однако, это не 100% водонепроницаемость, как у обуви с мембраной GORE-TEX, и при длительном хождении по лужам или мокрому снегу они могут промокнуть.</t>
  </si>
  <si>
    <t>черный/белый</t>
  </si>
  <si>
    <t>Верх - искусственная кожа, текстиль; Подкладка - текстиль; Низ - резина</t>
  </si>
  <si>
    <t>100</t>
  </si>
  <si>
    <t>UA SK8-HI Black/Black</t>
  </si>
  <si>
    <t>VN000D5IBKA</t>
  </si>
  <si>
    <t>Кеды UA SK8-Hi Navy - это идеальный выбор для тех, кто ищет удобную и стильную обувь на каждый день. Эти кеды имеют классический дизайн, который никогда не выйдет из моды, а также</t>
  </si>
  <si>
    <t>LX Sk8-Mid Reissue 83 LX PIG SUEDE SEA TURTLE</t>
  </si>
  <si>
    <t>VN000CQQCHZ</t>
  </si>
  <si>
    <t>Кеды Vans LX Sk8-Mid Reissue 83 LX "Pig Suede" — это премиальное переиздание архивного силуэта 1983 года средней высоты, выполненное из люксовых материалов.
Предназначение: Повседневная городская носка и скейтбординг.
Сезон: Весна, лето, теплая осень (демисезон).
Верх из высококачественной свиной замши (Pig Suede), воротник с подкладкой из натуральной кожи.
Стелькасъемная, анатомическая Sola Foam ADC для комфорта в течение всего дня и отличной амортизации.
 Плоская резиновая подошва с вафельным протектором идеальна для асфальта и скейт-парков.
 Без утеплителя; мягкая набивка в области щиколотки для поддержки и защиты.
Аутентичный ретро-дизайн 80-х (высокий глянцевый рант, узкая полоса Sidestripe) в сочетании с современными технологиями комфорта.</t>
  </si>
  <si>
    <t>замша, резина</t>
  </si>
  <si>
    <t>095</t>
  </si>
  <si>
    <t>105</t>
  </si>
  <si>
    <t>Rowley XLT LX VINTAGE GOBLIN</t>
  </si>
  <si>
    <t>VN000CQFCPM</t>
  </si>
  <si>
    <t>Кроссовки Vans Rowley XLT LX  — это премиальное переиздание классической скейт-модели 2001 года, созданной совместно с легендарным скейтером Джеффом Роули.Изначально созданы для профессионального скейтбординга. В современном исполнении — стильная и комфортная обувь для повседневной носки в городе.Сезон: Весна, лето, теплая осень (демисезон). Классическая шнуровка для надежной фиксации.
Стелька съемная. Обувь оснащена легкой промежуточной подошвой из EVA, которая обеспечивает отличную амортизацию и комфорт при ходьбе.
Верх выполнен из сочетания натуральной замши и кожи, которые могут впитывать влагу, поэтому модель не рекомендуется для дождливой погоды без предварительной обработки водоотталкивающим спреем.
 Благодаря резиновой подметке с характерным вафельным протектором ), кроссовки обеспечивают идеальное сцепление с асфальтом и поверхностью скейтборда.Модель отличается объемной  конструкцией с плотной набивкой в области язычка и воротника (fat-padded), что характерно для скейт-обуви конца 90-х — начала 00-х. Точное воспроизведение стиля 2001 года с укороченным мыском и массивным силуэтом.
Верх из высококачественной свиной замши и полнозернистой кожи.
Специальная стабилизирующая клипса на пятке повышает износостойкость и помогает обуви сохранять форму.
 Усиленные зоны в области "Ollie" (наиболее подверженные истиранию при катании) и прошитый носок.</t>
  </si>
  <si>
    <t>белый/зеленый</t>
  </si>
  <si>
    <t>кожа, замша, резина</t>
  </si>
  <si>
    <t>Rowley XLT LX VINTAGE INK</t>
  </si>
  <si>
    <t>VN000CQFINK</t>
  </si>
  <si>
    <t>белый/черный</t>
  </si>
  <si>
    <t>Rowley XLT LX Y.O.D ELEMENT STONE</t>
  </si>
  <si>
    <t>VN000CQFSTN</t>
  </si>
  <si>
    <t>SK8-Hi VR3 LX (Imran Potato) black/true white/fenugreek</t>
  </si>
  <si>
    <t>VN0A5EE7B7H</t>
  </si>
  <si>
    <t>Кеды Vans Vault x Imran Potato UA SK8-Hi VR3  — это эксклюзивная коллаборация с дизайнером Imran Potato, переосмысляющая классический высокий силуэт в эстетике 90-х.
Модель выполнена из премиальной натуральной замши и плотного канваса в контрастной черно-белой расцветке. Она идеально подходит для повседневной носки в городе и скейтбординга в весенне-осенний период. За комфорт отвечает технологичная амортизация VR3Cush, изготовленная с использованием биоматериалов, а классическая шнуровка обеспечивает плотную фиксацию голеностопа. Обувь не имеет специальной водозащиты и утеплителя, поэтому рекомендуется для сухой погоды. Фирменная резиновая подошва с вафельным протектором гарантирует надежное сцепление с асфальтом и декой.
Уникальный дизайн с вышитыми «руками-картошками», обхватывающими боковые стороны кед, и использование экологичных материалов , что подчеркивает статус лимитированной линейки Vault.</t>
  </si>
  <si>
    <t>UltraRange Neo VR3 STORMY WEATHER</t>
  </si>
  <si>
    <t>VN000BCERV2</t>
  </si>
  <si>
    <t>Кроссовки Vans UltraRange Neo VR3 "Stormy Weather"  — это сочетание уличного стиля и экологичных технологий для активного образа жизни.
Предназначение: Универсальная модель для города и легкого хайкинга.
Сезон: Весна, лето, теплая осень (демисезон).
 Верх кроссовок выполнен из натуральной замши и дышащего текстиля. Подошва на 50% состоит из биоматериалов .
Сверхмягкая амортизирующая межподошва и цепкий резиновый протектор для любых поверхностей. Снабжены петлями на язычке и пятке для удобного надевания.
Самая экологичная и комфортная итерация в линейке UltraRange, обеспечивающая поддержку стопы в течение всего дня.</t>
  </si>
  <si>
    <t>замша, текстиль, резина</t>
  </si>
  <si>
    <t>Old Skool PIG SUEDE After Dark</t>
  </si>
  <si>
    <t>VN000D7ZY7U</t>
  </si>
  <si>
    <t>Модель  Vans Knu Skool Cordura, современная интерпретация классической обуви для скейтбординга в стиле 90-х годов. 
 Это повседневная городская обувь, вдохновленная скейт-культурой. Предназначена для ежедневного использования, прогулок и создания стильного образа.Отличается характерным "пухлым" дизайном с мягким язычком, утолщенным бортиком вокруг щиколотки и широкими шнурками, что придает ей ретро-вид 90-х. Фирменная боковая полоса (Sidestripe) выполнена в объемной 3D-форме.
 Верх выполнен из комбинации прочной замши и износостойкого текстиля Cordura®. Подошва — классическая вулканизированная резина с вафельным протектором для надежного сцепления.  Модель Knu Skool является универсальной и подходит для ношения весной, летом и осенью в сухую погоду. Это не специализированная зимняя обувь.
 Специальной водозащиты или водонепроницаемости у этой модели нет. Верх из замши и текстиля может выдержать легкий дождь или брызги, но длительное воздействие воды нежелательно и может повредить материал.</t>
  </si>
  <si>
    <t>UA OLD SKOOL Navy</t>
  </si>
  <si>
    <t>V00D3HNVY</t>
  </si>
  <si>
    <t>Классическая обувь, на которой впервые появились культовые боковые полосы, торговая марка обуви VANS. Идеально подходит для носки весна-лето-ранняя осень.</t>
  </si>
  <si>
    <t>70% текстиль, 30% замша, подошва: 100% резина</t>
  </si>
  <si>
    <t>Mizuno</t>
  </si>
  <si>
    <t>MIZUNO WarmaLite Headband - Blue</t>
  </si>
  <si>
    <t>67BF351-22</t>
  </si>
  <si>
    <t>87% полиэстера  13% эластана</t>
  </si>
  <si>
    <t>NS</t>
  </si>
  <si>
    <t>MIZUNO WarmaLite Headband - Orange</t>
  </si>
  <si>
    <t>67BF351-55</t>
  </si>
  <si>
    <t>MIZUNO DryLite Visor U RoseRed/White</t>
  </si>
  <si>
    <t>J2GW0030Z-61</t>
  </si>
  <si>
    <t>Визор</t>
  </si>
  <si>
    <t>красный/белый</t>
  </si>
  <si>
    <t>MIZUNO Bandana U Heather</t>
  </si>
  <si>
    <t>K2GW0R95-03</t>
  </si>
  <si>
    <t>100% полиэстер</t>
  </si>
  <si>
    <t>MIZUNO Bandana U Scuba Blue</t>
  </si>
  <si>
    <t>K2GW0R95-24</t>
  </si>
  <si>
    <t>синий/белый</t>
  </si>
  <si>
    <t>MIZUNO Bandana U Moroccan Blue</t>
  </si>
  <si>
    <t>K2GW0R95-28</t>
  </si>
  <si>
    <t>MIZUNO Bandana U Harbor Blue/White</t>
  </si>
  <si>
    <t>K2GW0R95-38</t>
  </si>
  <si>
    <t>MIZUNO DryLite Visor U Red / White</t>
  </si>
  <si>
    <t>J2GW0030Z-66</t>
  </si>
  <si>
    <t>MIZUNO DryLite Visor U High Visibility</t>
  </si>
  <si>
    <t>J2GW0030ZP-40</t>
  </si>
  <si>
    <t>MIZUNO DryLite Visor U Neon Flame</t>
  </si>
  <si>
    <t>J2GW0030ZP-63</t>
  </si>
  <si>
    <t>MIZUNO TEAM HOKKAIDO BALL</t>
  </si>
  <si>
    <t>P3EY1W0-01</t>
  </si>
  <si>
    <t>Мяч</t>
  </si>
  <si>
    <t>Спорт. инвентарь</t>
  </si>
  <si>
    <t>Мячи</t>
  </si>
  <si>
    <t>белый/синий</t>
  </si>
  <si>
    <t>100% полиуретан</t>
  </si>
  <si>
    <t>5</t>
  </si>
  <si>
    <t>MIZUNO TEAM T-BALL sing.</t>
  </si>
  <si>
    <t>P3EY2W0-01</t>
  </si>
  <si>
    <t>4</t>
  </si>
  <si>
    <t>MIZUNO P TennisSocks1pair - White/Grey</t>
  </si>
  <si>
    <t>32EX8A10Z-70</t>
  </si>
  <si>
    <t>Носки</t>
  </si>
  <si>
    <t>Носки и гетры</t>
  </si>
  <si>
    <t>белый/серый</t>
  </si>
  <si>
    <t>97% полиэстер, 3% эластан</t>
  </si>
  <si>
    <t>35-37</t>
  </si>
  <si>
    <t>38-40</t>
  </si>
  <si>
    <t>41-43</t>
  </si>
  <si>
    <t>MIZUNO Mid 3P Socks</t>
  </si>
  <si>
    <t>32GX025WZ-03</t>
  </si>
  <si>
    <t>Носки (3 пары)</t>
  </si>
  <si>
    <t>белый/оранжевый/серый</t>
  </si>
  <si>
    <t>69% полиэстер, 29% хлопок, 2% полиуретан</t>
  </si>
  <si>
    <t>32GX025WZ-13</t>
  </si>
  <si>
    <t>желтый/зеленый/серый</t>
  </si>
  <si>
    <t>MIZUNO Training Mid 3P - PK1</t>
  </si>
  <si>
    <t>67UU950-96</t>
  </si>
  <si>
    <t>97% полиэстер  3% эластан</t>
  </si>
  <si>
    <t>WAVE PROPHECY BETA</t>
  </si>
  <si>
    <t>D1GA2202-01</t>
  </si>
  <si>
    <t>Мужские кроссовки Mizuno Wave Prophecy B для бега и тренеровок. Ощутите непревзойденный комфорт и поддержку с этими кроссовками. Имеют элегантный дизайн в кремово-белом акценте. Wave Prophecy B обладает исключительной амортизацией и отзывчивостью, обеспечивая длительный комфорт во время тренировок или повседневного ношения. Сетчатый верх, накладки на носке и пятке, а также дополнительные аппликации на шнуровке. Уникальная подошва не только придает футуристический вид, но и смягчает каждый шаг. Стиль и функциональность с этой первоклассной обувью от Mizuno.</t>
  </si>
  <si>
    <t>Mizuno Wave. Амортизация.</t>
  </si>
  <si>
    <t>60% нейлоновая сетка, 40% замша; 80% полиэстер, 20% полиуретан; 100% резина</t>
  </si>
  <si>
    <t>UK</t>
  </si>
  <si>
    <t>4,5</t>
  </si>
  <si>
    <t>5,5</t>
  </si>
  <si>
    <t>6</t>
  </si>
  <si>
    <t>WAVE SKY NEO 2 (W)</t>
  </si>
  <si>
    <t>J1GD2134-23</t>
  </si>
  <si>
    <t>Кроссовки для бега Mizuno Wave Sky Neo 2 (W) созданы специально для женщин, которые ищут идеальное сочетание комфорта и производительности. Верх из синтетической сетки обеспечивает отличную вентиляцию, позволяя вашим ногам дышать даже во время самых интенсивных пробежек. Подошва из резины гарантирует надежное сцепление с поверхностью и долговечность, а классическая шнуровка позволяет идеально подогнать обувь по ноге, обеспечивая надежную поддержку. Эти кроссовки идеально подходят как для тренировок, так и для долгих дистанций, обеспечивая мягкую амортизацию и ощущение легкости при каждом шаге.</t>
  </si>
  <si>
    <t>верх: текстиль, иск.кожа; подкладка: текстиль; подошва: пластик/резина</t>
  </si>
  <si>
    <t>7</t>
  </si>
  <si>
    <t>WAVE PARADOX 5 W</t>
  </si>
  <si>
    <t>J1GD1840-11</t>
  </si>
  <si>
    <t>Стабильность, комфорт и воздухопроницаемость этих мужских кроссовок с технологиями DynamotionFit и Mizuno Wave обеспечивают исключительную поддержку. Технологии ap+ и U4icX в промежуточной подошве и верхней части AIRmesh обеспечивают исключительный уровень воздухопроницаемости, комфорта и амортизации, чтобы помочь вам пройти дистанцию.</t>
  </si>
  <si>
    <t>70% полиэстер, 30% полиуретан; 100% ЭВА</t>
  </si>
  <si>
    <t>MIZUNO SHOES MONA NEO SELECT</t>
  </si>
  <si>
    <t>P1GA1925-04</t>
  </si>
  <si>
    <t>Бутсы</t>
  </si>
  <si>
    <t>Футбол</t>
  </si>
  <si>
    <t>Мужские футбольные бутсы В этих футбольных бутсах используются инновации в области посадки и формы, позволяющие вам реализовать креативность на поле. Литые шипы обеспечивают невероятное сцепление даже на натуральном поле, а съемная стелька ZeroGlide удерживает стопу на месте и дает максимальный комфорт и исключительную посадку. Преимущества: Технологичный синтетический верх по отличной цене. Классическая подошва для игры на натуральной траве. Съемная стелька  ZeroGlide  для более плотной посадки и максимального комфорта. Для искусственного покрытия. Вес: 225г</t>
  </si>
  <si>
    <t>Синтетическая кожа; Текстиль; Резина</t>
  </si>
  <si>
    <t>SHOE WAVE PARADOX WOS</t>
  </si>
  <si>
    <t>J1GD1840-61</t>
  </si>
  <si>
    <t>Женские кроссовки для бега WAVE PARADOX 5. Стабильность, комфорт и воздухопроницаемость этих мужских кроссовок с технологиями DynamotionFit и Mizuno Wave обеспечивают исключительную поддержку. Технологии ap+ и U4icX в промежуточной подошве и верхней части AIRmesh обеспечивают исключительный уровень воздухопроницаемости, комфорта и амортизации, чтобы помочь вам пройти дистанцию. 
Стабильность, комфорт и воздухопроницаемость сочетаются в этих женских кроссовках для бега с упругим каркасом, оснащенным технологиями DynamotionFit и Mizuno Wave, обеспечивающими идеальную поддержку. Комфорт и амортизация обеспечиваются комбинированной межподошвой ap+ и U4icX, а верхняя часть AIRmesh обеспечивает максимальную воздухопроницаемость, позволяя вам дольше оставаться на ногах.</t>
  </si>
  <si>
    <t>80% Полиэстер, 20% Полиуретан; 80% Полиэстер, 20% Полиуретан; 100% Резина</t>
  </si>
  <si>
    <t>MIZUNO SHOES MONARCIDA NEO SELECT</t>
  </si>
  <si>
    <t>P1GA1925-25</t>
  </si>
  <si>
    <t>черный/голубой</t>
  </si>
  <si>
    <t>Верх: Синтетическая кожа, Подкладка: Текстиль, Подошва: Резина</t>
  </si>
  <si>
    <t>WAVE HORIZON 6 (W)</t>
  </si>
  <si>
    <t>J1GD2226-04</t>
  </si>
  <si>
    <t>Комфортные кроссовки с поддержкой при избыточной пронации, идеально подходит для тренировок в среднем темпе и длительных пробежек. Модель обладает великолепной амортизацией, стабильностью и удобной посадкой, благодаря чему преодолевать километры будет легче и приятнее. Эластичный верх. Верх выполнен из эластичной ткани, обеспечивающей хороший воздухообмен, а также фиксацию и поддержку стоп во время бега. Подошва с широким дизайном. Амортизирующие слои подошвы состоят из материалов Mizuno Enerzy Core и Mizuno Wave - их сочетание обеспечивает высокую устойчивость без ущерба для амортизации. Технология Mizuno Enerzy Core дарит комфортные ощущения и высокую отдачу энергии, так как изготовлена из ультрамягкой и упругой пены. Технология Mizuno Wave в сочетании с резиновыми боковыми стенками распределяет давление при контакте с поверхностью для более мягкого ощущения каждого шага. Сцепление и долговечность. В зонах максимальной нагрузки в подошве используется износостойкая углеродистая резина для увеличения срока службы. Также она улучшает сцеплении стопы при беге "с пятки".
Bес: 270 г (женский размер 7H US). Перепад: 8 мм.</t>
  </si>
  <si>
    <t>текстиль, ЭВА, резина</t>
  </si>
  <si>
    <t>SHOE WAVE EXCEED TOUR AC WOS</t>
  </si>
  <si>
    <t>61GA2271-56</t>
  </si>
  <si>
    <t>Теннис</t>
  </si>
  <si>
    <t>Женские теннисные кроссовки Mizuno Wave Exceed Tour , подходящие для игроков, которые ценят  легкость  и  скорость , не отказываясь при этом от комфорта и хорошей амортизации. Подошва подходит для  всех поверхностей .
Верх из мягкой и дышащей сетки с эластичными и более прочными лентами, которые стабилизируют ногу при каждом изменении направления.
Чрезвычайно легкая, отзывчивая и амортизирующая межподошва, идеально подталкивающая вас к воротам. Подошва с гибкими канавками, которые повышают ее динамичность и способность адаптироваться к движениям стопы. Более прочные вставки из ТПУ, расположенные по бокам в верхней части и на носке, позволяют ноге всегда оставаться на месте. Широкая передняя часть стопы для расслабленной и удобной посадки. Мягкий воротник и язычок. Съемная стелька</t>
  </si>
  <si>
    <t>WAVE EXCEED TOUR 6 CC</t>
  </si>
  <si>
    <t>61GC2474-28</t>
  </si>
  <si>
    <t>верх: иск.кожа, текстиль ; подкладка: текстиль; подошва: пластик/резина</t>
  </si>
  <si>
    <t>THUNDER BLADE 3 MID</t>
  </si>
  <si>
    <t>V1GA2175-38</t>
  </si>
  <si>
    <t>Волейбол</t>
  </si>
  <si>
    <t>зеленый/синий</t>
  </si>
  <si>
    <t>MORELIA SALA CLASSIC IN</t>
  </si>
  <si>
    <t>Q1GA1902-54</t>
  </si>
  <si>
    <t>Футзалки Mizuno Morelia Sala Classic In отлично подойдут техничным игрокам, которые ищут гибкую и удобную обувь. Верхняя часть бутс выполнена из синтетического материала, который делает обувь очень прочной. Лёгкий вес повышает маневренность в зале, а межподошва из EVA обеспечивает оптимальную амортизацию, которая уменьшает шанс травмы. Немаркая подошва не оставляет полосы на паркете. Высокий уровень комфорта, посадки и ощущений обеспечивается легким, мягким и эластичным технологичным синтетическим верхом.</t>
  </si>
  <si>
    <t>верх: нат.кожа ; подкладка: текстиль; подошва: пластик/резина</t>
  </si>
  <si>
    <t>WAVE EXCEED TOUR 5 AC</t>
  </si>
  <si>
    <t>61GA2271-21</t>
  </si>
  <si>
    <t>Кроссовки Mizuno Wave Exceed Tour 5 AC спроектированы с учетом анатомических особенностей и с использованием технологии Wave для защиты лодыжки, и технологий D-Flex Groove и SR-Touch для быстрого перемещения и взрывного ускорения. В данной модели скорость сбалансирована с устойчивостью и комфортными ощущениями мягкости движения. Естественная посадка и ощущение комфорта благодаря технологии 3D-Solid. Технология D-Flex groove позволяет играть в высоком темпе с постоянной сменой направления движений и отличным ускорением. Промежуточная подошва PoWnCe для максимальной экономии веса и чувствительной амортизации.</t>
  </si>
  <si>
    <t>WAVE DIMENSION MID</t>
  </si>
  <si>
    <t>V1GA2245-76</t>
  </si>
  <si>
    <t>13</t>
  </si>
  <si>
    <t>SHOE WAVE RIDER TT WOS</t>
  </si>
  <si>
    <t>J1GD2232-71</t>
  </si>
  <si>
    <t>Женские кроссовки для тейлраннинга Mizuno Wave Rider TT можно считать идеальной обувью для бездорожья. Идеально подходит для бегунов, которым нужен комфорт и амортизация на разных поверхностях, даже на асфальте.
Верх из легкой, дышащей и прочной сетки, которая облегает ногу и обеспечивает идеальную посадку. Межподошва изготовлена ​​с использованием технологий Enerzy, U4ic и Mizuno Wave, которые работают в синергии, гарантируя амортизацию, легкость и реактивность. Пена U4ic размещена по всей длине межподошвы. Кроме того, межподошва имеет пену U4icX в важных местах, обеспечивающую дополнительную амортизацию и приятный переход от пятки к носку. Технология Wave, используемая в кроссовках, действует как система амортизации, создающая пружинящий эффект. К межподошве добавлена ​​гофрированная пластиковая пластина. Эта пластина прижимается при каждой посадке и затем возвращается к исходной форме; весенний эффект. Это обеспечивает дополнительное сопротивление при каждом шаге. Верх из сетки делает Wave Rider TT очень дышащим и обеспечивает ощущение комфорта во время бега.  Благодаря подошве Wgrip вы получаете оптимальное сцепление с трассой во время бега.Подошва из устойчивой к истиранию резины, обеспечивающая идеальное сцепление на всех поверхностях, с гибкими канавками, которые повышают ее динамичность. 3D-вставки, расположенные по бокам верха, позволяют ноге всегда оставаться на месте внутри обуви. Носок из более толстого синтетического материала, защищающего от ударов и шипов. Мягкий язычок частично интегрирован в конструкцию
Формованный и мягкий воротник. Переработанная, слегка усиленная область пятки, обеспечивающая большую устойчивость при беге по неровным поверхностям.
Система шнуровки с плоскими шнурками для лучшего контроля давления на тыльной стороне стопы.
Устройство на спине для облегчения посадки
Светоотражающие детали
Съемная стелька. Вес обуви: 266 гр. - (Размер 7, Великобритания)
Перепад высоты: 12 мм
Местность для бега: Бездорожье
Подходящая местность: Смешанная
Вес бегуна: Легкий (&lt; 50 кг) — Средний (60 кг) — Средний — Легкий (50–60 кг)
Темп бега: Средний (5 мин/км)
Рекомендуется для расстояния: Средний — Длинный</t>
  </si>
  <si>
    <t>WAVE SKY 6 W</t>
  </si>
  <si>
    <t>J1GD2202-73</t>
  </si>
  <si>
    <t>Гибкие и удобные Wave Sky 6 заставят вас почувствовать, что вы плывете. Эта модель обеспечивает плавный контакт с землей и потрясающую отдачу энергии благодаря нашим технологиям MIZUNO ENERZY Core и MIZUNO ENERZY. В сочетании с технологией Mizuno Wave для оптимальной стабильности.</t>
  </si>
  <si>
    <t>80% ПОЛИЭСТЕР 20% ПОЛИУРЕТАН</t>
  </si>
  <si>
    <t>61GA2270-26</t>
  </si>
  <si>
    <t>Быстрее, легче и гибче, чем раньше, эта теннисная обувь предназначена для продвинутых игроков, которые ищут максимальную взрывную реакцию. Абсолютно новая конструкция ботинок и обновленный дизайн верха 3D-SOLID обеспечивают большую гибкость и комфорт. Технология MIZUNO WAVE® повышает стабильность лодыжки и перераспределяет ударные нагрузки, а подошва DuRubber обеспечивает надежность и долговечность, необходимые лучшим игрокам. Гарантия на подошву 6 месяцев.</t>
  </si>
  <si>
    <t>10,5</t>
  </si>
  <si>
    <t>WAVE EXCEED TOUR 5 AC (W)</t>
  </si>
  <si>
    <t>61GA2271-23</t>
  </si>
  <si>
    <t>MIZUNO SHOE WAVE EXCEED LIG</t>
  </si>
  <si>
    <t>61GB2223-07</t>
  </si>
  <si>
    <t>Кроссовки Shoe Wave Exceed Lig для женщин предлагают гармоничное сочетание стиля, комфорта и прочности, идеально подходя для активного образа жизни. Созданные из высококачественных материалов, таких как полиуретан и полиэстер, они дарят легкость и надежность. Резиновая подошва обеспечивает отличное сцепление с любой поверхностью, а традиционная шнуровка позволяет легко отрегулировать посадку. Эти кроссовки подходят как для тренировок, так и для повседневного использования, обеспечивая комфорт и уверенность на каждом шагу. Идеальный выбор для тех, кто ценит стиль и надежность.</t>
  </si>
  <si>
    <t>61GB2223-63</t>
  </si>
  <si>
    <t>61GB2322-90</t>
  </si>
  <si>
    <t>Мужские кроссовки Mizuno Wave Exceed Light 2 Padel идеально подходят для быстрых игроков, которым нужна легкость и комфорт .
Верх из легкой и прочной сетки, которая обхватывает ногу, обеспечивая максимальный комфорт без ущерба для воздухопроницаемости.
Подошва из двойного компаунда Mizuno Enerzy и PoWnCe, гарантирующая дополнительную реактивность, амортизацию и гибкость.
Вставки из более прочного синтетического материала с принтом сбоку и на носке, которые помогают стопе всегда оставаться на месте при боковых движениях.
Мягкий воротник и удлиненная спинка, поддерживающая ахиллово сухожилие.
Мягкий сетчатый язычок не интегрирован в конструкцию
Гибкая и более устойчивая область пятки сзади, стабилизирующая лодыжку.
Формованная съемная стелька.</t>
  </si>
  <si>
    <t>61GB2323-91</t>
  </si>
  <si>
    <t>Падел</t>
  </si>
  <si>
    <t>Женские кроссовки Mizuno Wave Exceed Light 2 Padel идеально подходят для быстрых игроков, которым нужна легкость и комфорт .
Верх из легкой и прочной сетки, которая обхватывает ногу, обеспечивая максимальный комфорт без ущерба для воздухопроницаемости.
Подошва из двойного компаунда Mizuno Enerzy и PoWnCe, гарантирующая дополнительную реактивность, амортизацию и гибкость.
Вставки из более прочного синтетического материала с принтом сбоку и на носке, которые помогают стопе всегда оставаться на месте при боковых движениях.
Мягкий воротник и удлиненная спинка, поддерживающая ахиллово сухожилие.
Мягкий сетчатый язычок не интегрирован в конструкцию
Гибкая и более устойчивая область пятки сзади, стабилизирующая лодыжку.
Формованная съемная стелька.</t>
  </si>
  <si>
    <t>WAVE INTENSE TOUR 5 CC</t>
  </si>
  <si>
    <t>61GC1900-30</t>
  </si>
  <si>
    <t>Инновационные кроссовки Mizuno Wave Intense Tour 5 Cc позволяют контролировать игру с задней линии. Непревзойденное поглощение ударной нагрузки при боковых движениях, скольжениях и остановках. Дополнительная амортизация и стабилизация при боковых движениях обеспечивается широкой подошвой в сочетании с технологией Wave. Обновленный верх с большим количеством сетки делает обувь более мягкой, легкой и более удобной.   Естественная посадка и ощущение комфорта благодаря технологии 3D-Solid. Промежуточная подошва из Ap+ двойной плотности придает стабильность при боковых движениях и гарантирует высокий уровень амортизации и поглощения ударной нагрузки в центральной и задней части стопы.  Пластина Mizuno Wave обеспечивает дополнительную амортизацию в задней части стопы и поддерживает голеностоп в правильном положении. Средний вес данной версии 380 гр.</t>
  </si>
  <si>
    <t>WAVE EXCEED LIGHT CC</t>
  </si>
  <si>
    <t>61GC2221-21</t>
  </si>
  <si>
    <t>Женская теннисная обувь, которая выводит легкость амортизации на новый уровень. Оставайтесь на корте весь день в одних из самых легких кроссовок на рынке. MIZUNO ENERZY используется в области пятки и обеспечивает чрезвычайно высокую передачу энергии и отзывчивость от первой подачи до точки матча. Роскошная, но молниеносная обувь для активных игроков.</t>
  </si>
  <si>
    <t>Mizuno Enerzy. Материал промежуточной подошвы, который обеспечивает превосходную мягкость и упругость, а также очень прочный.; Mizuno X10. Чрезвычайно прочная углеродная резина Mizuno, которая обеспечивает более длительный износ в местах с высокой ударной нагрузкой и обеспечивает большее сцепление при ударе пяткой.; Mizuno Wave. Амортизация.</t>
  </si>
  <si>
    <t>WAVE EXCEED TOUR 5 CC</t>
  </si>
  <si>
    <t>61GC2274-40</t>
  </si>
  <si>
    <t>Быстрые , легкие и мягкие мужские теннисные кроссовки Mizuno Wave Exceed Tour 5 Clay созданы для опытных игроков, которым нужна максимальная взрывная реакция. Подошва подходит для грунтовых кортов . Верхняя конструкция с первым слоем из сетки, обеспечивающей мягкость и воздухопроницаемость.
Подошва DuRubber, обеспечивающая максимальную долговечность. Удлиненный воротник с мягкой подкладкой для комфорта, направленного на ахиллово сухожилие. Язык интегрирован в структуру с набивками в стратегически важных местах.
Широкая передняя часть стопы для комфортной и расслабленной посадки.
Съемная стелька
3D-SOLID Уникальный верх, обеспечивающий высочайший уровень мягкости и прочности, сохраняя при этом воздухопроницаемость.Enerzy
Это технология межподошвы, созданная для обеспечения максимальной амортизации и возврата энергии, а также превосходного ощущения комфорта. Он на 17 % мягче и обеспечивает на 15 % больше отклика, чем используемые ранее материалы.
PoWnCe
Чрезвычайно легкий материал межподошвы с превосходными свойствами комфорта и упругости.
Стелька премиум-класса
Съемная стелька для максимального комфорта, амортизации и долговечности.
D-Flex Groove 
Специально разработанная диагональная канавка в средней части стопы позволяет игроку поворачиваться с максимальной скоростью и силой, эффективно передавая естественные движения тела и меняя направление.
Wave
Вдохновленная природой, Wave — это самая эффективная на данный момент технология межподошвы в отрасли. Его уникальная форма рассеивает ударную силу от стопы, обеспечивая более плавное и мягкое ощущение при каждом шаге.
X10
Прочность и тяга. X-10 изготовлен из самой прочной углеродистой резины от Mizuno, обеспечивает более длительный износ в зонах сильных ударов и обеспечивает лучшее сцепление при ударе пяткой.</t>
  </si>
  <si>
    <t>черный, синий</t>
  </si>
  <si>
    <t>SHOE WAVE EXCEED TOUR CC WOS</t>
  </si>
  <si>
    <t>61GC2275-56</t>
  </si>
  <si>
    <t>D1GA2202-02</t>
  </si>
  <si>
    <t>Мужские кроссовки Mizuno Wave Prophecy B для бега и тренеровок. Ощутите непревзойденный комфорт и поддержку с этими кроссовками. Имеют элегантный черный дизайн с кремово-белыми акцентами. Wave Prophecy B обладает исключительной амортизацией и отзывчивостью, обеспечивая длительный комфорт во время тренировок или повседневного ношения. Сетчатый верх, накладки на носке и пятке, а также дополнительные аппликации на шнуровке. Уникальная подошва не только придает футуристический вид, но и смягчает каждый шаг.Стиль и функциональность с этой первоклассной обувью от Mizuno.</t>
  </si>
  <si>
    <t>MIZUNO SHOES MONA NEO SLCT</t>
  </si>
  <si>
    <t>P1GA1925-01</t>
  </si>
  <si>
    <t>MIZUNO SHOES MONAR NEO SELECT</t>
  </si>
  <si>
    <t>P1GA1925-03</t>
  </si>
  <si>
    <t>Wave Lightning Z5 MID</t>
  </si>
  <si>
    <t>V1GA1905-00</t>
  </si>
  <si>
    <t>Круглогодично</t>
  </si>
  <si>
    <t>11,5</t>
  </si>
  <si>
    <t>14</t>
  </si>
  <si>
    <t>WAVE LUMINOUS 2</t>
  </si>
  <si>
    <t>V1GA2120-21</t>
  </si>
  <si>
    <t>WAVE VOLTAGE</t>
  </si>
  <si>
    <t>V1GA2160-21</t>
  </si>
  <si>
    <t>15</t>
  </si>
  <si>
    <t>WAVE VOLTAGE MID</t>
  </si>
  <si>
    <t>V1GC1965-59</t>
  </si>
  <si>
    <t>Беговые кроссовки Mizuno Wave Voltage Mid для женщин объединяют передовые технологии и стильный дизайн, идеально подходящий для активного образа жизни. Верх и подкладка из текстиля обеспечивают комфорт и отличную вентиляцию, позволяя вашим стопам дышать во время движения. Резиновая подошва гарантирует непревзойденное сцепление с любыми поверхностями, обеспечивая стабильность и уверенность на каждом шаге. Застежка на шнурках позволяет надежно фиксировать обувь по ноге для максимальной поддержки. Эти кроссовки станут вашим незаменимым спутником в любых спортивных и повседневных приключениях, обеспечивая комфорт и производительность на высоте.</t>
  </si>
  <si>
    <t>коралловый</t>
  </si>
  <si>
    <t>MIZUNO SHOE WAVE LIGHTNING</t>
  </si>
  <si>
    <t>V1GC2000-55</t>
  </si>
  <si>
    <t>Эти кроссовки Mizuno Wave Lightning для женщин — идеальный выбор для любительниц бега, которые ценят комфорт и надежность. Верхняя часть выполнена из сочетания 80% полиэстера и 20% полиуретана, обеспечивающего легкость и поддержку. Подошва из 100% резины гарантирует отличное сцепление с любыми поверхностями, а шнуровка позволяет идеально зафиксировать ногу. Технология Wave Lightning делает каждую пробежку максимально комфортной благодаря амортизации и возврату энергии. Эти кроссовки идеально подходят как для интенсивных тренировок, так и для повседневной активности.</t>
  </si>
  <si>
    <t>MIZUNO SHOE WAVE SUPERSONIC (W)</t>
  </si>
  <si>
    <t>V1GC2045-29</t>
  </si>
  <si>
    <t>Почувствуйте повышенный уровень комфорта с волейбольной обувью Mizuno Wave Supersonic 2. Сочетая мягкую беговую подошву с технологией Mizuno Wave, обувь обеспечивает очень мягкое ощущение без ущерба для надёжности. Легкий верх на сетчатой основе дает вам возможность комфортного перемещения.</t>
  </si>
  <si>
    <t>WAVE STEALTH NEO</t>
  </si>
  <si>
    <t>X1GA2001-00</t>
  </si>
  <si>
    <t>Гандбол</t>
  </si>
  <si>
    <t>WAVE MIRAGE 5</t>
  </si>
  <si>
    <t>X1GB2350-10</t>
  </si>
  <si>
    <t>белый, фиолетовый</t>
  </si>
  <si>
    <t>S.L.WAVE RIDER</t>
  </si>
  <si>
    <t>D1GA1925-60</t>
  </si>
  <si>
    <t>Кроссовки Mizuno Wave Rider 1 выполнены из сочетания воздухопроницаемой сетки и натуральной кожи. Данная обувь выполнена по мотивам кроссовок 90-х годов и станет идеальным вариантом для ежедневного использования.
Внутренняя поверхность и стелька выполнены из текстиля, что гарантирует комфорт при движении
Шнуровка надежно фиксирует обувь на ноге
Резиновая подошва обеспечивает надежное сцепление с поверхностью
Технология Mizuno Wave обеспечивает непревзойденную амортизацию</t>
  </si>
  <si>
    <t>верх: нат.кожа, текстиль ; подкладка: текстиль; подошва: пластик/резина</t>
  </si>
  <si>
    <t>Wave Rider 1</t>
  </si>
  <si>
    <t>D1GA1927-09</t>
  </si>
  <si>
    <t>кожа, сетка; текстиль; резина</t>
  </si>
  <si>
    <t>Wave Rider 1S</t>
  </si>
  <si>
    <t>D1GA1932-66</t>
  </si>
  <si>
    <t>Кроссовки Mizuno Wave Rider 1 S выполнены из сочетания воздухопроницаемой сетки и натуральной замши. Данная обувь выполнена по мотивам кроссовок 90-х годов и станет идеальным вариантом для ежедневного использования.
Внутренняя поверхность и стелька выполнены из текстиля, что гарантирует комфорт при движении
Шнуровка надежно фиксирует обувь на ноге
Резиновая подошва обеспечивает надежное сцепление с поверхностью
Технология Mizuno Wave обеспечивает непревзойденную амортизацию</t>
  </si>
  <si>
    <t>замша, сетка; текстиль; резина</t>
  </si>
  <si>
    <t>SHOE MONARCIDA NEO SELECT AS</t>
  </si>
  <si>
    <t>P1GD2325-64</t>
  </si>
  <si>
    <t>Мужские шиповки Mizuno Monarcida AS TF - это специальная обувь для футбола на искусственном газоне. Они имеют шипы, которые помогают улучшить сцепление с поверхностью и обеспечить лучшую поддержку и стабильность во время игры. Модель Monarcida AS TF от Mizuno известна своим качеством и долговечностью, а также комфортной посадкой и отличным дизайном. Они предназначены для людей, которые активно занимаются футболом и хотят иметь надежную и удобную обувь для игры на искусственном газоне.</t>
  </si>
  <si>
    <t>100% Полиуретан; 80% Полиэстер, 20% Полиуретан; 100% Резина</t>
  </si>
  <si>
    <t>CONTENDER S</t>
  </si>
  <si>
    <t>D1GA2213-01</t>
  </si>
  <si>
    <t>Contender — это архивный силуэт, взятый прямо из бегового каталога 1995 г. Это была легкая модель, характеризующаяся стабильностью и поддержкой, созданная для бегунов начального уровня, которые ищут хорошо сбалансированную обувь, с амортизацией и подходящей для бега по дороге или бездорожью. дорожный бег. Этот культовый стиль отличается сдержанными, непринужденными цветовыми решениями, дополненными материалами премиум-класса, для создания удобного образа, идеально подходящего для повседневной жизни. Следуя направлению, заданному предыдущими сезонами, Contender S выполнен в простых тонах со слегка контрастирующей нижней полосой.</t>
  </si>
  <si>
    <t>55% кожа (замша) коровы, 45% полиэстер; 100% ЭВА</t>
  </si>
  <si>
    <t>MIZUNO Wave Exceed Tour4 CC U IgnitionR</t>
  </si>
  <si>
    <t>61GC2074-62</t>
  </si>
  <si>
    <t>красный/синий/белый</t>
  </si>
  <si>
    <t>P1GD2325-50</t>
  </si>
  <si>
    <t>WAVE EXCEED SL 2 CC</t>
  </si>
  <si>
    <t>61GC2120-85</t>
  </si>
  <si>
    <t>бел/т.бирюз/оранж</t>
  </si>
  <si>
    <t>D1GA2369-15</t>
  </si>
  <si>
    <t>белый, желтый</t>
  </si>
  <si>
    <t>Sky Medal - White</t>
  </si>
  <si>
    <t>D1GA1924-67</t>
  </si>
  <si>
    <t>"Кроссовки Mizuno 1906 городской стиль, унисекс. Оригинальные, стильные кроссовки для повседневной носки.
Это идеальная комбинация более чем столетних традиций бренда, современных технологий и ярких летних красок! 
Кроссовки Mizuno Sky Medal - классика повседневного стиля доступная для всех. Верх кроссовок выполнен из натуральной высококачественной кожи и прочной дышащей сетки, удобная и устойчивая подошва с прочной резиновой подметкой - все это гарантировано обеспечат максимальный комфорт и удобство, сочетающиеся с любым образом который вы выберете на сегодня.
Простой и современный дизайн продукта, молодая и разнообразная цветовая гамма, больше соответствующая эстетическим предпочтениям молодых потребителей.
Простые линии и чистый дизайн обеспечивают уникальное сочетание износа.
Дышащие и защитные кроссовки Mizuno Sky Medal, в сочетании с инновационными технологиями MIZUNO, создали идеальный продукт."</t>
  </si>
  <si>
    <t>3,5</t>
  </si>
  <si>
    <t>D1GA1927-01</t>
  </si>
  <si>
    <t>Кроссовки Mizuno Wave Rider 1 выполнены из сочетания воздухопроницаемой сетки и натуральной кожи. Данная обувь выполнена по мотивам кроссовок 90-х годов и станет идеальным вариантом для ежедневного использования.</t>
  </si>
  <si>
    <t>D1GA1927-14</t>
  </si>
  <si>
    <t>D1GA1932-67</t>
  </si>
  <si>
    <t>D1GA1932-63</t>
  </si>
  <si>
    <t>бордовый</t>
  </si>
  <si>
    <t>MXR SPORT</t>
  </si>
  <si>
    <t>D1GA2451-03</t>
  </si>
  <si>
    <t>Синтетика, текстиль, резина</t>
  </si>
  <si>
    <t>WAVE DUEL 3 (W)</t>
  </si>
  <si>
    <t>U1GE2160-64</t>
  </si>
  <si>
    <t>Беговые кроссовки Mizuno Wave Duel 3 (W) — это выбор для женщин, стремящихся к высокоскоростным результатам и максимальному комфорту на дорожке. Верх кроссовок выполнен из легкого и дышащего текстиля, обеспечивающего отличную вентиляцию во время бега. Промежуточная подошва из ЭВА гарантирует отличную амортизацию и поддержку стопы, сводя к минимуму усталость даже при длительных пробежках. Резиновая подошва обеспечивает надежное сцепление с поверхностью, а классическая шнуровка позволяет идеально подогнать обувь по ноге. Эти кроссовки — ваш надежный партнер на пути к новым победам.</t>
  </si>
  <si>
    <t>Wave Rider 1 Shape ofTime</t>
  </si>
  <si>
    <t>D1GA2003-47</t>
  </si>
  <si>
    <t>Кроссовки Mizuno Wave Rider 1S выполнены из сочетания воздухопроницаемой сетки и натуральной кожи. Данная обувь выполнена по мотивам кроссовок 90-х годов и станет идеальным вариантом для ежедневного использования.
Внутренняя поверхность и стелька выполнены из текстиля, что гарантирует комфорт при движении
Шнуровка надежно фиксирует обувь на ноге
Резиновая подошва обеспечивает надежное сцепление с поверхностью
Технология Mizuno Wave обеспечивает непревзойденную амортизацию</t>
  </si>
  <si>
    <t>Синтетические материалы</t>
  </si>
  <si>
    <t>MIZUNO WAVE EXCEED TOUR 5AC(U)</t>
  </si>
  <si>
    <t>61GA2270-12</t>
  </si>
  <si>
    <t>синий/желтый/коричневый</t>
  </si>
  <si>
    <t>MIZUNO WAVE EXCEED TOUR 5AC(W)</t>
  </si>
  <si>
    <t>61GA2271-64</t>
  </si>
  <si>
    <t>белый/коричневый/золотой</t>
  </si>
  <si>
    <t>MIZUNO WAVE EXCEED LGTPADEL M PeaceBlue/</t>
  </si>
  <si>
    <t>61GB2222-27</t>
  </si>
  <si>
    <t>синий/зеленый/белый</t>
  </si>
  <si>
    <t>SHOE BREAK SHOT PADEL WOS</t>
  </si>
  <si>
    <t>61GB2336-60</t>
  </si>
  <si>
    <t>Для игроков начального уровня, которые только начинают играть в теннис. Для учащихся младших и старших классов средней школы/новичков в теннисных клубах. Сделайте большой перерыв в теннисе с этими кроссовками, оптимизированными для игроков начального уровня. Он оснащен множеством функций, идеально подходящих для новичков, включая плоскую подошву для дополнительной устойчивости, легкий вес и удивительную гибкость. Кроссовки также имеют стильный внешний вид благодаря новому логотипу RB и оптической иллюзии, создающей глубину.
ВЕС (Г): 290 г</t>
  </si>
  <si>
    <t>зеленый/розовый</t>
  </si>
  <si>
    <t>MIZUNO WAVE FLASH CC</t>
  </si>
  <si>
    <t>61GC1923-08</t>
  </si>
  <si>
    <t>белый/серый/красный</t>
  </si>
  <si>
    <t>1</t>
  </si>
  <si>
    <t>MIZUNO WAVE EXCEED TOUR 5CC(U)</t>
  </si>
  <si>
    <t>61GC2274-36</t>
  </si>
  <si>
    <t>белый/зеленый/бежевый</t>
  </si>
  <si>
    <t>MIZUNO Sky Medal U Black/EggshellBlue/W</t>
  </si>
  <si>
    <t>D1GA1924-54</t>
  </si>
  <si>
    <t>черный/оранжевый/белый</t>
  </si>
  <si>
    <t>MIZUNO Sky Medal U Black/ChineseRed/Whi</t>
  </si>
  <si>
    <t>D1GA1924-65</t>
  </si>
  <si>
    <t>черный/синий/белый</t>
  </si>
  <si>
    <t>MIZUNO MONDO CONTROL OG U White</t>
  </si>
  <si>
    <t>D1GA1935-09</t>
  </si>
  <si>
    <t>белый/синий/черный</t>
  </si>
  <si>
    <t>D1GA1935-35</t>
  </si>
  <si>
    <t>MIZUNO Sky Medal Lights - Black/PinkGlo/</t>
  </si>
  <si>
    <t>D1GA2005-09</t>
  </si>
  <si>
    <t>черный/розовый</t>
  </si>
  <si>
    <t>Mizuno Contender</t>
  </si>
  <si>
    <t>D1GA2101-64</t>
  </si>
  <si>
    <t>Низкие кроссовки в стиле ретро с нейлоновым верхом и накладками из синтетической кожи с амортизацией Transpower в сочетании с мягкой пеной для идеального комфорта при ходьбе.</t>
  </si>
  <si>
    <t>MIZUNO Sky Medal S U SSand/Chcoffee/PSpi</t>
  </si>
  <si>
    <t>D1GA2132-00</t>
  </si>
  <si>
    <t>бежевый/коричневый</t>
  </si>
  <si>
    <t>MIZUNO Sky Medal S U Papyrus/GarnetRose/</t>
  </si>
  <si>
    <t>D1GA2132-06</t>
  </si>
  <si>
    <t>бежевый/розовый</t>
  </si>
  <si>
    <t>D1GA2369-14</t>
  </si>
  <si>
    <t>белый, оранжевый</t>
  </si>
  <si>
    <t>MIZUNO SHOE S.L.MXR</t>
  </si>
  <si>
    <t>D1GA2451-08</t>
  </si>
  <si>
    <t>серебрянный/серыйжелтый</t>
  </si>
  <si>
    <t>MXR TECH</t>
  </si>
  <si>
    <t>D1GA2468-03</t>
  </si>
  <si>
    <t>Кроссовки Повседневный Унисекс Mizuno Mxr Tech — идеальный выбор для тех, кто ценит комфорт и стиль в каждом шаге. Эти кроссовки созданы из высококачественных синтетических материалов, что обеспечивает их легкость и долговечность. Подошва из резины гарантирует отличное сцепление с любой поверхностью, делая их идеальными для активного образа жизни. Классическая шнуровка позволяет легко подогнать обувь по ноге, обеспечивая надежную фиксацию. Благодаря универсальному дизайну, эти кроссовки подходят для любых повседневных образов и делают их незаменимой частью вашего гардероба.</t>
  </si>
  <si>
    <t>верх: текстиль, нат.кожа; подкладка: текстиль; подошва: пластик/резина</t>
  </si>
  <si>
    <t>MIZUNO SHOE MRL SALA CLUB I</t>
  </si>
  <si>
    <t>Q1GA2403-91</t>
  </si>
  <si>
    <t>белый/красный</t>
  </si>
  <si>
    <t>Q1GA2416-02</t>
  </si>
  <si>
    <t>MIZUNO SHOE MRL SALA CLUB T</t>
  </si>
  <si>
    <t>Q1GB2403-90</t>
  </si>
  <si>
    <t>Q1GB2403-92</t>
  </si>
  <si>
    <t>черный/серебрянный/оранжевый</t>
  </si>
  <si>
    <t>MIZUNO SHOE WAVE MOMENTUM</t>
  </si>
  <si>
    <t>V1GA1912-51</t>
  </si>
  <si>
    <t>зеленый/золотой</t>
  </si>
  <si>
    <t>MIZUNO CYCLONE SPEED 3 U OrionBlue/MBlue</t>
  </si>
  <si>
    <t>V1GA2180K-38</t>
  </si>
  <si>
    <t>синий/зеленый</t>
  </si>
  <si>
    <t>MIZUNO Wave Hurricane 3 - GlacierGray/Wh</t>
  </si>
  <si>
    <t>V1GC1740-60</t>
  </si>
  <si>
    <t>серый/белый/розовый</t>
  </si>
  <si>
    <t>MIZUNO WAVE LUMINOUS W LivingCoral/Snow</t>
  </si>
  <si>
    <t>V1GC1820-59</t>
  </si>
  <si>
    <t>оранжевый/белый</t>
  </si>
  <si>
    <t>MIZUNO WAVE MOMENTUM(W) SWhite/DarkShado</t>
  </si>
  <si>
    <t>V1GC1912-18</t>
  </si>
  <si>
    <t>MIZUNO SHOE WAVE MOMENTUM W</t>
  </si>
  <si>
    <t>V1GC1912-59</t>
  </si>
  <si>
    <t>MIZUNO SHOE WAVE STEALTH NE</t>
  </si>
  <si>
    <t>X1GA2000-01</t>
  </si>
  <si>
    <t>MIZUNO WAVE STEALTH NEO U BlkOyster/MPGo</t>
  </si>
  <si>
    <t>X1GA2000-41</t>
  </si>
  <si>
    <t>серый/черный/золотой/белый</t>
  </si>
  <si>
    <t>MIZUNO WAVE PHANTOM 3 U Black/White/Zinn</t>
  </si>
  <si>
    <t>X1GA2260-44</t>
  </si>
  <si>
    <t>черный/белый/серый/оранжевый</t>
  </si>
  <si>
    <t>MIZUNO WAVE MIRAGE 3 - ArubaBlue/Wht/SGr</t>
  </si>
  <si>
    <t>X1GB1950-01</t>
  </si>
  <si>
    <t>синий/белый/серый</t>
  </si>
  <si>
    <t>MIZUNO WAVE MIRAGE 4</t>
  </si>
  <si>
    <t>X1GB2150-02</t>
  </si>
  <si>
    <t>MIZUNO ARM POUCH</t>
  </si>
  <si>
    <t>J3GD3015-09</t>
  </si>
  <si>
    <t>Чехол для телефона на предплечье</t>
  </si>
  <si>
    <t>Чехол для телефона на предплечье MIZUNO ARM POUCH — это удобный и стильный аксессуар для активных людей. Изготовленный из 100% полиэстера, он обеспечит долговечность и легкость в уходе. Основное отделение с сенсорным экраном позволяет использовать телефон, не вынимая его из чехла, а внутренний карман удобно хранит небольшие вещи. Отражающая лента повышает вашу безопасность в условиях низкой освещенности. С размерами 11×19 см, этот чехол подходит для большинства смартфонов. Уход прост: машинная стирка при 30°C, без отбеливания и глажки. Это идеальный выбор для занятий спортом на свежем воздухе.</t>
  </si>
  <si>
    <t>70% нейлон, 15% полиуретан, 15% полиэстер</t>
  </si>
  <si>
    <t>MIZUNO BACKPACK 25 lt</t>
  </si>
  <si>
    <t>33GD3001-05</t>
  </si>
  <si>
    <t>синий/серый</t>
  </si>
  <si>
    <t>100% Полиэстер</t>
  </si>
  <si>
    <t>MIZUNO RUNNERS BACKPACK</t>
  </si>
  <si>
    <t>J3GD3011-05</t>
  </si>
  <si>
    <t>MIZUNO Mesh DrawBag</t>
  </si>
  <si>
    <t>33GD1007-92</t>
  </si>
  <si>
    <t>Сумка</t>
  </si>
  <si>
    <t>Сумки</t>
  </si>
  <si>
    <t>черный/синий</t>
  </si>
  <si>
    <t>33GD1007-96</t>
  </si>
  <si>
    <t>черный/красный</t>
  </si>
  <si>
    <t>Mesh DrawBag</t>
  </si>
  <si>
    <t>33GD2007-05</t>
  </si>
  <si>
    <t>33GD2007-09</t>
  </si>
  <si>
    <t>33GD2007-14</t>
  </si>
  <si>
    <t>Shoes Case</t>
  </si>
  <si>
    <t>33GD9012-09</t>
  </si>
  <si>
    <t>Сумка для обуви</t>
  </si>
  <si>
    <t>Сумка для обуви от торговой марки Мизуно выполнена из прочной ткани. Вместительное центральное отделение застегивается на молнию. Модель оснащена прочной практичной ручкой для большего комфорта при переноске. Сумка для обуви Mizuno Shoe Bag декорирована светоотражающим логотипом компании.
Размер: 34 х 13 х 18 см.</t>
  </si>
  <si>
    <t>MIZUNO Team Holdall Medium - Black</t>
  </si>
  <si>
    <t>K3EY6A07-90</t>
  </si>
  <si>
    <t>Сумка MIZUNO Team Holdall — это идеальный выбор для спортсменов и активных людей, которым нужна надежная и вместительная сумка. Изготовленная из 100% полиэстера, она сочетает в себе водонепроницаемость и отличную вентиляцию. Основное отделение оснащено широкой крышкой на молнии с двумя бегунками, что обеспечивает легкий доступ к вашим вещам. Для удобства переноски предусмотрены две ручки и регулируемый ремень через плечо. Вентилируемый боковой карман специально разработан для хранения влажных вещей или обуви. Размеры 61 х 28 х 32 см делают эту сумку достаточно вместительной для всех ваших нужд.</t>
  </si>
  <si>
    <t>MIZUNO Judo Enamel Bag M - Black/White</t>
  </si>
  <si>
    <t>K3EY6W92-09</t>
  </si>
  <si>
    <t>Flex Short  (W)</t>
  </si>
  <si>
    <t>62GB1215-01</t>
  </si>
  <si>
    <t>Женские шорты Mizuno Flex Short созданы для тех, кто ценит комфорт и свободу движений. Изготовленные из легкой эластичной ткани, они обеспечивают полную свободу движений, идеально подходя для активных тренировок и повседневной носки. Два открытых боковых кармана добавляют практичности, позволяя удобно хранить мелочи или необходимые мелкие аксессуары. Эти шорты помогут вам чувствовать себя уверенно и комфортно в любой ситуации, будь то интенсивное занятие спортом или непринужденная прогулка. Mizuno Flex Short — стильный и функциональный выбор для современных активных женщин.</t>
  </si>
  <si>
    <t>Полиэстер 88%, Эластан 12%</t>
  </si>
  <si>
    <t>62GB1215-09</t>
  </si>
  <si>
    <t>Flying skirt (W)</t>
  </si>
  <si>
    <t>62GB2201-13</t>
  </si>
  <si>
    <t>Женская юбка Flying Skirt – идеальный выбор для активных и стильных женщин. Изготовленная из мягкой и эластичной ткани, она обеспечивает комфорт и свободу движений в любой ситуации. Основное тело состоит из 88% полиэстера и 12% эластана, что делает юбку лёгкой и дышащей. Вставки из 100% полиэстера добавляют стильные акценты и дополнительную прочность. Эта юбка универсальна и подходит как для занятий спортом, так и для повседневной носки. Легко сочетается с различными топами и обувью, позволяя вам создать уникальный стиль. Добавьте в свой гардероб эту яркую и функциональную вещь!</t>
  </si>
  <si>
    <t>Тело:88% Полиэстер 12%Эластан, Вставки:100% Полиэстер</t>
  </si>
  <si>
    <t>MIZUNO  RELEASE FLYIN</t>
  </si>
  <si>
    <t>62GBA701-53</t>
  </si>
  <si>
    <t>Женская юбка Release Flyin — сочетание стиля и комфорта для современной активной женщины. Изготовленная из материала, состоящего на 85% из полиэстера и на 15% из эластана, она обеспечивает отличную эластичность и свободу движений, что идеально подходит для занятий спортом и активных прогулок. Ткань легкая и дышащая, что дарит ощущение свежести в течение всего дня. Универсальный дизайн позволяет легко комбинировать юбку с различными топами и обувью, создавая разнообразные образы. Release Flyin незаменима как в спортивном, так и в повседневном гардеробе, добавляя яркий акцент вашему стилю.</t>
  </si>
  <si>
    <t>85 % полиэстер, 15 % эластан</t>
  </si>
  <si>
    <t>The North Face</t>
  </si>
  <si>
    <t>M 78 Low-Fi Hi-Tek Cargo Pant</t>
  </si>
  <si>
    <t>NF0A7ZYS3X4</t>
  </si>
  <si>
    <t>M 78 LOW-FI HI-TEK Cargo Pant от The North Face - это удобные и практичные брюки, которые подойдут для активных занятий на открытом воздухе.
Брюки изготовлены из высококачественного материала HI-TEK, который отлично справляется с влагой и быстро сохнет. Это означает, что вы можете быть уверены в комфорте даже во время интенсивной активности или при легком дожде.
M 78 LOW-FI HI-TEK Cargo Pant имеют множество функциональных карманов, предназначенных для хранения ваших личных вещей, таких как ключи, мобильные телефоны или карты. Это облегчает организацию и доступность ваших вещей во время путешествий или приключений.
Благодаря своему современному дизайну и удобной посадке, эти брюки будут отличным дополнением к вашему спортивному гардеробу. Они подходят для различных активностей на свежем воздухе, включая походы, пешие прогулки или тренировки.
M 78 LOW-FI HI-TEK Cargo Pant обеспечивают комфорт и свободу движений благодаря своему эргономичному крою и регулируемым элементам. Вы будете чувствовать себя комфортно и уверенно во время всех ваших приключений.
Выбирая M 78 LOW-FI HI-TEK Cargo Pant от The North Face, вы получаете надежную и стильную пару брюк, которая станет незаменимой в вашем активном образе жизни.</t>
  </si>
  <si>
    <t>76% нейлон, 24% хлопок</t>
  </si>
  <si>
    <t>High Pile Nuptse Jacket</t>
  </si>
  <si>
    <t>NF0A5A84JK3</t>
  </si>
  <si>
    <t>Культовый мужской пуховик High Pile Nuptse Jacket  от американского бренда The North Face. Выполнен из мягкого объемного флиса шерпы плотностью 240 граммов. Утеплители — натуральный переработанный пух водоплавающих птиц с высокой плотностью набивки 600D, при этом очень легкий и сжимаемый, а также синтетический Heatseeker Eco для тепла даже в сырую погоду. Пуховик оснащен капюшоном, который при необходимости можно спрятать в воротник-стойку, молнией VISLON® с внутренней ветрозащитной планкой, двумя внешними и одним внутренним карманами на молниях. Имеет также регулируемые эластичные манжеты, кулиску по нижнему краю. Представлен в универсальной черной расцветке, дополнен вышитым логотипом бренда на груди и плече сзади.</t>
  </si>
  <si>
    <t>1996 Retro Nuptse Down Jacket</t>
  </si>
  <si>
    <t>NF0A3C8D78M</t>
  </si>
  <si>
    <t>Большие дутые отсеки, оригинальные цветовые решения и эталонное качество — всё это культовый пуховик 1996 Retro Nuptse Jacket от The North Face. Немного укороченный силуэт модели отсылает нас к истории её создания, когда альпинистам было необходимо носить поясной ремень со снаряжением. Верхний слой куртки выполнен в стиле колор-блок из рипстоп-нейлона с водоотталкивающей пропиткой. В качестве утеплителя — гусиный пух, собранный по стандартам ответственного потребления. Эластичные манжеты и нижний край обеспечивают плотное прилегание и отличную посадку по фигуре. В воротнике спрятан лёгкий капюшон с козырьком. Собираясь в путешествие, вы можете сложить куртку в один из её карманов.</t>
  </si>
  <si>
    <t>100% нейлон</t>
  </si>
  <si>
    <t>M 96 RETRO NUPTSE JKT Deep Dijon, Small</t>
  </si>
  <si>
    <t>NF0A3C8DDCO</t>
  </si>
  <si>
    <t>100% нейлон</t>
  </si>
  <si>
    <t>54-56</t>
  </si>
  <si>
    <t>M 96 RETRO NUPTSE JKT Summit, XX Large</t>
  </si>
  <si>
    <t>NF0A3C8DGO8</t>
  </si>
  <si>
    <t>M 1996 RETRO NUPTSE JACKET</t>
  </si>
  <si>
    <t>NF0A3C8DGOE</t>
  </si>
  <si>
    <t>Туризм</t>
  </si>
  <si>
    <t>Верх - 100% нейлон; Подкладка - 100% нейлон; Наполнитель - 80% пух, 20% перо</t>
  </si>
  <si>
    <t>W 1996 RETRO NUPTSE JACKET</t>
  </si>
  <si>
    <t>NF0A3XEO1KI</t>
  </si>
  <si>
    <t>W 96 RETRO NUPTSE JKT Khaki Stone, Small</t>
  </si>
  <si>
    <t>NF0A3XEOGM3</t>
  </si>
  <si>
    <t>M MCMURDO BOMBER</t>
  </si>
  <si>
    <t>NF0A5GD9KX7</t>
  </si>
  <si>
    <t>M HYDRNLTE DWN HDY SMOKED PEARL, X Large</t>
  </si>
  <si>
    <t>NF0A5GIE0UZ</t>
  </si>
  <si>
    <t>M MCMURDO PARKA</t>
  </si>
  <si>
    <t>NF0A5GJFKX7</t>
  </si>
  <si>
    <t>M 92 LFHT Nuptse Jacket</t>
  </si>
  <si>
    <t>NF0A7ZYPTV8</t>
  </si>
  <si>
    <t>Мужской пуховик '92 Low-Fi Hi-Tek Nuptse Jacket от американского бренда The North Face. Современное прочтение оригинальной куртки 1992 года. Пуховик выполнен из технологичной ветрозащитной смесовой ткани на основе полиэстера и хлопка WindWall. Утеплитель — натуральный гусиный пух с высокой плотностью набивки 700D, при этом очень легкий и сжимаемый. Пуховик оснащен капюшоном, который при необходимости можно спрятать в воротник-стойку, молнией VISLON® с внутренней ветрозащитной планкой, двумя внешними карманами на молниях и одним внутренним на липучке. Имеет также регулируемые эластичные манжеты и подол. Представлен в комбинированной расцветке, дополнен крупным вышитым логотипом бренда на груди и спине.</t>
  </si>
  <si>
    <t>83% полиэстер, 17% хлопок</t>
  </si>
  <si>
    <t>M ACONCAGUA 3 HOODIE NEW TAUPE, XX Large</t>
  </si>
  <si>
    <t>NF0A84I121L</t>
  </si>
  <si>
    <t>M ACONCAGUA 3 HOODIE TNF Black-NP, Small</t>
  </si>
  <si>
    <t>NF0A84I14H0</t>
  </si>
  <si>
    <t>W SUMMIT BREITHORN HOODIE</t>
  </si>
  <si>
    <t>NF0A8805JK3</t>
  </si>
  <si>
    <t>M RETRO DENALI JACKET</t>
  </si>
  <si>
    <t>NF0A88XH5HO</t>
  </si>
  <si>
    <t>Флиска The North Face Retro Denali Jacket подходит для путешествий и прогулок в прохладную погоду. Модель выполнена из 100% переработанного полиэстера. Мягкая и теплая ткань сочетается со вставками из прочного нейлона, который позволяет избежать истирания материала. В карманах можно разместить важную мелочь.</t>
  </si>
  <si>
    <t>W HYALITE DOWN PARKA TNF BLACK, X Small</t>
  </si>
  <si>
    <t>NF0A8E74JK3</t>
  </si>
  <si>
    <t>W GOTHAM JACKET</t>
  </si>
  <si>
    <t>T0A84IWQLI</t>
  </si>
  <si>
    <t>Женская куртка The North Face Gotham Jacket с капюшоном готова стать вашим универсальным планом «Б» на случай резкого похолодания. В ней используются переработанные материалы, как для верхнего слоя, так и для натурального утеплителя, изготовленного из гусиного пуха. Снаружи расположилась пара накладных карманов, в которых удобно греть руки и хранить важные мелочи.</t>
  </si>
  <si>
    <t>M BERGEN MID WP</t>
  </si>
  <si>
    <t>NF0A8D8WW9O</t>
  </si>
  <si>
    <t>верх: нат.кожа,текстиль; подкладка: текстиль; подошва: резина</t>
  </si>
  <si>
    <t>M VECTIV EXPLORIS 2 FUTURELIGHT LTHR</t>
  </si>
  <si>
    <t>T0A7W4Z79K</t>
  </si>
  <si>
    <t>Ощутите непревзойденный комфорт и максимальную поддержку на пеших маршрутах с легкими и водонепроницаемыми походными кроссовками The North Face. Технология VECTIV обеспечивает максимальную передачу энергии благодаря сверхлегкой стабилизирующей пластине стопы, промежуточной подошве с качающимся профилем и цепкой подошве SurfaceCTRL. Кроссовки Exploris II FutureLight, разработанные специально для бега на длинные дистанции, имеют более широкую платформу для большей устойчивости и эргономичную межподошву для дополнительного комфорта. Водонепроницаемая и дышащая мембрана FUTURELIGHT в сочетании с прочной нубуковой кожей обеспечивают удобную посадку. Усиленные накладки на пятке и носке обеспечивают дополнительную защиту на каменистой местности.</t>
  </si>
  <si>
    <t>100% кожа</t>
  </si>
  <si>
    <t>120</t>
  </si>
  <si>
    <t>M CHILKAT V LACE WP</t>
  </si>
  <si>
    <t>NF0A5LW3YW2</t>
  </si>
  <si>
    <t>Откройте для себя универсальные водонепроницаемые ботинки The North Face, разработанные специально для искателей приключений, которые любят суровые погодные условия. Эти ботинки имеют идеальную посадку и сочетают в себе лучшую функциональность и комфорт. Их водонепроницаемая и дышащая конструкция сохраняет сухость, а поддерживающие манжеты и фиксаторы на пятке упрощают использование снегоступов. Ботинки Chilkat V оснащены инновационной изоляцией Heatseeker™, которая обеспечивает превосходное тепло, удерживая воздух и сохраняя тепло. Усовершенствованная резиновая подошва SurfaceCTRL™ обеспечивает оптимальное сцепление на зимних дорогах и бескомпромиссную гибкость при каждом шаге. Идеальный компаньон для всех ваших зимних приключений!</t>
  </si>
  <si>
    <t>M STORM STRIKE III WP</t>
  </si>
  <si>
    <t>NF0A7W4GU6V</t>
  </si>
  <si>
    <t>верх: иск.кожа,текстиль; подкладка: текстиль; подошва: резина</t>
  </si>
  <si>
    <t>AMP GLOVE</t>
  </si>
  <si>
    <t>T0A888MJK3</t>
  </si>
  <si>
    <t>Перчатки</t>
  </si>
  <si>
    <t>Представляем AMP GLOVE — перчатки, в которых современные технологии встречаются с непревзойденным комфортом! Разработанные для активного образа жизни, они обеспечивают превосходную защиту от холода и ветра, сохраняя ваши руки в тепле и уюте вне зависимости от погодных условий. Продуманный дизайн и первоклассные материалы делают AMP GLOVE не только функциональными, но и стильными. Благодаря анатомической форме, они идеально сидят на руке, обеспечивая свободу движений и точность в каждых условиях. Не позволяйте холодной погоде ограничивать ваши зимние удовольствия — выбирайте AMP GLOVE и оставайтесь на вершине своих возможностей!</t>
  </si>
  <si>
    <t>74% вискоза, 24% полиэстер, 2% эластан</t>
  </si>
  <si>
    <t>19-20</t>
  </si>
  <si>
    <t>BASE CAMP 100 WP</t>
  </si>
  <si>
    <t>NF0A8D9FKX7</t>
  </si>
  <si>
    <t>верх: текстиль, иск.кожа; подкладка: текстиль; подошва: резина</t>
  </si>
  <si>
    <t>M BERGEN LEATHER WP</t>
  </si>
  <si>
    <t>NF0A8A9M8O1</t>
  </si>
  <si>
    <t>NF0A8A9MKX7</t>
  </si>
  <si>
    <t>115</t>
  </si>
  <si>
    <t>NF0A8D8WDUJ</t>
  </si>
  <si>
    <t>NF Mens Lifestyle Sandals</t>
  </si>
  <si>
    <t>NF0A4T2RI85</t>
  </si>
  <si>
    <t>Сандалии</t>
  </si>
  <si>
    <t>Шлепанцы NF Mens Lifestyle Sandals созданы для максимального комфорта в любых условиях. Ремешок из мягкого вспененного материала надежно фиксирует стопу и защищает от натирания. Текстурированная подошва обеспечивает отличное сцепление, делая их идеальными для отдыха у бассейна. Эти шлепанцы сочетают в себе стиль и практичность, становясь незаменимой частью вашего летнего гардероба. Легкость и удобство на каждом шагу с The North Face. Промежуточная подошва/подошва из пеноматериала EVA одинарной плотности обеспечивает ощущение комфорта и легкости.</t>
  </si>
  <si>
    <t>NF0A8A90KX7</t>
  </si>
  <si>
    <t>Шлёпанцы The North Face — идеальный спутник для летних приключений. Выполненные из качественных материалов, они обеспечивают комфорт и долговечность. Эргономичная форма и легкая конструкция позволяют носить их весь день без усталости. Прочный верх и текстурированная подошва гарантируют надежную посадку и сцепление на любой поверхности. С лаконичным дизайном и фирменным логотипом эти шлёпанцы идеально дополнят ваш повседневный или спортивный образ. Стиль и комфорт в каждой паре!</t>
  </si>
  <si>
    <t>NF Mens Outerwear Jackets</t>
  </si>
  <si>
    <t>NF0A3C8D8R5</t>
  </si>
  <si>
    <t>M ESS RX HOODIE TNFLIGHTGREYHTR, Small</t>
  </si>
  <si>
    <t>NF0A89ESDYX</t>
  </si>
  <si>
    <t>65% хлопок, 35% полиэстер</t>
  </si>
  <si>
    <t>Carrera Jeans</t>
  </si>
  <si>
    <t>619-1342A-676</t>
  </si>
  <si>
    <t>Встречайте брюки карго модели 619 – оптимальное сочетание практичности и утонченного стиля. Эта модель отличается классической конструкцией с прямыми штанинами и стандартной длиной, что придаёт ей универсальный характер. Фронтальные карманы, выполненные в изысканном французском стиле, украшают переднюю часть и добавляют элегантности, в то время как объёмные боковые карманы с клапанами и надежными пуговицами обеспечивают необходимую функциональность и лёгкий доступ к вашим вещам.
Брюки предлагают идеальное сочетание комфорта и стиля – они отлично сидят на бедрах, обеспечивая вам свободу и удобство движений, вне зависимости от вашей активности. Продуманность конструкции подчёркивается дополнительными усиленными швами по бокам, которые позволяют изделию выдерживать интенсивное ежедневное использование.
Материал выполнен из 8-унционного хлопкового габардина – это не только придаёт брюкам изысканность, но и гарантирует высокую прочность при сохранении лёгкости ткани. Эти качества делают брюки идеальным вариантом для межсезонного периода, когда важен баланс тепла и вентиляции.
Сочетая в себе непринуждённый комфорт и актуальные тренды, брюки карго 619 станут неотъемлемой частью вашего гардероба, идеально подходя как для создания кэжуал-образов, так и для более составленных и структурированных ансамблей.</t>
  </si>
  <si>
    <t>IT</t>
  </si>
  <si>
    <t>619-1342A-765</t>
  </si>
  <si>
    <t>624-0942A-676T</t>
  </si>
  <si>
    <t>Брюки чинос 624 – синоним комфорта и изысканного стиля. Эти стандартно скроенные брюки обладают прямым силуэтом, который одинаково хорошо будет смотреться как в офисе, так и на прогулке по городу. Благодаря инновационной технологии Spintech Stretch, используемой в ткани, брюки приобретают потрясающую эластичность, обеспечивая не только идеальную посадку, но и непревзойденный уровень комфортности.
Дизайн брюк дополняют фронтальные карманы, выполненные в элегантном французском стиле, и стильные задние карманы с прорезями, которые добавляют изысканности и функциональности одновременно. Классическая посадка на бёдрах позволяет брюкам сидеть на своём месте без ощущения стеснения, даря вам свободу движений на протяжении всего дня.
Дополнительное внимание к деталям проявляется в усиленных боковых швах, придающих изделию дополнительную прочность и повышая его долговечность. Эти брюки – воплощение классической моды, проникающей сквозь время, благодаря своему бесконечно актуальному дизайну.
Идеально подходя для создания строгого повседневного образа, они легко дополняют вашу деловую рубашку или повседневный джемпер, превращая каждый ваш день в эталон стиля и утонченности.</t>
  </si>
  <si>
    <t>92% хлопок, 5% полиэстер, 3% эластан</t>
  </si>
  <si>
    <t>700-1342A-262</t>
  </si>
  <si>
    <t>Эти стильные брюки c пятью функциональными карманами, созданы для комфорта и удобства на каждый день. Стандартная посадка в талии и на бедрах обеспечивает идеальное облегание, позволяя вам чувствовать себя свободно и уверенно. Удобные штанины плавно спускаются вниз, даря свободу движений и естественный силуэт.
Каждая деталь продумана до мелочей, начиная от прочной и надежной ширинки на молнии, заканчивая элегантной кожаной этикеткой Jacron на заднем поясе, которая добавляет изысканный акцент. Дизайн этих брюк воплощает собой простоту и чистоту линий, делая их вневременной классикой, которая никогда не утратит своей актуальности.
Изготовленные из высококачественного легкого хлопкового габардина, брюки гарантируют дышащую легкость и приятное ощущение на коже в теплые весенние и летние дни. Цвет - настоящий оммаж классической элегантности, который легко адаптируется к различным стилям и случаям.
Сочетайте их с легкими рубашками или повседневными футболками для создания образа, который будет радовать вас свежестью и утонченностью на протяжении всего дня.</t>
  </si>
  <si>
    <t>темно-бежевый</t>
  </si>
  <si>
    <t>700-01021-500</t>
  </si>
  <si>
    <t>Carrera Jeans 700 – это модель, вошедшая в историю денима в Италии. Эти джинсы с пятью карманами плотностью 13,5 унций, вдохновленные старинными хлопчатобумажными тканями, представляют собой простое и вневременное изделие, выпускаемое с 1965 года. Благодаря регулярному крою, они становятся надежным выбором для любой ситуации.
Джинсы прямого кроя обеспечивают удобную посадку, подходящую для любого случая жизни. Ширинка на молнии добавляет функциональности и легкости в использовании. Усиленные швы по бокам обеспечивают максимальную устойчивость и долговечность, гарантируя надежность этой классической модели.
Carrera Jeans 700 – это джинсы, на которые можно положиться, символизирующие итальянское мастерство и качество. Их универсальный стиль делает их идеальным дополнением к любому гардеробу, предлагая вневременную элегантность и комфорт в каждой детали.</t>
  </si>
  <si>
    <t>700-0921S-051</t>
  </si>
  <si>
    <t>Модель Carrera 700 — это джинсы с пятью карманами, которые вошли в историю денима в Италии. Регулярная посадка обеспечивает идеальный баланс между комфортом и стилем, делая эти джинсы подходящими для любого случая. Средняя посадка на талии и бедрах, а также прямой крой создают классический силуэт, который никогда не выйдет из моды. 
Изготовленные из эластичной хлопчатобумажной ткани плотностью 13 унций с использованием передовой технологии Spintech Stretch, эти джинсы гарантируют не только долговечность, но и удобство при носке. Усиленные швы обеспечивают максимальную устойчивость и долговечность изделия, что делает их надежным выбором для повседневного использования. 
Ширинка на молнии добавляет функциональности и удобства, завершая образ этих универсальных джинсов. Модель Carrera 700 станет отличным дополнением к любому гардеробу, предлагая стиль и комфорт в каждой детали.</t>
  </si>
  <si>
    <t>710-0970A-501</t>
  </si>
  <si>
    <t>Если вы выберете модель 710, вы никогда не ошибетесь. Эти джинсы созданы для истинных ценителей качества и стиля. Модель оснащена классической ширинкой на пуговицах и предлагает регулярную посадку, обеспечивая максимальный комфорт благодаря стандартной талии и прямому крою от бедра.
Изготовленные из плотного денима 12,5 унций с использованием передовой технологии Spintech Stretch, эти джинсы сочетают в себе прочность и эластичность, гарантируя долговечность и удобство. Классические пять карманов добавляют функциональности и практичности, делая их идеальным выбором для повседневного использования.
Эти джинсы подходят для тех, кто ищет вневременный внешний вид, оставаясь верными традициям и одновременно отвечая требованиям современности. Независимо от вашего стиля, модель 710 станет отличным дополнением к вашему гардеробу, обеспечивая элегантность и комфорт в любой ситуации.</t>
  </si>
  <si>
    <t>92% хлопок, 6% полиэстер, 2% эластан</t>
  </si>
  <si>
    <t>717E-0970X-76H</t>
  </si>
  <si>
    <t>Эти джинсы зауженного кроя являются идеальным выбором для тех, кто стремится к современному и стильному образу. Изготовленные из денима плотностью 12,5 унций с использованием эластичной ткани с технологией Spintech Stretch, они сочетает в себе прочность и гибкость, гарантируя комфорт и свободу движений.
Модель с заниженной талией и зауженным низом придаёт современный и модный силуэт. Ширинка на молнии обеспечивает удобство, а этикетка на поясе Jacron сзади и персонализированные пуговица Carrera и заклепки добавляют уникальности и выразительности.
Эти джинсы также украшены потертостями с эффектом износа, которые придают изделию характерный и модный вид. Классические пять карманов делают эту модель еще более практичной и функциональной.
Эти джинсы – идеальный выбор для тех, кто ищет стильные и современные брюки, которые подчеркнут индивидуальность и помогут создать неповторимый образ.</t>
  </si>
  <si>
    <t>46</t>
  </si>
  <si>
    <t>717R-0900A-512</t>
  </si>
  <si>
    <t>Привнесите в свой гардероб ультрасовременный комфорт с этими стильными зауженными джинсами. Каждая пара снабжена классическими пятью карманами, предоставляя не только стильный вид, но и практичность для повседневного использования. Изготовленные из денима плотностью 10 унций, эти джинсы предлагают превосходное сочетание прочности и легкости.
Материал модели Relax уникален тем, что внешне джинсы напоминают традиционный деним, в то время как внутри ощущаются так же уютно, как и ваша любимая толстовка. Это стало возможным благодаря использованию денима Play, который радует тело мягкостью и комфортом, не ожидаемым от обычных джинсов.
Ширинка на молнии обеспечивает легкость надевания и снятия, а изысканная кожаная этикетка Jacron на поясе сзади, персонализированная пуговица Carrera и фирменные заклепки вносят дополнительный характер и индивидуальность в образ. Добавление потертостей с эффектом износа не только придает нотку винтажности, но и делает каждую пару уникальной.
Эти джинсы идеально сочетают тренды и функциональность, предлагая вам одежду, которая не только выглядит фантастически, но и обеспечивает максимальный комфорт даже в самые напряженные дни. Идеальны как для создания кэжуал-образов, так и для более продуманных стилевых решений.</t>
  </si>
  <si>
    <t>85% хлопок, 12% полиэстер, 3% эластан</t>
  </si>
  <si>
    <t>48</t>
  </si>
  <si>
    <t>752A-0987A-511</t>
  </si>
  <si>
    <t>Женские вневременные джинсы Carrera с пятью карманами - это идеальное сочетание классического стиля и современного комфорта. С их стандартной талией и удобной посадкой Regular Fit на бедрах, эти джинсы обеспечивают непревзойденное удобство и стиль в течение всего дня. Застегиваются они на молнию, что добавляет практичности и легкости в использовании. Изготовленные из эластичной хлопковой ткани с технологией Spintech Stretch, они гарантируют идеальную посадку и свободу движений. Прямые брючины делают эти джинсы универсальными, подходящими как для повседневного, так и для более формального образа. С плотностью ткани 7,5 oz, эти джинсы обладают прочностью и долговечностью, сохраняя при этом легкость и комфорт.</t>
  </si>
  <si>
    <t>93% хлопок, 5% полиэстер, 2% эластан</t>
  </si>
  <si>
    <t>753RS-0970A-560</t>
  </si>
  <si>
    <t>Женские джинсы винтажного кроя с высокой посадкой Mom Slim Fit - идеальный выбор для тех, кто ценит стиль и комфорт. Эти джинсы сочетают в себе ретро-очарование и современное удобство благодаря эластичной хлопковой ткани с технологией Spintech Stretch. Высокая посадка подчеркивает фигуру и создает эффектный силуэт, а застежка на молнию обеспечивает легкость и практичность в повседневной носке. Этот универсальный предмет гардероба прекрасно подойдет как для создания непринужденного, так и для более утонченного образа, делая их незаменимым элементом любого гардероба.</t>
  </si>
  <si>
    <t>797L-810AL-510</t>
  </si>
  <si>
    <t>Женские джинсы Carrera облегающего кроя станут идеальным дополнением вашего гардероба. Эти джинсы с пятью карманами и стандартной талией обеспечивают комфорт и стиль на каждый день. Посадка Skinny Fit акцентирует внимание на вашем силуэте, а застежка-молния добавляет удобства. Изготовленные из эластичной хлопковой ткани с применением технологий Aloe и Spintech Stretch, они предлагают уникальное сочетание мягкости, комфорта и долговечности. Независимо от повседневных дел или особых событий, джинсы Carrera подарят вам уверенность и стильный вид.</t>
  </si>
  <si>
    <t>T707M</t>
  </si>
  <si>
    <t>T707M-0900A-718</t>
  </si>
  <si>
    <t>Джинсы Carrera Passport представляют собой новое слово в мире денима - инновационный шаг навстречу потребностям современной жизни. С пятью карманами, они сочетают в себе классическую функциональность и безопасность, что делает их незаменимым предметом гардероба для тех, кто ценит удобство и стиль.
Качественная ткань плотностью 10 унций исключительно эластична и обеспечивает комфорт, сравнимый с костюмными тканями, позволяя вам наслаждаться движением без ограничений, сохраняя при этом аутентичный джинсовый вид. Дополнительная безопасность обеспечивается благодаря замысловато продуманным карманам с молниями, которые незаметно встроены и защищают ваши ценности, такие как кошелек, паспорт, ключи или документы.
Эти джинсы Carrera Passport не имеют ограничений в использовании: будь то рабочий день, во время которого важен респектабельный вид и комфорт, путешествия, на протяжении которых высоко ценится безопасность личных вещей, или отдых, когда превалирует стремление к свободе движений и непринужденности.
Эти джинсы станут надежным спутником для ценителей качества, инноваций и функциональности, дополняя каждый образ чувством уверенности и стиля.</t>
  </si>
  <si>
    <t>409-1412X-665</t>
  </si>
  <si>
    <t>Мужская стеганая куртка Carrera Jeans Ultralight Ripstop — это стиль и функциональность в одном изделии. Куртка выполнена из водоотталкивающего материала, что делает её незаменимой для весны и осени. Комбинированный утеплитель обеспечивает тепло и комфорт в прохладную погоду. Модель оснащена капюшоном, воротником-стойкой и удобными карманами на молнии. Черная молния добавляет стильного контраста, а фирменная нашивка Carrera на левом рукаве подчеркивает уникальность дизайна. Классический крой позволяет носить куртку как в повседневной жизни, так и в более активной городской среде. Верхний слой из 100% нейлона, подкладка и утеплитель из 100% полиэстера гарантируют долговечность и легкость изделия.</t>
  </si>
  <si>
    <t>409-1412X-899</t>
  </si>
  <si>
    <t>213A-1230A-03K</t>
  </si>
  <si>
    <t>Мужская рубашка Carrera классического кроя с длинными рукавами - воплощение стиля и удобства. Эта модель оснащена воротником на пуговицах, который придает ей элегантный вид и позволяет сохранить форму даже после многочисленных стирок. Манжеты с двойными пуговицами обеспечивают надежную фиксацию и удобство в носке. Карман на груди украшен вышивкой логотипа Carrera, добавляя изюминку в дизайн рубашки. Центральная застежка на пуговицы делает ее лёгкой в надевании и снятии, а классический крой обеспечивает комфорт в течение всего дня. Идеальный выбор для создания стильного образа на каждый день.</t>
  </si>
  <si>
    <t>213A-1230A-B79</t>
  </si>
  <si>
    <t>213C-1240A-669</t>
  </si>
  <si>
    <t>Мужская рубашка с короткими рукавами и воротником на пуговицах. Данная модель отличается нагрудным карманом, украшенным тонкой вышивкой логотипа, которая добавляет изысканности и стиля. Центральная застежка на пуговицы обеспечивает удобство и практичность. Рубашка выполнена из однотонной хлопчатобумажной ткани с эффектом льна, что придает ей лёгкость и непринуждённый вид. Комфортная и универсальная, эта рубашка идеально подойдет для мужчин любого возраста, становясь отличным выбором для повседневного ношения или неформальных встреч.</t>
  </si>
  <si>
    <t>224S-1253X-K72</t>
  </si>
  <si>
    <t>Рубашка с длинными рукавами, выполненная из тонкой хлопковой жаккардовой ткани. Однотонная ткань и классический крой придают ей элегантный и универсальный вид. Итальянский воротник добавляет нотку утонченности. Логотип Carrera аккуратно вышит в тон слева на груди, подчеркивая внимание к деталям. Рубашка оснащена центральной застежкой на пуговицы и двойными пуговицами на манжетах для дополнительного комфорта и стильного завершения образа. Идеальный выбор для тех, кто ценит качество и классический стиль.</t>
  </si>
  <si>
    <t>63% хлопок, 37% полиэстер</t>
  </si>
  <si>
    <t>450-0970A-500</t>
  </si>
  <si>
    <t>Джинсовка</t>
  </si>
  <si>
    <t>Мужская джинсовая куртка Carrera Jeans Stretch Denim Trucker — это стильный и удобный элемент повседневного гардероба. Изготовлена из стрейчевого денима с использованием технологии Spintech, что обеспечивает отличную посадку и комфорт. Плотность материала составляет 12,5 унций, что делает куртку долговечной и устойчивой к износу. Модель оснащена центральной застежкой на металлические пуговицы и отложным воротником в классическом французском стиле. Нагрудные карманы с клапанами и прорезные боковые карманы добавляют функциональности. Брендинг Carrera на груди слева подчеркивает качество и стиль. Эта вневременная куртка идеально подходит для лета, весны и осени, создавая стильный образ.</t>
  </si>
  <si>
    <t>805B-0051X-B52</t>
  </si>
  <si>
    <t>Утепленный свитшот с длинными рукавами и круглым вырезом, дополненный прошитой деталью. Модель стандартного кроя с рукавами реглан, характеризующаяся ребристой отделкой на воротнике, манжетах и подоле. Внутри - плотный и уютный флис, обеспечивающий тепло и комфорт в холодное время года. Уникальная графика Carrera, включающая принты и вышивку, добавляет изделию стильный и модный вид. Этот свитшот станет незаменимым элементом вашего гардероба, сочетая в себе функциональность и оригинальный дизайн.</t>
  </si>
  <si>
    <t>70% хлопок, 30% полиэстер</t>
  </si>
  <si>
    <t>846B-0253A-687</t>
  </si>
  <si>
    <t>Свитер</t>
  </si>
  <si>
    <t>Мужской свитер Carrera Jeans — идеальный выбор для холодного времени года. Этот повседневный свитер с высоким горлом выполнен из мягкого и теплого хлопка, что обеспечивает комфорт и уют в осенние, зимние и весенние месяцы. Воротник-стойка защищает от холода, добавляя при этом шарма всему образу. Благодаря универсальному крою, свитер прекрасно сочетается с различными элементами гардероба и станет незаменимой вещью для любого мужчины. Легкость в уходе позволяет без усилий поддерживать свитер в отличном состоянии, что делает его практичным и удобным решением для ежедневной носки.</t>
  </si>
  <si>
    <t>801M-0047A-35K</t>
  </si>
  <si>
    <t>Эта футболка, выполненная из мягкого хлопкового джерси, станет вашим незаменимым спутником в создании повседневного и комфортного образа. Модель прямого кроя с круглым вырезом и короткими рукавами обеспечивает свободу движений и удобство в ношении. Яркий принт на груди добавляет стильности и оригинальности, делая футболку выразительным акцентом в любом ансамбле. Этот универсальный элемент гардероба легко сочетается с джинсами, шортами или спортивной одеждой, создавая модные и непринужденные образы на каждый день.</t>
  </si>
  <si>
    <t>801P-0047A-002</t>
  </si>
  <si>
    <t>Эта футболка прямого кроя с круглым вырезом и короткими рукавами станет идеальным дополнением к вашему гардеробу. Изготовленная из легкого и удобного трикотажа из чистого хлопка, она обеспечивает превосходный комфорт и долговечность. Декорированная принтом логотипа Carrera спереди, эта модель представляет собой вневременную классику, которая легко сочетается с любой одеждой. Универсальный дизайн и высокое качество материала делают эту футболку отличным выбором для повседневного ношения. Носите ее с джинсами, шортами или даже под пиджак для создания стильного образа на любой случай.</t>
  </si>
  <si>
    <t>801U-0042A-687</t>
  </si>
  <si>
    <t>Футболка прямого кроя с круглым вырезом и короткими рукавами — это идеальное сочетание стиля и комфорта. Изготовленная из мягкого хлопкового джерси, она обеспечит вам комфорт в течение всего дня. Однотонная расцветка делает этот предмет гардероба универсальным, позволяя легко сочетать его с различными стилями. Вышитый логотип на груди слева, выполненный в тон основному цвету, добавляет изысканности и элегантности. Независимо от того, носите ли вы эту футболку с джинсами для повседневного образа или с брюками для более официального случая, она всегда будет выглядеть уместно и стильно.</t>
  </si>
  <si>
    <t>60% хлопок, 40% полиэстер</t>
  </si>
  <si>
    <t>801U-0042A-899</t>
  </si>
  <si>
    <t>819-0075A-461</t>
  </si>
  <si>
    <t>Поло</t>
  </si>
  <si>
    <t>Рубашка-поло стандартного кроя с короткими рукавами, выполненная из чистого хлопка пике для максимального комфорта и воздухопроницаемости. Модель с ребристым воротником и манжетами, украшенными полосками контрастного цвета, что придает яркости и стиля. Вышивка логотипа на груди с левой стороны добавляет рубашке фирменный акцент. Застежка на фирменные пуговицы Carrera завершает изысканный образ. Эта удобная и универсальная рубашка-поло станет незаменимым элементом гардероба для людей всех возрастов. Она идеально подходит для повседневного ношения и активного отдыха.</t>
  </si>
  <si>
    <t>819A-0075A-001</t>
  </si>
  <si>
    <t>Quiksilver</t>
  </si>
  <si>
    <t>MISSION BLOCK GEL0</t>
  </si>
  <si>
    <t>EQYTJ03404-GEL0</t>
  </si>
  <si>
    <t>Куртка сноубордическая</t>
  </si>
  <si>
    <t>Сноубординг</t>
  </si>
  <si>
    <t>Куртка Quiksilver MISSION BLOCK GEL0 — это высокотехнологичная сноубордическая куртка для мужчин, которая сочетает в себе стиль, функциональность и заботу об экологии. Изготавливается на 100% из переработанного полиэстера, поддерживая инициативу Made Better, чтобы снизить экологический след.
- Водостойкая и дышащая мембрана DryFlight® гарантирует комфорт и защиту от влаги даже при интенсивных нагрузках на склонах.
- Утеплитель WarmFlight® Eco обеспечивает отличное удержание тепла при минимальном объеме, поддерживая оптимальную температуру тела.
- Все критические швы проклеены — дополнительная защита от попадания влаги в самые уязвимые места.
- Вентиляционные отверстия под мышками эффективно регулируют температуру, увеличивая комфорт во время активного катания.
- Многочисленные карманы позволяют безопасно хранить важные вещи и легко к ним получать доступ.
- Изготовлена только из переработанной синтетики, поддерживая экологически устойчивый способ производства, что важно для сохранения окружающей среды.</t>
  </si>
  <si>
    <t>NOMAD  JCKT GLW0</t>
  </si>
  <si>
    <t>EQYJK04092-GLW0</t>
  </si>
  <si>
    <t>Quiksilver NOMAD JCKT — это идеальная куртка для повседневных приключений в холодную погоду. Изготовленная из переработанного нейлона, она обеспечивает отличную защиту от дождя и ветра, помогая вам оставаться в комфорте в любых условиях. Стиль и экологичность в одном изделии.
- Технология 5K DryFlight® предлагает превосходную гидроизоляцию, поддерживая сухость и комфорт даже в самых влажных условиях.
- Рейтинг WarmFlight® гарантирует теплую изоляцию благодаря использованию 400 г полифилла, обеспечивающего надежную защиту от холода.
- Куртка изготовлена из 100% переработанного нейлона, что делает ее экологичным выбором. Используются переработанные полиэфирные волокна, текстильные отходы и пластиковые бутылки.
- Материал ripstop обеспечивает долгий срок службы и устойчивость к разрывам, оставаясь легким и удобным для повседневного использования.
- Обилие карманов на молнии, включая внутренний карман для документов, обеспечивает удобство хранения и легкий доступ к вещам.
- Регулируемые манжеты и эластичный шнурок в подоле позволяют подгонять куртку для дополнительного комфорта и защиты от ветра. Светоотражающие детали добавляют видимость в темное время суток.</t>
  </si>
  <si>
    <t>SYCAMORE SNJT KRP0</t>
  </si>
  <si>
    <t>EQYTJ03457-KRP0</t>
  </si>
  <si>
    <t>Куртка Quiksilver SYCAMORE SNJT KRP0 — это высокоэффективная сноубордическая куртка для мужчин, которая предлагает превосходную защиту и комфорт благодаря передовым материалам и технологиям. Изготовлена из 100% переработанного полиэстера в рамках инициативы Made Better для минимизации экологического воздействия.
- Оснащена водостойкой и дышащей мембраной 20K DryFlight®, обеспечивающей надежную защиту в экстремальных погодных условиях.
- Утеплитель WarmFlight®  Eco из переработанных пластиковых бутылок эффективно удерживает тепло при минимальном объеме, сохраняя комфорт.
- Современный крой гарантирует стильную посадку и свободу движений, идеальную для активного досуга на склонах.
- Проклеенные критические швы и водоотталкивающая обработка без содержания фтора усиливают защиту от проникновения влаги.
- Несъемный капюшон совместим с шлемом, обеспечивая дополнительную безопасность и удобство.
- Множество карманов, включая кармашек для скипасса, медиакарман и внутренний карман из сетки, позволяют удобно хранить необходимые вещи.</t>
  </si>
  <si>
    <t>MOLOKAI RECYCLE  SNDL XKBB</t>
  </si>
  <si>
    <t>AQYL101309-XKBB</t>
  </si>
  <si>
    <t>Сланцы</t>
  </si>
  <si>
    <t>Эластичный стреп из синтетической резины с перемычкой между пальцев — с надписью Quiksilver и классическим логотипом Mountain &amp; Wave
Рифленая стелька из переработанного полимера ЭВА
Подошва из пористой резины с рисунком протектора из логотипов под углом друг к другу</t>
  </si>
  <si>
    <t>резина</t>
  </si>
  <si>
    <t>7(40)</t>
  </si>
  <si>
    <t>Roxy</t>
  </si>
  <si>
    <t>ROXY JETTY BLOCK JK BQY7</t>
  </si>
  <si>
    <t>ERJTJ03482-BQY7</t>
  </si>
  <si>
    <t>Сноубордическая куртка Roxy Jetty обеспечивает идеальный баланс между стилем и функциональностью. Созданная для женщин, эта куртка предлагает надежную защиту на склонах, благодаря инновационным материалам и продуманному дизайну, чтобы вы оставались сухими и теплыми в любых условиях.
- Водостойкая мембрана 10K ROXY DryFlight® защищает от влаги, обеспечивая комфорт и сухость в течение дня на склоне.
- Утеплитель ROXY WarmFlight® из 70% переработанных материалов гарантирует высокую теплоизоляцию без утяжеления, создавая оптимальный микроклимат.
- Проклеенные критические швы обеспечивают дополнительную защиту от проникновения воды, продлевая срок службы куртки.
- Регулируемый съемный капюшон и несъемная противоснежная юбка помогают сохранить тепло и не позволят снегу попасть внутрь.
- Функциональные карманы, включая медиакарман и кармашек для скипасса, обеспечивают надежное хранение аксессуаров.
- Система вентиляции под мышками и эластичные запястные гейтеры поддерживают комфортную температуру и свободу движений.</t>
  </si>
  <si>
    <t>ABBIE JK KVJ0</t>
  </si>
  <si>
    <t>ERJJK03594-KVJ0</t>
  </si>
  <si>
    <t>Куртка Roxy ABBIE JK KVJ0 — это идеальное сочетание стиля, функциональности и устойчивого производства, специально созданное для женского гардероба. Изготовлена из 100% переработанного полиэстера с водостойкой мембраной ROXY DryFlight®.
- Мембрана 10K ROXY DryFlight® обеспечивает водонепроницаемость и воздухопроницаемость, защищая от неблагоприятных погодных условий.
- Подкладка из косметотекстиля HydroSmart пропитана органическим кремом, защищая кожу в холодную погоду.
- Утеплитель ROXY WarmFlight® из сертифицированного пуха и пера сохраняет тепло без лишнего объема.
- Стильный стандартный удлиненный крой и качественная фурнитура YKK® обеспечивают удобство и надежность.
- Несъемный капюшон и манжеты в рубчик улучшают защиту от холода и ветра.
- Практичные карманы на молнии обеспечивают удобное хранение необходимых вещей, сохраняя их в безопасности.</t>
  </si>
  <si>
    <t>SHELTER JK BQY0</t>
  </si>
  <si>
    <t>ERJTJ03488-BQY0</t>
  </si>
  <si>
    <t>Сноубордическая куртка Roxy SHELTER JK обеспечивает идеальную защиту и комфорт для женщин на склоне. Благодаря элегантному дизайну и передовым технологиям, она станет отличным выбором для активного отдыха на снегу, сохраняя тепло и сухость в любой погоде.
- Длинный приталенный крой подчеркивает женственность, обеспечивая при этом надежную защиту от холода и влаги.
- Мембрана 10K ROXY DryFlight® обеспечивает высокую водостойкость и воздухопроницаемость для стабильного комфорта в снежных условиях.
- Утеплитель ROXY WarmFlight® с 70% переработанных материалов гарантирует оптимальное тепло, не утяжеляя куртку.
- Проклеенные критические швы и водоотталкивающее покрытие защищают от проникновения влаги, поддерживая долгий срок службы изделия.
- Регулируемый капюшон и противоснежная юбка предотвращают попадание снега, улучшая защиту от экстремальных условий.
- Многофункциональные карманы, включая карман для скипасса и медиакарман, обеспечивают удобное хранение и доступ ко всем необходимым вещам на склоне.</t>
  </si>
  <si>
    <t>ROXY JETTY BLOCK JK KVJ4</t>
  </si>
  <si>
    <t>ERJTJ03482-KVJ4</t>
  </si>
  <si>
    <t>Куртка Roxy Jetty Block JK представляет собой отличное решение для активных женщин-сноубордисток. Эта надежная куртка предлагает сочетание модного дизайна и высокотехнологичных характеристик, поддерживая оптимальную защиту и комфорт на склонах.
- Мембрана 10K ROXY DryFlight® обеспечивает высокую степень водонепроницаемости и дышащие свойства, поддерживая внутренний комфорт в любых погодных условиях.
- Использование утеплителя ROXY WarmFlight® помогает удерживать тепло, при этом оставаясь легкой и комфортной для активных движений.
- Смесь переработанных и новых материалов сохраняет экологическую ответственность, предлагая устойчивый модный выбор.
- Съемный капюшон и противоснежная юбка гарантируют дополнительную защиту от холодного воздуха и снега.
- Наличие многочисленных карманов, включая специализированные для медиаприборов и маски, обеспечивает удобство и функциональность.
- Встроенная система вентиляции и гейтеры на запястьях поддерживают оптимальную терморегуляцию тела в движении.</t>
  </si>
  <si>
    <t>WINTER REBEL JK BQY0</t>
  </si>
  <si>
    <t>ERJJK03598-BQY0</t>
  </si>
  <si>
    <t>Утепленная куртка Roxy WINTER REBEL — это стильное решение для зимнего сезона. Благодаря водонепроницаемой мембране 10K ROXY DryFlight® и утеплителю WarmFlight® из переработанного полиэстера, она защитит вас от холода и влаги, обеспечивая комфорт и сохранение тепла в любую погоду.
- Водонепроницаемая мембрана 10K ROXY DryFlight® обеспечивает отличную защиту от дождя и снега, сохраняя одежду сухой и комфортной.
- Утеплитель ROXY WarmFlight® с упругостью пуха 600 сделает вашу зимнюю прогулку теплой и приятной даже в сильные холода.
- Обработка без соединений фтора гарантирует, что ваша куртка останется водоотталкивающей и экологически безопасной.
- Стандартный укороченный крой и короткий мягкий воротник придают куртке современный и визуально привлекательный вид.
- Удобные карманы на молнии идеальны для безопасного хранения мелочей во время активных зимних отдыха.
- Регулируемый подол обеспечивает идеальную посадку и защиту от ветра, дополняя ваш зимний гардероб.</t>
  </si>
  <si>
    <t>56/44%ПОЛИЭСТЕР/НЕЙЛОН</t>
  </si>
  <si>
    <t>TW ALWAYS CORE (MFA6)</t>
  </si>
  <si>
    <t>ERLBP03064-MFA6</t>
  </si>
  <si>
    <t>Рюкзак Roxy TW Always Core — это идеальный выбор для активных детей, который сочетает в себе стиль и функциональность. Изготовленный из 100% переработанного полиэстера, он поддерживает экологически ответственный подход к моде.
- Изготовлен из 100%-го переработанного полиэстера, этот рюкзак не только прочный, но и экологически безопасный, помогая снизить воздействие на окружающую среду.
- Просторное основное отделение на молнии обеспечивает легкий доступ и надежное хранение школьных принадлежностей или спортивной экипировки.
- Передний карман на молнии добавляет дополнительное место для мелочей, таких как канцелярские принадлежности или перекус, упрощая организацию.
- Регулируемые набивные лямки повышают комфорт при ношении, позволяя ребенку легко адаптировать рюкзак под свой рост.
- Размеры 30 x 24 x 10,5 см делают его компактным и практичным для повседневного использования, обеспечивая вместительность до 8 литров.
- Хлопковая нашивка ROXY добавляет стильный акцент и подчеркивает аутентичность рюкзака, делая его узнаваемым элементом бренда.</t>
  </si>
  <si>
    <t>VIVA IV</t>
  </si>
  <si>
    <t>ARJL100663-PCA</t>
  </si>
  <si>
    <t>Каучуковый верх с металлическим значком ROXY
Рифленая каучуковая стелька
Каучуковая подошва</t>
  </si>
  <si>
    <t>ARJL100663-SAG</t>
  </si>
  <si>
    <t>DC Shoes</t>
  </si>
  <si>
    <t>CRUISER JACKET XWWP</t>
  </si>
  <si>
    <t>ADJTJ03047-XWWP</t>
  </si>
  <si>
    <t>Куртка DC Shoes Cruiser Jacket  — идеальный выбор для женщин, ценящих надежность и стиль в сноубордической экипировке. Выполненная из 100% переработанного полиэстера, она обеспечивает комфорт на склонах без ущерба для экологии.
- Экологически чистый материал из 100% переработанного полиэстера гибко сочетается с инновационными технологиями, обеспечивая защиту от непогоды и одновременно сокращая вредное воздействие на окружающую среду.
- Отличная защита от влаги и ветра достигается благодаря высокотехнологичной мембране, которая удерживает тепло, обеспечивая комфорт и сухость зимой.
- Удобная посадка и эргономичный крой куртки гарантируют свободу движений, что является важным аспектом в любых экстремальных условиях.
- Легкий, но прочный материал куртки уменьшает её вес, обеспечивая комфортное использование в любых условиях.
- Множество карманов позволяют удобно размещать личные вещи и снаряжение, что делает куртку исключительно практичной в использовании.
- Стильный цвет в сочетании с современным дизайном подчеркивает индивидуальность и делает ваш образ запоминающимся на склонах.</t>
  </si>
  <si>
    <t>NO HITTER SHORT</t>
  </si>
  <si>
    <t>ADYWS03082-KVJ0</t>
  </si>
  <si>
    <t>Баскетбольные шорты
Сетка из полиэстера плотностью 245 г/кв. м
Классический крой
Пояс с отворотом на внутренней резинке
Накладной карман на правой штанине
Подкладка из трикотажа
Вышивка DC Old English у подола слева
Вышитый значок Hit And Run у подола справа
Круглые хлопковые утяжки с металлическими наконечниками с брендингом DCSHOECO с изнанки пояса
Стандартная фурнитура DC</t>
  </si>
  <si>
    <t>Saucony</t>
  </si>
  <si>
    <t>ENDORPHIN SPEED 5</t>
  </si>
  <si>
    <t>S2100701</t>
  </si>
  <si>
    <t>RIDE MILLENNIUM</t>
  </si>
  <si>
    <t>S7081239</t>
  </si>
  <si>
    <t>серый/серебряный</t>
  </si>
  <si>
    <t>Head</t>
  </si>
  <si>
    <t>TECH 3/4 Tights Women</t>
  </si>
  <si>
    <t>814325-BK</t>
  </si>
  <si>
    <t>Тайтсы</t>
  </si>
  <si>
    <t>Спортивные лосины HEAD Tech 3/4 созданы специально для динамичных тренировок на корте.
Облегающий крой и инновационный эластичный материал обеспечивают полную свободу движений и оптимальную поддержку мышц.
Длина 3/4 идеально подходит для активной игры, сохраняя ощущение свежести даже при интенсивных нагрузках.
Ключевые особенности:
Эластичный пояс – надежная фиксация без дискомфорта
Два сетчатых кармана для мячей (без молнии) – удобный доступ к аксессуарам
Логотип HEAD – стильный дизайн
Облегающий силуэт – поддерживающий эффект без ограничения движений
Длина 3/4 – комфорт даже в жаркую погоду
Состав:
84% переработанный полиэстер, 16% эластан – экологичный материал с высокой эластичностью
Преимущества:
Адаптивный материал – идеально повторяет контуры тела
Дышащая структура – эффективный влагообмен
Практичные карманы – всегда под рукой запасные мячи
Экологичный состав – забота о природе без ущерба качеству</t>
  </si>
  <si>
    <t>84% переработанный полиэстер, 16% эластан</t>
  </si>
  <si>
    <t>814325-NV</t>
  </si>
  <si>
    <t>CLUB Pants Men</t>
  </si>
  <si>
    <t>811329-AN</t>
  </si>
  <si>
    <t>Клубные брюки идеальны для разогрева и разминки, а также для любых других случаев. Благодаря функциональному сочетанию материалов и эластичному поясу они очень удобны. Классический крой позволяет носить шорты или юбку под брюки. Застежка-молния на подоле позволяет надевать и снимать модель, не снимая обуви.</t>
  </si>
  <si>
    <t>285080-NV</t>
  </si>
  <si>
    <t>Эта повязка на голову не пропускает пот со лба, поэтому вы можете следить за важными вещами. Повязка сделана на 90% нейлона и 10% эластана для обеспечения необходимой эластичности.</t>
  </si>
  <si>
    <t>90% нейлон;10% эластан</t>
  </si>
  <si>
    <t>Kids Cap Monster</t>
  </si>
  <si>
    <t>287184-BLLI</t>
  </si>
  <si>
    <t>Когда ваш ребенок играет на теннисном корте или в детском саду, вы можете быть уверены, что кепка KIDS MONSTER защитит его от солнца. Эта очень удобная кепка изготовлена ​​из прочной ткани и оснащена регулируемым ремешком на липучке, который обеспечивает идеальную посадку. Она предлагается в новом цвете, который идеально сочетается с рюкзаком и ракеткой для самых маленьких.
детский размер
- прочная ткань
- дизайн вышивки спереди
- регулируемый ремешок на липучке</t>
  </si>
  <si>
    <t>65% полиэстер, 35% хлопок</t>
  </si>
  <si>
    <t>Kids Cap Owl</t>
  </si>
  <si>
    <t>287194-TQLB</t>
  </si>
  <si>
    <t>Детям понравится кепка KIDS OWL, которая защитит их от солнца, когда они будут на теннисном корте или на детской площадке. Кроме того, она чрезвычайно удобна благодаря новому материалу и регулируемому ремешку на липучке, который обеспечивает идеальную посадку.
детский размер
- прочная ткань
- дизайн вышивки спереди
- регулируемый ремешок на липучке</t>
  </si>
  <si>
    <t>287033-TQOR</t>
  </si>
  <si>
    <t>Новая бейсболка KIDS CAP MONSTER гарантирует, что голова вашего ребенка будет защищена от солнца, независимо от того, играет ли он на корте или на улице. Кепка удобна благодаря прочному материалу и отлично сидит благодаря регулируемому ремешку на липучке, который обеспечивает идеальную посадку.</t>
  </si>
  <si>
    <t>HEAD Reset</t>
  </si>
  <si>
    <t>575034</t>
  </si>
  <si>
    <t>полимерные материалы, синтетические материалы</t>
  </si>
  <si>
    <t>3B HEAD PADEL ONE -S - 6DZ</t>
  </si>
  <si>
    <t>575383</t>
  </si>
  <si>
    <t>Премиальный мяч Head Padel One. Понравится игрокам, которые предпочитают комбинированный стиль игры. Умеренно быстрый, превосходно контролируемый и долговечный. В комплекте 3 мяча.</t>
  </si>
  <si>
    <t>3B HEAD Padel Pro S+ - 6DZ</t>
  </si>
  <si>
    <t>540303</t>
  </si>
  <si>
    <t>3B HEAD Tour - 6 DZ</t>
  </si>
  <si>
    <t>570703</t>
  </si>
  <si>
    <t>4B HEAD Tour - 6 DZ</t>
  </si>
  <si>
    <t>570704</t>
  </si>
  <si>
    <t>3B HEAD Tour XT - 6 DZ</t>
  </si>
  <si>
    <t>570823</t>
  </si>
  <si>
    <t>4B HEAD Tour XT  - 6 DZ</t>
  </si>
  <si>
    <t>570824</t>
  </si>
  <si>
    <t>3B HEAD Pro - 6 DZ</t>
  </si>
  <si>
    <t>571603</t>
  </si>
  <si>
    <t>черный/желтый</t>
  </si>
  <si>
    <t>4B HEAD Pro - 6 DZ</t>
  </si>
  <si>
    <t>571604</t>
  </si>
  <si>
    <t>HEAD TIP ORANGE (пакет 72 мяча)</t>
  </si>
  <si>
    <t>578270</t>
  </si>
  <si>
    <t>Мяч 72 шт</t>
  </si>
  <si>
    <t>3B HEAD STAGE 1 - GREEN - 6 DZ</t>
  </si>
  <si>
    <t>578413</t>
  </si>
  <si>
    <t>композитный материал 100%</t>
  </si>
  <si>
    <t>72B HEAD STAGE 2- ORANGE</t>
  </si>
  <si>
    <t>578420</t>
  </si>
  <si>
    <t>Мяч Head Stage 2 Orange — идеальный выбор для юных новичков 8–9 лет, которые переходят на более крупные корты.
Благодаря более мягкой структуре и скорости, сниженной на 50 % по сравнению со стандартным теннисным мячом, он увеличивает время реакции и значительно упрощает выполнение ударов, обеспечивая весёлую и увлекательную игру для будущих чемпионов.
Характеристики:
• Идеально подходит для среднего оранжевого корта по стандарту ITF (18 м × 6,4–8,23 м)
• Упаковка содержит 72 безнапорных мяча</t>
  </si>
  <si>
    <t>3В HEAD STAGE 2 - ORANGE - 6 DZ</t>
  </si>
  <si>
    <t>578423</t>
  </si>
  <si>
    <t>KIDS 2P TENNIS</t>
  </si>
  <si>
    <t>816131-WH</t>
  </si>
  <si>
    <t>Носки Head KIDS 2P TENNIS - это отличный выбор для маленького спортсмена. Этот набор из двух пар носков специально разработан для удобства и комфорта во время игры в теннис. Носки изготовлены из высококачественных материалов, которые гарантируют долгий срок службы. Мягкий и эластичный материал обеспечивает превосходную посадку, а также предотвращает возникновение натираний и мозолей. Благодаря уникальному дизайну и технологии впитывания влаги, ноги остаются сухими даже во время интенсивных тренировок. Эти носки надежно защитят ножки вашего ребенка во время спортивных занятий. 
Носки Head KIDS 2P TENNIS - идеальное сочетание функциональности и стиля для маленьких теннисистов.</t>
  </si>
  <si>
    <t>полиамид 19%, хлопок 80%, эластан 1%</t>
  </si>
  <si>
    <t>23-26</t>
  </si>
  <si>
    <t>SOCKS KIDS 3P ALL SPORTS Sneaker</t>
  </si>
  <si>
    <t>816955-BK</t>
  </si>
  <si>
    <t>Короткие носки индивидуального покроя, идеально сидящие на ноге. В упаковке 3 пары носков.</t>
  </si>
  <si>
    <t>69% Хлопок, 30% Полиамид, 1% Эластан</t>
  </si>
  <si>
    <t>27-30</t>
  </si>
  <si>
    <t>31-34</t>
  </si>
  <si>
    <t>TENNIS 1P CREW ATHLETES</t>
  </si>
  <si>
    <t>811954-BK</t>
  </si>
  <si>
    <t>Мягкие, удобные теннисные носки для комфортной игры ил активного отдыха. Эластичный верх не передавливает голень. Спесь хлопка и полиэстера для дополнительной мягкости и отличного выведени влаги. Перфорация для лучшей вентиляции. Поддержка голеностопа. Мягкая подошва для поглощения ударов и комфорта.</t>
  </si>
  <si>
    <t>43% полиэстер, 46% хлопок, 7% полиамид, 1% эластан</t>
  </si>
  <si>
    <t>35-38</t>
  </si>
  <si>
    <t>TENNIS 3P SNEAKER</t>
  </si>
  <si>
    <t>811934-BK</t>
  </si>
  <si>
    <t>73% полиэстер, 23% хлопок, 2% полиамид, 2% эластан</t>
  </si>
  <si>
    <t>816955-WH</t>
  </si>
  <si>
    <t>Prime Tour 3 pcs Pack (Overgrip)</t>
  </si>
  <si>
    <t>285621-YW</t>
  </si>
  <si>
    <t>Овегрип</t>
  </si>
  <si>
    <t>Обмотки</t>
  </si>
  <si>
    <t>Абсолютно новая обмотка PRIME TOUR обеспечивает идеальное сочетание комфорта и липкости для идеального ощущения ракетки в руке. 3 Шт в упаковке</t>
  </si>
  <si>
    <t>YW</t>
  </si>
  <si>
    <t>Revolt Court 5.0 Women BKWH</t>
  </si>
  <si>
    <t>274526-BKWH</t>
  </si>
  <si>
    <t>Мягкость встречается с современным лайфстайл-стилем в женской модели REVOLT COURT 5.0 WOMEN — обуви, которую захочется носить как на корте, так и за его пределами. Идеальный выбор для любительниц тенниса и серьёзно настроенных новичков.
Лёгкие, мягкие и обновлённые свежим, современным дизайном, кроссовки REVOLT COURT 5.0 WOMEN дарят комфорт и стильный образ в любой ситуации — будь то тренировка или прогулка по городу. Игроки оценят восхитительно мягкое сетчатое верхнее покрытие, усиленное вставками из полиуретана (PU) в зонах повышенного износа для повышения долговечности.
Дополнительный комфорт обеспечивают амортизирующая, износостойкая EVA-промежуточная подошва и стелька из PU. Объёмный ТПУ-элемент (3D-TPU-Schaft) в средней части стопы гарантирует оптимальную торсионную устойчивость при движении.
Универсальный протектор подошвы «All Court», выполненный из немаркой резиновой смеси Hybrasion+ от HEAD, обеспечивает надёжное сцепление и высокую износостойкость на любых поверхностях, используемых в ракетных видах спорта.
Ключевые особенности:
Мягкое ощущение и современный лайфстайл-дизайн
Мягкий и комфортный сетчатый верх с PU-вставками в зонах износа для повышения прочности
Амортизирующая, долговечная EVA-промежуточная подошва для дополнительного комфорта
Объёмный ТПУ-элемент в средней части стопы (3D-TPU-Schaft) для оптимальной торсионной устойчивости
Универсальный протектор подошвы «All Court» для надёжного сцепления на любых покрытиях ракетных видов спорта
Подошва из немаркой резины Hybrasion+ от HEAD — превосходное сцепление и долговечность</t>
  </si>
  <si>
    <t>60% текстиль, 40% искусственный материал</t>
  </si>
  <si>
    <t>Sprint Team 4.0</t>
  </si>
  <si>
    <t>273405-DBRD</t>
  </si>
  <si>
    <t>Кроссовки для мужчин Head Sprint Team 4.0 – это заявление о стремлении к совершенству. Разработанные для профессионалов и любителей, ценящих динамичную игру, они представляют собой идеальное сочетание скорости, комфорта и стабильности, выведенное на новый уровень. Технологии
Верх выполнен из прочного сетчатого TPU. Эта инновационная конструкция создает невероятную легкость, позволяя чувствовать себя максимально свободно, не сковывая движений. При этом, материал гарантирует необходимую поддержку и долговечность, эффективно отводя влагу и обеспечивая оптимальную вентиляцию даже во время самых интенсивных тренировок. 
Имеет промежуточную подошву из пеноматериала EVA с тремя различными плотностями. Многослойная структура превосходно амортизирует, смягчая ударные нагрузки при беге, прыжках и резких остановках. Разная плотность генерирует дополнительный толчок и возврат энергии, помогая быстрее восстанавливать позицию и увеличивать скорость реакции. Универсальный рисунок протектора подошвы создает надежное сцепление как на хардовых, так и на грунтовых кортах. Резиновое покрытие HyBrasion+ значительно увеличивает износостойкость и сцепление с поверхностью, позволяя выполнять резкие маневровые движения без риска потери баланса. Система Lateral Control, благодаря своей уникальной конструкции, обеспечивает дополнительную боковую стабильность, предотвращая нежелательные повороты стопы во время экстремальных скольжений.
Drift Defense защищает переднюю часть и медиальную сторону модели от истирания, что особенно важно при частых скользящих движениях, характерных для тенниса. Ремешки в средней части стопы, интегрированные в систему шнуровки, надежно фиксируют ногу, предотвращая дискомфорт и потерю контроля.
Минималистичный белый дизайн с черными акцентными вставками и брендированный логотип Хэд придают обуви стильный и современный вид. Они отлично смотрятся как на корте, так и в повседневной жизни, становясь универсальным дополнением к вашему гардеробу.</t>
  </si>
  <si>
    <t>Sprint Team 4.0 Clay</t>
  </si>
  <si>
    <t>273415-DBRD</t>
  </si>
  <si>
    <t>Легкие, дышащие и обновленные кроссовки SPRINT TEAM 4.0 CLAY MEN с новым современным дизайном обеспечивают непревзойденный комфорт для игроков любого уровня.
Наслаждайтесь легким, дышащим комфортом и свежим стилем с SPRINT TEAM 4.0 CLAY MEN. Изготовленные из современных, удобных и дышащих материалов, эти кроссовки были обновлены новым дизайном, который предлагает более бесшовный вид и включает брендинг HEAD с обеих сторон верха. Идеальные для игроков всех уровней, кроссовки SPRINT TEAM 4.0 CLAY настолько легкие и удобные, что вы захотите носить их и за пределами корта.
Современные, удобные и дышащие материалы
Легкость и комфорт, которыми можно наслаждаться как на корте, так и за его пределами.
Обновленный дизайн с логотипом HEAD по обеим сторонам верхней части.</t>
  </si>
  <si>
    <t>273445-WHBK</t>
  </si>
  <si>
    <t>Sprint Pro 3.5 Clay Men FGLN</t>
  </si>
  <si>
    <t>273143-FGLN</t>
  </si>
  <si>
    <t>Легкость, воздухопроницаемость и комфорт сочетаются в мужских теннисных кроссовках Head Sprint Pro 3.5 Clay, разработанных для агрессивных турнирных игроков, которые быстро передвигаются по корту. Благодаря рисунку подошвы "Елочка" обувь идеально подходит для использования на грунтовых кортах.</t>
  </si>
  <si>
    <t>Revolt Evo 2.0 Men BBWH</t>
  </si>
  <si>
    <t>273324-BBWH</t>
  </si>
  <si>
    <t>Новые кроссовки REVOLT EVO 2.0 настолько удобны, что вам захочется носить их весь день, каждый день, а не только на корте. Наряду с очень широкой посадкой (это самый широкий продукт в ассортименте HEAD), эта обувь обеспечивает высокий уровень амортизации, набивки и гибкости, а также воздухопроницаемость.
Роскошный комфорт с превосходной амортизацией, набивкой, гибкостью и воздухопроницаемостью.
Очень широкая посадка  
Верх: легкая и дышащая сетка. Встроенные ремни для шнуровки. Удобная набивка язычка и воротника. Защита пальцев и средней части.
Межподошва: более высокий перепад между пяткой и носком. Межподошва тройной плотности. 3D-стойка средней части стопы, предотвращающая скручивание.
Подошва: гибридный профиль подошвы для всех теннисных поверхностей. Специальные зоны прочности для игроков на кортах с твердым покрытием. Открытые зоны протектора для лучшего сцепления с грунтом. Прочная, не оставляющая следов резина. Боковой триггер в передней части стопы. Вентиляционные отверстия.</t>
  </si>
  <si>
    <t>Sprint Pro 3.5 Clay Women DBLB</t>
  </si>
  <si>
    <t>274114-DBLB</t>
  </si>
  <si>
    <t>Двигаясь в SPRINT PRO 3.5, вы будете наслаждаться комфортом легкой обуви с дышащей сеткой, новым материалом язычка и системой охлаждения, встроенной в нижнюю часть обуви.
Обновление также включает в себя новый задник и дизайн из ТПУ.
дышащая сетка и новый материал язычка для легкости и комфорта
Система охлаждения улучшает воздухопроницаемость.
Обновленный дизайн придает обуви современный вид.</t>
  </si>
  <si>
    <t>Revolt Evo 2.0</t>
  </si>
  <si>
    <t>273325-NVLI</t>
  </si>
  <si>
    <t>Мужские теннисные кроссовки HEAD Revolt Evo 2.0 идеально подходят для продвинутых клубных игроков, которым нужна дышащая и устойчивая обувь с более широкой посадкой.</t>
  </si>
  <si>
    <t>Sprint Pro 4.0</t>
  </si>
  <si>
    <t>273145-LINV</t>
  </si>
  <si>
    <t>Мужские кроссовки Head Sprint Pro 4.0 разработаны для профессиональных теннисистов и любителей, которые ценят сочетание скорости, комфорта и стабильности на корте. Эта модель предлагает инновационный подход к дизайну и использованию современных технологий, что делает её идеальной для любых типов покрытий. Благодаря новой подошве с универсальным рисунком протектора подходят как для харда, так и для грунта. Обеспечивают уверенное сцепление и контроль на любой поверхности, что помогает сосредоточиться на исключительно на игре. Главной особенностью является использование более прочной и дышащей сетки TPU. Этот материал увеличивает долговечность кроссовок, сохраняя их лёгкость и необходимую вентиляцию даже во время самых интенсивных матчей. Для дополнительного комфорта интегрирована система охлаждения, которая гарантирует 360-градусную вентиляцию верха и подошвы. 
Межподошва из пены EVA повышает амортизацию. Это помогает снизить нагрузку на стопу при прыжках и быстрых манёврах, повышая эффективность игры. Для повышения устойчивости предусмотрены несколько ключевых элементов. Delta Strap включает треугольные ремешки, интегрированные в шнуровку, которые фиксируют ногу как с внутренней, так и с внешней стороны. Стабилизатор пятки из TPU надёжно фиксирует заднюю часть стопы, минимизируя риск травм. Подошва с технологией TRI-NRG гарантирует оптимальное распределение нагрузки, стабильность и долговечность, а резиновое покрытие HyBrasion+™ улучшает сцепление и сопротивляемость износу. Drift Defense защищает переднюю часть и медиальную сторону от истирания, что особенно важно для теннисистов, часто выполняющих резкие торможения и скользящие движения. Низкий перепад между пяткой и носком, а также улучшенная система поддержки Sock Construction создают естественное ощущение при каждом шаге.
Брендированный дизайн с логотипом Хэд на обеих сторонах верха добавляет стиля, а минималистичная форма подчеркивает легкость и аэродинамичность.
Sprint Pro 4.0 — разработаны для тех, кто стремится к максимальной производительности на корте, при этом не жертвуя комфортом. Надёжность, лёгкость и адаптивность этой модели позволяют спортсмену чувствовать уверенность в каждом шаге и сосредотачиваться исключительно на игре.</t>
  </si>
  <si>
    <t>Revolt Pro 4.5 W</t>
  </si>
  <si>
    <t>274205-BKPL</t>
  </si>
  <si>
    <t>Head Women's Revolt Pro 4.5 — идеальная обувь для агрессивных игроков. Новая конструкция верха обеспечивает повышенную стабильность и гибкость, а технологии производительности обеспечивают долговечность, прочность и превосходную амортизацию для комфорта. Благодаря улучшенной системе шнуровки и стабилизатору пятки HEAD вы будете надежно зафиксированы и устойчивы во время напряженных матчей. Кроме того, современный дизайн добавляет стильности.</t>
  </si>
  <si>
    <t>черный/фиолетовый</t>
  </si>
  <si>
    <t>Endure Pro Men NVDB</t>
  </si>
  <si>
    <t>273066-NVDB</t>
  </si>
  <si>
    <t>Sprint Pro 3.5 Clay MEN DGBL</t>
  </si>
  <si>
    <t>273114-DGBL</t>
  </si>
  <si>
    <t>Когда вы быстро двигаетесь в SPRINT PRO 3.5, вы будете наслаждаться легким комфортом обуви с дышащей сеткой и новым материалом язычка, а также системой охлаждения, встроенной в нижнюю часть обуви. Обновление также включает в себя новую заднюю часть из ТПУ и обновленный дизайн.
• Дышащая сетка и новый материал язычка для легкости и комфорта.
• Система охлаждения улучшает воздухопроницаемость.
• Обновление дизайна придает обуви современный вид.</t>
  </si>
  <si>
    <t>темно-серый</t>
  </si>
  <si>
    <t>273425-NVLI</t>
  </si>
  <si>
    <t>Motion Pro 1.5 Padel Men DBCG</t>
  </si>
  <si>
    <t>273636-DBCG</t>
  </si>
  <si>
    <t>синтетика</t>
  </si>
  <si>
    <t>Sprint Pro 3.5 Women DBLB</t>
  </si>
  <si>
    <t>274104-DBLB</t>
  </si>
  <si>
    <t>Motion Team 1.5 Padel Women WHDE</t>
  </si>
  <si>
    <t>274696-WHDE</t>
  </si>
  <si>
    <t>Sprint 3.5 Junior</t>
  </si>
  <si>
    <t>275303-BBFC</t>
  </si>
  <si>
    <t>Юниорские кроссовки для тенниса Head Sprint 3.5 Junior – отличный вариант для серьезного юного игрока, стремящегося к агрессивным движениям на корте. Это упрощенная модель Sprint Team 3.5 для взрослых.
Верх кроссовок изготовлен из легкого и дышащего материала. Мягкая подкладка воротника и удобная промежуточная подошва из ЭВА дают достаточную амортизацию во время игры.
Изготовленная из немаркой резины прочная гибридная подошва отлично подходит для различных поверхностей. Встроенные гибкие канавки и боковые резиновые опоры служат для дополнительной устойчивости.
В этих высокоэффективных кроссовках юные теннисисты получат комфорт и поддержку в течение всей игры.</t>
  </si>
  <si>
    <t>поливинилхлорид, полиэстер</t>
  </si>
  <si>
    <t>2</t>
  </si>
  <si>
    <t>3</t>
  </si>
  <si>
    <t>Sprint Pro 4.0 Junior BBTE</t>
  </si>
  <si>
    <t>275326-BBTE</t>
  </si>
  <si>
    <t>Легкий, дышащий комфорт сочетается со свежим стилем в SPRINT PRO 4.0 JUNIOR, которые имеют новый верх из современных, высококачественных материалов. С новой подошвой для всех кортов, которая обеспечивает сцепление на теннисных, падель- и пиклбол-площадках, это очень универсальная обувь для амбициозных юниоров, а также для молодых игроков, которые просто хотят развлечься.
Защита носка и середины стопы из ТПУ
Новый дизайн верха для свежего, современного и первоклассного вида
Новая универсальная подошва для сцепления на кортах для тенниса, падель-тенниса и пиклбола
Легкие, современные, комфортные и эффективные для юниоров
Высокая воздухопроницаемость для дополнительного комфорта на корте.</t>
  </si>
  <si>
    <t>13,5K</t>
  </si>
  <si>
    <t>Sprint Strap 4.0 Kids BBTE</t>
  </si>
  <si>
    <t>275506-BBTE</t>
  </si>
  <si>
    <t>С игривым дизайном и застёжкой-липучкой для быстрого и лёгкого надевания и снятия, SPRINT STRAP 4.0 Kids — идеальная обувь для детей от 4 до 10 лет, которые хотят получать удовольствие от игры на корте.
Благодаря кроссовкам SPRINT STRAP 4.0 Kids юные спортсмены мгновенно получают больше радости от тренировок и игр. Практичная застёжка-липучка обеспечивает не только удобство, но и возможность быстро подогнать обувь по объёму стопы для максимального комфорта.
Новый верх сочетает дышащую сетку (mesh) для отличной вентиляции и прочный полиуретан (PU) для повышенной износостойкости. Обновлённая универсальная подошва «All Court» обеспечивает надёжное сцепление на теннисных, падель- и пиклбол-кортах.
Лёгкость, комфорт и современные игровые характеристики гармонично сочетаются с ярким, весёлым и детским дизайном.
Ключевые особенности:
Застёжка-липучка для быстрого надевания/снятия и простой регулировки посадки и комфорта
Новое верхнее покрытие: дышащая сетка для вентиляции + прочный PU для долговечности
Новая универсальная подошва «All Court» — надёжное сцепление на теннисных, падель- и пиклбол-кортах
Игровой, весёлый внешний вид
Лёгкий, современный комфорт и производительность, специально разработанные для юных спортсменов</t>
  </si>
  <si>
    <t>11K</t>
  </si>
  <si>
    <t>13K</t>
  </si>
  <si>
    <t>Sprint Strap 4.0 Kids RDDR</t>
  </si>
  <si>
    <t>275516-RDDR</t>
  </si>
  <si>
    <t>12K</t>
  </si>
  <si>
    <t>Head HURON HIGH</t>
  </si>
  <si>
    <t>HDW315020-4220</t>
  </si>
  <si>
    <t>Кроссовки Head HURON - это инновационная обувь, которая обеспечивает выдающиеся результаты в любом виде спорта. Их ультралегкий дизайн позволяет вам двигаться быстрее и легче, не загружая вас лишним весом.
Кроссовки HURON имеют уникальную подошву, которая обеспечивает максимальную амортизацию и улучшенное сцепление на любых поверхностях благодаря технологии TRINERGY. Она также повышает эффективность движений и помогает снижать усталость ног во время интенсивных тренировок.
Обувь Head HURON изготовлена из высококачественных материалов, которые обеспечивают долговечность и комфорт при ношении. Они имеют стильный и современный дизайн, который привлекает внимание окружающих.
С кроссовками HURON от Head вы достигнете максимума в своих любимых видах спорта. Выберите кроссовки Head HURON и наслаждайтесь максимальным комфортом при каждом движении!</t>
  </si>
  <si>
    <t>Верх: Замша 60%; Полиуретан 20%; Нейлон 20% Подкладка: Текстиль Подошва: ЭВА; Резина Стелька: Текстиль; ЭВА</t>
  </si>
  <si>
    <t>Head HURON MIX</t>
  </si>
  <si>
    <t>HDW315015-7120</t>
  </si>
  <si>
    <t>36</t>
  </si>
  <si>
    <t>SAVANNAH TRAIL BX</t>
  </si>
  <si>
    <t>HDWCO7003-2081</t>
  </si>
  <si>
    <t>кроссовки</t>
  </si>
  <si>
    <t>Стильные женские кроссовки для бега, выполнены из прочных синтетических материалов. Яркий дизайн. Амортизирующая подошва и стелька.</t>
  </si>
  <si>
    <t>верх полиуретан 55%, полиэстер 45%, подкладка  текстиль, подошва резина, стелька текстиль</t>
  </si>
  <si>
    <t>Head SMOK MIX</t>
  </si>
  <si>
    <t>HDW318405-2081</t>
  </si>
  <si>
    <t>Кроссовки от производителя профессионального спортивного снаряжения Head решают сразу несколько задач. Ты мгновенно оказываешься в центре всеобщего внимания благодаря броскому, даже дерзкому дизайну. Ты бросаешь себе вызов, потому что кроссовки, которые носили легендарные теннисисты, обязывают тебя соответствовать. Ты перестаешь ходить по земле и начинаешь летать над ней - благодаря особому материалу подошвы (ЭВА/резина). Вообще покупка этих кроссовок может повлечь за собой непредсказуемые последствия вроде регулярных занятий спортом. Тебе не захочется их снимать. Чувство тотального комфорта обволакивает ноги. Секрет отчасти в особом основном материале (текстиль), отчасти в дышащей подкладке (Текстиль) , но главное - в многолетних наработках спецов из Head, знающих всё о профессиональной спортивной обуви, реализованных в этой модели.</t>
  </si>
  <si>
    <t>Верх: Текстиль 80%; Полиуретан 20% Подкладка: Текстиль Подошва: ЭВА; Резина Стелька: Текстиль; ЭВА</t>
  </si>
  <si>
    <t>Sprint Pro 4.0 Men LGPN</t>
  </si>
  <si>
    <t>273166-LGPN</t>
  </si>
  <si>
    <t>Мужская обувь SPRINT PRO 4.0 оснащена новой подошвой для всех типов покрытий и грунтовых кортов, обеспечивающей уверенность на любых поверхностях, а также новой, более износостойкой и дышащей сеткой, которая позволяет совершать быстрые движения с максимальным лёгким комфортом. Вы будете выглядеть быстро и чувствовать себя быстро в обуви с новой промежуточной подошвой из EVA для дополнительной энергоотдачи и свежим, элегантным дизайном с брендингом HEAD с обеих сторон. Усовершенствованная технология Delta Strap с ремешками на внешней и внутренней стороне верха надёжно фиксирует стопу и обеспечивает быстрые перемещения на корте. Дополнительный комфорт обеспечивает интегрированная система охлаждения, улучшающая воздухопроницаемость.
Новая, более прочная и дышащая сетка из ТПУ
Новый универсальный рисунок подошвы для сцепления на всех покрытиях
Новая промежуточная подошва из EVA с пеноматериалом для дополнительной энергоотдачи
Быстрый, элегантный внешний вид
Новый брендинг HEAD с обеих сторон верха
Улучшенная технология Delta Strap для повышенной стабильности и посадки
Интегрированная система охлаждения улучшает воздухопроницаемость
Внешняя пятка из ТПУ
Конструкция типа «носок» для комфорта и фиксации</t>
  </si>
  <si>
    <t>Синтетика, резина</t>
  </si>
  <si>
    <t>Head NIEME</t>
  </si>
  <si>
    <t>HDW315025-3120</t>
  </si>
  <si>
    <t>Кроссовки Head NIEME - это стильная и удобная обувь, которая подходит как для повседневного ношения, так и для занятий спортом. Они обеспечивают максимальный комфорт и поддержку для ваших ног и доступны в нескольких стильных цветовых вариантах.
Кроссовки NIEME имеют универсальный дизайн, который подходит для любой ситуации, от тренировок в зале до прогулок по городу. Надежная подошва обеспечивает хороший сцеп при ходьбе на любой поверхности.
Кроссовки от Head NIEME изготовлены из качественных материалов, обеспечивающих удобство и долговечность. Уникальная технология HEAD CXG foam обеспечивает отличную амортизацию и защиту ног во время физической активности.
Кроссовки NIEME - это удобный и стильный выбор для любителей активного образа жизни. Они сочетают в себе высокое качество, комфорт и стильный дизайн. Не упустите шанс стать обладателем кроссовок Head NIEME и насладиться комфортом каждый день!</t>
  </si>
  <si>
    <t>Верх: Нейлон 60% Полиуретан 40%  Подкладка: Текстиль Подошва: ЭВА; Резина Стелька: Текстиль</t>
  </si>
  <si>
    <t>Revolt Court W</t>
  </si>
  <si>
    <t>274505-BKPL</t>
  </si>
  <si>
    <t>REVOLT COURT, обновленный новым дизайном, сочетает в себе современную эстетику и легкий комфорт. Это идеальная обувь для обычных игроков выходного дня и серьезных новичков.
• Легкий и комфортный вес, который не подведет вас на корте.
• Обновленный дизайн придает современный вид.</t>
  </si>
  <si>
    <t>Revolt Court</t>
  </si>
  <si>
    <t>273505-BKGR</t>
  </si>
  <si>
    <t>Кроссовки Revolt Court Men - это надежные и удобные теннисные кроссовки, созданные для профессиональных и любительских игроков. Их высокотехнологичная конструкция обеспечивает отличную поддержку стопы и исключительную амортизацию, что позволяет снизить риск травм и повреждений во время игры. Особенности, такие как материал верха с дополнительными вентиляционными отверстиями, позволяют ногам дышать и оставаться сухими, даже во время самых интенсивных матчей.</t>
  </si>
  <si>
    <t>черный/серый</t>
  </si>
  <si>
    <t>Wristband 5"</t>
  </si>
  <si>
    <t>285070-NV</t>
  </si>
  <si>
    <t>Напульсники</t>
  </si>
  <si>
    <t>Напульсник Head 5" шириной 12,7 см. 100% обеспечивает максимальное впитывание влаги (пота) и абсолютный комфорт. 2 напульсника в одной упаковке.</t>
  </si>
  <si>
    <t>NV</t>
  </si>
  <si>
    <t>285070-RD</t>
  </si>
  <si>
    <t>Напульсник Head Wristband 5   для дополнительного комфорта и максимальной абсорбции пота.Длина 5"" (~12,7 см). 2 напульсника в одной упаковке.</t>
  </si>
  <si>
    <t>RD</t>
  </si>
  <si>
    <t>Super Comp</t>
  </si>
  <si>
    <t>285088-WH</t>
  </si>
  <si>
    <t>Прочий инвентарь</t>
  </si>
  <si>
    <t>WH</t>
  </si>
  <si>
    <t>Xtra Damp</t>
  </si>
  <si>
    <t>285511-BK</t>
  </si>
  <si>
    <t>Виброгасители</t>
  </si>
  <si>
    <t>Резина 100%</t>
  </si>
  <si>
    <t>BK</t>
  </si>
  <si>
    <t>Leather Tour</t>
  </si>
  <si>
    <t>282010-BW</t>
  </si>
  <si>
    <t>Базовая намотка</t>
  </si>
  <si>
    <t>Эта новая намотка категории high-end изготовляется из кожи для чрезвычайно тонких игровых ощущений. Выбор номер один среди профессионалов.</t>
  </si>
  <si>
    <t>BW</t>
  </si>
  <si>
    <t>Smartsorb</t>
  </si>
  <si>
    <t>288011-SI</t>
  </si>
  <si>
    <t>Виброгаситель в виде полоски, зауженной на концах, обеспечивает максимальное поглощение вибраций.</t>
  </si>
  <si>
    <t>полиэстер 100%</t>
  </si>
  <si>
    <t>SI</t>
  </si>
  <si>
    <t>HydroSorb Pro</t>
  </si>
  <si>
    <t>285303-GZ</t>
  </si>
  <si>
    <t>Сочетание надежного хвата и комфорта обеспечивает лучшее ощущение ракетки. Толщина 1,75 мм.</t>
  </si>
  <si>
    <t>GZ</t>
  </si>
  <si>
    <t>HydroSorb Comfort</t>
  </si>
  <si>
    <t>285313-WH</t>
  </si>
  <si>
    <t>Двухканальная система обеспечивает комфорт и циркуляцию воздуха, в то время как эластомерный материал гарантирует надежную хватку. Без перфорации. Со слегка выраженными контурами. Увеличена амортизация и способность поглощать вибрацию, прекрасно защищает руку. Толщина 2,1 мм.</t>
  </si>
  <si>
    <t>285511-YW</t>
  </si>
  <si>
    <t>Zverev Dampener</t>
  </si>
  <si>
    <t>285120-TEHL</t>
  </si>
  <si>
    <t>Поклонники Саши Зверева не захотят пропустить эти виброгасители, посвященные звезде тенниса и его новой ракетке Gravity! Они снижают вибрацию, обеспечивают повышенный комфорт и снижают риск теннисного локтя.</t>
  </si>
  <si>
    <t>зеленый/красный</t>
  </si>
  <si>
    <t>полиэстер</t>
  </si>
  <si>
    <t>TEHL</t>
  </si>
  <si>
    <t>285511-OR</t>
  </si>
  <si>
    <t>OR</t>
  </si>
  <si>
    <t>Pro Damp</t>
  </si>
  <si>
    <t>285515-PK</t>
  </si>
  <si>
    <t>100% Резина</t>
  </si>
  <si>
    <t>PK</t>
  </si>
  <si>
    <t>Djokovic Dampener</t>
  </si>
  <si>
    <t>285704-WH</t>
  </si>
  <si>
    <t>Виброгаситель из уникальной резино-силиконовой смеси эффективно поглощает вибрацию струн, делая процесс игры гораздо комфортнее и защищая локтевой сустав от лишних нагрузок. Модель используется Новаком Джоковичем и декорирована его логотипом.</t>
  </si>
  <si>
    <t>285088-BK</t>
  </si>
  <si>
    <t>Овергрип Head Super Comp - дополнительная универсальная обмотка, которая наматывается на основную обмотку теннисной ракетки. Специально разработанный липкий материал помогает лучше чувствовать ракетку. Тонкая намотка из специально разработанного материала приятна на ощупь и обеспечивает идеальное впитывание. Толщина 0.5 мм. В упаковке 3 шт.</t>
  </si>
  <si>
    <t>285303-TE</t>
  </si>
  <si>
    <t>TE</t>
  </si>
  <si>
    <t>285515-BL</t>
  </si>
  <si>
    <t>Виброгаситель Head Pro Damp из мягкой силиконовой резины крепится на струны теннисных ракеток. Благодаря мягким материалам, снижает вибрацию, уменьшает колебания струны, обеспечивая увеличенный комфорт, и уменьшая риск теннисного локтя.</t>
  </si>
  <si>
    <t>BL</t>
  </si>
  <si>
    <t>285515-YW</t>
  </si>
  <si>
    <t>HydroSorb</t>
  </si>
  <si>
    <t>285014-WHBK</t>
  </si>
  <si>
    <t>Двухканальная система для максимального комфорта и проникновения воздуха. Перфорированная поверхность оптимально впитывает пот и обеспечивает отличный захват. Толщина 1,8 мм.</t>
  </si>
  <si>
    <t>WHBK</t>
  </si>
  <si>
    <t>285621-PK</t>
  </si>
  <si>
    <t>Prime Tour 30 pcs Pack (Overgrip)</t>
  </si>
  <si>
    <t>285641-BK</t>
  </si>
  <si>
    <t>Намотка</t>
  </si>
  <si>
    <t>Абсолютно новая обмотка PRIME TOUR обеспечивает идеальное сочетание комфорта и липкости для идеального ощущения ракетки в руке. 30 штук в упаковке</t>
  </si>
  <si>
    <t>Prestige Pro Overwrap</t>
  </si>
  <si>
    <t>282009-BK</t>
  </si>
  <si>
    <t>Дополнительная обмотка, которая наматывается на основную обмотку теннисной ракетки. Специально разработанный липкий материал помогает лучше чувствовать ракетку и обладает повышенным впитыванием влаги. Данный овергрип изготовлен из особо прочного полиуретанового эластомера без перфорации.
Толщина: 0,55 мм
Комплект из 3 намоток</t>
  </si>
  <si>
    <t>Полимерные материалы; синтетические материалы</t>
  </si>
  <si>
    <t>282009-WH</t>
  </si>
  <si>
    <t>285014-BKRD</t>
  </si>
  <si>
    <t>BKRD</t>
  </si>
  <si>
    <t>Защитная лента</t>
  </si>
  <si>
    <t>285018-BK</t>
  </si>
  <si>
    <t>Лента превосходно защищает обод ракетки от сколов и царапин. Позволяет надолго сохранить целостность ракетки. Длина 5 метров.</t>
  </si>
  <si>
    <t>285088-BL</t>
  </si>
  <si>
    <t>XtremeSoft</t>
  </si>
  <si>
    <t>285104-BK</t>
  </si>
  <si>
    <t>Липкая на ощупь намотка с дополнительной перфорацией обеспечивает комфорт и максимальное впитывание. Толщина 0,5 мм.</t>
  </si>
  <si>
    <t>285104-PK</t>
  </si>
  <si>
    <t>285104-RD</t>
  </si>
  <si>
    <t>285104-WH</t>
  </si>
  <si>
    <t>285104-YW</t>
  </si>
  <si>
    <t>Padel Pro 3 pcs Pack (Overgrip)</t>
  </si>
  <si>
    <t>285111-YW</t>
  </si>
  <si>
    <t>285120-BLYW</t>
  </si>
  <si>
    <t>Виброгаситель Head Zverev Dampener из силикона и каучука крепится между 2 центральными продольными струнами.
Он уменьшает вибрации струны, делает удары более комфортными и защищает локтевой сустав игрока.</t>
  </si>
  <si>
    <t>синий/желтый</t>
  </si>
  <si>
    <t>BLYW</t>
  </si>
  <si>
    <t>285303-CS</t>
  </si>
  <si>
    <t>CS</t>
  </si>
  <si>
    <t>One Size</t>
  </si>
  <si>
    <t>285303-LY</t>
  </si>
  <si>
    <t>LY</t>
  </si>
  <si>
    <t>285303-SO</t>
  </si>
  <si>
    <t>SO</t>
  </si>
  <si>
    <t>285303-WH</t>
  </si>
  <si>
    <t>285303-YW</t>
  </si>
  <si>
    <t>285313-BK</t>
  </si>
  <si>
    <t>285511-WH</t>
  </si>
  <si>
    <t>Виброгаситель Head Xtra Damp в форме логотипа Head крепится на струны теннисных ракеток. Благодаря мягким материалам, снижает вибрацию, уменьшает колебания струны, обеспечивая увеличенный комфорт, и уменьшая риск теннисного локтя.​</t>
  </si>
  <si>
    <t>285515-BK</t>
  </si>
  <si>
    <t>285515-WH</t>
  </si>
  <si>
    <t>285621-BK</t>
  </si>
  <si>
    <t>285621-BL</t>
  </si>
  <si>
    <t>285621-CS</t>
  </si>
  <si>
    <t>285621-GR</t>
  </si>
  <si>
    <t>GR</t>
  </si>
  <si>
    <t>285621-MI</t>
  </si>
  <si>
    <t>MI</t>
  </si>
  <si>
    <t>285621-WH</t>
  </si>
  <si>
    <t>Prime Tour 12 pcs Pack (Overgrip)</t>
  </si>
  <si>
    <t>285631-BK</t>
  </si>
  <si>
    <t>Абсолютно новая обмотка PRIME TOUR обеспечивает идеальное сочетание комфорта и липкости для идеального ощущения ракетки в руке. 12 штук в упаковке</t>
  </si>
  <si>
    <t>285631-BL</t>
  </si>
  <si>
    <t>Овергрип</t>
  </si>
  <si>
    <t>285631-MI</t>
  </si>
  <si>
    <t>285631-OR</t>
  </si>
  <si>
    <t>285631-PK</t>
  </si>
  <si>
    <t>Овергрипы</t>
  </si>
  <si>
    <t>Намотка Head Prime Tour 12P. Отличный выбор для игрока, которому требуется быстрое впитывание влаги. Идеальное сочетание липкой пленки и впитывающей способности, обеспечивающее исключительный комфорт пользователю.</t>
  </si>
  <si>
    <t>285631-WH</t>
  </si>
  <si>
    <t>285631-YW</t>
  </si>
  <si>
    <t>285641-PK</t>
  </si>
  <si>
    <t>285641-WH</t>
  </si>
  <si>
    <t>Prime Tour 60 pcs Pack (Overgrip)</t>
  </si>
  <si>
    <t>285661-BK</t>
  </si>
  <si>
    <t>Абсолютно новая обмотка PRIME TOUR обеспечивает идеальное сочетание комфорта и липкости для идеального ощущения ракетки в руке. 60 штук в упаковке</t>
  </si>
  <si>
    <t>285661-WH</t>
  </si>
  <si>
    <t>285704-BK</t>
  </si>
  <si>
    <t>пластик</t>
  </si>
  <si>
    <t>Extreme Jr. 19</t>
  </si>
  <si>
    <t>235442SC05</t>
  </si>
  <si>
    <t>Детская теннисная ракетка</t>
  </si>
  <si>
    <t>Ракетки</t>
  </si>
  <si>
    <t>Ракетка разработана для детей ростом 100-115 см, которые только начинают обучаться игре. Алюминиевый обод позволяет получить недорогую и легкую в производстве модель, которая подойдет начинающим игрокам. Укороченная и облегченная модель ракетки для маленьких теннисистов для того, чтобы они без травм и как можно скорее обучились правильной технике ударов.</t>
  </si>
  <si>
    <t>Композитный материал</t>
  </si>
  <si>
    <t>SC05</t>
  </si>
  <si>
    <t>IG Gravity Jr. 21</t>
  </si>
  <si>
    <t>231235SC05</t>
  </si>
  <si>
    <t>Теннисная ракетка</t>
  </si>
  <si>
    <t>Ракетка HEAD IG Gravity -  поможет детям начать увлекательное теннисное путешествие. Изготовленная из легкого графитового композита, ракетка Gravity Comp по весу и характеристикам идеально подходит для начинающих игроков, а также для тех у, кто уже выиграл не один матч, предназначена для самых юных спортсменов в возрасте от 4 до 6 лет, рост 100-113 см.
Ракетка поставляется в комплекте с чехлом на голову и натянутой струной.
Длина: 21 дюйм (53,8 см)
Вес без струн: 200 г
Схема натяжки (формула струн): 16 x 17
Площадь головы: 91 кв.дюймов/590 кв.см</t>
  </si>
  <si>
    <t>100% Композитный материал</t>
  </si>
  <si>
    <t>Radical Jr. 21</t>
  </si>
  <si>
    <t>231435SC05</t>
  </si>
  <si>
    <t>HEAD Radical 21 -  ракетка для детей от 4 до 6 лет, рост 101-113 см.
Прочная алюминиевая конструкция с технологией Damp+ для уменьшения вибрации. Красочный дизайн. Ракетка прекрасно подходит для тренировок в школе и любительских игр. 
Ракетки поставляются в комплекте с чехлом на голову и натянутой струной.
Длина: 21 дюймов (53,5 см)
Вес без струн: 180 г 
Схема натяжки (формула струн): 16 x 17
Площадь головы: 81 кв.дюймов/520 кв.см
Профиль: 20 мм
Баланс: в голову
Жесткость: 45</t>
  </si>
  <si>
    <t>100% Алюминий</t>
  </si>
  <si>
    <t>Novak 21</t>
  </si>
  <si>
    <t>235024SC06</t>
  </si>
  <si>
    <t>Яркая ТЕННИСНАЯ РАКЕТКА NOVAK 21, названная в честь Новака Джоковича, идеально подходит для мальчиков в возрасте до 4 лет (до 100 см), которые только начинают играть в теннис. Эта ракетка оснащена вставкой Damp+, снижающей вибрацию. Вес без струн:215 гр., Формула струн 16х18, Размер головы 98 дюймов, Баланс 28 см, Длина 21 дюйм.</t>
  </si>
  <si>
    <t>SC06</t>
  </si>
  <si>
    <t>Paw 21 (blue)</t>
  </si>
  <si>
    <t>232205SC05</t>
  </si>
  <si>
    <t>Серия ракеток Paw Patrol помогает детям начать своё теннисное путешествие максимально комфортно. Алюминиевая ракетка оснащена уникальной вставкой Damp+, которая амортизирует удар и снижает вибрацию. Ракетка Paw Patrol 21 идеально подходит для детей в возрасте от 4 до 6 лет, которые хотят освоить универсальную технику игры. Захватывающий новый дизайн ракетки и перевёрнутое лого подчёркивают её многофункциональность и позволяют в любой момент покорять корты.</t>
  </si>
  <si>
    <t>IG Gravity Jr. 23</t>
  </si>
  <si>
    <t>231225SC06</t>
  </si>
  <si>
    <t>Ракетка Head Gravity 23 из легкого графитового композита, которая поможет юным теннисистам добиться новых успехов на корте. Вес и характеристики модели идеально подойдут детям от 6 до 8 лет. Благодаря уменьшенной площади струнной поверхности (100 кв. дюймов) ребенку в будущем будет легче перейти на взрослую ракетку. Ракетка из графитового композита эффективно поглощает ударные нагрузки, справляясь со своей задачей гораздо лучше, чем модели с алюминиевым ободом. Damp+
Специальная вставка из виброгасящего материала в основании "ласточкиного хвоста" (элемент конструкции ракетки). Технология уменьшает вибрацию. При этом, воздействие вибрации на мышцы и суставы игрока минимально. Увеличивается точность удара. Innegra
Сплетенные с углеродными волокнами в ракетках создают легкую и плотную структуру. Торсионная стабильность ракетки улучшается, а вибрации при контакте с мячом сокращаются на 17%. Позволяет лучше контролировать удар и метко попадать в корт</t>
  </si>
  <si>
    <t>Radical Jr. 2025</t>
  </si>
  <si>
    <t>231045SC10</t>
  </si>
  <si>
    <t>Композитные материалы</t>
  </si>
  <si>
    <t>SC10</t>
  </si>
  <si>
    <t>Speed One X 2025</t>
  </si>
  <si>
    <t>221045</t>
  </si>
  <si>
    <t>Ракетка</t>
  </si>
  <si>
    <t>Speed One 2025</t>
  </si>
  <si>
    <t>221055</t>
  </si>
  <si>
    <t>Radical Motion 2026</t>
  </si>
  <si>
    <t>222046</t>
  </si>
  <si>
    <t>Radical Team 2026</t>
  </si>
  <si>
    <t>222056</t>
  </si>
  <si>
    <t>Ракетка для Падела</t>
  </si>
  <si>
    <t>Игрокам среднего и продвинутого уровня с тактическим стилем игры ракетка RADICAL TEAM 2026 PADEL обеспечит полный контроль благодаря своей мягкой ударной поверхности из стекловолокна.
Возьмите игру под свой контроль с обновлённой ракеткой RADICAL TEAM 2026, обеспечивающей комфортное ощущение при ударе. Ударная поверхность из стекловолокна придаёт ракетке мягкую жёсткость и дополнительный комфорт, позволяя лучше чувствовать мяч и обеспечивая отличный отскок даже при спокойном темпе игры. Форма «слезинка» повышает универсальность ракетки, а низкий баланс улучшает комфорт и делает её легче в управлении. Эта ракетка идеально подходит для игроков среднего и продвинутого уровня с тактическим стилем, которые контролируют темп игры и ритм мяча. RADICAL TEAM 2026 проста в использовании при защите и позволяет уверенно выходить к сетке для завершения розыгрышей.
Новая схема сверления отверстий под струны улучшает контроль, а модернизированная пена Control Foam стала легче и обеспечивает более сухое и жёсткое ощущение при ударе. Обновлённый премиальный дизайн дополняется новой технологией Soft Cap +: мягкая нижняя часть ручки и система сменных шнурков позволяют персонализировать ракетку, выбирая другой цвет шнурка или легко снимая его для чистки.
Максимальный контроль для продвинутых игроков с тактическим стилем, управляющих темпом игры и ритмом мяча
Легче и маневреннее, чем RADICAL PRO 2026
Форма «слезинка» для повышенной универсальности
Низкий баланс улучшает комфорт и маневренность
Ударная поверхность из стекловолокна для мягкости и повышенного комфорта
Новая схема сверления отверстий — улучшенный контроль и увеличенная зона сладкого пятна
Усовершенствованная пена Control Foam — более сухое и жёсткое ощущение при ударе
Новая технология Soft Cap + со сменной системой шнурков
Технология Auxetic 2.0 — дополнительная мощность и потрясающее ощущение при ударе</t>
  </si>
  <si>
    <t>фибергласс</t>
  </si>
  <si>
    <t>Radical Team Light 2026</t>
  </si>
  <si>
    <t>222066</t>
  </si>
  <si>
    <t>углеродное волокно (карбон), стекловолокно, вспененный полимер</t>
  </si>
  <si>
    <t>Extreme One X 2025</t>
  </si>
  <si>
    <t>223105</t>
  </si>
  <si>
    <t>Extreme One 2025</t>
  </si>
  <si>
    <t>223115</t>
  </si>
  <si>
    <t>Extreme Pro 2025</t>
  </si>
  <si>
    <t>223125</t>
  </si>
  <si>
    <t>Extreme Motion 2025</t>
  </si>
  <si>
    <t>223135</t>
  </si>
  <si>
    <t>ExtremeTeam</t>
  </si>
  <si>
    <t>223145</t>
  </si>
  <si>
    <t>Gravity Pro 2024</t>
  </si>
  <si>
    <t>224004</t>
  </si>
  <si>
    <t>Gravity Motion 2024</t>
  </si>
  <si>
    <t>224014</t>
  </si>
  <si>
    <t>Gravity Team 2024</t>
  </si>
  <si>
    <t>224024</t>
  </si>
  <si>
    <t>Ракетка падел-тенниса</t>
  </si>
  <si>
    <t>Лёгкая в управлении, с мягкой ударной поверхностью и обновлённая инновационной технологией Auxetic 2.0, ракетка GRAVITY TEAM создана для игроков среднего уровня, стремящихся контролировать игру.
Идеальное сочетание комфорта и контроля — ракетка GRAVITY TEAM получила обновление благодаря технологии Auxetic 2.0, которая усиливает ощущение мяча и улучшает связь с ним. Разработанная для игроков среднего уровня, желающих взять игру под контроль, эта ракетка отличается новой, более лёгкой конструкцией и более низким балансом по сравнению с предыдущей версией, что значительно повышает маневренность и контроль. Технология Soft Butt Cap обеспечивает комфортный хват и эффективное гашение вибраций, а круглая форма и пена Control Foam расширяют зону «сладкого пятна». Для дополнительного комфорта и лёгкой мощности ракетка оснащена ударной поверхностью из стекловолокна, а также круглой формой и пеной Control Foam, которые обеспечивают повышенный контроль и увеличенную зону сладкого пятна. Современные ощущения и производительность дополняются свежим, актуальным дизайном GRAVITY TEAM.
Для игроков среднего уровня, стремящихся контролировать игру как на корте, так и за его пределами
Круглая форма и пена Control Foam для увеличенной зоны сладкого пятна
Более лёгкая конструкция и низкий баланс — дополнительная маневренность и контроль
Новая технология Auxetic 2.0 для улучшенного ощущения мяча и лучшей связи с ним
Технология Soft Butt Cap — комфортный хват и эффективное гашение вибраций
Ударная поверхность из стекловолокна — дополнительный комфорт и лёгкая мощность
Свежий, современный дизайн</t>
  </si>
  <si>
    <t>Gravity Team Light 2024</t>
  </si>
  <si>
    <t>224064</t>
  </si>
  <si>
    <t>One Ultralight White</t>
  </si>
  <si>
    <t>225014</t>
  </si>
  <si>
    <t>Padel Head One Ultralight в цвете чёрный с весом всего 300 граммов — самая легкая падел-ракетка на рынке. Она разработана для начинающих и игроков, играющих от случая к случаю, и предлагает идеальное сочетание маневренности, комфорта и производительности. Его новая круглая форма и удлинённая ручка обеспечивают лучшую поддержку и простоту в обращении.
Ракетка Padel One Ultralight — самая лёгкая взрослая падел-ракетка
Здесь вы найдёте ракетку Padel Head, оснащённую передовыми технологиями для оптимальной игры. Благодаря технологии Auxetic 2.0 ракетка Padel Head One Ultralight обеспечивает улучшенное ощущение мяча и идеальную связь с ним. Ударная поверхность из 12K карбона гарантирует превосходный контроль и дополнительную мощность, а технология Spin Surface помогает эффективнее накладывать вращение.
Пена Comfort Foam расширяет зону «сладкого пятна» для максимального комфорта, а технология Soft Butt Cap снижает вибрации, обеспечивая плавную игру. Кроме того, система Integrated Protector System защищает ракетку от сколов и царапин.
Чёрная версия Padel One Ultralight сочетает в себе минимальный вес с высокой производительностью и идеально подходит всем игрокам, стремящимся улучшить свою игру.</t>
  </si>
  <si>
    <t>карбон</t>
  </si>
  <si>
    <t>One Ultralight Black</t>
  </si>
  <si>
    <t>225024</t>
  </si>
  <si>
    <t>Coello Pro 2026</t>
  </si>
  <si>
    <t>225036</t>
  </si>
  <si>
    <t>Vibe 2026_bl_yl</t>
  </si>
  <si>
    <t>226106</t>
  </si>
  <si>
    <t>Vibe 2026_gr_or</t>
  </si>
  <si>
    <t>226116</t>
  </si>
  <si>
    <t>Padel-ракетка Head Vibe Green Orange 2026 — контроль, доступная мощность и комфорт для начинающих
Ракетка Head Vibe — идеальный выбор для новичков, стремящихся найти оптимальный баланс между контролем, мощностью и маневренностью. Её форма «слезинка» и средний баланс обеспечивают стабильность и точность при каждом ударе, помогая улучшать технику уже с первых тренировок.
Ударная поверхность из стекловолокна в сочетании с сердечником Power Foam дарит мягкое ощущение при игре и комфортный отскок мяча, эффективно снижает вибрации и позволяет выполнять плавные, уверенные удары. Благодаря универсальному дизайну эта ракетка станет отличным выбором для всех, кто ищет надёжную, недорогую и простую в использовании модель.
Ключевые характеристики:
Форма «слезинка»: гармонично сочетает контроль и постепенно нарастающую мощность
Средний баланс: обеспечивает стабильность и точность без быстрой усталости
Сердечник Power Foam: высокоэластичная резина для мягкого игрового ощущения
Стекловолоконная ударная поверхность: повышенная эластичность и терпимость к неточным ударам
Гладкая поверхность: прочная, износостойкая и долговечная
Усиленная рама: улучшенное гашение вибраций и повышенный комфорт
Коллекция Head Padel 2026
Модель Head Vibe 2026 разработана специально для начинающих игроков или тех, кто находится на этапе обучения, и ищет универсальную, лёгкую в обращении ракетку. Она предлагает мягкое ощущение при ударе, большую зону «сладкого пятна» и высокий уровень комфорта — всё это идеально подходит тем, кто хочет развивать свою игру без лишних сложностей.
Особое внимание уделяется дружелюбному игровому ощущению и высокой терпимости к ошибкам — двум ключевым факторам в процессе обучения. Сбалансированный вес предотвращает перегрузку руки, а удачное сочетание материалов способствует стабильному и контролируемому отскоку мяча.
Если вы ищете ракетку, которая поможет обрести уверенность на корте и позволит прогрессировать с гарантией качества Head, Vibe 2026 — отличный выбор.</t>
  </si>
  <si>
    <t>стекловолокно</t>
  </si>
  <si>
    <t>Vibe 2025_gr_bk</t>
  </si>
  <si>
    <t>226145</t>
  </si>
  <si>
    <t>Ракетка Head Vibe 2025 — это универсальный и производительный выбор для игроков, которые хотят комфортно и эффективно улучшать свой уровень игры. Благодаря форме «слезинка» и увеличенной площади ударной поверхности эта ракетка обеспечивает контролируемую мощность и мягкое ощущение при ударе, что делает её особенно лёгкой в управлении. Современный и яркий дизайн с цветными акцентами добавляет стиля на корте, а конструкция из стекловолокна и высокоэластичного Power Foam гарантирует приятные тактильные ощущения во время игры.
Head Vibe 2025 — ракетка для начинающих
Эта модель разработана специально для новичков и игроков, играющих от случая к случаю, которые стремятся развивать свои навыки. Большая площадь ударной поверхности и расширенная зона обеспечивают высокую терпимость к ошибкам, делая игру более прощающей и доступной. Head Vibe идеально подойдёт тем, кто только начинает участвовать в соревнованиях, или регулярно играет в клубе, предлагая надёжную производительность и отличный комфорт. Вес всего 350 г обеспечивает лёгкое и точное управление — идеальные условия для отработки техники.
Характеристики и технологии Head Vibe 2025:
Форма: «Слезинка» (Teardrop)
Вес: 350 г
Площадь поверхности: 525 см²
Ударная поверхность: Стекловолокно
Power Foam: Быстро реагирующий эластичный сердечник для дополнительной мощности
Innegra™: Улучшает амортизацию и стабильность ракетки
Power Frame: Конструкция рамы, усиливающая мощность удара
IPS (Integrated Protector System): Углеродный протектор для повышенной долговечности
Tailored Frame: Технология, максимизирующая зону «сладкого пятна» и повышающая прощаемость ошибок
Head Vibe Grey/Black 2025 — это падел-ракетка в форме «слезинки» от HEAD, созданная для начинающих. Универсальная, удобная в обращении и выполненная в стильном современном дизайне серо-чёрных оттенков. Наслаждайтесь своей новой ракеткой от легендарного бренда HEAD!</t>
  </si>
  <si>
    <t>серый/черный</t>
  </si>
  <si>
    <t>Coello Vibe 2026</t>
  </si>
  <si>
    <t>226156</t>
  </si>
  <si>
    <t>Bolt 2026_rd_bk</t>
  </si>
  <si>
    <t>226206</t>
  </si>
  <si>
    <t>Head Bolt 2026
Ракетка Head Bolt 2026 — одна из самых классических и узнаваемых моделей HEAD, возвращающаяся сезон за сезоном. Она отличается простотой в использовании, высоким уровнем контроля и ярким дизайном в красно-чёрных тонах, который передаёт энергию и индивидуальность на корте. Эта ракетка создана для того, чтобы дарить удовольствие от падла с самого первого дня: приятные тактильные ощущения и сбалансированная реакция при каждом ударе делают игру по-настоящему увлекательной.
HEAD вновь предлагает надёжную, простую и очень доступную модель — идеальный выбор для игроков, которые ищут уверенность и комфорт без лишних сложностей.
Разработана, чтобы прогрессировать с уверенностью
Эта ракетка рекомендуется игрокам начального и среднего уровня и демонстрирует отличную универсальность в любых игровых ситуациях. Её форма «слезинка» обеспечивает чёткий акцент на контроле, облегчает точное размещение мяча и снижает количество невынужденных ошибок. Расширенная зона «сладкого пятна» делает удары более стабильными даже при неточном попадании — это особенно важно для тех, кто находится на этапе обучения. Кроме того, низкий вес ракетки повышает маневренность и удобство управления, помогая совершенствовать технику как на тренировках, так и в неформальных играх.
Ключевые особенности и технологии:
Форма «слезинка» с расширенным «сладким пятном» — для превосходного контроля
Сбалансированная конструкция с акцентом на контроль — обеспечивает точные и уверенные удары
Технология Innegra™, интегрированная в структуру ракетки, — повышает прочность и комфорт
Сердечник Power Foam — улучшает отскок мяча и эффективно гасит вибрации
Лёгкая конструкция — облегчает управление и снижает утомляемость руки
В магазине Pādel Nuestro доступна ракетка Head Bolt 2026 — идеальный инструмент, чтобы уверенно начать свой путь в падле или продолжить развитие. Если вы ищете сочетание контроля, комфорта и яркого дизайна, эта ракетка — именно то, что вам нужно. Сделайте решительный шаг и начните наслаждаться падлом с ракеткой, которая откликается на каждый ваш удар с самого первого розыгрыша!</t>
  </si>
  <si>
    <t>стекловолокно, пена</t>
  </si>
  <si>
    <t>Bolt 2026_wh_gr</t>
  </si>
  <si>
    <t>226216</t>
  </si>
  <si>
    <t>Bolt 2025_bk_pr</t>
  </si>
  <si>
    <t>226245</t>
  </si>
  <si>
    <t>Если вы игрок, играющий от случая к случаю, который только начинает участвовать в соревнованиях, и ищете ракетку с контролируемой мощностью и ярким дизайном, то HEAD BOLT 2025 — отличный выбор. Её широкая ударная поверхность в форме «слезинки» обеспечивает идеальное сочетание мощности и точности, а мягкое ощущение при ударе делает игру комфортной и прощающей ошибки.
Основные характеристики:
Привлекательный и современный дизайн
Лёгкая, но контролируемая мощность — идеально подходит для новичков и любителей
Форма «слезинка» и увеличенный размер — для универсальной игры
Ударная поверхность из стекловолокна — обеспечивает более мягкое и комфортное ощущение
Максимально расширенная зона «сладкого пятна» — повышает терпимость к неточным ударам
Технологии и особенности:
Innegra™: гибридная структура, улучшающая амортизацию ударов и общую стабильность ракетки
Energy Foam (Энергетический пенополимер): высокоотзывчивый сердечник, максимизирующий производительность и усиливающий атакующие удары, такие как смэш, X3 и X4
Power Frame: конструкция рамы, разработанная для обеспечения максимальной мощности при каждом ударе
Integrated Protector System (IPS): встроенный углеродный протектор, защищающий ракетку от сколов и царапин, значительно продлевающий её срок службы
Tailored Frame (Индивидуальная форма рамы): трубчатая конструкция, которая удлиняет слой резинового материала до края ракетки, расширяет зону «сладкого пятна» и повышает прощаемость неточных ударов
HEAD BOLT 2025 — это надёжный, стильный и технологичный выбор для тех, кто хочет уверенно развивать свою игру, не жертвуя комфортом и контролем.</t>
  </si>
  <si>
    <t>Evo Speed 2025</t>
  </si>
  <si>
    <t>226405</t>
  </si>
  <si>
    <t>Теперь ракетка EVO SPEED стала ещё легче, комфортнее и проще в использовании. Она предлагает идеальное сочетание комфорта и лёгкой мощности для новичков, только начинающих осваивать падел.
Ракетка EVO SPEED обеспечивает тот самый комфорт и доступную мощность, которые необходимы для обучения игре. По сравнению с предыдущей версией она стала ещё легче и имеет более низкий баланс, что значительно улучшает маневренность и повышает комфорт при игре. Благодаря увеличенной зоне «сладкого пятна», мягкому сердечнику, ударной поверхности из стекловолокна (обеспечивающей мягкое ощущение при ударе) и технологии Innegra™ (улучшающей амортизацию и стабильность), эта ракетка дарит настоящее удовольствие от игры. Обновлённый дизайн придаёт модели EVO SPEED современный и премиальный вид.
Ключевые особенности:
Более лёгкая конструкция и новый баланс — для дополнительной маневренности
Повышенный комфорт — идеально подходит для освоения базовых навыков игры
Ударная поверхность из стекловолокна — мягкое ощущение и лёгкая, доступная мощность
Увеличенная форма «слезинка» с большой зоной «сладкого пятна» и мягким сердечником — для прощающей и уверенной игры
Технология Innegra™ — улучшенное гашение ударов и повышенная стабильность
Новый дизайн — современный и элегантный внешний вид, подчеркивающий высокое качество исполнения
EVO SPEED — это идеальный выбор для тех, кто делает первые шаги в мире падла и хочет получать удовольствие от каждой минуты на корте.</t>
  </si>
  <si>
    <t>Evo Extreme 2025</t>
  </si>
  <si>
    <t>226415</t>
  </si>
  <si>
    <t>Speed Junior 2025</t>
  </si>
  <si>
    <t>226715</t>
  </si>
  <si>
    <t>Coello Junior 2026</t>
  </si>
  <si>
    <t>226726</t>
  </si>
  <si>
    <t>IG Speed Jr. 23</t>
  </si>
  <si>
    <t>230024SC06</t>
  </si>
  <si>
    <t>Ракетка Speed ​​Jr. 23 изготовленная из легкого графитового композита и имеющая длину 23 дюйм:
- для юниоров в возрасте от 6,5 до 8,5 лет (рост 122-135 см);
- которым нравится играть со скоростью и контролем;
- правильный вес, отличные игровые качества;
- технология Innegra обеспечивает поглощение ударов и улучшает стабильность;
- технология Damp Plus поглощает ударные вибрации до того, как они достигнут рукоятки, для лучшего ощущения;
- современный дизайн для идеальной первой ракетки, с которой дети будут весело проводить время на корте.
Вес(г): 215
Размер головы (кв.см.): 615
Баланс(мм): 275
Размер ручки ракетки:06
Размер ракетки: 23
Струнная формула: 16/18
Материал: Composite</t>
  </si>
  <si>
    <t>IG Speed Jr. 21</t>
  </si>
  <si>
    <t>230034SC05</t>
  </si>
  <si>
    <t>Подойдет детям, которые тренируются по системе 10s мячами с красной точкой на маленьком корте или  мячами с оранжевой точкой на корте 3/4. Детская модель ракетки, разработанная специально для юных теннисистов.
Характеристики:
Площадь головы (см²): 590
Со струнами: Да
Вес (гр.): 200
Длина (дюйм): 21 (рост 115-125 см.)
Баланс (мм. от торца ручки): 250
Ширина обода (мм.): 21 / 21 / 21
Схема натяжки: 16 / 17
Состав: Композит
Чехол: Да
Тип: Детские
Размер ручки: 6</t>
  </si>
  <si>
    <t>230034SC06</t>
  </si>
  <si>
    <t>Boom TEAM L 2024</t>
  </si>
  <si>
    <t>230144U20</t>
  </si>
  <si>
    <t>С новой ракеткой BOOM TEAM L вам не нужно ни о чём думать — просто наслаждайтесь моментом и своим следующим ударом. Взрывная мощь сочетается с потрясающими ощущениями от новой конструкции Auxetic и обновлённой формой головы, создавая ракетку, которая дарит удовольствие от игры. Лёгкая и прощающая ошибки рамка делает эту ракетку идеальной как для игроков, которые только осваивают теннис, так и для продвинутых спортсменов. Выберите BOOM TEAM L, чтобы повысить свою производительность и уверенность. Веселье не заканчивается никогда.
Ракетка поставляется со струнами.
Взрывная мощь
Потрясающие ощущения
Лёгкая, прощающая ошибки рамка
Для начинающих и продвинутых игроков
Новая форма головы ракетки</t>
  </si>
  <si>
    <t>зеленый/черный</t>
  </si>
  <si>
    <t>U20</t>
  </si>
  <si>
    <t>Boom Jr. 2024</t>
  </si>
  <si>
    <t>230164SC10</t>
  </si>
  <si>
    <t>Детская теннисная ракетка Head Boom JR 2024 Предложение для амбициозных юниоров, которым нужна ракетка, сочетающая взрывную мощь и очень хороший игровой комфорт. Модель Boom JR 2024, как и ее старшие аналоги, выполнена по технологии Auxetic 2.0. Это приводит к еще лучшему ощущению и контролю каждого удара. Инновационная форма головки обеспечивает большую зону наилучшего восприятия и в сочетании с утолщенным профилем рамы дополнительно поддерживает динамику. Классическое расположение струн 16/19 облегчает вращение мяча. Все это дополняется современным дизайном, который точно отражает внешний вид ракеток серии Boom для взрослых. Ракетка предназначена для юниоров от 10 до 12 лет ростом 141-155 см. Продается в комплекте с чехлом и установленным на заводе натяжителем.</t>
  </si>
  <si>
    <t>Boom Jr.25 2024</t>
  </si>
  <si>
    <t>230174SC00</t>
  </si>
  <si>
    <t>Взрывная сила сочетается с улучшенным ощущением технологии Auxetic 2.0, которая создает наилучшую связь между игроком и ракеткой. С новой конструкцией, основанной на взрослых моделях Boom MP L и Boom MP, эта ракетка создана для молодых, подающих надежды юниоров в возрасте от 8 до 10 лет ростом 126 - 140 см.</t>
  </si>
  <si>
    <t>SC00</t>
  </si>
  <si>
    <t>Boom Jr.25 2024 Alternate</t>
  </si>
  <si>
    <t>230194SC00</t>
  </si>
  <si>
    <t>Ti. Instinct Comp</t>
  </si>
  <si>
    <t>230374SC20</t>
  </si>
  <si>
    <t>Ti.Instinct Comp - идеально подходит для игроков начального уровня. Композитный сплав придает комфортные ощущения при игре. Рекомендуется для широкого круга игроков от начинающего уровня до продвинутого. Вес позволяет хорошо разгонять ракетку и совершать мощные и точные удары. Вес: 290 грамм; технология Titanium; площадь головы: 105"; баланс: 310 мм; струнная формула: 16/19.  Ручка 2 Со струнами. С чехлом.</t>
  </si>
  <si>
    <t>SC20</t>
  </si>
  <si>
    <t>230374SC30</t>
  </si>
  <si>
    <t>SC30</t>
  </si>
  <si>
    <t>Tour Pro</t>
  </si>
  <si>
    <t>230384SC20</t>
  </si>
  <si>
    <t>Ракетка для большого тенниса HEAD Tour Pro  – замечательно подходит для любителей, желающих повысить уровень своей игры. Сочетание технологий Nano Titanium (( углеродное волокно более легкое, а композитные материалы выдерживают большие нагрузки) и Damp+ (специальная вставка из виброгасящего материала в основании вилки) обеспечивает правильный баланс мощности и прочности. Увеличенная площадь головы позволяет новичкам чувствовать себя уверенней. Ракетка поставляется в комплекте с чехлом на голову и натянутой струной
Длина: 27 дюймов (68.5 см)
Площадь головы: 110 кв. дюйма (710 кв.см)
Ширина обода: 22.5 мм
Вес без струн: 280 г 
Баланс без струн: 325 мм (в ручку)
Схема натяжки (формула струн): 16x19</t>
  </si>
  <si>
    <t>230384SC30</t>
  </si>
  <si>
    <t>230384SC40</t>
  </si>
  <si>
    <t>SC40</t>
  </si>
  <si>
    <t>Gravity TEAM 2025</t>
  </si>
  <si>
    <t>231145U20</t>
  </si>
  <si>
    <t>Агрессивные командные игроки нового поколения могут доминировать на корте с улучшенной ракеткой GRAVITY TEAM, обладающей увеличенным сладким пятном, более лёгкой рамкой и технологией Auxetic 2.0.
Почувствуйте мощь с GRAVITY TEAM, оснащённой передовой технологией Auxetic 2.0 для более мягкого ощущения от удара и повышенной стабильности. Эта ракетка разработана для агрессивных командных игроков нового поколения. Это самая лёгкая и мощная ракетка серии GRAVITY, известной своей характерной закруглённой формой головы и огромным сладким пятном. Благодаря новым характеристикам, улучшающим ощущение от игры, мощность и размер сладкого пятна, а также став ещё немного легче для лучшей манёвренности, эта ракетка обеспечивает контроль, гибкость и прощение ошибок, необходимые для доминирования над любым соперником. Сочетание технологии Auxetic 2.0 и массивного сладкого пятна создаёт лучшую связь с мячом и укрепляет уверенность. Серия ракеток рекомендована Александром Зверевым и Андреем Рублёвым. Обновление также включает новую технологию Half-Cap, которая улучшает характерный звук, ощущение от удара и долговечность. Дизайн Flip — с разным оформлением на каждой стороне и глянцевым покрытием — придаёт ракетке современную, выразительную эстетику, от которой невозможно отвести взгляд.
Инновационная технология Auxetic 2.0 для более мягкого ощущения от удара и повышенной стабильности
Огромное сладкое пятно для контроля, гибкости и прощения ошибок
Новые характеристики улучшают ощущение от игры, мощность и размер сладкого пятна
Комбинация технологии Auxetic 2.0 и массивного сладкого пятна для лучшей связи с мячом
Самая лёгкая и мощная ракетка серии GRAVITY — теперь ещё легче для улучшенной манёвренности
Разработана для агрессивных командных игроков нового поколения
Неповторимая закруглённая форма
Новая технология Half-Cap улучшает характерный звук, ощущение от удара и защиту
Рекомендована Александром Зверевым и Андреем Рублёвым
Современный дизайн Flip с глянцевым покрытием</t>
  </si>
  <si>
    <t>Gravity Jr. 25 2025</t>
  </si>
  <si>
    <t>231175SC07</t>
  </si>
  <si>
    <t>Игроки клубного уровня оценят размер головы MidPlus, который обеспечивает удобное игровое пятно. Наиболее популярная средняя жесткость обода обеспечивает оптимальные игровые характеристики для большинства любителей. Ракетка имеет нейтральный баланс, что позволит одинаково успешно играть по всему корту. Игровые характеристики ракетки направлены в сторону контроля, точности ударов и чувства мяча. Современная струнная формула 16x19 обеспечивает прекрасное сцепление и потенциал вращения. Полностью графитовый обод, что позволит получить отличное чувство мяча и мощность. Укороченная и облегченная модель ракетки для маленьких теннисистов для того, чтобы они без травм и как можно скорее обучились правильной технике ударов.; Площадь головы (см²): 645; Со струнами: Да; Вес (гр.): 230; Жесткость обода: 66; Длина (дюйм): 25 (рост 135-145 см.); Баланс (мм. от торца ручки): 315; Мощность: Низкая; Ширина обода (мм.): 24; Схема натяжки: 16 / 19; Состав: Графит; Рекомендуемая натяжка (кг.): 22 - 26; Чехол: Да; Тип: Детские</t>
  </si>
  <si>
    <t>SC07</t>
  </si>
  <si>
    <t>IG Gravity Jr. 25</t>
  </si>
  <si>
    <t>231215SC07</t>
  </si>
  <si>
    <t>Игроки клубного уровня оценят размер головы MidPlus, который обеспечивает удобное игровое пятно. Подойдет детям, которые тренируются по системе 10s мячами с оранжевой или зеленой точкой. Укороченная и облегченная модель ракетки для маленьких теннисистов для того, чтобы они без травм и как можно скорее обучились правильной технике ударов.; Площадь головы (см²): 645; Со струнами: Да; Вес (гр.): 240; Длина (дюйм): 25 (рост 135-145 см.); Баланс (мм. от торца ручки): 300; Ширина обода (мм.): 22; Схема натяжки: 16 / 19; Состав: Композит; Чехол: Да</t>
  </si>
  <si>
    <t>MX Attitude SUPRM (black)</t>
  </si>
  <si>
    <t>231305SC20</t>
  </si>
  <si>
    <t>Игровое пятно имеет средний размер, что позволяет ракетке прощать часть ударов не центром и все равно попадать при этом в корт. Баланс ракетки со струнами немного смещен в голову, что позволит придать больше веса ударам. Обеспечивает дополнительную мощность и поэтому подойдет для игроков клубного уровня, которые ищут стабильности в игре на задней линии. Игроки современной манеры игры оценят высокое сцепление с мячом и хороший потенциал вращения, полученные благодаря струнной формуле 16х19. Чуть более легкая версия стандартной ракетки для большей маневренности и скорости.
Подробную информацию о том, как выбрать теннисную ракетку Вы можете получить в нашем разделе "Как выбрать", ссылка на который находится в верхнем меню.</t>
  </si>
  <si>
    <t>231305SC30</t>
  </si>
  <si>
    <t>MX Attitude SUPRM (mint)</t>
  </si>
  <si>
    <t>231315SC20</t>
  </si>
  <si>
    <t>Ракетка ATTITUDE SUPRM гарантирует, что ваши первые шаги на теннисном корте не будут последними. Предварительно натянутая ракетка ATTITUDE SUPRM имеет совершенно новый дизайн и более широкий обод (23 мм) обеспечивает большую мощность, чем версия PRO.
Характеристики:
- ручка (размер): S2 (4 1/4")
- вес (без струн): 275 гр 
- обод (мм): 23
- голова (размер): 645 cм² / 100 in²
- баланс (без струн): 330 мм / 0.5
- длина: Standard, 685 мм / 27 in 
- струнная формула: 16/19
- струны (фабричная натяжка): Synth. Gut
Технологии:
- METALLIX (меньшее зерно – более прочный материал, легче, сильнее и мощнее ракетка) &gt;&gt; подробнее... 
- ARCORE (специально разработанное сечение вилки ракетки для улучшенного сопротивления к торсионной скручиваемости) &gt;&gt; подробнее...
Особенности:
- идеальный выбор для новичков, которые хотят полностью раскрыть свой потенциал
- больше стабильности, мощности и контроля
- легко контролировать, но в то же время позволяет придать мячу большую силу
- предварительно натянутые струны</t>
  </si>
  <si>
    <t>231315SC30</t>
  </si>
  <si>
    <t>MX Attitude COMP (blue)</t>
  </si>
  <si>
    <t>231325SC30</t>
  </si>
  <si>
    <t>Эта ракетка поможет вам так полюбить теннис, что первые шаги на корте точно не станут последними. Модель MX ATTITUDE COMP поставляется уже заправленной струнами и обеспечивает лёгкость управления и отличную манёвренность.
Вес (без струн): 270 г / 9,5 унций
Струнная формула: 16/19
Размер головы: 645 см² / 100 дюймов²
Баланс: 330 мм / 0,5 дюйма HL (голова легче)
Длина: 685 мм / 27,0 дюймов
Толщина обода: 22 мм</t>
  </si>
  <si>
    <t>MX Attitude ELITE (yellow) руч.1</t>
  </si>
  <si>
    <t>231345SC10</t>
  </si>
  <si>
    <t>За счет увеличенного размера головы игрок получит дополнительную мощность. Смещенный в голову баланс ракетки обеспечит дополнительную мощность и глубину. Игроки начального и среднего любительского уровня оценят высокую мощность данной модели, которая позволит уверенно играть на счет. Формула из 16 продольных и 19 поперечных струн направлена на мощность и вращение, тем не менее струна будет изнашиваться быстрее. Начинающие игроки и девушки оценят облегченный вес и маневренность.; Площадь головы (см²): 660; Со струнами: Да; Вес (гр.): 265; Длина (дюйм): 27 (68.5 см.); Баланс (мм. от торца ручки): 336; Мощность: Высокая; Ширина обода (мм.): 22; Схема натяжки: 16 / 19; Состав: Алюминий; Чехол: Да</t>
  </si>
  <si>
    <t>MX Attitude ELITE (yellow)</t>
  </si>
  <si>
    <t>231345SC20</t>
  </si>
  <si>
    <t>231345SC30</t>
  </si>
  <si>
    <t>MX Attitude ELITE (pink)</t>
  </si>
  <si>
    <t>231355SC10</t>
  </si>
  <si>
    <t>Geo Speed</t>
  </si>
  <si>
    <t>231375SC30</t>
  </si>
  <si>
    <t>Любительская ракетка Geo Speed из композитного материала поможет выйти на новый уровень любителям благодаря динамичным характеристикам. Вес 295 грамм обеспечит серьезную мощь в каждом ударе. Большое игровое пятно сгладит ошибки. Баланс 33 см. Увеличенная длина 27,5 добавит инцерции. Площадь головы 105". С чехлом</t>
  </si>
  <si>
    <t>Extreme Jr. 25</t>
  </si>
  <si>
    <t>231414SC06</t>
  </si>
  <si>
    <t>Детская теннисная ракетка Head Extreme Jr. 25 с ярким дизайном — отличный вариант для комфортного старта на корте. Модель выполнена из алюминия и оснащена вставкой Damp+, которая изолирует удар и уменьшает вибрацию. Подходит для детей в возрасте от 8 до 10 лет.
Комфорт
Увеличенная площадь струнной поверхности (680 см2) помогает юному спортсмену точнее попадать по мячу и делает удары более мощными.
Проверенное качество
Ракетка от ведущего производителя теннисного инвентаря идеально подходит для отработки навыков и способствует быстрому прогрессу вашего ребенка.</t>
  </si>
  <si>
    <t>кевлавр; бор; дерево; алюминий; графит</t>
  </si>
  <si>
    <t>Radical Jr. 25</t>
  </si>
  <si>
    <t>231415SC07</t>
  </si>
  <si>
    <t>Серия Radical Jr. помогает детям начать свой путь в теннис максимально комфортно. Алюминиевая ракетка оснащена уникальной вставкой Damp+, которая изолирует удар и уменьшает вибрации. Radical Jr. 25 идеально подходит для детей от 8 до 10 лет, которые хотят освоить универсальную игру. Захватывающий новый дизайн ракетки подчеркивают универсальность ракетки и позволяют вам покорять корты в любое время.</t>
  </si>
  <si>
    <t>алюминий</t>
  </si>
  <si>
    <t>Extreme Jr. 23</t>
  </si>
  <si>
    <t>231424SC06</t>
  </si>
  <si>
    <t>Детская теннисная ракетка Head Extreme Jr. 23 с ярким дизайном — отличный вариант для комфортного старта на корте. Модель выполнена из алюминия и оснащена вставкой Damp+, которая изолирует удар и уменьшает вибрацию. Подходит для детей в возрасте от 6 до 8 лет.
Комфорт
Увеличенная площадь струнной поверхности (630 см2) помогает юному спортсмену точнее попадать по мячу и делает удары более мощными.
Проверенное качество
Ракетка от ведущего производителя теннисного инвентаря идеально подходит для отработки навыков и способствует быстрому прогрессу вашего ребенка.</t>
  </si>
  <si>
    <t>231444SC05</t>
  </si>
  <si>
    <t>MX Attitude SUPRM (red)</t>
  </si>
  <si>
    <t>231916SC20</t>
  </si>
  <si>
    <t>Теннисная ракетка руч.2</t>
  </si>
  <si>
    <t>231916SC30</t>
  </si>
  <si>
    <t>Теннисная ракетка руч.3</t>
  </si>
  <si>
    <t>231916SC40</t>
  </si>
  <si>
    <t>Теннисная ракетка руч.4</t>
  </si>
  <si>
    <t>MX Attitude COMP (pink)</t>
  </si>
  <si>
    <t>231926SC20</t>
  </si>
  <si>
    <t>MX Attitude ELITE (light blue)</t>
  </si>
  <si>
    <t>231936SC20</t>
  </si>
  <si>
    <t>Speed Jr. 2026</t>
  </si>
  <si>
    <t>232086SC10</t>
  </si>
  <si>
    <t>Speed Jr. 25 2026</t>
  </si>
  <si>
    <t>232096SC00</t>
  </si>
  <si>
    <t>Speed ELITE 2026</t>
  </si>
  <si>
    <t>232106U20</t>
  </si>
  <si>
    <t>232106U30</t>
  </si>
  <si>
    <t>Часть бестселлерной серии HEAD SPEED — ракетка SPEED ELITE 2026 для игроков среднего уровня и новичков — обеспечивает точную мощность и отличное соотношение цены и качества. С этой ракеткой вы сможете играть динамично и при этом отлично выглядеть на корте: её обновлённый дизайн включает яркие насыщенные цвета и матовую поверхность.
• Точная мощность и отличное соотношение цены и качества
• Для игроков среднего уровня и новичков
• Часть бестселлерной серии SPEED
• Новый дизайн с яркими цветами и матовым покрытием</t>
  </si>
  <si>
    <t>U30</t>
  </si>
  <si>
    <t>Paw 19 (blue)</t>
  </si>
  <si>
    <t>232215SC05</t>
  </si>
  <si>
    <t>Серия ракеток Paw Patrol помогает детям начать своё теннисное путешествие максимально комфортно. Алюминиевая ракетка оснащена уникальной вставкой Damp+, которая амортизирует удар и снижает вибрацию. Ракетка Paw Patrol 19 идеально подходит для детей в возрасте от 2 до 4 лет, которые хотят освоить универсальную технику игры. Захватывающий новый дизайн ракетки и перевёрнутое исполнение логотипа подчёркивают её многофункциональность и позволяют в любой момент покорять корты.</t>
  </si>
  <si>
    <t>Ti. Tornado</t>
  </si>
  <si>
    <t>232239SC20</t>
  </si>
  <si>
    <t>232239SC30</t>
  </si>
  <si>
    <t>алюминий 100%</t>
  </si>
  <si>
    <t>Boom Jr. 2026</t>
  </si>
  <si>
    <t>232256SC00</t>
  </si>
  <si>
    <t>Boom Jr. 25 2026</t>
  </si>
  <si>
    <t>232266SC07</t>
  </si>
  <si>
    <t>Extreme Jr. 2026</t>
  </si>
  <si>
    <t>233366SC00</t>
  </si>
  <si>
    <t>Ti. Radical Elite</t>
  </si>
  <si>
    <t>233402SC10</t>
  </si>
  <si>
    <t>Если вы ищете немного больше стабильности при ударах и больше контроля - попробуйте Ti.Radical Elite. Рукоятка Contour Cushion также обеспечивает игрокам дополнительный комфорт и контур руки, чтобы вы могли найти правильный захват. Графитовая композитная конструкция также дает игрокам больше вращения и контроля. Вес без струн 265 гр., формула струн 16х19, Размер головы 105, Баланс 33,5 см., длина ракетки 68,5 см. Размер ручки 1</t>
  </si>
  <si>
    <t>Ti.Radical Elite</t>
  </si>
  <si>
    <t>233402SC20</t>
  </si>
  <si>
    <t>MX Attitude Comp (light red)</t>
  </si>
  <si>
    <t>234733SC20</t>
  </si>
  <si>
    <t>Теннисная ракетка Ручка 2</t>
  </si>
  <si>
    <t>ОСНОВНАЯ ИНФОРМАЦИЯ HEAD MX Attitude Comp – замечательно подходит для игроков отдающих предпочтение комфортной игре. Графитовый композит обеспечивает правильный баланс мощности и прочности. Ракетки поставляются в комплекте с чехлом и натянутой струной. ДОПОЛНИТЕЛЬНЫЕ ХАРАКТЕРИСТИКИ Цвет основной: Ярко-розовый Цвет дополнительный: Черный Материал: Композит Уровень: Любительский Размер: Взрослый Материал обода: Композит Длина: 27 дюймов (68,5 см) Площадь головы ракетки:: 100 кв. дюйма (645кв.см) Ширина обода: 22 мм Баланс: 330 мм (баланс в голову) Схема натяжки (формула струн): 16x19</t>
  </si>
  <si>
    <t>композитный материал</t>
  </si>
  <si>
    <t>Novak 25</t>
  </si>
  <si>
    <t>235004SC07</t>
  </si>
  <si>
    <t>HEAD Novak 25 - ракетка для мальчиков от 8 до 10 лет, рост 127-141 см.
Серия посвящена Новаку Джоковичу и предназначена для мальчиков, желающих прикоснуться к миру тенниса. Прочная алюминиевая конструкция с технологией Damp+ для уменьшения вибрации. Яркий красочный дизайн. Ракетка прекрасно подходит для тренировок в школе и любительских игр.
Ракетки поставляются в комплекте с чехлом на голову и натянутой струной.
Длина: 25 дюймов (63,5 см)
Вес без струн: 240 г
Схема натяжки (формула струн): 16 x 18
Площадь головы: 105 кв.дюймов/680 кв.см
Баланс: в голову
Жесткость: 45
Ручка: 07 (9,8 см)
Уровень игрока: юниор, для детей 8-10 лет, рост 127-141см</t>
  </si>
  <si>
    <t>Novak 19</t>
  </si>
  <si>
    <t>235034SC05</t>
  </si>
  <si>
    <t>19-дюймовая ТЕННИСНАЯ РАКЕТКА NOVAK 19 с красочным и ярким дизайном идеально подходит для мальчиков в возрасте от 2 до 4 лет, которые только начинают заниматься теннисом. Эта ракетка, названная в честь представителя HEAD Новака Джоковича, оснащена вставкой Damp+, которая снижает вибрацию. Чтобы добавить веселья, красочная шапка ракетки имеет монстрообразный дизайн, и ее можно носить как маску, а ракетка также поставляется с наклейками.
• Назван в честь Новака Джоковича
• Яркий дизайн
• Вставка Damp+ снижает вибрацию
• Наклейки в комплекте Размер головы (кв.см.): 520
Вес без натяжки (гр.): 175
Длина: 485
Баланс (см. от торца ручки): 230.00
Струнная формула: 16*17
Материал: Алюминий</t>
  </si>
  <si>
    <t>Novak 17</t>
  </si>
  <si>
    <t>235044SC05</t>
  </si>
  <si>
    <t>Детская теннисная ракетка Head Novak 17 с ярким дизайном идеально подходит для детей в возрасте от 2 до 3 лет и ростом до 89 см, которые только начинают играть в теннис.
Эта ракетка, названная в честь представителя HEAD Новака Джоковича, оснащена вставкой Damp +, которая снижает вибрацию.
Чтобы добавить веселья, красочная карточка ракетки имеет дизайн монстра, и ее можно носить как маску, а ракетка также поставляется с наклейками.
• Названа в честь Новака Джоковича.
• Красочный дизайн.
• Демпфер + вставка снижает вибрацию.
• Красочную визитку можно носить как маску.
• Наклейки включены.
Вес: 160
Длина: 17
Натяжка: С натяжкой
Размер головы: 62
Струнная формула: 14x15
Баланс: 22</t>
  </si>
  <si>
    <t>MX Spark SUPRM (red) руч.3</t>
  </si>
  <si>
    <t>235314SC30</t>
  </si>
  <si>
    <t>Ракетка HEAD Spark Suprm предназначена для игроков, отдающих предпочтение комфортной игре. Графитовый композит обеспечивает легкость в игре, правильный баланс мощности и прочности. Несмотря на сдержанный, но лаконичный дизайн ракетки,  начинающий игрок уже с самых первых шагов в теннисе будет выделяться на корте. Ракетка выполнена с использованием технологии HEAD Metallix™(cпециальные стабилизаторы, встроенные в матрицы с каждой стороны вилки ракетки, максимально гасят вибрацию, обеспечивая ракетке комфорт и маневренность).
Ракетка поставляются в комплекте с полным чехлом и натянутой струной.
Длина: 27 дюймов (68,5 см)
Площадь головы ракетки:: 100 кв. дюймов (645кв.см)
Ширина обода: 23 мм
Вес без струн: 275г
Баланс: 330 мм (на 1/2 баланс в рукоять)
Жесткость: 45
Схема натяжки (формула струн): 16x19</t>
  </si>
  <si>
    <t>MX Spark COMP (mint)</t>
  </si>
  <si>
    <t>235324SC30</t>
  </si>
  <si>
    <t>HEAD MX Spark Comp  – замечательно подходит для игроков отдающих предпочтение комфортной игре. Графитовый композит обеспечивает правильный баланс мощности и прочности. 
Ракетки поставляются в комплекте с чехлом и натянутой струной.
Длина: 27 дюймов (68,5 см)
Площадь головы ракетки:: 100 кв. дюйма (645 кв.см)
Вес без струн: 270г 
Баланс: 330 мм
Жесткость: 45 
Схема натяжки (формула струн): 16x19</t>
  </si>
  <si>
    <t>Extreme Jr. 26</t>
  </si>
  <si>
    <t>235402SC00</t>
  </si>
  <si>
    <t>Серия Extreme Jr. помогает детям начать свое теннисное путешествие максимально комфортно. Алюминиевая ракетка оснащена уникальной вставкой Damp+, которая изолирует удар и уменьшает вибрации. Extreme Jr. 26 идеально подходит для детей от 9 до 11 лет.</t>
  </si>
  <si>
    <t>IG Challenge MP (blue)</t>
  </si>
  <si>
    <t>235404SC40</t>
  </si>
  <si>
    <t>Из всех ракеток серии CHALLENGE IG CHALLENGE MP TENNIS RACQUET обеспечивает наибольший контроль, но при этом обеспечивает достаточную мощность для соревнующихся игроков-любителей. Эта ракетка с ярким дизайном имеет полностью графитовую конструкцию и обеспечивает всестороннее удобство игры и комфорт.
• Контроль и мощность для профессиональных игроков-любителей
• Полностью графитовая конструкция
• Всестороннее удобство игры и комфорт
• Яркий дизайн
Площадь головы: 645 см
Вес: 295 гр
Длина: 27 дюймов
Баланс: 320 мм
Схема натяжки: 16х19</t>
  </si>
  <si>
    <t>IG Challenge MP (red)</t>
  </si>
  <si>
    <t>235414SC30</t>
  </si>
  <si>
    <t>235414SC40</t>
  </si>
  <si>
    <t>IG Challenge TEAM (purple)</t>
  </si>
  <si>
    <t>235424SC10</t>
  </si>
  <si>
    <t>Ракетка HEAD IG Challenge Team - популярная универсальная ракетка , изготовленная по технологии INNEGRA (использование легких волокон), которая интегрирована в ракетки для поглощения ударов и улучшенной стабильностью. В результате вибрации снижается до 17% при ударе мячом для уникальной системы контроля и точности.
Оптимальный контроль и управляемость. Для всех уровней любителей и юниоров, желающих из рядов зрителей перейти в ряды игроков.
Характеристики
Вес без струн: 270г
Профиль 23/26/23 мм
Площадь головы: 645 кв.см (100 кв.дюймов)
Баланс: 335 мм (в голову)
Длина: 27 дюймов (68,5см)
Схема натяжки (формула струн): 16x19</t>
  </si>
  <si>
    <t>Extreme Jr. 21  ручка 06</t>
  </si>
  <si>
    <t>235432SC06</t>
  </si>
  <si>
    <t>HEAD Extreme Jr 21 - ракетка для детей от 4 до 6 лет, рост 101-113 см.
Прочная алюминиевая конструкция с технологией Damp+ для уменьшения вибрации. Красочный дизайн. Ракетка прекрасно подходит для тренировок в школе и любительских игр.
Ракетки поставляются в комплекте с чехлом на голову и натянутой струной.
Длина: 21 дюйм (53,5 см)
Вес без струн: 180 г
Схема натяжки (формула струн): 16 x 17
Площадь головы: 81 кв.дюймов/520 кв.см
Баланс 255мм (на 1/2 в ручку)
Ручка: 06</t>
  </si>
  <si>
    <t>IG Challenge TEAM (mint)</t>
  </si>
  <si>
    <t>235434SC30</t>
  </si>
  <si>
    <t>IG Challenge TEAM L (coral)</t>
  </si>
  <si>
    <t>235444SC10</t>
  </si>
  <si>
    <t>IG Challenge TEAM L (stealth)</t>
  </si>
  <si>
    <t>235454SC10</t>
  </si>
  <si>
    <t>Увеличенный размер площади струнной поверхности делает акцент в пользу мощности. Игроки, которым необходимо увеличить глубину ударов, оценят баланс ракетки смещенный в голову. Очень мощная ракетка,
поэтому потребуется достаточное умение чтобы сохранить и точность ударов. Схема натяжки струн имеет
открытую формулу 16Х19, что означает что мяч будет хорошо цепляться во время удара и получать больше
вращения. Обод изготовлен из 100% высокомодульного графита, который обеспечит максимальное чувство мяча
современной ракетки. Чуть более легкая версия стандартной ракетки для большей маневренности и скорости.
Площадь головы: 690 см
Вес: 260 гр
Длина: 27 дюймов
Баланс: 345 мм
Схема натяжки: 16х19</t>
  </si>
  <si>
    <t>235454SC20</t>
  </si>
  <si>
    <t>Ti. Reward</t>
  </si>
  <si>
    <t>235621SC20</t>
  </si>
  <si>
    <t>235621SC30</t>
  </si>
  <si>
    <t>235621SC40</t>
  </si>
  <si>
    <t>Ti. Reward - идеально подходит для игроков начального уровня. Титаналовый плав придает комфортные ощущения при игре. Рекомендуется для широкого круга игроков от начинающего уровня до продвинутого. Вес позволяет хорошо разгонять ракетку и совершать мощные и точные удары.  Технология Damp+ для уменьшения вибрации. Специальная вставка из виброгасящего материала в основании вилки (элемент конструкции ракетки). При этом, воздействие вибрации на мышцы и суставы игрока минимально. Увеличивается точность удара.  Вес: 285 грамм; технология Titanium; площадь головы: 105"; баланс: 325 мм; струнная формула: 16/19.  Ручка 4 Со струнами. С чехлом.</t>
  </si>
  <si>
    <t>Coco 19</t>
  </si>
  <si>
    <t>235834SC05</t>
  </si>
  <si>
    <t>19-дюймовая теннисная ракетка Coco 19 с красочным ярким дизайном идеально подходит для девочек в возрасте от 3 до 4 лет, которые только начинают играть в теннис. Эта модель названа в честь амбассадора Head — теннисистки Коко Гауфф. Красочная лицевая карточка ракетки украшена изображением животного — ее можно носить как маску. Также к ракетке прилагаются наклейки.
Гашение вибраций
Вставка Damp+ снижает вибрацию и бережет локоть юных спортсменов.
Проверенное качество
Многолетняя доводка серии Novak позволила создать ракетку с характеристиками, оптимальными для роста мастерства юных спортсменов.
Размер головы (кв.см.): 520
Вес без натяжки (гр.): 170
Длина: 482
Баланс (см. от торца ручки): 230.00
Струнная формула: 16*17
Материал: Алюминий</t>
  </si>
  <si>
    <t>Speed Jr.25 2024</t>
  </si>
  <si>
    <t>236064SC00</t>
  </si>
  <si>
    <t>Head Speed Jr. 25 - это легкая графитовая 25-дюймовая версия модели MP из взрослой серии Speed, предназначенная для амбициозных детей в возрасте от 8 до 10 лет ростом 126 - 140 см.
Эта ракетка была усовершенствована с помощью современной технологии Auxetic, обеспечивающей сенсационное ощущение удара и улучшенные игровые качества.
Ракетка поставляется натянутой.</t>
  </si>
  <si>
    <t>PAW PATROL BACKPACK PU</t>
  </si>
  <si>
    <t>262615-PU</t>
  </si>
  <si>
    <t>Теннисный рюкзак Paw Patrol x HEAD идеально подходит для юных спортсменов, сочетая качество HEAD с игривым стилем Paw Patrol. Смелый тёмно-синий дизайн с светло-голубыми акцентами украшен любимыми персонажами Paw Patrol и включает отделение для теннисной ракетки на спинке, несколько карманов и регулируемые удобные лямки.
Теннисный рюкзак Paw Patrol x HEAD создан для детей, которые любят спорт и приключения. Этот рюкзак объёмом 15 л имеет специальное отделение для теннисной ракетки, что делает его идеальным выбором для юных игроков. Благодаря вместительному пространству для школьных принадлежностей, спортивного инвентаря и повседневных вещей он одновременно практичен и увлекателен. Тёмно-синий дизайн со светло-голубыми деталями изображает любимых персонажей Paw Patrol, добавляя ярких эмоций в каждый день. Лёгкий и удобный в переноске, рюкзак оснащён регулируемыми лямками для комфортной посадки, а также передним карманом на молнии для быстрого доступа к важным вещам.</t>
  </si>
  <si>
    <t>PAW PATROL BACKPACK BL</t>
  </si>
  <si>
    <t>262605-BL</t>
  </si>
  <si>
    <t>Tour Backpack 25L OR</t>
  </si>
  <si>
    <t>260336-OR</t>
  </si>
  <si>
    <t>Tour Backpack 25L PK</t>
  </si>
  <si>
    <t>260436-PK</t>
  </si>
  <si>
    <t>Tour Backpack 25L GE</t>
  </si>
  <si>
    <t>260536-GE</t>
  </si>
  <si>
    <t>Tour Backpack 25L BL</t>
  </si>
  <si>
    <t>260636-BL</t>
  </si>
  <si>
    <t>Tour Backpack 25L</t>
  </si>
  <si>
    <t>260945-SG</t>
  </si>
  <si>
    <t>Рюкзак Head Tour Padel Backpack входит в коллекцию сумок HEAD. Этот универсальный рюкзак идеален для игроков, которым нужна компактная сумка для всего необходимого снаряжения для падела. Благодаря двум регулируемым ремням вы можете легко и удобно носить ваше снаряжение. Два основных отделения подходят для хранения ракеток и одежды, среди прочего. В отдельном отделении для обуви вы можете хранить обувь отдельно от остального оборудования для падела. Это помогает дольше сохранять свежесть вашего снаряжения и поддерживает порядок в сумке.
Кроме того, в рюкзаке есть карманы для аксессуаров, где можно хранить мелкие и ценные вещи. Размеры этой сумки составляют 33.5 x 51 x 25 см. Сумка сделана из 75% полиэстера и 25% полиуретана.</t>
  </si>
  <si>
    <t>Base Backpack 17L PK</t>
  </si>
  <si>
    <t>261036-PK</t>
  </si>
  <si>
    <t>Base Backpack 17L BK</t>
  </si>
  <si>
    <t>261235-BK</t>
  </si>
  <si>
    <t>Спортивный рюкзак "HEAD Djokovic Backpack" - идеальное решение для людей, занимающихся большим теннисом и любителей активного отдыха. Рюкзак имеет несколько отделений: - большое центральное отделение, - карман для 1-й теннисной ракетки, - карман на передней планке на молнии, - отделение для обуви с вентиляцией, - 2 боковых кармана на молнии. Мягкие эргономичные плечевые ремни удобно регулируются по длине. 100% полиэстер. Размеры (Д*В*Ш) 54x33x13см</t>
  </si>
  <si>
    <t>Base Backpack 17L NV</t>
  </si>
  <si>
    <t>261335-NV</t>
  </si>
  <si>
    <t>Tour Backpack 25L PU</t>
  </si>
  <si>
    <t>262036-PU</t>
  </si>
  <si>
    <t>Team Backpack 21L BKCC</t>
  </si>
  <si>
    <t>262244-BKCC</t>
  </si>
  <si>
    <t>Рюкзак Head Team Backpack 21L идеально подходит для расслабленной игры в выходные или долгой прогулки с друзьями. Внутри предусмотрено отделение с мягкой обивкой, вмещающее до 2 ракеток, а также основное отделение. Новый дизайн притягивает к себе внимание, а улучшенные лямки добавляют комфорта. Специальный отсек позволяет разместить обувь отдельно от остальных вещей, а передний карман на молнии и 2 боковых кармана обеспечивают быстрый доступ к важным мелочам.</t>
  </si>
  <si>
    <t>Team Backpack 21L BLBK</t>
  </si>
  <si>
    <t>262344-BLBK</t>
  </si>
  <si>
    <t>Head Primal</t>
  </si>
  <si>
    <t>281103-16GR</t>
  </si>
  <si>
    <t>Струны для ракетки</t>
  </si>
  <si>
    <t>Струны</t>
  </si>
  <si>
    <t>Теннисная струна Head HAWK (12 м) - черная Теннисные, моноволоконные, сополиэфирные струны, многоэтапный процесс производства которых с применением химических добавок позволил получить отличные эффекты в виде очень хорошей прочности, динамики, контроля и вращения. Технология Head Crystal Core, используемая в ядре, сочетает в себе исключительную энергоэффективность, что означает «взрывную» энергию.</t>
  </si>
  <si>
    <t>16GR</t>
  </si>
  <si>
    <t>Synthetic Gut</t>
  </si>
  <si>
    <t>281111-17BK</t>
  </si>
  <si>
    <t>17BK</t>
  </si>
  <si>
    <t>281111-16WH</t>
  </si>
  <si>
    <t>Надежное ядро ​​— это теперь все, что вам нужно для вашей базовой игры. Новый набор струн Head Synthetic Gut имеет твердый сердечник и мягкую внешнюю оплетку из нескольких нитей, а также покрытие с низким коэффициентом трения - идеальные предпосылки для мощности и контроля для универсального игрока, который готов поразить цель. корты лиги выходного дня.</t>
  </si>
  <si>
    <t>16WH</t>
  </si>
  <si>
    <t>HAWK 17</t>
  </si>
  <si>
    <t>281103-17WH</t>
  </si>
  <si>
    <t>Реализуйте для игры в теннис на высоком уровне, струна Head Hawk обеспечивает идеальное равновесие для силы и контроля.</t>
  </si>
  <si>
    <t>17WH</t>
  </si>
  <si>
    <t>281103-17BK</t>
  </si>
  <si>
    <t>HAWK 16</t>
  </si>
  <si>
    <t>281103-16BK</t>
  </si>
  <si>
    <t>16BK</t>
  </si>
  <si>
    <t>281103-17GR</t>
  </si>
  <si>
    <t>17GR</t>
  </si>
  <si>
    <t>281111-17WH</t>
  </si>
  <si>
    <t>Head Lynx 1.30 Set 12 m</t>
  </si>
  <si>
    <t>281784-16GE</t>
  </si>
  <si>
    <t>Если вы ищете превосходную долговечность, не отказываясь от ощущения, выберите новую монофильную леску Head Lynx!
Изготовлен из новой инновационной смеси сополимеров, которая повышает эластичность и ощущение, обеспечивая при этом прикосновение и идеальный контроль. Удар по мячу мягкий по сравнению с традиционными мононитями.</t>
  </si>
  <si>
    <t>салатовый</t>
  </si>
  <si>
    <t>16GE</t>
  </si>
  <si>
    <t>Hawk Power 16</t>
  </si>
  <si>
    <t>281022-16PT</t>
  </si>
  <si>
    <t>Моноволоконные корды Head Hawk Power разработаны для элитных игроков, стремящихся придать своим ударам ещё большую мощность. Они также идеально подходят для длительного сохранения натяжения и обеспечивают хорошую снисходительность даже при ударах не по центру.
Характеристики:
Калибр: 1,25 мм
Цвет: Питом (Petrol)
Комплект длиной 12 м</t>
  </si>
  <si>
    <t>16PT</t>
  </si>
  <si>
    <t>Hawk Power 17</t>
  </si>
  <si>
    <t>281022-17PT</t>
  </si>
  <si>
    <t>17PT</t>
  </si>
  <si>
    <t>Master</t>
  </si>
  <si>
    <t>281023-15LNT</t>
  </si>
  <si>
    <t>Синтетическая струна с высокопрочным сополимерным ядром, окруженным одинарной мультиволоконной оболочкой, дает дополнительную силу и ощущение мяча. Сочетая в себе мощность, контроль и комфорт, мультиволоконная струна Head Master создана для клубных игроков, которым нужна прочная универсальная струна.
Диаметр: 1,3 мм.
Длина: 12 м.</t>
  </si>
  <si>
    <t>15LNT</t>
  </si>
  <si>
    <t>281023-16LNT</t>
  </si>
  <si>
    <t>Синтетическая струна с высокопрочным сополимерным ядром, окруженным одинарной мультиволоконной оболочкой, дает дополнительную силу и ощущение мяча. Сочетая в себе мощность, контроль и комфорт, мультиволоконная струна Head Master создана для клубных игроков, которым нужна прочная универсальная струна.
Диаметр: 1,3 мм.
Длина: 12 м.
Особенность: Мощность, Контроль
Материал: Полиэстер (co-poly)
Структура: Моноволокно в оплетке
Тип: Сеты (одна натяжка)</t>
  </si>
  <si>
    <t>нейтральный</t>
  </si>
  <si>
    <t>16LNT</t>
  </si>
  <si>
    <t>Sonic Pro 16</t>
  </si>
  <si>
    <t>281028-16BK</t>
  </si>
  <si>
    <t>281028-16WH</t>
  </si>
  <si>
    <t>Благодаря технологии HEAD Crystal Core Technology и инновационной многоступенчатой термообработке эта струна обеспечивает превосходное чувство мяча и идеальный контроль для игроков высокого уровня.</t>
  </si>
  <si>
    <t>Head Hawk 1.30 Set 12</t>
  </si>
  <si>
    <t>281103-16WH</t>
  </si>
  <si>
    <t>281111-16BK</t>
  </si>
  <si>
    <t>281111-16BL</t>
  </si>
  <si>
    <t>Надежное ядро ​​— это теперь все, что вам нужно для вашей базовой игры. Новый набор струн Head Synthetic Gut имеет твердый сердечник и мягкую внешнюю оплетку из нескольких нитей, а также покрытие с низким коэффициентом трения - идеальные предпосылки для мощности и контроля для универсального игрока, который готов поразить цель. корты лиги выходного дня.
Обновленная струна Head Synthetic Gut с прочным сердечником, мягкой многослойной оболочкой и покрытием с низким коэффициентом трения. Идеальное соотношение мощности и контроля для продвинутых теннисистов-любителей.
Толщина струны, мм: 1.30
Тип струны: Мультиволокно
Длина, см: 1200</t>
  </si>
  <si>
    <t>16BL</t>
  </si>
  <si>
    <t>281111-16GD</t>
  </si>
  <si>
    <t>Качественная синтетическая струна с комбинированной структурой HEAD Synthetic Gut.  Цельная сердцевина из нейлона оплетена одним слоем внешнего  мультиволокна. Кроме того, снаружи имеется тонкий изолирующий слой,  отталкивающий влагу и улучшающий прочность. Толщина 1.3 мм, чуть  прочнее, и обеспечивает лучший контроль, но при этом чуть более жесткая,  чем струна с толщиной 1.25 мм. Synthetic Gut- это отличный выбор для  игроков, которым необходимы хорошие игровые характеристики по всему  корту за низкую цену. Также. довольно популярный вариант, это гибрид с  полиэстеровой продольной струной.
Характеристики:
Особенность: Мощность, Комфорт
Толщина: 130
Материал: Полиамид (нейлон)
Структура: Моноволокно в оплетке
Длина (м.): 12.2</t>
  </si>
  <si>
    <t>золотой</t>
  </si>
  <si>
    <t>16GD</t>
  </si>
  <si>
    <t>281111-17YW</t>
  </si>
  <si>
    <t>17YW</t>
  </si>
  <si>
    <t>Hawk Touch 16</t>
  </si>
  <si>
    <t>281204-16AN</t>
  </si>
  <si>
    <t>16AN</t>
  </si>
  <si>
    <t>Hawk Touch 17</t>
  </si>
  <si>
    <t>281204-17RD</t>
  </si>
  <si>
    <t>Лучшая полиэстеровая струна Head, задумана как конкурент Alu Power 
и RPM Blast, но с большим комфортом. Адресована в первую очередь 
игрокам, обладающим мощными ударами с задней линии. Хорошо бьет, 
обладает высокой прочностью. 
Высокая прочность, большая ударная сила,  комфорт и удержание натяжки.
Благодаря технологии HEAD Crystal Core Technology и инновационной многоступенчатой термообработке эта струна обеспечивает превосходное чувство мяча и идеальный контроль для игроков любого уровня.</t>
  </si>
  <si>
    <t>17RD</t>
  </si>
  <si>
    <t>BCL MLT (set)</t>
  </si>
  <si>
    <t>281404-16NT</t>
  </si>
  <si>
    <t>Эта мультиволоконная струна обеспечивает идеальное сочетание силы удара и ощущения мяча, а также отличный потенциал вращения благодаря специальному строению и инновационной технологии уменьшения трения, используемой в покрытии.</t>
  </si>
  <si>
    <t>16NT</t>
  </si>
  <si>
    <t>281404-17NT</t>
  </si>
  <si>
    <t>17NT</t>
  </si>
  <si>
    <t>Lynx 16</t>
  </si>
  <si>
    <t>281784-16AN</t>
  </si>
  <si>
    <t>Lynx 17</t>
  </si>
  <si>
    <t>281784-17BL</t>
  </si>
  <si>
    <t>Струна из моноволокна изготовлена из новой смеси сополимеров, которая помогает обеспечить живое касание и контроль в вашей агрессивной игре. Созданная для турнирных и клубных игроков, LYNX чрезвычайно прочна и удобна в игре.</t>
  </si>
  <si>
    <t>17BL</t>
  </si>
  <si>
    <t>281784-17GE</t>
  </si>
  <si>
    <t>17GE</t>
  </si>
  <si>
    <t>Lynx (set)</t>
  </si>
  <si>
    <t>281784-17YW</t>
  </si>
  <si>
    <t>Lynx 18</t>
  </si>
  <si>
    <t>281784-18AN</t>
  </si>
  <si>
    <t>18AN</t>
  </si>
  <si>
    <t>Lynx Tour Set 16</t>
  </si>
  <si>
    <t>281790-16GR</t>
  </si>
  <si>
    <t>Head представляет новую монофильную струну Lynx Tour, которая обеспечивает повышенный контроль и улучшенное вращение.
Благодаря шестигранной форме струна способствует лучшему зацепу мяча и точности траектории, особенно для игроков, предпочитающих широкие размашистые удары. Самое удивительное в этой струне — её способность передавать отличные игровые ощущения руке, что обычно сложно достичь для сополиэфирных материалов. Хотя она, вероятно, покажется слишком жёсткой и малоэластичной для тех, кто ещё не освоил технику тенниса, она полностью оправдает ожидания игроков с подготовленной рукой.
Наши эксперты, протестировавшие струну, отметили превосходное соотношение контроля, мощности и вращения, а также отличную способность долго сохранять натяжение.
В целом — превосходная струна, которую мы рекомендуем продвинутым игрокам, ищущим контроль и лёгкое достижение вращения.
· Диаметр: 1,30 мм
· Комплект: 12 м</t>
  </si>
  <si>
    <t>Lynx Tour 16</t>
  </si>
  <si>
    <t>281790-16OR</t>
  </si>
  <si>
    <t>16OR</t>
  </si>
  <si>
    <t>Kids Tour Backpack 14L BKWH</t>
  </si>
  <si>
    <t>260764-BKWH</t>
  </si>
  <si>
    <t>Теннисная сумка</t>
  </si>
  <si>
    <t>Веселый и функциональный, рюкзак KIDS TOUR BACKPACK 14L легкий и удобный, с новым цветовым оформлением и дизайном, вдохновлённым миром монстров, и он отлично сочетается с серией ракеток NOVAK Junior. Детям очень понравится этот рюкзак, который имеет заднее отделение для одной ракетки, основное отделение для одежды и обуви, а также передний карман на молнии для аксессуаров. Для оптимальной подгонки и комфорта плечевые ремни и нагрудная пряжка рюкзака идеально подходят для детей. Внутри рюкзака также есть бирка для имени.
Новый цвет и весёлый дизайн с монстрами
Основное отделение
Заднее отделение для одной ракетки
Передний карман на молнии для аксессуаров
Плечевые ремни рюкзака и нагрудная пряжка для детей
Бирка для имени внутри</t>
  </si>
  <si>
    <t>JR Tour Racquet Bag Monster</t>
  </si>
  <si>
    <t>260754-Monster</t>
  </si>
  <si>
    <t>Одно отделение для ракеток (до 26"), формы и обуви.
Внешний карман на молнии для аксессуаров.
Регулируемые ремни для переноски за спиной.
Ручки для вертикальной и горизонтальной переноски.
Материал: 100% Полиэстер</t>
  </si>
  <si>
    <t>Kids Tour Backpack 14L Monster</t>
  </si>
  <si>
    <t>260774-Monster</t>
  </si>
  <si>
    <t>Team Racquet Bag S BLBK</t>
  </si>
  <si>
    <t>262334-BLBK</t>
  </si>
  <si>
    <t>Перевозите до 3 ракеток и все остальные необходимые вещи в стильной, практичной и прочной сумке TEAM RACQUET BAG S BKCC с современным дизайном. В основном отделении найдётся место для трёх ракеток, а в двух внешних карманах для аксессуаров вы легко разместите мелкие предметы — например, телефон, ключи и кошелёк. Регулируемый и съёмный наплечный ремень позволяет удобно носить сумку как на корте, так и в дороге. В качестве примера стремления HEAD сокращать использование пластика можно привести бирку из переработанной бумаги, перевязанную шпагатом из конопли, а также упаковку сумки в новый пакет из переработанного пластика.
Основное отделение с местом для 3 ракеток
Новый современный дизайн
Два внешних кармана для аксессуаров
Регулируемый и съёмный наплечный ремень
Бирка изготовлена из переработанной бумаги и конопляного шпагата
Упакована в новый пакет из переработанного пластика</t>
  </si>
  <si>
    <t>Base Racquet Bag S NV</t>
  </si>
  <si>
    <t>261325-NV</t>
  </si>
  <si>
    <t>Функциональная сумка Head Base Racquet Bag S с 1 отделением и внешним карманом может вместить до 3 ракеток и все необходимые на корте принадлежности. Вы можете нести ее на одном плече или на спине, как рюкзак. Помимо остальных достоинств эта сумка легче других моделей аналогичного размера.</t>
  </si>
  <si>
    <t>Team Racquet Bag M BKCC</t>
  </si>
  <si>
    <t>262224-BKCC</t>
  </si>
  <si>
    <t>Теннисная сумка от Team в новом дизайне — то что нужно для поездки на корт. В аксессуар помещается до 6 ракеток и все вещи, которые могут понадобиться на тренировке. Предусмотрено 2 основных отделения и 2 кармана для аксессуаров, куда можно положить телефон, ключи и банковские карты. За счет трансформируемой системы переноски вы можете надеть сумку на плечо или за спину. Head заботится о сохранности окружающей среды, поэтому бирка изготовлена из переработанной бумаги и закреплена пеньковым шнуром, а сама сумка упаковывается в пакет из переработанных материалов. Выбирая эту модель, вы вносите свой вклад в сокращение количества пластиковых отходов. Объем 41 л.</t>
  </si>
  <si>
    <t>Team Racquet Bag L BLBK</t>
  </si>
  <si>
    <t>262314-BLBK</t>
  </si>
  <si>
    <t>Обновленная модель с новыми современными цветовыми решениями, сумка TEAM RACQUET BAG L BKCC обеспечивает современный стиль и при этом большой объем — в ней найдется место для 9 ракеток. Помимо двух основных отделений, в сумке предусмотрено два внешних кармана для аксессуаров, куда удобно положить мелкие необходимые предметы, такие как телефон, ключи и кошелек. Для дополнительного удобства во время пути на корт или поездки на матч в выходные дни предусмотрена двухрежимная система переноски: можно носить сумку как через плечо, так и за спиной как рюкзак. Чтобы показать, как HEAD стремится сократить использование пластика, бирка изготовлена из переработанной бумаги и перевязана шпагатом из конопли, а сама сумка упакована в новый пакет из переработанного пластика.
Современная, стильная и вместительная
Свежий дизайн
Место для 9 ракеток
Два отделения
Внешние карманы для аксессуаров
Двухрежимная система переноски: как рюкзак и наплечная сумка
Бирка изготовлена из переработанной бумаги и конопляного шпагата
Упакована в новый пакет из переработанного пластика</t>
  </si>
  <si>
    <t>Pro X Racquet Bag L</t>
  </si>
  <si>
    <t>260015-BK</t>
  </si>
  <si>
    <t>Сумка теннисная</t>
  </si>
  <si>
    <t>Роскошная теннисная сумка PRO X RACQUET BAG L, поддерживаемая Новаком Джоковичем и обновлённая новым дизайном и функциями, вмещает до девяти ракеток.
Роскошная теннисная сумка PRO X RACQUET BAG L разработана с тщательным вниманием к деталям и украшена подписью и логотипом Новака Джоковича — теннисной иконы, известной своей непоколебимой приверженностью совершенству. Так же, как и Джокович, компания HEAD продолжает расширять границы инноваций, и эта сумка не является исключением: она получила обновлённый, утончённый дизайн и усиленную конструкцию для повышенной стабильности и защиты, а также увеличенные внешние карманы. Обновление также включает новый плечевой ремень, благодаря которому сумку стало ещё удобнее переносить между матчами и тренировками. Она вмещает до 9 ракеток, размещаемых в одном из основных отделений, оснащённых технологией Climate Control CCT+, которая защищает их от экстремальных температур.
Благодаря отдельному центральному отделению и вентилируемому пространству для хранения одежды или обуви, сумка PRO X RACQUET BAG L позволяет с лёгкостью организовать все необходимые принадлежности. Два внешних кармана для аксессуаров и две внутренние сетчатые карманы обеспечивают порядок для каждой вещи. В знак приверженности HEAD принципам устойчивого развития, сумка комплектуется биркой из переработанной бумаги, закреплённой на пеньковой верёвке, и поставляется в упаковке из переработанного пластика.
· Новый премиальный дизайн из высококачественных материалов
· Усиленная конструкция для повышенной стабильности и защиты
· Увеличенные внешние карманы
· Новая ручка для переноски
· Вместимость до 9 ракеток
· Технология климат-контроля CCT+ защищает ракетки от экстремальных температур
· Бирка из переработанной бумаги, закреплённая на пеньковой верёвке</t>
  </si>
  <si>
    <t>Pro X Duffle Bag L</t>
  </si>
  <si>
    <t>260113-BK</t>
  </si>
  <si>
    <t>Вместительная и практичная сумка из коллекции, рекомендованной Александром Зверевым, дизайн которой напоминает серию ракеток Gravity. Может вместить до шести ракеток. Имеет просторное основное отделение, разделенное на две части внутренними органайзерами, застегивающимися на липучки. Одно отделение предназначено для хранения ракеток. Второе разделено на два отделения, в том числе одно с карманом для аксессуаров на молнии. Отдельный отсек для мокрой одежды или обуви. Боковой карман для аксессуаров закрывается на молнию. Вертикальная ручка и два удобных регулируемых ремня позволяют носить сумку с комфортом.</t>
  </si>
  <si>
    <t>Tour Racquet Bag S OR</t>
  </si>
  <si>
    <t>260326-OR</t>
  </si>
  <si>
    <t>Сумка для ракеток</t>
  </si>
  <si>
    <t>Tour Racquet Bag S PK</t>
  </si>
  <si>
    <t>260426-PK</t>
  </si>
  <si>
    <t>Tour Racquet Bag XL GE</t>
  </si>
  <si>
    <t>260506-GE</t>
  </si>
  <si>
    <t>Tour Racquet Bag L GE</t>
  </si>
  <si>
    <t>260516-GE</t>
  </si>
  <si>
    <t>Tour Racquet Bag S GE</t>
  </si>
  <si>
    <t>260526-GE</t>
  </si>
  <si>
    <t>Tour Racquet Bag L BL</t>
  </si>
  <si>
    <t>260616-BL</t>
  </si>
  <si>
    <t>Tour Racquet Bag S BL</t>
  </si>
  <si>
    <t>260626-BL</t>
  </si>
  <si>
    <t>Tour Racquet Bag S BKWH</t>
  </si>
  <si>
    <t>260644-BKWH</t>
  </si>
  <si>
    <t>Теннисная сумка Head Tour Racquet Bag S - шампанское/белый вельвет Стильная сумка, вмещающая три ракетки. Имеет одно основное отделение с внутренним органайзером. Внешний боковой карман для аксессуаров закрывается на молнию. Один регулируемый удобный плечевой ремень и складная ручка позволяют носить сумку в руке. Емкость: 29л.</t>
  </si>
  <si>
    <t>JR Tour Backpack 20L BKWH</t>
  </si>
  <si>
    <t>260744-BKWH</t>
  </si>
  <si>
    <t>Новый рюкзак JR TOUR BACKPACK 20L предназначен для юниоров, которые выросли из детских рюкзаков, но слишком малы для наших взрослых рюкзаков. Для идеальной посадки и комфорта сумка оснащена рюкзачными лямками и нагрудной пряжкой, предназначенными для юниоров, а другие особенности включают в себя бирку с именем внутри и светоотражающие логотипы для видимости в темное время суток.</t>
  </si>
  <si>
    <t>Kids Tour Backpack 14L Owl</t>
  </si>
  <si>
    <t>260784-Owl</t>
  </si>
  <si>
    <t>Tour Racquet Bag L</t>
  </si>
  <si>
    <t>260815-NV</t>
  </si>
  <si>
    <t>Теннисная сумка Head Tour Racquet Bag L. В обновленной цветовой версии, посвященной серии ракет Gravity 2025, сумка имеет новый дизайн и новое наполнение, обеспечивающее лучшую стабильность. Рассчитана на 9 ракеток.
Одно из двух просторных основных отделений оснащено технологией климат-контроля CCT+, которая защищает ваши ракетки от экстремальных температур. Организация ваших вещей проста в сумке, которая также поставляется с интегрированным отделением для обуви, внутренним карманом на молнии и внешним карманом на молнии для быстрого доступа. Благодаря системе переноски рюкзака и новым верхним ручкам у вас есть возможность носить TOUR RACQUET BAG L на плече или спине или в руке.</t>
  </si>
  <si>
    <t>Tour Backpack 25L FO</t>
  </si>
  <si>
    <t>260854-FO</t>
  </si>
  <si>
    <t>Tour Racquet Bag XL CCTE</t>
  </si>
  <si>
    <t>260914-CCTE</t>
  </si>
  <si>
    <t>Сумка Head Tour Racquet Bag XL с тремя большими отделениями, вмещающими до 12 ракеток, станет идеальной теннисной сумкой для тренировок.</t>
  </si>
  <si>
    <t>Tour Tote Bag 22L PU</t>
  </si>
  <si>
    <t>260926-PU</t>
  </si>
  <si>
    <t>Tour Racquet Bag S CCTE</t>
  </si>
  <si>
    <t>260944-CCTE</t>
  </si>
  <si>
    <t>Tour Backpack 25L CCTE</t>
  </si>
  <si>
    <t>260954-CCTE</t>
  </si>
  <si>
    <t>Base Racquet Bag M PK</t>
  </si>
  <si>
    <t>261016-PK</t>
  </si>
  <si>
    <t>Base Racquet Bag S PK</t>
  </si>
  <si>
    <t>261026-PK</t>
  </si>
  <si>
    <t>Base Racquet Bag L BK</t>
  </si>
  <si>
    <t>261205-BK</t>
  </si>
  <si>
    <t>Обновлённая по дизайну и выполненная с усиленной конструкцией, сумка Head Base L позволяет взять с собой до 9 ракеток, сменную экипировку и все самые необходимые аксессуары для матчей и турниров.
Особенности:
Три вместительных отделения для хранения ракеток без чехлов, экипировки и обуви
Внешний карман на молнии для мелких аксессуаров
Двойная мягко амортизирующая ручка для удобной переноски в руке
Мягкие регулируемые наплечные лямки для комфортного ношения как рюкзак
Дополнительная ручка сбоку
Нанесённый логотип Head
Размеры (Ш × В × Г): 76 × 32 × 34 см
Объём: 60 л</t>
  </si>
  <si>
    <t>Base Racquet Bag M BK</t>
  </si>
  <si>
    <t>261215-BK</t>
  </si>
  <si>
    <t>Теннисная сумка Head Base Racquet Bag M вмещает до 6 ракеток, комплект спортивной формы и необходимые аксессуары. Благодаря новой конструкции сумка сохраняет форму как при полной загрузке, так и будучи полупустой. Предназначенная для игроков среднего уровня и новичков сумка имеет 2 основных отделения, а также внешний карман для мелочей. Новые ручки-ремни позволяют носить ее с комфортом, в том числе на спине, как рюкзак.</t>
  </si>
  <si>
    <t>Base Racquet Bag S BK</t>
  </si>
  <si>
    <t>261225-BK</t>
  </si>
  <si>
    <t>Base Racquet Bag L NV</t>
  </si>
  <si>
    <t>261305-NV</t>
  </si>
  <si>
    <t>Tour Racquet Bag S PU</t>
  </si>
  <si>
    <t>262026-PU</t>
  </si>
  <si>
    <t>Team Racquet Bag L BKCC</t>
  </si>
  <si>
    <t>262214-BKCC</t>
  </si>
  <si>
    <t>Team Racquet Bag S BKCC</t>
  </si>
  <si>
    <t>262234-BKCC</t>
  </si>
  <si>
    <t>Team Racquet Bag M BLBK</t>
  </si>
  <si>
    <t>262324-BLBK</t>
  </si>
  <si>
    <t>Tour Team 9R</t>
  </si>
  <si>
    <t>283432-BKMI</t>
  </si>
  <si>
    <t>TOUR TEAM EXTREME 9R COMBI с новой цветовой гаммой, соответствующей новой серии ракеток HEAD EXTREME, имеет два отделения, в которые помещаются шесть ракеток. В одном из них установлена ​​технология климат-контроля CCT +, защищающая от экстремальных температур. Регулируемый по диагонали плечевой ремень обеспечивает гибкость в дороге, а внутренний сетчатый карман и внешний карман обеспечивают быстрый доступ ко всему, что вам нужно. В дополнение к новой расцветке, TOUR TEAM EXTREME 9R COMBI имеет современную форму и дизайн, которые идеально сочетаются с ракетками серии EXTREME. Регулируемый плечевой ремень. 2 основных отделения для 9 ракеток, одно с CCT +. 1 внутренний сетчатый карман. 1 внешний карман.</t>
  </si>
  <si>
    <t>Elite 9R</t>
  </si>
  <si>
    <t>283602-BLNV</t>
  </si>
  <si>
    <t>Теннисная сумка Head Elite x 9 Supercombi оснащена двумя отделениями, вмещающими до 9 ракеток без чехла.</t>
  </si>
  <si>
    <t>Tour Team 12R "TEAM HEAD"</t>
  </si>
  <si>
    <t>283802-BKOR</t>
  </si>
  <si>
    <t>75% полиэстер, 25% полиуретан</t>
  </si>
  <si>
    <t>CLUB 25 Jacket Men</t>
  </si>
  <si>
    <t>811745-ROWH</t>
  </si>
  <si>
    <t>Мужская куртка CLUB 25 JACKET со спортивной контрастной вставкой спереди предлагает первоклассный стиль для игры на корте и за его пределами. Эта куртка также сохранит ваше ощущение свежести благодаря высокоэффективной технологии Moisture Transfer Microfiber, которая обеспечивает охлаждающий эффект и помогает ткани быстро высыхать. Сетчатая подкладка внутри корпуса и рукавов добавляет вам комфорта, как и эластичная окантовка по нижнему краю, краям рукавов и воротнику. Улучшая спортивный вид, куртка имеет одностороннюю молнию SAB® с защитой подбородка по центру спереди и украшена культовым логотипом wilbone и брендингом HEAD.
Технологии:
- MXM (влагоотводящая микрофибра эффективно отводит лишнюю влагу от кожи)
Особенности: 
- односторонняя молния SAB® с защитой подбородка посередине спереди
- эластичная окантовка по низу, по краю рукавов и воротнику
- карманы для рук на молнии SAB®
- сетчатая подкладка внутри корпуса и рукавов
- контрастная вставка спереди</t>
  </si>
  <si>
    <t>PERFORMANCE Polo Shirt Men</t>
  </si>
  <si>
    <t>811005-NV</t>
  </si>
  <si>
    <t>Поло Head Performance Navy
Это стильная и функциональная футболка-поло созданная для будущих побед на корте!
Ключевые особенности:
Высокотехнологичный материал – изготовлена из 100% полиэстера, обеспечивающего максимальную свободу движений и комфорт во время игры.
Технология Body-Mapping – особая конструкция с вентиляционными зонами для оптимального воздухообмена.
Moisture Transfer Microfiber – инновационная ткань отводит влагу, сохраняя сухость и прохладу даже при интенсивных нагрузках.
Элегантный дизайн – классический темно-синий цвет (navy) подчеркнет ваш стиль и дополнит образ на корте.
Идеальный выбор для тех, кто стремится к совершенству в теннисе!</t>
  </si>
  <si>
    <t>SPIRIT Tank Top Girls</t>
  </si>
  <si>
    <t>816225-NV</t>
  </si>
  <si>
    <t>Майка</t>
  </si>
  <si>
    <t>Современный и спортивный вид сочетается с повышенным комфортом в SPIRIT Tank Top для девочек, которая сшита из 100% полиэстера interlock. Чтобы девочки чувствовали себя свежими на корте, высокоэффективная технология Moisture Transfer Microfiber обеспечивает охлаждающий эффект и помогает ткани быстро высыхать. Контрастные сетчатые вставки по бокам улучшают воздухопроницаемость, а также помогают девочкам чувствовать себя комфортно в майке с двумя разрезами спереди и двойным слоем спереди на груди и сзади. 
Технологии:
- MXM (влагоотводящая микрофибра эффективно отводит лишнюю влагу от кожи)
- технология Body-mapping для вентиляции зон тела
Особенности: 
- 100% полиэстер интерлок с влагоотводом
- rонтрастные сетчатые вставки по бокам для улучшения воздухопроницаемости
- верхняя часть груди спереди и сзади с двойным слоем
- два разреза спереди
- технология переноса влаги с помощью микроволокна
- дополнена фирменной символикой HEAD и культовым логотипом willbone
- спортивная, премиальная эстетика</t>
  </si>
  <si>
    <t>152</t>
  </si>
  <si>
    <t>164</t>
  </si>
  <si>
    <t>176</t>
  </si>
  <si>
    <t>816225-ZI</t>
  </si>
  <si>
    <t>SPIRIT II Tank Top Women</t>
  </si>
  <si>
    <t>814435-CE</t>
  </si>
  <si>
    <t>Основные характеристики:
• Посадка: облегающий крой;
• Материал: интерлок 100% полиэстер с отводящими влагу свойствами;
• Круглый вырез;
• Сублимационный принт на передней стороне.
Майка Head Spirit II Tank сочетает стильный внешний вид с обтекаемым, функциональным кроем. Эта майка из коллекции пэдела от Head создана для спортсменов, которые ценят облегающий силуэт и надёжную поддержку во время интенсивных нагрузок.
Женственный круглый вырез придаёт майке элегантный и спортивный вид. Сублимационный принт на передней стороне добавляет современный и динамичный акцент, а влагоотводящий материал обеспечивает сухость и комфорт даже в самых напряжённых матчах.</t>
  </si>
  <si>
    <t>814435-WH</t>
  </si>
  <si>
    <t>SLICE T-Shirt Men</t>
  </si>
  <si>
    <t>811215-CN</t>
  </si>
  <si>
    <t>SLICE T-Shirt Men сочетает в себе спортивный, динамичный стиль и современный спортивный комфорт. В то время как дизайн с цветными блоками придает этой футболке спортивный и современный вид, боковые сетчатые вставки улучшают воздухопроницаемость, поэтому вы всегда будете чувствовать себя свежими и комфортными во время жарких матчей. Бренд HEAD и легко узнаваемый логотип символизируют качество и подчеркивают спортивный премиальный вид.
Технологии:
- MXM (влагоотводящая микрофибра эффективно отводит лишнюю влагу от кожи)
- технология Body-mapping для вентиляции зон тела
Особенности: 
- 100% полиэстер интерлок с влагоотводом
- круглая горловина
- сетчатые вставки по бокам для улучшения воздухопроницаемости
- дизайн цветных блоков
- передача влаги с помощью микроволоконной технологии</t>
  </si>
  <si>
    <t>SPIRIT Tank Top Women</t>
  </si>
  <si>
    <t>814225-CE</t>
  </si>
  <si>
    <t>Динамичный и спортивный образ сочетается с современным комфортом в женской майке SPIRIT, выполненной из 100 % полиэстерового интерлока. Благодаря высокопроизводительной технологии отвода влаги Microfibre Moisture Transfer вы будете ощущать прохладу на корте: ткань быстро отводит влагу и быстро сохнет. Контрастные вставки из сетчатого материала по бокам обеспечивают повышенную воздухопроницаемость и позволяют чувствовать себя комфортно. Майка имеет два разреза спереди, а также двойной слой ткани в верхней части груди, спереди и сзади. Майка SPIRIT украшена брендом HEAD и знаковым логотипом Wishbone, что подчёркивает её спортивный стиль.
Интерлок 100 % полиэстер с отводящей влагу отделкой
Контрастные сетчатые вставки по бокам для лучшей воздухопроницаемости
Двойной слой ткани в верхней части груди, спереди и сзади
Два разреза спереди
Технология отвода влаги Microfibre Moisture Transfer</t>
  </si>
  <si>
    <t>814225-ZI</t>
  </si>
  <si>
    <t>CLUB 25 TECH T-Shirt Women</t>
  </si>
  <si>
    <t>814725-NV</t>
  </si>
  <si>
    <t>Благодаря дышащей и быстро сохнущей ткани, женская теннисная футболка Head Club 25 Tech Logo позволяет играть без ограничений, обеспечивая прохладу на всех этапах матча.
Характеристики:
Круглый вырез с внутренней окантовкой
Сетчатые вставки в стратегически важных зонах
Удлинённая спинка для большей прикрываемости
Форма нижнего края по фигуре
Логотип Head с принтом
Классический крой
Материал: 100 % полиэстер
Технология MXM (Moisture Transfer Microfibre)
Технология отводит пот на поверхность ткани, где он испаряется, обеспечивая мгновенный охлаждающий эффект и поддерживая кожу сухой даже в самых напряжённых матчах.</t>
  </si>
  <si>
    <t>814725-NVWH</t>
  </si>
  <si>
    <t>814725-WH</t>
  </si>
  <si>
    <t>SLICE T-Shirt Boys</t>
  </si>
  <si>
    <t>816215-NV</t>
  </si>
  <si>
    <t>Юниорская футболка Head Slice Orange
Яркий дизайн и передовые технологии в HEAD SLICE T-shirt созданы для юных чемпионов, которые ценят удобство и стиль на теннисном корте!
Основные особенности:
Спортивный дизайн – цветные блоки и фирменный логотип подчеркивают динамичный стиль
Дышащий материал – 100% полиэстер с технологией быстрого отведения влаги (Moisture Transfer Microfiber)
Улучшенная вентиляция – сетчатые вставки по бокам обеспечивают циркуляцию воздуха
Комфортная посадка – классический круглый вырез и мягкая ткань не ограничивают движения</t>
  </si>
  <si>
    <t>CLUB ORIGINAL T-Shirt Women</t>
  </si>
  <si>
    <t>814845-RO</t>
  </si>
  <si>
    <t>Женская футболка Head Club Original — идеальный выбор для того, чтобы с комфортом провести день в клубе. Благодаря исключительной мягкости, она обеспечивает длительный комфорт, а лёгкая и дышащая ткань сохраняет ощущение свежести и сухости.
Характеристики:
Футболочный вырез с внутренней окантовкой
Фигурный нижний край
Логотип Head с принтом
Классический крой
Материал: 57 % хлопок, 38 % полиэстер, 5 % эластан
Технология MXM (Moisture Transfer Microfibre)
Технология отводит пот на поверхность ткани, где он испаряется, обеспечивая мгновенный охлаждающий эффект и поддерживая кожу сухой даже в самых напряжённых матчах.</t>
  </si>
  <si>
    <t>57% полиэстер, 38% хлопок, 5% эластан (спандекс)</t>
  </si>
  <si>
    <t>CLUB 25 TECH Tank Top Women</t>
  </si>
  <si>
    <t>814735-NV</t>
  </si>
  <si>
    <t>Женская теннисная майка Head Club 25 Tech создана для игроков, стремящихся к высокой производительности во время матчей. Изготовлена с использованием дышащей технологии, которая сохраняет кожу сухой и свежей, что идеально подходит для самых напряжённых моментов на корте.
Характеристики:
Круглый вырез с внутренней окантовкой
Спинка-бандо (рэйсербэк) для большей свободы движений
Удлинённая спинка для дополнительной прикрываемости
Логотип Head с принтом
Классический крой
Материал: 100 % полиэстер
Технология MXM (Moisture Transfer Microfibre)
Технология отводит пот на поверхность ткани, где он испаряется, обеспечивая мгновенный охлаждающий эффект и поддерживая кожу сухой даже в самых интенсивных матчах.</t>
  </si>
  <si>
    <t>814735-RDWH</t>
  </si>
  <si>
    <t>814735-ROWH</t>
  </si>
  <si>
    <t>CLUB 25 Tech T-Shirt Girls</t>
  </si>
  <si>
    <t>816725-NV</t>
  </si>
  <si>
    <t>CLUB 25 Tech T-Shirt для девочек с контрастными вставка спереди дополняют спортивный, премиальный стиль. Футболка из 100% полиэстера интерлок с круглым вырезом отличается эффективным отводом влаги благодаря технологии микрофибры, что обеспечивает охлаждающий эффект и быстрое высыхание. Сетка улучшает воздухопроницаемость, поэтому девочкам всегда будет комфортно.</t>
  </si>
  <si>
    <t>CLUB 25 Tank Top Girls</t>
  </si>
  <si>
    <t>816735-NVWH</t>
  </si>
  <si>
    <t>Майка для девочки Head Club — идеальный спутник для будущих чемпионов: эластичная и дышащая, она повторяет каждое движение на корте и станет прекрасным выбором для интенсивных тренировок.
Характеристики:
Круглый вырез с внутренней окантовкой
Спинка-бандо (рэйсербэк) для большей свободы движений
Сетчатые вставки в стратегически важных зонах
Логотип Head с принтом
Классический крой
Материал: 100 % полиэстер</t>
  </si>
  <si>
    <t>816735-WH</t>
  </si>
  <si>
    <t>CLUB 25 Tech T-Shirt Boys</t>
  </si>
  <si>
    <t>816765-NV</t>
  </si>
  <si>
    <t>Контрастная вставка спереди дополняет премиальный спортивный стиль CLUB 25 Tech T-Shirt  для мальчиков с круглым вырезом, фирменной символикой HEAD и культовым логотипом Wishbone. Чтобы мальчики всегда чувствовали себя свежими, футболка оснащена технологией эффективного отвода влаги с помощью микрофибры, которая оказывает охлаждающий эффект и позволяет ткани быстро высыхать. Закрытая сетка по бокам и на рукавах обеспечивает улучшенную воздухопроницаемость.
Технологии:
- MXM (влагоотводящая микрофибра эффективно отводит лишнюю влагу от кожи)
- технология Body-mapping для вентиляции зон тела
Особенности: 
- 100% полиэстер интерлок с влагоотводом
- 100% полиэстер, закрытая сетка
- круглая горловина
- контрастная вставка спереди
- закрытая сетка по бокам и на рукавах для улучшения воздухопроницаемости
- передача влаги с помощью микроволоконной технологии
- премиальный спортивный стиль</t>
  </si>
  <si>
    <t>CLUB ORIGINAL T-Shirt Junior</t>
  </si>
  <si>
    <t>816785-BK</t>
  </si>
  <si>
    <t>Вашим юным чемпионам эта футболка Head Junior Club Original подойдёт не только для корта, но и для повседневной носки.
Мягкая, слегка тянущаяся ткань обеспечивает максимальный комфорт и свободу движений. Также используется технология MXM, которая эффективно отводит влагу во время физических нагрузок.
Что касается дизайна, однотонный цвет и логотип Head прекрасно дополнят их повседневный образ.</t>
  </si>
  <si>
    <t>814845-WH</t>
  </si>
  <si>
    <t>816215-CN</t>
  </si>
  <si>
    <t>TOPSPIN T-Shirt Boys</t>
  </si>
  <si>
    <t>816046-NVXV</t>
  </si>
  <si>
    <t>Футболка  Head Junior Garçon Topsin  предназначена для вашего ребенка. Благодаря тому, что эта футболка сделана из полиэстера, она обеспечивает превосходную  свободу движения . Более того, эта ткань будет  оптимальным выбором  для того, чтобы сделать портьеру. Благодаря технологии Moisture Transfer Microfiber, она ускоряет процесс ухода за садом и требует долгих усилий.</t>
  </si>
  <si>
    <t>CLUB 25 TECH T-Shirt Men</t>
  </si>
  <si>
    <t>811725-NV</t>
  </si>
  <si>
    <t>Контрастная вставка спереди дополняет спортивный, премиальный стиль CLUB 25 TECH T-Shirt Men с круглым вырезом, отделкой HEAD и культовым логотипом Wishbone. Чтобы помочь вам оставаться свежими, высокоэффективная технология Moisture Transfer Microfiber беспечивает охлаждающий эффект и помогает ткани быстро высыхать, а закрытая сетка по бокам и на рукавах для улучшенной воздухопроницаемости.
Технологии:
- MXM (влагоотводящая микрофибра эффективно отводит лишнюю влагу от кожи)
- технология Body-mapping для вентиляции зон тела
Особенности: 
- 100% полиэстер интерлок с влагоотводом
- 100% полиэстер, закрытая сетка
- круглый вырез горловины
- контрастная вставка спереди
- закрытая сетка по бокам и на рукавах для улучшения воздухопроницаемости
- технология переноса влаги с помощью микроволокна</t>
  </si>
  <si>
    <t>811725-WH</t>
  </si>
  <si>
    <t>SLICE II T-Shirt Men</t>
  </si>
  <si>
    <t>811265-TE</t>
  </si>
  <si>
    <t>Чтобы вы всегда чувствовали себя свежими, свободная SLICE II T-Shirt для мужчин отличается мощным отводом влаги благодаря технологии микрофибры, которая обеспечивает охлаждающий эффект и быстрое высыхание. Футболка с круглым вырезом, выполненная из 100% полиэстеровой ткани интерлок, украшена культовым логотипом HEAD Wishbone, дополняющим современный спортивный образ.
Технологии:
- MXM (влагоотводящая микрофибра эффективно отводит лишнюю влагу от кожи)
- технология Body-mapping для вентиляции зон тела
Особенности: 
- 100% полиэстер интерлок с влагоотводом
- круглая горловина
- свободный крой
- передача влаги с помощью микроволоконной технологии</t>
  </si>
  <si>
    <t>CLUB 22 Tech T-Shirt W</t>
  </si>
  <si>
    <t>814431-WHDB</t>
  </si>
  <si>
    <t>Когда матч или тренировка начнет накаляться, вы оцените, как мужская футболка CLUB 22 Tech изготовлена с использованием технологии Moisture Transfer Microfiber, которая обеспечивает охлаждающий эффект и позволяет материалу быстро сохнуть.</t>
  </si>
  <si>
    <t>92% полиэстер, 8% эластан</t>
  </si>
  <si>
    <t>CLUB 25 TECH Polo Shirt Men</t>
  </si>
  <si>
    <t>811715-NV</t>
  </si>
  <si>
    <t>Спортивный, премиальный стиль сочетается с повышенным комфортом в мужской рубашке-поло CLUB 25 TECH, изготовленной с использованием высокоэффективной технологии охлаждения.
Технологии:
- MXM (влагоотводящая микрофибра эффективно отводит лишнюю влагу от кожи)
- технология Body-mapping для вентиляции зон тела
Особенности: 
- плоский вязаный воротник в рубчик
- планка на 3 пуговицах с фирменными пуговицами HEAD
- контрастная вставка спереди
- закрытая сетка сбоку и на рукавах для улучшенной воздухопроницаемости</t>
  </si>
  <si>
    <t>CLUB ORIGINAL T-Shirt Men</t>
  </si>
  <si>
    <t>811855-NV</t>
  </si>
  <si>
    <t>Футболка от Head — оптимальное дополнение вашей экипировки для тренировок.
ОТВЕДЕНИЕ ВЛАГИ
Изготовлена из ткани с технологией MXM, которая эффективно отводит излишки влаги от тела и быстро высыхает. За счет этого создается охлаждающий эффект.
КОМФОРТНАЯ ПОСАДКА
Модель прямого кроя не сковывает движения. Чувствуйте себя естественно и свободно во время игры.
MXM
Влагоотводящий материал HEAD Sportswear MXM разработан для изготовления соревновательной экипировки и одежды, рассчитанной на интенсивные тренировки. Тонкие полиэфирные волокна эффективно отводят влагу на поверхность ткани, где она быстро испаряется.</t>
  </si>
  <si>
    <t>CARL T-Shirt Men</t>
  </si>
  <si>
    <t>811395-NV</t>
  </si>
  <si>
    <t>Сшитая из технической смеси полиэстера, хлопка и эластана, мужская футболка CARL T-SHIRT поможет вам оставаться свежими и свободно двигаться. Для дополнительного комфорта высокоэффективная технология Moisture Transfer Microfiber обеспечивает охлаждающий эффект и помогает ткани быстро высыхать. На площадке или за ее пределами вы будете выглядеть и чувствовать себя хорошо в футболке с ребристым круглым вырезом, на которой спереди расположен большой принт культового логотипа HEAD в виде дуги, а также брендинг HEAD спереди и сзади. Футболка CARL T-SHIRT дополнена лейблом в виде дугина левом рукаве.
Технологии:
- MXM (влагоотводящая микрофибра эффективно отводит лишнюю влагу от кожи)
- технология Body-mapping для вентиляции зон тела
Особенности: 
- воротник с круглым вырезом в рубчик
- техническая смесь полиэстера и хлопка для повышенной влажности
- поглощающие свойства
- печать на передней панели
- ярлык-флажок WISHBONE на левом рукаве.</t>
  </si>
  <si>
    <t>811395-TE</t>
  </si>
  <si>
    <t>814431-WH</t>
  </si>
  <si>
    <t>MOVE Tank Top Women</t>
  </si>
  <si>
    <t>814256-LB</t>
  </si>
  <si>
    <t>Поворотная вставка на спинке придаёт женскому топу MOVE динамичный акцент. Изготовлен из суперэластичной ткани с дизайном спинки-борцовки для свободы движений и стиля.
Раскройте движение и стиль с женским топом MOVE. Это премиальное изделие из коллекции Vision впечатляет уникальной поворотной вставкой на спинке, которая добавляет женственную, динамичную нотку. Изготовленный из суперэластичной смеси полиэстера и эластана, он легко следует за вашими движениями. Дизайн со спинкой-борцовкой улучшает мобильность, а технология HEAD Moisture Transfer Microfiber (MXM) сохраняет вас прохладной и сухой. Завершают образ круглый вырез и культовое лого HEAD Wishbone.</t>
  </si>
  <si>
    <t>816036-ABWH</t>
  </si>
  <si>
    <t>Круглый вырез горловины
Фирменная лента HEAD на воротнике
Втачный рукав
Цветовые блоки
Сетчатая вставка на боковой панели и рукаве</t>
  </si>
  <si>
    <t>814226-APLB</t>
  </si>
  <si>
    <t>Женская майка HEAD Spirit предлагает динамичное сочетание стиля и функциональности для любой спортсменки. Являясь частью коллекции Vision от HEAD, эта майка излучает современный и спортивный образ. Круглый вырез обеспечивает классический вид и одновременно свободу движений во время интенсивных тренировок. Синий цвет придаёт свежий и энергичный вид, идеально подходящий для различных спортивных задач.
Эта майка разработана с вниманием к деталям и функциональности, что делает её отличным выбором для спортсменок, ценящих комфорт и стиль. Коллекция Vision от HEAD известна своими инновационными дизайнерскими решениями, обеспечивающими баланс между производительностью и эстетикой. В этой майке вы почувствуете себя готовой к любым спортивным вызовам, наслаждаясь максимальным комфортом и свободой движений.</t>
  </si>
  <si>
    <t>TOPSPIN T-Shirt Men</t>
  </si>
  <si>
    <t>811136-ROXV</t>
  </si>
  <si>
    <t>Мужская футболка TOPSPIN сочетает в себе яркий, смелый дизайн с современной производительностью.
Сетчатая спинка улучшает воздухопроницаемость, а технология Moisture Transfer Microfiber обеспечивает охлаждающий эффект и быстрое высыхание ткани.
Боковые разрезы позволяют свободно перемещаться по корту.
Стиль дополняют ребристый круглый вырез, брендовое шейное лого HEAD и логотип Wishbone.
Брендовое шейное лого HEAD
Рукава реглан
Сетчатая спинка для улучшенной воздухопроницаемости
Технология Moisture Transfer Microfiber</t>
  </si>
  <si>
    <t>белый/розовый/синий</t>
  </si>
  <si>
    <t>TIE-BREAK T-Shirt Women</t>
  </si>
  <si>
    <t>814206-APLB</t>
  </si>
  <si>
    <t>Женская теннисная футболка TIE-BREAK обновлена динамичным асимметричным колор-блокингом, имеет современный женственный силуэт и оснащена технологией охлаждения для интенсивных матчей.
Женская теннисная футболка TIE-BREAK сочетает в себе динамичный образ коллекции VISION с производительностью, всегда готовой к выходу на корт. Новый асимметричный дизайн колор-блокинга и контрастные канты на жаккардовой двойной трикотажной кокетке придают ей спортивный, современный вид. Футболка оснащена передовой технологией охлаждения от HEAD, которая отводит влагу и обеспечивает быстрое высыхание ткани, чтобы вы всегда оставались прохладными. Завершают образ женственный круглый вырез и культовое лого HEAD Wishbone — стильный выбор для любой теннисистки.</t>
  </si>
  <si>
    <t>814206-LBWH</t>
  </si>
  <si>
    <t>811136-NVXV</t>
  </si>
  <si>
    <t>BLUR T-Shirt Men</t>
  </si>
  <si>
    <t>811146-ROXU</t>
  </si>
  <si>
    <t>Яркие, размытые цвета придают мужской футболке BLUR её живой, современный стиль. Изготовленная с применением технологии MXM, она сохраняет вас свежими и сухими даже при интенсивных нагрузках.
Обновите свой образ на корте с мужской футболкой BLUR. Являясь частью выразительной коллекции Vision, эта футболка впечатляет уникальным сублимационным принтом с яркими, размытыми цветами, передающими энергию и динамику игры. Изготовленная из высококачественного полиэстера интерлок, она обеспечивает долговечность и комфорт. Технология HEAD Moisture Transfer Microfiber (MXM) способствует быстрому испарению влаги для охлаждающего эффекта. Завершают образ классический круглый вырез, втавные рукава и культовое лого HEAD Wishbone.</t>
  </si>
  <si>
    <t>белый/синий/красный</t>
  </si>
  <si>
    <t>811215-NV</t>
  </si>
  <si>
    <t>811395-WH</t>
  </si>
  <si>
    <t>814431-DB</t>
  </si>
  <si>
    <t>PRO Tank Top Women</t>
  </si>
  <si>
    <t>814516-WH</t>
  </si>
  <si>
    <t>Являясь частью коллекции Performance, которая сочетает инновации с функциональностью и стилем, новый женский топ PRO предлагает спортивный, женственный и выразительный образ. В этом премиальном топе выступают профессиональные спортсменки HEAD; он доступен в различных вариантах дизайна, включая модель с динамичными разноцветными полосами, а также более минималистичные варианты. Сшитый из дышащей жаккардовой ткани, этот топ оснащён технологией вентиляционных зон, обеспечивающих приятный охлаждающий эффект. Чтобы вы чувствовали себя свежо и показывали свою лучшую игру в теннис, технология Moisture Transfer Microfiber способствует быстрому высыханию ткани. Круглый вырез и брендовая шейная лента HEAD дополняют премиальный и спортивный вид топа.
Инженерный жаккард из 100% полиэстера с влагоотводящими свойствами
Круглый вырез
Брендовая шейная лента HEAD
Плечевой шов, смещённый вперёд
Принт Wishbone на передней панели
Сублимационный принт на передней панели
Технология Moisture Transfer Microfiber
Технология боди-маппинга для вентиляции зон тела</t>
  </si>
  <si>
    <t>814845-BK</t>
  </si>
  <si>
    <t>816046-ROXV</t>
  </si>
  <si>
    <t>синий/розовый/белый</t>
  </si>
  <si>
    <t>CLUB ANN Shorts G</t>
  </si>
  <si>
    <t>816499-MA</t>
  </si>
  <si>
    <t>На поле, на пляже или в торговом центре - каковы бы ни были ваши планы, шорты Club Ann подойдут на все случаи жизни. Они имеют боковые карманы, эластичный пояс и шнурок для дополнительного комфорта.</t>
  </si>
  <si>
    <t>60% хлопок 40% полиэстер</t>
  </si>
  <si>
    <t>CLUB Shorts W</t>
  </si>
  <si>
    <t>814379-RO</t>
  </si>
  <si>
    <t>Эти шорты созданы для следующего турнира. Клубные шорты обеспечивают ожидаемый комфорт, а воздухопроницаемый материал позволяет чувствовать себя круто на корте. Шорты доступны в семи различных цветах, имеют карманы для рук и эластичный пояс, что гарантирует комфорт во время следующего турнира.</t>
  </si>
  <si>
    <t>DYNAMIC Shorts Women</t>
  </si>
  <si>
    <t>814305-CE</t>
  </si>
  <si>
    <t>Спортивные и женственные шорты DYNAMIC SHORTS, изготовленные из современной ткани с 4-сторонним растяжением, предназначены для неограниченных движений на корте. Благодаря эластичному высокому поясу с регулировкой шнурком вы можете настроить посадку и комфорт. Чтобы вы чувствовали себя свежими, эти шорты оснащены высокоэффективной технологией Moisture Transfer Microfiber, которая обеспечивает охлаждающий эффект и помогает ткани быстро высыхать. Эти шорты с кроем и пошивом имеют небольшие разрезы и вставные карманы, а также украшены фирменной символикой HEAD и культовым логотипом Wishbone, которые дополняют спортивный образ.
Технологии:
- MXM (влагоотводящая микрофибра эффективно отводит лишнюю влагу от кожи)
Особенности: 
- высокий пояс
- эластичный пояс с регулировкой шнура
- карманы для рук
- маленькие разрезы
- дизайн cut &amp; sewn</t>
  </si>
  <si>
    <t>86% полиэстер, 14% эластан</t>
  </si>
  <si>
    <t>814305-NV</t>
  </si>
  <si>
    <t>814305-WH</t>
  </si>
  <si>
    <t>814305-ZI</t>
  </si>
  <si>
    <t>PLAY Shorts Men</t>
  </si>
  <si>
    <t>811125-WH</t>
  </si>
  <si>
    <t>Шорты Head Performance Play Navy
Покажите лучшую игру в HEAD Perf Play Athlete Shorts – идеальных шортах для комфорта и свободы движений на теннисном корте!
Ключевые преимущества:
Лёгкая дышащая ткань – обеспечивает максимальный комфорт и неограниченную свободу движений
Технология Moisture Transfer Microfiber – эффективное отведение влаги для ощущения сухости даже при интенсивных нагрузках
Удобная посадка – эластичный пояс со шнурком позволяет идеально подогнать по фигуре
Практичность – 2 боковых кармана для теннисных мячей
Универсальный дизайн – лаконичная однотонная модель, которая гармонично дополнит вашу теннисную экипировку
Почему это ваш идеальный выбор?
Оптимальная вентиляция и терморегуляция во время матча
Полная свобода движений для мощных ударов и резких рывков
Стильный минималистичный внешний вид для корта и повседневной носки
Дополните свой спортивный гардероб технологичными шортами, созданными для победных результатов!</t>
  </si>
  <si>
    <t>86% полиэстер, 14% эластан (спандекс)</t>
  </si>
  <si>
    <t>CLUB Bermudas M</t>
  </si>
  <si>
    <t>811389-RD</t>
  </si>
  <si>
    <t>Эти длинные шорты изготовлены из удобного и дышащего материала. Модель имеет карманы для рук и растягивающийся пояс, что гарантирует дополнительный комфорт. Club Bermudas доступны в семи цветах и ​​станут отличным дополнением к вашей экипировке на клубных соревнованиях.</t>
  </si>
  <si>
    <t>811389-WH</t>
  </si>
  <si>
    <t>CLUB Bermudas B</t>
  </si>
  <si>
    <t>816349-RD</t>
  </si>
  <si>
    <t>816499-DB</t>
  </si>
  <si>
    <t>PLAY Shorts Women</t>
  </si>
  <si>
    <t>814874-NV</t>
  </si>
  <si>
    <t>Женские шорты PLAY, ключевой элемент коллекции Play для тенниса и падел, сочетают в себе спортивный, современный стиль с повышенным комфортом и производительностью. Эти шорты, изготовленные из современной смеси полиэстера и эластана, растягиваются в четырех направлениях и имеют боковые разрезы, позволят вам свободно и легко передвигаться по корту. Для индивидуального комфорта шорты имеют высокий эластичный пояс со шнурком, который позволяет быстро и легко вносить изменения в середине матча для идеальной посадки. Технология Moisture Transfer Microfiber поможет вам сохранить свежесть и комфорт на корте.
Технологии:
- MXM (влагоотводящая микрофибра эффективно отводит лишнюю влагу от кожи)
Особенности: 
- высокий эластичный пояс с регулировкой на шнурке
- карманы для рук
- боковые разрезы
- отвод влаги благодаря технологии микрофибры
- обеспечивающей охлаждающий и быстросохнущий эффект</t>
  </si>
  <si>
    <t>816499-BK</t>
  </si>
  <si>
    <t>CLUB ORIGINAL Bermudas Boys</t>
  </si>
  <si>
    <t>816795-BK</t>
  </si>
  <si>
    <t>Шорты для мальчика Head Club Original 7" — идеальный выбор для каждого юного игрока, ценящего комфорт и практичность. Изготовленные из мягкого хлопкового смесового материала, они обеспечивают приятное ощущение свежести на коже и отлично подходят для отдыха после самых напряжённых матчей.
Характеристики:
Резинка на талии с регулируемым внешним шнурком
Два боковых кармана без застёжки
Длина по внутреннему шву: 18 см
Логотип Head с принтом
Классический крой
Материал: 60 % хлопок, 40 % полиэстер</t>
  </si>
  <si>
    <t>CLUB Shorts M</t>
  </si>
  <si>
    <t>811379-RD</t>
  </si>
  <si>
    <t>811379-RO</t>
  </si>
  <si>
    <t>811379-WH</t>
  </si>
  <si>
    <t>CLUB Shorts Women</t>
  </si>
  <si>
    <t>814379-AN</t>
  </si>
  <si>
    <t>PERFORMANCE Shorts Men</t>
  </si>
  <si>
    <t>811504-NV</t>
  </si>
  <si>
    <t>Мужские шорты PERFORMANCE, разработанные при участии профессиональных теннисистов, изготовлены из современной смеси полиэстера и эластана, растягивающихся в четырех направлениях. Сочетание этой ткани и специальной прорези спереди гарантирует, что вы сможете свободно двигаться при каждом ударе. Для индивидуального комфорта эластичный пояс оснащен кулиской, позволяющей отрегулировать оптимальную посадку, а контрастная полоска подчеркивает спортивный премиальный образ. 
Технологии:
- MXM (влагоотводящая микрофибра эффективно отводит лишнюю влагу от кожи)
Особенности: 
- разработанные при участии профессиональных теннисистов
- 86 % полиэстер, 14 % эластан, тянется в четырех направлениях
- эластичный пояс с контрастной полосой и регулируемым шнурком
- специальный дизайн разрезов спереди для идеальной свободы движений
- карманы со специальной прорезью для увеличения объема карманов
- отвод влаги благодаря технологии микрофибры
- обеспечивающей охлаждающий и быстросохнущий эффект
- внутренний шорты</t>
  </si>
  <si>
    <t>814379-WH</t>
  </si>
  <si>
    <t>CLUB Shorts Men</t>
  </si>
  <si>
    <t>811379-BK</t>
  </si>
  <si>
    <t>811389-BK</t>
  </si>
  <si>
    <t>CLUB Bermudas Men</t>
  </si>
  <si>
    <t>811389-NV</t>
  </si>
  <si>
    <t>811389-RO</t>
  </si>
  <si>
    <t>814306-APLB</t>
  </si>
  <si>
    <t>Женские шорты DYNAMIC сочетают в себе женственный стиль и динамичную производительность. Изготовленные из ткани с растяжением в 4 направлениями с жаккардовыми вставками, они оснащены эластичным поясом и боковыми разрезами.
Наслаждайтесь свободой движений и свежим стилем с женскими шортами DYNAMIC. Являясь частью коллекции Vision, эти шорты изготовлены из современной тканой ткани с растяжением в 4 направлениях, что позволяет быстро реагировать на корте. Они оснащены уникальной передней вставкой из жаккардового двойного трикотажа для дополнительной фактуры и стиля. Высокий эластичный пояс со внутренним шнурком-утяжкой обеспечивает индивидуальную посадку, а боковые разрезы улучшают мобильность. Технология HEAD Moisture Transfer Microfiber (MXM) сохраняет вас прохладной и комфортной.</t>
  </si>
  <si>
    <t>814379-BK</t>
  </si>
  <si>
    <t>CLUB ANN Shorts W</t>
  </si>
  <si>
    <t>814439-DB</t>
  </si>
  <si>
    <t>На поле, на пляже или в торговом центре - каковы бы ни были ваши планы, шорты Club Ann подойдут на все случаи жизни. Они имеют боковые карманы, эластичный регулируемый пояс и шнурок для дополнительного комфорта.</t>
  </si>
  <si>
    <t>VISION Shorts Junior</t>
  </si>
  <si>
    <t>816086-AB</t>
  </si>
  <si>
    <t>Шорты VISION сочетают в себе высококачественный материал с растяжением в 4 направлениями и передовую технологию охлаждения для неограниченной свободы движений и комфорта на корте.
Специально разработанные для амбициозных юниоров, шорты VISION дарят свободу преследовать каждый мяч. Изготовленные из высококачественного тканого полиэстера с растяжением в 4 направлениями, они идеально облегают тело во время спринтов и скольжений. Технология HEAD Moisture Transfer Microfiber (MXM) обеспечивает быстрое высыхание и помогает юным игрокам оставаться свежими. Эластичный пояс со шнурком-утяжкой обеспечивает надёжную индивидуальную посадку, а прорезные карманы предлагают практичные варианты для хранения мелочей.</t>
  </si>
  <si>
    <t>816349-BK</t>
  </si>
  <si>
    <t>816349-RO</t>
  </si>
  <si>
    <t>DYNAMIC Skort Women</t>
  </si>
  <si>
    <t>814285-WH</t>
  </si>
  <si>
    <t>Юбка для тенниса Head Dynamic Pro идеально подходит для игроков, которые ищут оптимальный баланс между свободой движений и ощущением свежести. Лёгкая ткань юбки обеспечивает постоянную вентиляцию, а эластичность встроенных шорт позволяет легко совершать быстрые рывки.
Характеристики:
Резинка на талии с регулируемым внутренним шнурком
Разрезы спереди
Встроенные шорты
Длина внутреннего шва шорт: 12 см
Логотип Head с принтом
Классический крой
Материал: 100 % полиэстер
Технология MXM (Moisture Transfer Microfibre)
Технология отводит пот на поверхность ткани, где он быстро испаряется, обеспечивая мгновенный охлаждающий эффект и поддерживая сухость кожи даже в самых напряжённых матчах.</t>
  </si>
  <si>
    <t>основная ткань: 100% полиэстер, эластичный в четырех направлениях и впитывающий влагу¶- 2-я ткань: 85% полиэстер 15% эластан (спандекс)</t>
  </si>
  <si>
    <t>PLAY Tech Dress Women</t>
  </si>
  <si>
    <t>814145-SW</t>
  </si>
  <si>
    <t>Платье Head Play Navy
Сочетание высоких технологий и элегантного дизайна в этом платье для тенниса обеспечит вам комфорт и стиль на корте.
Модель выполнена в современном темно-синем цвете, подчеркивающем женственность и спортивную динамику.
Ключевые особенности:
Дышащая ткань с технологией Moisture Transfer Microfiber – эффективно отводит влагу, сохраняя ощущение сухости
Сетчатые вставки на плечах и спине – улучшенная вентиляция в зонах повышенного потоотделения
Удобный крой с "пловцовской" спинкой – обеспечивает идеальную поддержку во время активной игры
Шортики в комплекте – для дополнительного комфорта и свободы движений
Современный темно-синий цвет – элегантное решение для теннисного образа
Идеальный выбор для требовательных теннисисток, ценящих сочетание передовых технологий и стильного дизайна.
Платье обеспечит комфорт на протяжении всей игры, позволяя полностью сосредоточиться на результате.</t>
  </si>
  <si>
    <t>CLUB 25 Dress Women</t>
  </si>
  <si>
    <t>814745-WH</t>
  </si>
  <si>
    <t>Теннисное платье Head Club 25 идеально подходит для игроков, которые ценят комфорт и свободу движений во время самых напряжённых матчей. Изготовленное из эластичной и дышащей технической ткани, оно эффективно отводит пот от кожи, обеспечивая ощущение свежести и сухости.
Характеристики:
Круглый вырез с внутренней окантовкой
Широкие проймы
Спинка-бандо (рэйсербэк) для большей свободы движений
Сетчатые вставки по бокам
Встроенные шорты
Длина внутреннего шва шорт: 12 см
Логотип Head с принтом
Классический крой
Материал: 85 % полиэстер, 15 % эластан
Технология MXM (Moisture Transfer Microfibre)
Технология отводит пот на поверхность ткани, где он испаряется, обеспечивая мгновенный охлаждающий эффект и поддерживая кожу сухой даже в самых интенсивных матчах.</t>
  </si>
  <si>
    <t>основная ткань: 85% полиэстер 15% эластан(спандекс) с впитыванием влаги¶- 2-я ткань: 100% полиэстер</t>
  </si>
  <si>
    <t>MOVE Skort Women</t>
  </si>
  <si>
    <t>814295-WH</t>
  </si>
  <si>
    <t>Женская модель MOVE SKORT сочетает в себе спортивный, женственный и высококачественный стиль с чрезвычайной эластичностью, комфортом и передовой технологией охлаждения. Эта юбка-шорты изготовлена ​​из современной смеси полиэстера и эластана и тянется вместе с вашими движениями. Когда матч становится жарче, мощный отвод влаги, обеспечиваемый технологией микрофибры, обеспечивает охлаждающий эффект и позволяет ткани быстро высыхать, а высокий пояс с эластичной внутренней частью обеспечивает дополнительный комфорт.
Технологии:
- MXM (влагоотводящая микрофибра эффективно отводит лишнюю влагу от кожи)
Особенности: 
- 85% полиэстер 15% эластан одинарный трикотаж с влагоотводом
- высокий пояс с резинкой внутри
- передняя и задняя кокетка
- встроенные внутренние шорты
- передача влаги с помощью микроволоконной технологии</t>
  </si>
  <si>
    <t>85% полиэстер, 15% эластан (спандекс)</t>
  </si>
  <si>
    <t>814745-NV</t>
  </si>
  <si>
    <t>основная ткань: 85% полиэстер, 15% эластан(спандекс) с впитыванием влаги¶- 2-я ткань: 100% полиэстер</t>
  </si>
  <si>
    <t>814286-LBWH</t>
  </si>
  <si>
    <t>Свежая интерпретация с асимметричным дизайном колор-блок предлагает женский скорт DYNAMIC ткань с растяжением в 4 направлениях. Высокая посадка и интегрированные шорты для комфорта.
Добавьте яркие акценты в свою игру с женским скортом DYNAMIC. Свежий дизайн с асимметричным колор-блоком делает этот скорт жемчужиной коллекции Vision. Он изготовлен из высококачественной тканой ткани с растяжением в 4 направлениях, которая обеспечивает свободу движений при выпадах и поворотах. Высокий эластичный пояс обеспечивает надёжную и удобную посадку, а интегрированные внутренние шорты гарантируют необходимую защиту. Технология HEAD Moisture Transfer Microfiber (MXM) помогает ткани быстро высыхать и сохраняет вас прохладной.</t>
  </si>
  <si>
    <t>голубой/белый</t>
  </si>
  <si>
    <t>основная ткань: 100% полиэстер, эластичный в четырех направлениях и впитывающий влагу - 2-я ткань: 85% полиэстер 15% эластан (спандекс)</t>
  </si>
  <si>
    <t>PRO Skort Women</t>
  </si>
  <si>
    <t>814526-WH</t>
  </si>
  <si>
    <t>Женский скорт PRO обеспечивает элитную мобильность благодаря ткани с растяжением в 4 направлениями и боковым разрезам. Востребован профессиональными спортсменками HEAD, оснащён интегрированными внутренними шортами и удобной высокой посадкой.
Двигайтесь свободно по корту в женском скорте PRO. Разработанный для игры на высочайшем уровне и используемый топовыми спортсменками HEAD, этот скорт изготовлен из высокопроизводительной смеси полиэстера и эластана с растяжением в 4 направлениями и боковым разрезом на передней панели, который расширяет диапазон ваших движений. Высокий эластичный пояс обеспечивает поддерживающую, комфортную посадку, а интегрированные внутренние шорты гарантируют защиту и уверенность. Благодаря технологии HEAD Moisture Transfer Microfiber (MXM) ткань сохраняет вас прохладной и сухой.</t>
  </si>
  <si>
    <t>814526-AP</t>
  </si>
  <si>
    <t>PERFORMANCE Skort Women</t>
  </si>
  <si>
    <t>814035-NV</t>
  </si>
  <si>
    <t>Женская модель PERFORMANCE SKORT сочетает в себе спортивный женственный стиль с чрезвычайной эластичностью, комфортом и передовой технологией охлаждения. Эта юбка-шорты, входящая в коллекцию одежды для спортсменов команды HEAD, изготовлена ​​из современной, чрезвычайно эластичной смеси полиэстера и эластана, обеспечивающей полную свободу движений. Юбка-шорты с высоким эластичным поясом обеспечивает комфорт за счет эффективного отвода влаги благодаря технологии микрофибры.
Технологии:
- MXM (влагоотводящая микрофибра эффективно отводит лишнюю влагу от кожи)
Особенности: 
- 75% полиэстер 25% эластан интерлок с влагоотводом
- высокий пояс с резинкой внутри
- складки спереди и сзади
- встроенные внутренние шорты
- передача влаги с помощью микроволоконной технологии
- обеспечивающей охлаждающий и быстросохнущий эффект</t>
  </si>
  <si>
    <t>814285-CE</t>
  </si>
  <si>
    <t>CLUB Basic Skort Long W</t>
  </si>
  <si>
    <t>814539-WH</t>
  </si>
  <si>
    <t>Если вам нужна длина, то вам подойдет Club Basic Skort Long. Модель примерно на семь сантиметров длиннее, чем наша Club Basic Skort, и предлагает идеальное сочетание комфорта и стиля в трех разных цветах. Специальная смесь материалов обеспечивает ощущение сухости и комфорта. Боковые разрезы гарантируют свободу движений, высокий пояс и внутренние шорты обеспечивают дополнительный комфорт.</t>
  </si>
  <si>
    <t>814745-RDWH</t>
  </si>
  <si>
    <t>Anta</t>
  </si>
  <si>
    <t>Boot</t>
  </si>
  <si>
    <t>S2538801-1</t>
  </si>
  <si>
    <t>Ботинки Anta из искуственной кожи и прочного непромокаемого текстиля, подкладка из искусственного меха, байковая стелька. Промежуточная подошва из ЭВА амортизирует ударную нагрузку. Анатомическое строение колодки обеспечивает комфорт во время ходьбы. Резиновая подошва предотвращает скольжение во время гололеда.</t>
  </si>
  <si>
    <t>Иск.кожа, текстиль; иск.мех; ЭВА</t>
  </si>
  <si>
    <t>S2538801-3</t>
  </si>
  <si>
    <t>Обувь повседневная</t>
  </si>
  <si>
    <t>82528825-7</t>
  </si>
  <si>
    <t>Кроссовки Anta  из искусственной кожи и текстиля. Внутренняя отделка из сетчатого текстиля. Шнуровка на подъеме, "дышащий" язычок, гибкая подошва из EVA с желобками.</t>
  </si>
  <si>
    <t>Текстиль, резина</t>
  </si>
  <si>
    <t>Джемпер трикотажный Серый</t>
  </si>
  <si>
    <t>W35819709-1</t>
  </si>
  <si>
    <t>Джемпер трикотажный</t>
  </si>
  <si>
    <t>хлопок (100%)</t>
  </si>
  <si>
    <t>101</t>
  </si>
  <si>
    <t>Craft</t>
  </si>
  <si>
    <t>PRO NORDIC RACE JACKET 2 M</t>
  </si>
  <si>
    <t>1915158-396345</t>
  </si>
  <si>
    <t>PRO Nordic Race Jacket 2 — профессиональная лыжная куртка, созданная для максимальной отдачи на высшем уровне спортивных достижений в классе беговых лыж.
Эта инновационная куртка для беговых лыж изготовлена из эластичной и высокофункциональной трёхслойной ткани Ventair®, обеспечивающей превосходную защиту от непогоды и эффективный контроль температуры тела. Кроме того, куртка оснащена флисовой подкладкой на спине для улучшенного отвода влаги, а также проклеенными швами спереди и по низу рукавов. Специальная застёжка спереди позволяет расстегнуть молнию для дополнительной вентиляции.
Трёхслойная эластичная ветро- и водонепроницаемая ткань Ventair® (водонепроницаемость 15 000 / паропроницаемость 10 000)
Флисовая ткань на спине для эффективного отвода влаги
Мягкая рибстоп-ткань на воротнике для дополнительного комфорта
Лазерные обработанные и проклеенные швы спереди
Проклеенные низ и окончания рукавов для плотной посадки
Кнопка для вентиляции спереди
Обратная молния спереди
Два передних кармана на молнии для безопасного хранения мелких предметов
Облегающий аэродинамический крой</t>
  </si>
  <si>
    <t>CRAFT Warm</t>
  </si>
  <si>
    <t>1905544-999900</t>
  </si>
  <si>
    <t>Комплект носков средней высоты</t>
  </si>
  <si>
    <t>Материал с влаговыводящими свойствами
Эргономичное строение
Эластичная защита для своды стопы
В данной модели используется шерстяная нить. Благоприятный температурный диапазон от -2 до -25ºС.​</t>
  </si>
  <si>
    <t>40% полиамид; 29% шерсть; 29% полиэстер; 2% эластан</t>
  </si>
  <si>
    <t>34/36</t>
  </si>
  <si>
    <t>34-36</t>
  </si>
  <si>
    <t>CORE ENDURE SOCK</t>
  </si>
  <si>
    <t>1910693-999900</t>
  </si>
  <si>
    <t>**Core Endurance Bike Sock** — функциональный велосипедный носок, изготовленный из переработанного полиамида, с вставками из сетчатой ткани для эффективного охлаждения и контроля температуры во время тренировок в теплую погоду. Носок имеет предварительно сформованные ребра арки стопы, широкие упругие манжеты и усиленные мысок и пятка.
- Переработанный полиамид для снижения воздействия на окружающую среду  
- Вентиляционные сетчатые вставки  
- Усиленные мысок и пятка  
- Эргономичный крой</t>
  </si>
  <si>
    <t>63% полиамид 35% полиамид-Recycled 2% эластан</t>
  </si>
  <si>
    <t>CORE ESSENCE NECK TUBE</t>
  </si>
  <si>
    <t>1904092-444000</t>
  </si>
  <si>
    <t>Снуд</t>
  </si>
  <si>
    <t>Универсальный головной убор, который можно использовать в виде шарфа либо шапки. Незаменимый аксессуар в гардеробе, если вы бегаете в холодное время года.</t>
  </si>
  <si>
    <t>ONESIZE</t>
  </si>
  <si>
    <t>ADV WARM INTENSITY LS W</t>
  </si>
  <si>
    <t>1912644-444905</t>
  </si>
  <si>
    <t>ADV Warm Intensity LS — это мягкая и функциональная базовая футболка, разработанная для интенсивных тренировок в холодных условиях.
Эта базовая футболка с длинными рукавами изготовлена из легкой переработанной ткани, которая в сочетании с зональной конструкцией обеспечивает превосходную терморегуляцию. Кроме того, изделие выполнено с минимальным количеством швов для создания гладкого, не натирающего и крайне комфортного ощущения. Отличный выбор для занятий альпийскими лыжами и подобными видами активности.
• Легкая, эластичная термопряжа из переработанного полиэстера
• Дополнительная изоляция в местах, где требуется больше тепла
• Минимальное количество швов для оптимального комфорта
• Высокая степень растяжимости для свободы движений
• 3D-вязаная эргономичная форма
• Плотная посадка
• Температурный режим: от -15 ºC до -5 ºC</t>
  </si>
  <si>
    <t>65% полиэстер; 30% полиамид; 5% эластан</t>
  </si>
  <si>
    <t>CEP</t>
  </si>
  <si>
    <t>CEP Tights 3/4</t>
  </si>
  <si>
    <t>C61STM-G</t>
  </si>
  <si>
    <t>Базовые тайтсы 3/4 CEP для катания на лыжах</t>
  </si>
  <si>
    <t>Зимние виды спорта</t>
  </si>
  <si>
    <t>`-Легкий вес, анатомическая посадка с плотным прилеганием к телу, бесшовный дизайн, использование премиальных высококачественных материалов, таких как шерсть мерино и кашемир.                                 -Идеальный водо и воздухо обмен, обеспечивающий ощущение сухости и комфорта                      -Высокая посадка в области талии создает стабильную посадку при активных движениях, не сползают</t>
  </si>
  <si>
    <t>44% полиэстер, 29% лиоцел, 8% полиамид, 8% шерсть мериноса, 6% эластан, 5% кашемир</t>
  </si>
  <si>
    <t>PRO RECOVERY COMPRESSION TIGHTS, 4.0, OPEN TOE - WOMEN</t>
  </si>
  <si>
    <t>CR606W-5</t>
  </si>
  <si>
    <t>Восстановление</t>
  </si>
  <si>
    <t>Компрессионные тайтсы Pro Recovery Compression Tights 4.0 от CEP — это незаменимый выбор для амбициозных бегунов и любителей фитнеса. Эти тайтсы без носка специально разработаны для женщин и предлагают впечатляющее сочетание технологий и комфорта для максимального восстановления после интенсивных тренировок. Благодаря инновационной технологии 3D Compression, разработанной в Германии, они обеспечивают компрессию на 360° с точно дозированными зонами поддержки и активации. Эта технология улучшает кровообращение, снижает вибрацию мышц и ускоряет восстановление, чтобы вы могли быстрее вернуться к новым спортивным достижениям.
Влагоотводящий материал обеспечивает быстрое отведение пота от тела, что способствует быстрому испарению влаги и поддерживает комфортную посадку. Эластичный пояс и эргономичный крой гарантируют надёжную фиксацию и высокий уровень комфорта, а специальная вязаная конструкция в области подколенной ямки обеспечивает оптимальную свободу движений. Эти тайтсы не только функциональны, но и стильны, а их дизайн учитывает анатомию тела, что делает их идеальным дополнением к любому гардеробу для бега и тренировок.
Независимо от того, бегаете вы или тренируетесь в зале, компрессионные тайтсы Pro Recovery Compression Tights поддерживают вашу продуктивность и помогают достигать спортивных целей. Это идеальный выбор для тех, кто ценит качество, функциональность и комфорт и стремится сократить время восстановления.</t>
  </si>
  <si>
    <t>81% полиамид, 19% эластан</t>
  </si>
  <si>
    <t>II</t>
  </si>
  <si>
    <t>CEP Compression Tights</t>
  </si>
  <si>
    <t>CR60W-5</t>
  </si>
  <si>
    <t>Компрессионные тайтсы</t>
  </si>
  <si>
    <t>Специальный спортивный градиент давления в тайтсах CEP, созданный для восстановления, улучшает циркуляцию крови, тонус мышц, уменьшает болевой синдром и снимает отеки. Это позволяет снизить риск травм и повреждений, ускоряет восстановление и регенерацию тканей. Легкая и прочная ткань идеально прилегает к телу, стабилизируя нижнюю часть туловища и улучшая координацию. Специальная технология вязки создает эффективную терморегуляцию и оптимальный теплообмен. Сверхпрочные эластичные нити гарантируют долговечность и износоустойчивость изделия. Внедрение в структуру ткани ионов серебра обеспечивает антибактериальный эффект и отсутствие неприятного запаха. Использование обеспечивает:Быструю регенерацию мышечных тканей;Восстановление сил после нагрузок;Эффективный вывод токсинов и лактата;Уменьшение отёков и болей в ногах.</t>
  </si>
  <si>
    <t>75% полиамид, 25% эластан</t>
  </si>
  <si>
    <t>IV</t>
  </si>
  <si>
    <t>PRO RECOVERY COMPRESSION TIGHTS, 4.0, OPEN TOE - MEN</t>
  </si>
  <si>
    <t>CR606M-5</t>
  </si>
  <si>
    <t>Компрессионные тайтсы Pro Recovery Compression Tights 4.0 от CEP — это незаменимый выбор для амбициозных бегунов и любителей фитнеса. Эти тайтсы без носка специально разработаны для мужчин и предлагают впечатляющее сочетание технологий и комфорта для максимального восстановления после интенсивных тренировок. Благодаря инновационной технологии 3D Compression, разработанной в Германии, они обеспечивают компрессию на 360° с точно дозированными зонами поддержки и активации. Эта технология улучшает кровообращение, снижает вибрацию мышц и ускоряет восстановление, чтобы вы могли быстрее вернуться к новым спортивным достижениям.
Влагоотводящий материал обеспечивает быстрое отведение пота от тела, что способствует быстрому испарению влаги и поддерживает комфортную посадку. Эластичный пояс и эргономичный крой гарантируют надёжную фиксацию и высокий уровень комфорта, а специальная вязаная конструкция в области подколенной ямки обеспечивает оптимальную свободу движений. Эти тайтсы не только функциональны, но и стильны, а их дизайн учитывает анатомию тела, что делает их идеальным дополнением к любому гардеробу для бега и тренировок.
Независимо от того, бегаете вы или тренируетесь в зале, компрессионные тайтсы Pro Recovery Compression Tights поддерживают вашу продуктивность и помогают достигать спортивных целей. Это идеальный выбор для тех, кто ценит качество, функциональность и комфорт и стремится сократить время восстановления.</t>
  </si>
  <si>
    <t>PRO RUN ULTRALIGHT CAP</t>
  </si>
  <si>
    <t>CB9UPU-G</t>
  </si>
  <si>
    <t>Самая легкая и ультратонкая кепка в линейке CEP. Этот головной убор отличают утонченный дизайн и минималистичность. Технологичные материалы и перфорация позволят вам забыть про дискомфорт даже на интенсивных тренировках в жаркую и солнечную погоду.</t>
  </si>
  <si>
    <t>U</t>
  </si>
  <si>
    <t>37-43</t>
  </si>
  <si>
    <t>CEP Visor</t>
  </si>
  <si>
    <t>CB923U-0</t>
  </si>
  <si>
    <t>КОЗЫРЕК ДЛЯ БЕГА ИДЕАЛЬНО ПОДХОДИТ ДЛЯ ТРЕНИРОВОК И СОРЕВНОВАНИЙ: 
Будь то повседневная пробежка вокруг озера или марафон: в летние месяцы беговой козырек от CEP Sportswear так же универсален, как и незаменим. Его динамичная форма обеспечивает удобную посадку на голове, а дышащая ткань отводит влагу. Этот козырек для женщин и мужчин отличается исключительной легкостью и изысканными характеристиками. Просто сложите его вместе и всегда держите под рукой.
Незаменимая вещь в летние месяцы – беговые щитки для занятий спортом.
Визор с изогнутым краем имеет отличные характеристики, такие как фактор защиты от ультрафиолета 50+ . Светоотражающая маркировка CEP повышает вашу безопасность благодаря лучшей видимости. Вам не захочется бегать без него — беговой козырек быстро станет вашим постоянным спутником на тренировках и соревнованиях или случайных пробежках в темноте.
Дышащие благодаря интеллектуальному управлению теплом и влагой. 
Воздухопроницаемость является ключевым фактором терморегуляции в спорте . Ткань бегового визора впитывает влагу на поверхность, где она испаряется. Это обеспечивает удобную посадку даже в жаркие дни. А благодаря дизайну, специально разработанному для занятий спортом, козырек остается на своем месте и не соскальзывает даже во время интенсивных тренировок.
Легкий и практичный — козырек для вашего спорта. 
Визор для бега складывается для удобства хранения . Он помещается даже в небольшие карманы благодаря своей легкой конструкции и небольшому размеру , так что вы можете брать беговой козырек с собой, куда бы вы ни отправились, и быть готовым к неожиданному вспышке солнца.</t>
  </si>
  <si>
    <t>CEP Cap</t>
  </si>
  <si>
    <t>CB913U-0</t>
  </si>
  <si>
    <t>Кепка CEP для занятий спортом, универсальная</t>
  </si>
  <si>
    <t>Кепка CEP - прекрасное решение для активного отдыха или тренировок на открытом воздухе. Она не только защищает от ультрафиолетовых лучей, но и удобно складывается, занимая мало места в сумке. Технологичный воздухопроницаемый материал кепки создает оптимальную терморегуляцию - в ней не будет жарко в любую погоду даже при самой интенсивной нагрузке. Для обеспечения безопасности в темное время суток на кепке присутствуют светоотражающие элементы. Разнообразие расцветок - приятное дополнение к другим преимуществам.</t>
  </si>
  <si>
    <t>CORE RUN FOLDABLE VISOR - UNISEX</t>
  </si>
  <si>
    <t>CB923U-2</t>
  </si>
  <si>
    <t>КОЗЫРЕК ДЛЯ БЕГА ИДЕАЛЬНО ПОДХОДИТ ДЛЯ ТРЕНИРОВОК И СОРЕВНОВАНИЙ: 
Будь то повседневная пробежка вокруг озера или марафон: в летние месяцы беговой козырек от CEP Sportswear так же универсален, как и незаменим. Его динамичная форма обеспечивает удобную посадку на голове, а дышащая ткань отводит влагу. Этот козырек для женщин и мужчин отличается исключительной легкостью и изысканными характеристиками. Просто сложите его вместе и всегда держите под рукой.
Незаменимая вещь в летние месяцы – беговые щитки для занятий спортом.
Визор с изогнутым краем имеет отличные характеристики, такие как фактор защиты от ультрафиолета 50+ . Светоотражающая маркировка CEP повышает вашу безопасность благодаря лучшей видимости. Вам не захочется бегать без него — беговой козырек быстро станет вашим постоянным спутником на тренировках и соревнованиях или случайных пробежках в темноте.
Дышащие благодаря интеллектуальному управлению теплом и влагой. 
Воздухопроницаемость является ключевым фактором терморегуляции в спорте . Ткань бего</t>
  </si>
  <si>
    <t>CB923U-5</t>
  </si>
  <si>
    <t>Визор CEP для занятий спортом, универсальный</t>
  </si>
  <si>
    <t>CB923U-NC</t>
  </si>
  <si>
    <t>Cep Compression Knee Socks</t>
  </si>
  <si>
    <t>C245W-52</t>
  </si>
  <si>
    <t>Компрессионные гольфы CEP для катания на горных лыжах, с шерстью мериноса, женские</t>
  </si>
  <si>
    <t>CEP SKI MERINO COMPRESSION SOCKS - ЖЕНСКИЕ ЛЫЖНЫЕ НОСКИ ДЛЯ БЫСТРЫХ СПУСКОВ С КОМФОРТОМ. 
Компрессия сочетается с приятно мягкой, дышащей мериносовой шерстью и высококачественными синтетическими волокнами : компрессионные носки Ski Merino полностью используют свои преимущества благодаря сложной конструкции материала и инновационным технологиям . Вы выигрываете от более быстрого восстановления, ваши ноги всегда остаются в приятной температуре, и вы достигаете новых личных рекордов на склонах.
В лыжных носках для женщин с компрессией вы убиваете сразу трех зайцев: целенаправленное давление улучшает кровообращение и активирует транспорт кислорода . Таким образом, вы дольше остаетесь в форме и можете преодолевать самые крутые спуски даже после долгого дня. Целенаправленное давление на икру также ускоряет удаление побочных продуктов, таких как лактат, и активирует более быструю регенерацию.
Шерсть мериноса и синтетика для оптимального температурного баланса. 
Компрессионные гольфы CEP Ski Merino изготовлены из мериносовой шерсти и высококачественных синтетических волокон. Мериносовая шерсть является незаменимым функциональным материалом для катания на лыжах из-за ее превосходного отвода влаги . Продуманное сочетание материалов гарантирует идеальный тепловой баланс в лыжных ботинках и сохраняет ваши ноги в приятной сухости и тепле , даже когда вы сыты на склоне.
Благодаря анатомической посадке компрессионные лыжные и спортивные носки Ski Merino идеально сидят на ноге и плотно прилегают к ноге . Натертости, морщины или волдыри наконец-то остались в прошлом - и вы можете танцевать всю ночь напролет на вечеринке после катания на лыжах.</t>
  </si>
  <si>
    <t>59% полиамид, 32% шерсть мериноса, 10% эластан</t>
  </si>
  <si>
    <t>III</t>
  </si>
  <si>
    <t>CEP Knee Socks</t>
  </si>
  <si>
    <t>C0UUM-0-1</t>
  </si>
  <si>
    <t>Ультракороткие компрессионные носки</t>
  </si>
  <si>
    <t>СВЕРХЛЕГКИЕ КОМПРЕССИОННЫЕ НОСКИ NO SHOW ДЛЯ БОЛЬШЕЙ АМОРТИЗАЦИИ, МОЩНОСТИ И ЛЕГКОСТИ. 
Амбициозные спортсмены, занимающиеся выносливостью , проявляют всю свою силу в этих тонких, но прочных летних носках . Носите эти сверхлегкие носки со своей спортивной обувью и наслаждайтесь всеми преимуществами.
Дышащая ткань для занятий спортом в жаркие дни.
Проверенная смесь материалов обеспечивает оптимальное управление влажностью ваших ног. Эти сверхтонкие и легкие носки помогут вам достичь максимальной производительности летом.
Умный углерод держит вас в прохладе.
Углеродная пряжа очень легкая. Он придает носкам прочность и повышает их эластичность. Носки с технологией Smart Carbon идеально подходят для занятий спортом в жаркие дни, поскольку сохраняют прохладу ногам.
Идеальная посадка. 
Сверхлегкие материалы и плотная посадка делают эти носки чрезвычайно удобными для ношения в обуви. Они остаются там, где им и место, и прекрасно чувствуют себя на ваших ногах. Асимметричный носок придает этим летним носкам идеальную посадку.
Еще более целенаправленное сжатие. 
Теперь еще больше меди компрессии используется для оптимизации снабжения ваших ног питательными веществами и ускорения выведения лактатов. Это дает вам больше силы и легкости ног , когда вы тренируетесь и соревнуетесь, и вы быстрее восстанавливаетесь .
Сверхлегкие компрессионные носки No Show очень тонкие и прочные. Они идеально подходят для интенсивных занятий спортом в жаркие дни.</t>
  </si>
  <si>
    <t>88% полиамид, 12% эластан</t>
  </si>
  <si>
    <t>39-41</t>
  </si>
  <si>
    <t>V</t>
  </si>
  <si>
    <t>45-48</t>
  </si>
  <si>
    <t>CEP PRO compression knee socks</t>
  </si>
  <si>
    <t>CR26PW-5</t>
  </si>
  <si>
    <t>Компрессионные гольфы</t>
  </si>
  <si>
    <t>Компрессионные носки CEP PRO обладают более высоким уровнем компрессии, чем базовые модели, поэтому они подойдут для восстановления после интенсивных физических нагрузок профессиональных спортсменов, перелетов, путешествий и использования в обычной жизни. Специальный спортивный уровень давления усиленно поддерживает тонус мышц, ускоряет кровообращение, эффективно выводит токсины из мышц и уменьшает отеки и боль в ногах. Во время длительных поездок и перелетов гольфы обеспечат безопасность и комфорт, предотвращая застои крови и снижая риск венозного тромбоза. Анатомическая вязка обеспечивает идеальное прилегание изделия к коже, комфорт в обуви и надежную фиксацию на ноге. Ионы серебра в структуре ткани эффективно борются с неприятным запахом и создают антибактериальный эффект. Уникальная технология вязки из дышащих материалов способствует оптимальной воздухопроницаемости. Для обеспечения максимального комфорта при ношении и фиксации ноги без сдавливания в изделии присутствуют сверхплоский шов в области пальцев и мягкий верхний край.</t>
  </si>
  <si>
    <t>63% полиамид, 37% эластан</t>
  </si>
  <si>
    <t>CORE RUN SOCKS, NO SHOW, 5.0</t>
  </si>
  <si>
    <t>C005M-3</t>
  </si>
  <si>
    <t>CEP C005M – ультратонкие носки с компрессионным эффектом для поддержки во время тренировок и соревнований. Они безупречно повторяют форму ног и идеально прилегают к коже, создавая прекрасное «сцепление» с обувью.
• материал: 89% нейлон, 11% полиуретан;
• область применения: фитнес, легкая и тяжелая атлетика, беговые и игровые виды спорта, триатлон, велоспорт, спортивные дисциплины на выносливость;
• повышенная износоустойчивость за счет использования сверхпрочных синтетических нитей премиального качества;
• компрессионная вставка в области среднего отдела стопы обеспечивает дополнительную стабилизацию свода стопы;
• анатомически вывязанная подошвенная область плотно облегает ногу, предотвращая образование мозолей и натоптышей;
• мягкие манжеты для комфортной фиксации на ногах без сдавливания;
• сверхплоский шов в области пальцев не давит и не натирает.</t>
  </si>
  <si>
    <t>89% нейлон, 11% эластан</t>
  </si>
  <si>
    <t>C005M-5</t>
  </si>
  <si>
    <t>CORE RUN SOCKS, LOW CUT, 5.0</t>
  </si>
  <si>
    <t>C095W-0</t>
  </si>
  <si>
    <t>CEP C095W – носки для бега, катания на велосипеде, фитнеса и длительных тренировок. Благодаря высококачественным материалам и компрессии носки обеспечивают поддержку, быстрое высыхание и комфорт.
• материал: 88% нейлон, 12% эластан;
• область применения: фитнес, легкая и тяжелая атлетика, беговые и игровые виды спорта, триатлон, велоспорт, спортивные дисциплины на выносливость;
• повышенная износоустойчивость за счет использования сверхпрочных синтетических нитей премиального качества;
• степень компрессии: 20-30 мм рт.ст.;
• анатомически вывязанная подошвенная область плотно облегает ногу, предотвращая образование мозолей и натоптышей;
• мягкие манжеты для комфортной фиксации на ногах без сдавливания;
• сверхплоский шов в области пальцев не давит и не натирает.</t>
  </si>
  <si>
    <t>88% нейлон, 12% эластан</t>
  </si>
  <si>
    <t>C095W-4</t>
  </si>
  <si>
    <t>C095W-5</t>
  </si>
  <si>
    <t>C09UUM-0-1</t>
  </si>
  <si>
    <t>Функциональные короткие гольфы CEP, ультратонкие, мужские</t>
  </si>
  <si>
    <t>СВЕРХЛЕГКИЕ КОМПРЕССИОННЫЕ НОСКИ LOW CUT ДЛЯ ПЛОТНОЙ ПОСАДКИ И БОЛЬШЕЙ МОЩНОСТИ. 
Повышайте свою производительность, повышайте уровень физической подготовки и быстрее восстанавливайтесь — сверхлегкие компрессионные носки с низким вырезом помогут вам во время тренировок и соревнований в жаркие летние дни. Эти спортивные носки сделаны в Германии и подходят как перчатки, не скользя в тесной обуви. Они активируют всю вашу силу.
Сверхлегкие и прочные летние носки для большей силы в жаркие дни.
С компрессией medi вы почувствуете еще большую мощность и легкость . Специальная технология обеспечивает целенаправленное сжатие там, где это необходимо больше всего, стабилизирует плюсну и обеспечивает оптимальную поддержку. Эти тонкие летние носки улучшают кровообращение и ускоряют выведение лактата . Глубокая сенсорная стимуляция суставов придает вашим ногам большую устойчивость.
Материалы премиум-класса с технологией Smart Carbon для воздухопроницаемости и комфорта.
Носки Ultralight Compression Low Cut задают новое определение «легкости». Активируйте весь свой потенциал и поднимите свою физическую форму на новый уровень. Проверенная смесь материалов помогает предотвратить образование мозолей, а носки остаются на месте благодаря своей анатомической форме с асимметричным мыском. Углеродная пряжа очень легкая и сохраняет ваши ноги в прохладе. Он очень прочный, но при этом придает летним носкам высокую эластичность.</t>
  </si>
  <si>
    <t>C09UUW-5-1</t>
  </si>
  <si>
    <t>Компрессионные носки</t>
  </si>
  <si>
    <t>Короткие компрессионные носки CEP подойдут для большого перечня видов спорта и физической активности. Градуированная спортивная компрессия улучшает тонус мышц, ускоряет кровообращение. Благодаря специальной вязке и технологии SMART CARBON изделия легче базовой модели на 30%. Они безупречно повторяют форму ноги и идеально прилегают к коже, создавая прекрасное «сцепление» с обувью. Внедрение карбона в структуру нити обеспечивает охлаждающий эффект, что особенно важно при интенсивных тренировках. Сверхпрочные эластичные нити гарантируют долговечность и износоустойчивость изделия. Ионы серебра в структуре ткани обеспечивают антибактериальный эффект и отсутствие неприятного запаха. Для создания максимального комфорта при ношении и фиксации ноги без сдавливания в изделии присутствуют сверхплоский шов в области пальцев и мягкий верхний край.</t>
  </si>
  <si>
    <t>C09UUW-S3</t>
  </si>
  <si>
    <t>Короткие носки с градуированной спортивной компрессией способствуют улучшению тонуса мышц и ускорению кровообращения. Применение технологии Smart Carbon позволило сделать эту модель на 30% легче базовой. Носки точно повторяют форму ноги и создают уверенное сцепление с обувью. Внедрение карбона в структуру нити обеспечивает охлаждающий эффект, что особенно важно при интенсивных тренировках.
При изготовлении компрессионных носков используются сверхпрочные и эластичные нити, которые гарантируют максимальную износоустойчивость. Ионы серебра в составе ткани обеспечивают антибактериальный эффект, предотвращая появление неприятного запаха.
Носки мягко фиксируют стопу, поддерживают вены в тонусе и не создают ощущения сдавливания благодаря плоским швам в области пальцев и мягкому верхнему краю.</t>
  </si>
  <si>
    <t>84% полиамид, 16% эластан</t>
  </si>
  <si>
    <t>C0UUW-0-1</t>
  </si>
  <si>
    <t>СВЕРХЛЕГКИЕ КОМПРЕССИОННЫЕ НОСКИ NO SHOW ДЛЯ ЖЕНЩИН: ЛУЧШАЯ АМОРТИЗАЦИЯ ДЛЯ ХОРОШЕГО САМОЧУВСТВИЯ. 
Сверхтонкие, легкие и прочные — эти летние носки, сделанные в Германии, позволяют спортсменам, занимающимся выносливостью, добиваться максимальной производительности . Носите женские носки No Show Socks с облегающей спортивной обувью.
Дышащая смесь тканей для превосходного комфорта при ношении в жаркие летние дни.
Проверенная смесь материалов отводит влагу от ваших ног, способствует хорошему самочувствию и повышает производительность. Эти сверхлегкие и тонкие летние носки помогут вам полностью раскрыть свой потенциал .
Smart Carbon сохраняет ваши ноги в прохладе. 
Женские носки No Show очень легкие благодаря углеродной пряже. Это не только повышает износостойкость, но и эластичность носков. Носите эти летние носки с Smart Carbon в жаркие дни, чтобы ваши ноги оставались свежими.
Плотная посадка для идеального комфорта. 
Носки очень удобно носить в облегающей спортивной обуви; они не скользят , и у вас есть по</t>
  </si>
  <si>
    <t>C0UUW-5-1</t>
  </si>
  <si>
    <t>Функциональные ультратонкие ультракороткие носки</t>
  </si>
  <si>
    <t>Ультракороткие компрессионные носки CEP подойдут для большого перечня видов спорта и физической активности. Градуированная спортивная компрессия улучшает тонус мышц, ускоряет кровообращение. Благодаря специальной вязке и технологии SMART CARBON изделия легче базовой модели на 30%. Они безупречно повторяют форму ноги и идеально прилегают к коже, создавая прекрасное «сцепление» с обувью. Внедрение карбона в структуру нити обеспечивает охлаждающий эффект, что особенно важно при интенсивных тренировках. Сверхпрочные эластичные нити гарантируют долговечность и износоустойчивость изделия. Ионы серебра в структуре ткани обеспечивают антибактериальный эффект и отсутствие неприятного запаха. Для создания максимального комфорта при ношении и фиксации ноги без сдавливания в изделии присутствуют сверхплоский шов в области пальцев и мягкий верхний край.</t>
  </si>
  <si>
    <t>C0UUW-S3</t>
  </si>
  <si>
    <t>CEP Compression Gaiters</t>
  </si>
  <si>
    <t>C3UUM-0-1</t>
  </si>
  <si>
    <t>Компрессионные гетры CEP для спорта, ультратонкие</t>
  </si>
  <si>
    <t>СВЕРХЛЕГКИЕ ГЕТРЫ ДЛЯ ГОЛЕНИ ДЛЯ МУЖЧИН: ЛЕТНИЕ ГЕТРЫ ДЛЯ НОГ. 
Отправляйтесь в путь и чувствуйте себя хорошо — экипируйте себя сверхлегкими гетрами для голени и добейтесь своего личного максимума ! Независимо от того, насколько высока летняя температура, эти гетры очень удобны в носке благодаря ультралегкой, ультратонкой и дышащей ткани. Они сочетают в себе преимущества сжатия с исключительным комфортом в жаркую погоду .
Улучшение кровообращения = повышение мышечной производительности. 
Медиа компрессия улучшает приток крови к мышцам и от них. Ваши мышцы быстрее получают необходимые им питательные вещества , что способствует выведению лактатов. Это поможет вам полностью реализовать свой потенциал производительности с точки зрения скорости и выносливости, что дает вам явное преимущество, когда это необходимо.
Снижение вибрации мышц для эффективного использования энергии. 
Эффективность – это целенаправленное использование мощности. Сверхлегкие икроножные гетры подавляют нежелательные вибрации икроножных мышц и дают больше энергии для движения вперед . Еще одно преимущество в дополнение к повышенной производительности: они просто приятны на ощупь, что повышает вашу мотивацию.
Отправляйтесь в путь и чувствуйте себя хорошо в жаркую погоду.
Ткань обладает всеми характеристиками, необходимыми для летних месяцев. Обеспечивает необходимую стабильность благодаря технологии Smart Carbon со встроенными углеродными волокнами.
Воспользуйтесь активирующим эффектом ультралегких гетр, чтобы достичь максимальной производительности в жаркую летнюю погоду!</t>
  </si>
  <si>
    <t>77% полиамид, 23% эластан</t>
  </si>
  <si>
    <t>C3UUW-0</t>
  </si>
  <si>
    <t>СВЕРХЛЕГКИЕ КОМПРЕССИОННЫЕ ГЕТРЫ ДЛЯ ЖЕНЩИН. 
Устанавливайте новые личные рекорды, чувствуйте себя хорошо и прекрасно выглядите — с ультралегкими компрессионными гетрами для голени для женщин. Они сделаны из тонкой, сверхлегкой и дышащей ткани, что делает их идеальными для жаркой погоды, чтобы вы могли наслаждаться благотворным эффектом компрессии и комфортным беззаботным бегом летом .
Улучшение кровообращения для повышения мышечной производительности. 
Оптимальное снабжение мышц питательными веществами и быстрое удаление лактатов необходимо для достижения максимальной производительности. Именно здесь в игру вступают сверхлегкие компрессионные гетры. Сжатие medi улучшает кровообращение, что увеличивает потенциал производительности. Это дает вам больше силы и выносливости, когда вам это нужно больше всего.
Уменьшение мышечных вибраций для большей мощности. 
Еще одним положительным эффектом сверхлегких компрессионных гетр  для женщин является то, что они минимизируют нежелательные вибрации мышц, которые крадут вашу энергию. В результате у вас появляется больше энергии для движения вперед , и ничто больше не мешает устанавливать новые личные рекорды. Но это не все. Эффект компрессии ощущается хорошо, что мотивирует вас и позволяет вам получать еще больше удовольствия от занятий спортом .
Чувствуйте себя хорошо и достигайте большего летом. 
Сверхтонкая , легкая и дышащая ткань завершает дизайн этих динамичных и стильных носков и обеспечивает непревзойденный комфорт при ношении в жаркую погоду. Стабильность также гарантируется благодаря интегрированным углеродным волокнам, которые делают ткань более прочной.</t>
  </si>
  <si>
    <t>C3UUW-0-1</t>
  </si>
  <si>
    <t>C0UUM-5-1</t>
  </si>
  <si>
    <t>CORE RUN SOCKS, TALL, 5.0</t>
  </si>
  <si>
    <t>C125M-0</t>
  </si>
  <si>
    <t>Мужские компрессионные гольфы CEP Core Run созданы для поддержки мышц и улучшения кровообращения во время бега и интенсивных тренировок. Технология круговой вязки обеспечивает медицинский уровень компрессии, который ускоряет восстановление, снижает усталость и повышает выносливость. Амортизационные вставки в ключевых зонах смягчают ударные нагрузки, а технология 3D anti-slip предотвращает скольжение носка в обуви. Сетчатые вставки и воздушные каналы обеспечивают вентиляцию, а влагоотводящий материал с ионами серебра быстро испаряет пот, сохраняя ноги сухими. Специальная зона поддержки ахиллова сухожилия улучшает посадку и снижает риск травм. Идеальный выбор для спортсменов, которым важны поддержка мышц, терморегуляция и комфорт во время тренировок.
Особенности:
Медицинская компрессия, с распределением зон давления, улучшает кровоток, снижает вибрацию мышц и ускоряет восстановление.
Амортизационные вставки защищают стопу от ударных нагрузок при беге.
3D anti-slip технология предотвращает скольжение носка в обуви.
Сетчатые зоны вентиляции охлаждают ноги в ключевых зонах.
Влагоотводящий материал с ионами серебра обеспечивает антибактериальную защиту.
Усиленная поддержка ахиллова сухожилия снижает риск травм и улучшает посадку.
Разделение на правый и левый носок для идеальной посадки и максимальной поддержки.
Линия CEP Core сочетает в себе технологичные решения с высоким уровнем комфорта, чтобы обеспечить оптимальную поддержку во время тренировок. При этом универсальность является главным приоритетом — продукты идеально подходят для широкого спектра видов спорта и степени интенсивности.
Универсальность– подходят для ежедневных тренировок, спринтов, марафонов и кросс-тренинга при умеренных температурах. Для жарких погодных условий рекомендуем рассмотреть облегченные модели компрессионных носков CEP. Например CEP C1UP.</t>
  </si>
  <si>
    <t>PRO RUN REFLECTIVE SOCKS, TALL, 2.0 - MEN</t>
  </si>
  <si>
    <t>C125RM-5</t>
  </si>
  <si>
    <t>Гольфы</t>
  </si>
  <si>
    <t>C125RM-Y</t>
  </si>
  <si>
    <t>PRO RUN REFLECTIVE SOCKS, TALL, 2.0 - WOMEN</t>
  </si>
  <si>
    <t>C125RW-Y</t>
  </si>
  <si>
    <t>Компрессионные женские гольфы Reflective со светоотражающими элементами, повышающими видимость в темное время суток.
Основные функции компрессионных гольф: улучшение кровообращения, поддержка мышц и проприоцепция. Все это повышает вашу работоспособность, сокращает период восстановления после физических нагрузок, снижает риск повреждений и спазмов, улучшает координацию движений. В отличии от медицинского компрессионного трикотажа градиент давления рассчитан специально под спортивные нагрузки.
Благодаря ячеистый вязке достигается охлаждающий эффект. Верхний край выполнен из более мягкой и эластичной ткани для предотвращения передавливания. Анатомическая вязка в районе среднего отдела стопы обеспечивает дополнительную поддержку свода. Сверхплоские швы не давят и не натирают. Ионы серебра препятствуют появлению неприятного запаха. Все изделия Cep обладают завидной износоустойчивостью.</t>
  </si>
  <si>
    <t>C125W-0</t>
  </si>
  <si>
    <t>Женские компрессионные гольфы CEP Core Run созданы для поддержки мышц и улучшения кровообращения во время бега и интенсивных тренировок. Технология круговой вязки обеспечивает медицинский уровень компрессии, который ускоряет восстановление, снижает усталость и повышает выносливость. Амортизационные вставки в ключевых зонах смягчают ударные нагрузки, а технология 3D anti-slip предотвращает скольжение носка в обуви. Сетчатые вставки и воздушные каналы обеспечивают вентиляцию, а влагоотводящий материал с ионами серебра быстро испаряет пот, сохраняя ноги сухими. Специальная зона поддержки ахиллова сухожилия улучшает посадку и снижает риск травм. Идеальный выбор для спортсменов, которым важны поддержка мышц, терморегуляция и комфорт во время тренировок.
Особенности:
Медицинская компрессия, с распределением зон давления, улучшает кровоток, снижает вибрацию мышц и ускоряет восстановление.
Амортизационные вставки защищают стопу от ударных нагрузок при беге.
3D anti-slip технология предотвращает скольжение носка в обуви.
Сетчатые зоны вентиляции охлаждают ноги в ключевых зонах.
Влагоотводящий материал с ионами серебра обеспечивает антибактериальную защиту.
Усиленная поддержка ахиллова сухожилия снижает риск травм и улучшает посадку.
Разделение на правый и левый носок для идеальной посадки и максимальной поддержки.
Линия CEP Core сочетает в себе технологичные решения с высоким уровнем комфорта, чтобы обеспечить оптимальную поддержку во время тренировок. При этом универсальность является главным приоритетом — продукты идеально подходят для широкого спектра видов спорта и степени интенсивности.
Универсальность– подходят для ежедневных тренировок, спринтов, марафонов и кросс-тренинга при умеренных температурах. Для жарких погодных условий рекомендуем рассмотреть облегченные модели компрессионных носков CEP. Например CEP C1UP.</t>
  </si>
  <si>
    <t>CORE RUN EDT. GRADIENT SOCKS, TALL, 5.0</t>
  </si>
  <si>
    <t>C12EM-GY</t>
  </si>
  <si>
    <t>Разработаны специально для мужчин. Стильные компрессионные гольфы для бега с цветным градиентом! Испытайте их, чтобы почувствовать высокую производительность во время тренировки и быстрое восстановление после. Градуированная спортивная компрессия усиливает кровоток, предотвращает появление судорог икроножных мышц, уменьшает отечность и способствует выведению молочной кислоты. Компрессионная трикотажная ткань стабилизирует мышцы и суставы, а протектор в области ахиллова сухожилия защищает от возможных растяжений. Компрессионная вставка в среднем отделе стопы дополнительно стабилизирует своды стопы.
Благодаря высокотехнологичным материалам, системе терморегуляции HEIQ SMART TEMP и технологии отвода влаги FERAN ICP ноги остаются сухими во время пробежек, пот быстро испаряется с поверхности кожи, поддерживается оптимальная температура. Вы получаете удовольствие от бега! Анатомический крой обеспечивает плотное прилегание изделий, защиту от натирания и мозолей. Гольфы не перекручиваются и не сползают даже при высокоинсивных спортивных нагрузках.
Свойства и преимущества:
компрессия обеспечивает поддержку мышц и суставов, улучшает кровообращение, способствует снижению отеков и выводу лактата;
протектор ахиллова сухожилия для профилактики повреждений;
компрессионная вставка в области среднего отдела стопы для дополнительной стабилизации;
высокотехнологичная нить TWD SMART DRY оптимизирует терморегуляцию в жаркие и холодные дни;
система терморегуляции HEIQ SMART TEMP сохраняет прохладу, сухость и комфорт вкупе с отличной воздухопроницаемостью;
технология отвода влаги FERAN ICP способствует быстрому испарению влаги, сохраняя ноги сухими и поддерживает естественный охлаждающий эффект;
асимметричный носок обеспечивает естественное положение пальцев;
анатомический крой и сверхплоские швы минимизируют трение, предотвращая появление мозолей;
мягкий верхний край для комфортной фиксации на ноге без сдавливания.</t>
  </si>
  <si>
    <t>зеленый/лайм</t>
  </si>
  <si>
    <t>CEP Compression socks</t>
  </si>
  <si>
    <t>C1UUM-0-1</t>
  </si>
  <si>
    <t>Компрессионные гольфы CEP для бега, ультратонкие</t>
  </si>
  <si>
    <t>ULTRALIGHT SOCKS – ЧРЕЗВЫЧАЙНО ЛЕГКИЕ КОМПРЕССИОННЫЕ ГОЛЬФЫ ДЛЯ МУЖЧИН.
Высокая производительность и малый вес: ультралегкие носки мгновенно приближают вас на два шага к вашим целям. Во-первых, вы получаете выгоду от сжатия, повышающего производительность . Кроме того, вы также наслаждаетесь исключительным комфортом сверхлегкой и чрезвычайно дышащей ткани . Идеальная посадка с асимметричными носками завершает комплект.
Больше энергии и больше силы благодаря уменьшению мышечных вибраций.
Вы почувствуете разницу уже на первых шагах: компрессионная посадка мужских носков Ultralight Socks снижает вибрации в мышцах. Это сохраняет вашу энергию, поэтому у вас больше силы на земле . Еще одним приятным эффектом сверхлегких компрессионных носков является улучшенный бег на любой дистанции.
Улучшение кровообращения для повышения производительности.
Усовершенствованная компрессия medi максимизирует эффективность кровообращения в мышцах. Это означает, что питательные вещества быстрее попадают в ваши мышцы, и ваше тело быстрее выводит продукты метаболизма . Ваши ноги чувствуют себя заметно легче в ультралегких носках, и вы достигаете новых уровней производительности.
Откройте для себя непревзойденный комфорт при ношении и оптимальную посадку.
Носки Ultralight Socks изготовлены из чрезвычайно тонкой ткани с минимальной набивкой, что делает их идеальным связующим звеном между вашими ногами и облегающими кроссовками. Это обеспечивает эффективную защиту от волдырей. Встроенные углеродные волокна обеспечивают максимальную стабильность ткани. А воздухопроницаемость компрессионных носков для мужчин является долгожданным преимуществом при повышении температуры.</t>
  </si>
  <si>
    <t>C1UUM-5</t>
  </si>
  <si>
    <t>Компрессионные гольфы CEP для бега ультратонкие, мужские</t>
  </si>
  <si>
    <t>C1UUW-5</t>
  </si>
  <si>
    <t>Ультратонкие компрессионные гольфы CEP подойдут для большого перечня видов спорта и физической активности. Градуированная спортивная компрессия поддерживает тонус мышц, ускоряет кровообращение, повышает результативность и улучшает координацию движений. Благодаря специальной вязке и технологии SMART CARBON изделия легче базовой модели на 30%. Они безупречно повторяет форму ноги и идеально прилегают к коже. Внедрение карбона в структуру нити обеспечивает охлаждающий эффект, что особенно важно при интенсивных тренировках. Сверхпрочные эластичные нити гарантируют долговечность и износоустойчивость изделия. Ионы серебра в структуре ткани обеспечивают антибактериальный эффект и отсутствие неприятного запаха. Для создания максимального комфорта при ношении и фиксации ноги без сдавливания в изделии присутствуют сверхплоский шов в области пальцев и мягкий верхний край. Уплотненная вязка в области ахиллова сухожилия дополнительно защищает его от повреждений.</t>
  </si>
  <si>
    <t>CEP compression socks</t>
  </si>
  <si>
    <t>C1UUW-S3</t>
  </si>
  <si>
    <t>ULTRALIGHT COMPRESSION SOCKS – СВЕРХЛЕГКИЕ КОМПРЕССИОННЫЕ ГОЛЬФЫ ДЛЯ ЖЕНЩИН.
Чувствуйте себя хорошо и быстрее достигайте своих целей: сверхлегкие компрессионные носки для женщин поддержат вас в ваших спортивных амбициях! Дышащая , сверхлегкая ткань гарантирует непревзойденный комфорт, а компрессионный материал повышает производительность . А благодаря идеальной посадке и анатомической форме эти компрессионные носки для женщин сидят как влитые.
Меньше мышечных колебаний = больше энергии и силы.
Вы почувствуете разницу сразу же, как только наденете их: сверхлегкие компрессионные носки для женщин снижают мышечную вибрацию. Вы сохраняете свою энергию и облегчаете свой шаг . Другими словами, вы получаете более комфортный бег — на короткие или длинные дистанции.
Легкие ноги и больше силы благодаря улучшенному кровообращению.
В женских женских носках Ultralight ваши ноги заметно облегчаются, и вы поднимаете свою производительность на новый уровень. Усовершенствованная компрессия medi улучшает кровообращение в мышц</t>
  </si>
  <si>
    <t>C211M-Y</t>
  </si>
  <si>
    <t>Компрессионные гольфы CEP для катания на лыжах</t>
  </si>
  <si>
    <t>Линейка компрессионных гольфов для горнолыжного спорта в обновленном дизайне. Биоактивные минералы в структуре нити улучшают микроциркуляцию крови за счет отражения внутреннего тепла человека, тем самым ускоряется восстановление. Гольфы обеспечивают комфортный температурный баланс. Компрессионные нити в составе обеспечат оптимальную посадку без складок.
Стильный дизайн и широкая цветовая гамма изделий позволят создать яркий спортивный образ.</t>
  </si>
  <si>
    <t>87% полиамид, 13% спандекс</t>
  </si>
  <si>
    <t>CEP TOURING</t>
  </si>
  <si>
    <t>C225W-20</t>
  </si>
  <si>
    <t>Легкие лыжные носки с поддерживающей компрессией, выполненные с добавлением шерсти мериноса для сохранения тепла во время сложных туров. Модель гарантирует приятный микроклимат для ног и поддерживает мышцы за счет стратегически размещенного армированного материала и активного компрессионного эффекта. Носки способствуют улучшению циркуляции крови и в то же время сокращают время восстановления мышц. Дополнительно используемые биоактивные минералы также положительно влияют на восстановление ваших ног, отражая собственное инфракрасное излучение тела. 
Особенности:
Материал с добавлением шерсти мериноса обладает оптимальными теплоизоляционными свойствами, не впитывает запахи, эффективно отводит влагу.
Носки удобно прилегают к ноге, не мнутся в лыжном ботинке и тем самым предотвращают образование пузырей.
Сочетание подавляющей запах шерсти мериноса и синтетических функциональных волокон препятствует возникновению неприятного запаха.
Благодаря оптимально расположенным зонам набивки модель обеспечивает дополнительный комфорт в длительных поездках.
OEKO-TEX Standard 100 - это система сертификации текстильных изделий, которая гарантирует, что продукция безвредна для здоровья и не превышает предельных значений для вредных веществ.</t>
  </si>
  <si>
    <t>76% полиамид, 13% шерсть, 11% эластан</t>
  </si>
  <si>
    <t>C225W-5Y</t>
  </si>
  <si>
    <t>CORE RUN MERINO SOCKS, TALL, 3.0 - WOMEN</t>
  </si>
  <si>
    <t>C225W-YS</t>
  </si>
  <si>
    <t>C261W-DO</t>
  </si>
  <si>
    <t>CEP C261W- легкие лыжные носки с поддерживающей компрессией, выполненные с добавлением шерсти мериноса для сохранения тепла во время сложных туров. Модель гарантирует приятный микроклимат для ног и поддерживает мышцы за счет стратегически размещенного армированного материала и активного компрессионного эффекта. Носки способствуют улучшению циркуляции крови и в то же время сокращают время восстановления мышц. Дополнительно используемые биоактивные минералы также положительно влияют на восстановление ваших ног, отражая собственное инфракрасное излучение тела.</t>
  </si>
  <si>
    <t>темно-оранжевый</t>
  </si>
  <si>
    <t>76% полиамид, 13% мериносовая шерсть, 11% эластан</t>
  </si>
  <si>
    <t>PRO RUN REFLECTIVE SOCKS, MID CUT, 2.0 - WOMEN</t>
  </si>
  <si>
    <t>C105RW-Y</t>
  </si>
  <si>
    <t>Компрессионные женские носки Reflective со светоотражающими элементами, повышающими видимость в темное время суток.
Основные функции компрессионных носков: улучшение кровообращения, поддержка мышц и проприоцепция. Все это повышает вашу работоспособность, сокращает период восстановления после физических нагрузок, снижает риск повреждений и спазмов, улучшает координацию движений. В отличии от медицинского компрессионного трикотажа градиент давления рассчитан специально под спортивные нагрузки.
Благодаря ячеистый вязке достигается охлаждающий эффект. Верхний край выполнен из более мягкой и эластичной ткани для предотвращения передавливания. Анатомическая вязка в районе среднего отдела стопы обеспечивает дополнительную поддержку свода. Сверхплоские швы не давят и не натирают. Ионы серебра препятствуют появлению неприятного запаха. Все изделия Cep обладают завидной износоустойчивостью.</t>
  </si>
  <si>
    <t>86% полиамид, 14% эластан</t>
  </si>
  <si>
    <t>CORE RUN SOCKS, MID CUT, 5.0</t>
  </si>
  <si>
    <t>C105W-0</t>
  </si>
  <si>
    <t>CEP C105W – износостойкие и комфортные носки с компрессией для ежедневных пробежек. Разработаны для обеспечения целенаправленной поддержки лодыжек и стоп. Технология кругового вязания обеспечивает идеальную посадку без сползания во время бега. Сетчатые зоны сохраняют прохладу и сухость стоп.
• материал: 86% нейлон, 14% полиуретан;
• область применения: фитнес, легкая и тяжелая атлетика, беговые и игровые виды спорта, триатлон, велоспорт, спортивные дисциплины на выносливость;
• повышенная износоустойчивость за счёт использования сверхпрочных синтетических нитей премиального качества;
• анатомически вывязанная подошвенная область плотно облегает ногу, предотвращая образование мозолей и натоптышей;
• мягкие манжеты для комфортной фиксации на ногах без сдавливания;
• сверхплоский шов в области пальцев не давит и не натирает.</t>
  </si>
  <si>
    <t>C105W-4</t>
  </si>
  <si>
    <t>C105W-5</t>
  </si>
  <si>
    <t>C2UUW-5</t>
  </si>
  <si>
    <t>Функциональные ультратонкие укороченные гольфы CEP, женские</t>
  </si>
  <si>
    <t>Женские компрессионные ультратонкие носки CEP с охлаждающим эффектом для поддержки тонуса мышц и повышения результативности во время занятий спортом.
Ультратонкие компрессионные носки CEP подойдут для большого перечня видов спорта и физической активности. Градуированная спортивная компрессия улучшает тонус мышц, ускоряет кровообращение. Благодаря специальной вязке и технологии SMART CARBON изделия легче базовой модели на 30%. Они безупречно повторяют форму ноги и идеально прилегают к коже. Внедрение карбона в структуру нити обеспечивает охлаждающий эффект, что особенно важно при интенсивных тренировках. Компрессионная вставка в области стопы дополнительно стабилизирует ногу, повышая координацию и снижая риск травм и повреждений.
Ультратонкие носки CEP идеально подходят для следующих видов спорта:
Бег;
Спортивные дисциплины на выносливость;
Легкая и тяжелая атлетика.
Фитнес;
Триатлон;
Велоспорт;
Игровые виды спорта;
Сверхпрочные эластичные нити гарантируют долговечность и износоустойчивость изделия. Ионы серебра в структуре ткани обеспечивают антибактериальный эффект и отсутствие неприятного запаха. Для создания максимального комфорта при ношении и фиксации ноги без сдавливания в изделии присутствуют сверхплоский шов в области пальцев и мягкий верхний край. Уплотненная вязка в области ахиллова сухожилия дополнительно защищает его от повреждений.
Использование обеспечивает:
Поддержку вен и мышц в тонусе;
Низкий риск спазмов и повреждений;
Улучшение координации движений;
Комфортный бег.</t>
  </si>
  <si>
    <t>85% полиамид, 15% эластан</t>
  </si>
  <si>
    <t>C2UUW-S3</t>
  </si>
  <si>
    <t>Носки выполнены из высокотехнологичной ткани Smart Carbon - эта пряжа с молекулами карбона обладает высокой прочностью и эластичностью. Технологичная нить TWD Smart Dry в сочетании с системой терморегуляции Heiq Smart Temp оптимизирует температуру тела в жаркие или холодные дни. Ткань Feran ICP позволяет быстро и эффективно отводить влагу. Ионы серебра, внедренные в структуру материала, обеспечивают антибактериальный эффект и предотвращают появление неприятного запаха.
Асимметричный "носок" и усовершенствованная конструкция создают более совершенную анатомическую посадку, которая помогает предотвратить возможность натирания.
Поддерживающая компрессия улучшает циркуляцию крови в стопе и препятствует образованию отеков.</t>
  </si>
  <si>
    <t>C225M-20</t>
  </si>
  <si>
    <t>C225M-5Y</t>
  </si>
  <si>
    <t>CEP C261M - легкие лыжные носки с поддерживающей компрессией, выполненные с добавлением шерсти мериноса для сохранения тепла во время сложных туров. Модель гарантирует приятный микроклимат для ног и поддерживает мышцы за счет стратегически размещенного армированного материала и активного компрессионного эффекта. Носки способствуют улучшению циркуляции крови и в то же время сокращают время восстановления мышц. Дополнительно используемые биоактивные минералы также положительно влияют на восстановление ваших ног, отражая собственное инфракрасное излучение тела.</t>
  </si>
  <si>
    <t>CEP SNOWFAL socks</t>
  </si>
  <si>
    <t>C283W-5G</t>
  </si>
  <si>
    <t>`-Спортивная компрессия улучшает циркуляцию крови в стопе и предотвращает образование отеков -Шерсть мерино в структуре нити оеспечивает широкий температурный диапазон комфортного использования  -Мягкий верхний край для комфортной фиксации на ноге без сдавливания
-Асимметричный носок и усовершенствованная конструкция создают более совершенную анатомическую посадку, которая помогает предотвратить натирание и образование мозолей
-Повышенная износоустойчивость за счет использования сверхпрочных эластичных нитей
-Протектор ахиллова сухожилия для профилактики повреждений
-Внедренные в структуру ткани ионы серебра обеспечивают антибактериальный эффект и предотвращают образование неприятного запаха
-Высокотехнологичная нить TWD SMART DRY оптимизирует терморегуляцию в жаркие или в холодные дни
-Технология отвода влаги FERAN ICP - способствует быстрому испарению влаги, сохраняет ваши ноги сухими и поддерживает естественный охлаждающий эффект.
-Система терморегуляции HEIQ SMART TEMP - сохраняет прохладу, сухость и комфорт вкупе с идеальной воздухопроницаемостью
-Компрессия в области среднего отдела стопы обеспечивает дополнительную стабилизацию свода стопы
-Сверхплоский шов в области пальцев не давит и не натирает</t>
  </si>
  <si>
    <t>черный/зеленый</t>
  </si>
  <si>
    <t>75% полиамид, 15% шерсть мериноса, 10% эластан</t>
  </si>
  <si>
    <t>CEP Gaiters REFLECTIVE</t>
  </si>
  <si>
    <t>C105RW-5</t>
  </si>
  <si>
    <t>Функциональные укороченные гольфы CEP REFLECTIVE для бега, со светоотражателями, женские</t>
  </si>
  <si>
    <t>CEP Compression Gaiters REFLECTIVE</t>
  </si>
  <si>
    <t>C125RW-5</t>
  </si>
  <si>
    <t>Компрессионные гольфы CEP для бега</t>
  </si>
  <si>
    <t>83% полиамид, 17% спандекс</t>
  </si>
  <si>
    <t>C1UUM-0</t>
  </si>
  <si>
    <t>C211W-5A</t>
  </si>
  <si>
    <t>87% полиамид, 13% эластан</t>
  </si>
  <si>
    <t>CR26PM-5</t>
  </si>
  <si>
    <t>PRO RUN ULTRALIGHT SOCKS, TALL</t>
  </si>
  <si>
    <t>C1UPM-5</t>
  </si>
  <si>
    <t>Мужские компрессионные гольфы CEP C1UPM разработаны для профессиональны спортсменов, занимающихся фитнесом, беговыми и игровыми видами спорта, триатлоном, велоспортом, спортивными дисциплинами на выносливость, легкой и тяжелой атлетикой. Благодаря компрессии со специальным градиентом давления, разработанной компанией medi для повышенных интенсивных нагрузок, создается усиленная поддержка вен и мышц во время занятия спортом, что помогает достичь максимального результата.
Особенности:
Специальная компрессия позволяет повысить работоспособность, снизить усталость, вероятность риска спазмов и повреждений, улучшает координацию движений и обеспечивает более быстрее восстановление.
На 30% легче, чем базовая модель благодаря специальной вязке и нитям, изготовленным с применением технологии Smart Carbon.
Благодаря низкой теплопроводимости карбона, внедренного в структуру нити, создается дополнительный охлаждающий эффект.
Мягкая верхняя кромка обеспечивает комфортную фиксацию на ноге без передавливания.
Ионы серебра в структуре нитей обеспечивают антибактериальный эффект и предотвращают образование неприятного запаха.
Протектор ахиллова сухожилия для дополнительной профилактики повреждений.
Компрессионная вставка в области среднего отдела стопы обеспечивает дополнительную стабилизацию свода стопы.
Асимметричный крой и усовершенствованная конструкция создают более совершенную анатомическую посадку, которая помогает предотвратить натирание и образование мозолей.
Силиконовые элементы Smart Grip на подошвенной части обеспечивают идеальную посадку и надежно фиксируют стопу в обуви для максимального контроля движений.
Сверхплоский шов в области пальцев не давит и не натирает.</t>
  </si>
  <si>
    <t>86% полиамид, 14% спандекс</t>
  </si>
  <si>
    <t>PRO RUN ULTRALIGHT SOCKS, TALL - WOMEN</t>
  </si>
  <si>
    <t>C1UPW-5</t>
  </si>
  <si>
    <t>Ультратонкие компрессионные гольфы CEP отличаются более высоким уровнем давления для достижения наилучших результатов. Градуированная спортивная компрессия усиленно поддерживает тонус мышц, ускоряет кровообращение, повышает результативность и улучшает координацию движений. Благодаря специальной вязке и технологии SMART CARBON изделия легче базовой модели на 30%. Они безупречно повторяет форму ноги и идеально прилегают к коже. Внедрение карбона в структуру нити обеспечивает охлаждающий эффект, что особенно важно при интенсивных тренировках.
Ультратонкие гольфы CEP PRO идеально подходят для профессиональных атлетов в следующих видах спорта:
Бег;
Легкая и тяжелая атлетика.
Фитнес;
Триатлон;
Велоспорт;
Игровые виды спорта;
Спортивные дисциплины на выносливость;
Сверхпрочные эластичные нити гарантируют долговечность и износоустойчивость изделия. Ионы серебра в структуре ткани обеспечивают антибактериальный эффект и отсутствие неприятного запаха. Для создания максимального комфорта при ношении и фиксации ноги без сдавливания в изделии присутствуют сверхплоский шов в области пальцев и мягкий верхний край.
Использование обеспечивает:
Поддержку вен и мышц в тонусе;
Низкий риск спазмов и повреждений;
Улучшение координации движений;
Быстрое восстановление;
Повышение работоспособности;
Снижение усталости;
Комфортный бег.</t>
  </si>
  <si>
    <t>C1UPW-G</t>
  </si>
  <si>
    <t>C005M-0</t>
  </si>
  <si>
    <t>C005M-5Y</t>
  </si>
  <si>
    <t>C005W-4</t>
  </si>
  <si>
    <t>CEP C005W – ультратонкие носки с компрессионным эффектом для поддержки во время тренировок и соревнований. Они безупречно повторяют форму ног и идеально прилегают к коже, создавая прекрасное «сцепление» с обувью.
• материал: 89% нейлон, 11% полиуретан;
• область применения: фитнес, легкая и тяжелая атлетика, беговые и игровые виды спорта, триатлон, велоспорт, спортивные дисциплины на выносливость;
• повышенная износоустойчивость за счет использования сверхпрочных синтетических нитей премиального качества;
• компрессионная вставка в области среднего отдела стопы обеспечивает дополнительную стабилизацию свода стопы;
• анатомически вывязанная подошвенная область плотно облегает ногу, предотвращая образование мозолей и натоптышей;
• мягкие манжеты для комфортной фиксации на ногах без сдавливания;
• сверхплоский шов в области пальцев не давит и не натирает.</t>
  </si>
  <si>
    <t>C005W-YB</t>
  </si>
  <si>
    <t>желтый/бордовый</t>
  </si>
  <si>
    <t>C053W-2</t>
  </si>
  <si>
    <t>Компрессионные укороченные гольфы CEP для активного отдыха</t>
  </si>
  <si>
    <t>Компрессионные носки CEP с шерстью мериноса, сохраняющие оптимальный температурный баланс кожи и поддерживающие здоровье вен при отдыхе на природе.
Компрессионные носки CEP – незаменимая вещь для любителей активного отдыха! Область применения:
Спортивный туризм, спортивное ориентирование, альпинизм, скандинавская ходьба, охота и рыбалка, другие виды активного отдыха на природе.
Ключевые эффекты: 
Поддержка вен и мышц в тонусе.
Выше работоспособность, меньше усталость.
Ниже риск спазмов и повреждений.
Лучше координация движений.
Ниже риск образования мозолей и натоптышей.
Дополнительный комфорт в обуви.
Быстрее восстановление.
Свойства и преимущества:
Поддержка вен и мышц во время бега благодаря специальному градиенту давления, разработанному компанией medi для спортивных нагрузок.
Комбинированная вязка из волокон шерсти мериноса и полиамида обеспечивает благоприятный температурный баланс независимо от того, в каких погодных условиях Вы используете гольфы CEP.
Содержащийся в волокнах шерсти мериноса креатин естественным образом разрушает бактерии, обитающие на человеческой коже и вызывающие неприятные запахи, усиливая таким образом антимикробные технологии medi на основе внедрения в структуру ткани ионов серебра.
Мягкий верхний край для комфортной фиксации на ноге без сдавливания.
Повышенная износоустойчивость за счет использования сверхпрочных синтетических нитей премиального качества.
Компрессионная вставка в области среднего отдела стопы обеспечивает дополнительную стабилизацию свода стопы.
Протектор голеностопного сустава.
Протектор ахиллова сухожилия для дополнительной профилактики повреждений.
Протектор для защиты сустава большого пальца ноги.
Анатомически вывязанная подошвенная область плотно облегает ногу, предотвращая образование мозолей и натоптышей.
Сверхплоский шов в области пальцев не давит и не натирает.</t>
  </si>
  <si>
    <t>71% полиамид, 19% шерсть мериноса, 10% эластан</t>
  </si>
  <si>
    <t>C053W-N</t>
  </si>
  <si>
    <t>Поддержка вен и мышц во время бега благодаря специальному градиенту давления, разработанному компанией medi для спортивных нагрузок. Комбинированная вязка из волокон шерсти мериноса и полиамида обеспечивает благоприятный температурный баланс независимо от того, в каких погодных условиях Вы используете гольфы CEP. Содержащийся в волокнах шерсти мериноса креатин естественным образом разрушает бактерии, обитающие на человеческой коже и вызывающие неприятные запахи, усиливая таким образом антимикробные технологии medi на основе внедрения в структуру ткани ионов серебра. Мягкий верхний край для комфортной фиксации на ноге без сдавливания. Повышенная износоустойчивость за счет использования сверхпрочных синтетических нитей премиального качества.</t>
  </si>
  <si>
    <t>темно-синий/серый</t>
  </si>
  <si>
    <t>71% полиамид, 19% мериносовая шерсть, 10% спандекс</t>
  </si>
  <si>
    <t>C095M-0</t>
  </si>
  <si>
    <t>CEP C095M – носки для бега, катания на велосипеде, фитнеса и длительных тренировок. Благодаря высококачественным материалам и компрессии носки обеспечивают поддержку, быстрое высыхание и комфорт.
• материал: 88% нейлон, 12% эластан;
• область применения: фитнес, легкая и тяжелая атлетика, беговые и игровые виды спорта, триатлон, велоспорт, спортивные дисциплины на выносливость;
• повышенная износоустойчивость за счет использования сверхпрочных синтетических нитей премиального качества;
• степень компрессии: 20-30 мм рт.ст.;
• анатомически вывязанная подошвенная область плотно облегает ногу, предотвращая образование мозолей и натоптышей;
• мягкие манжеты для комфортной фиксации на ногах без сдавливания;
• сверхплоский шов в области пальцев не давит и не натирает.</t>
  </si>
  <si>
    <t>C095M-3</t>
  </si>
  <si>
    <t>C095M-5</t>
  </si>
  <si>
    <t>C095M-5Y</t>
  </si>
  <si>
    <t>C095W-YB</t>
  </si>
  <si>
    <t>C09UUM-5</t>
  </si>
  <si>
    <t>Универсальные компрессионные носки CEP подойдут для большого перечня видов спорта и физической активности. Градуированная спортивная компрессия улучшает тонус мышц, ускоряет кровообращение. Благодаря облегченной на 30% формуле изделие безупречно повторяет форму ноги и увеличивает воздухопроницаемость, а ячеистая вязка создает охлаждающий эффект. Компрессия в области стопы стабилизирует ногу, повышая координацию и снижая риск травм и повреждений. Специальная технология вязки создает эффективную терморегуляцию и оптимальный теплообмен. Сверхпрочные эластичные нити гарантируют долговечность и износоустойчивость изделия. Внедрение в структуру ткани ионов серебра обеспечивает антибактериальный эффект и отсутствие неприятного запаха. Для обеспечения максимального комфорта при ношении и фиксации ноги без сдавливания в изделии предусмотрен мягкий верхний край. Использование обеспечивает: Поддержку вен и мышц в тонусе; Низкий риск спазмов и повреждений; ; Стабилизацию свода стопы.</t>
  </si>
  <si>
    <t>C09UUW-0-1</t>
  </si>
  <si>
    <t>C0UUM-S3</t>
  </si>
  <si>
    <t>Ультратонкие укороченные гольфы</t>
  </si>
  <si>
    <t>СВЕРХЛЕГКИЕ КОМПРЕССИОННЫЕ НОСКИ NO SHOW ДЛЯ БОЛЬШЕЙ АМОРТИЗАЦИИ, МОЩНОСТИ И ЛЕГКОСТИ. 
Амбициозные спортсмены, занимающиеся выносливостью , проявляют всю свою силу в этих тонких, но прочных летних носках . Носите эти сверхлегкие носки со своей спортивной обувью и наслаждайтесь всеми преимуществами.
Дышащая ткань для занятий спортом в жаркие дни.
Проверенная смесь материалов обеспечивает оптимальное управление влажностью ваших ног. Эти сверхтонкие и легкие носки помогут вам достичь максимальной производительности летом.
Умный углерод держит вас в прохладе.
Углеродная пряжа очень легкая. Он придает носкам прочность и повышает их эластичность. Носки с технологией Smart Carbon идеально подходят для занятий спортом в жаркие дни, поскольку сохраняют прохладу ногам.
Идеальная посадка. 
Сверхлегкие материалы и плотная посадка делают эти носки чрезвычайно удобными для ношения в обуви. Они остаются там, где им и место, и прекрасно чувствуют себя на ваших ногах. Асимметричный носок придает этим летним носкам идеальн</t>
  </si>
  <si>
    <t>C0UUW-5</t>
  </si>
  <si>
    <t>C105M-5</t>
  </si>
  <si>
    <t>CEP C105M – износостойкие и комфортные носки с компрессией для ежедневных пробежек. Разработаны для обеспечения целенаправленной поддержки лодыжек и стоп. Технология кругового вязания обеспечивает идеальную посадку без сползания во время бега. Сетчатые зоны сохраняют прохладу и сухость стоп.
• материал: 86% полиамид, 14% спандекс;
• область применения: фитнес, легкая и тяжелая атлетика, беговые и игровые виды спорта, триатлон, велоспорт, спортивные дисциплины на выносливость;
• повышенная износоустойчивость за счёт использования сверхпрочных синтетических нитей премиального качества;
• анатомически вывязанная подошвенная область плотно облегает ногу, предотвращая образование мозолей и натоптышей;
• мягкие манжеты для комфортной фиксации на ногах без сдавливания;
• сверхплоский шов в области пальцев не давит и не натирает.</t>
  </si>
  <si>
    <t>PRO RUN REFLECTIVE SOCKS, MID CUT, 2.0 - MEN</t>
  </si>
  <si>
    <t>C105RM-5</t>
  </si>
  <si>
    <t>CEP Compression Knee Socks</t>
  </si>
  <si>
    <t>C124W-NB</t>
  </si>
  <si>
    <t>КОМПРЕССИОННЫЕ ГОЛЬФЫ ДЛЯ БЕГА ДЛЯ ЖЕНЩИН — ЧУВСТВУЙТЕ СЕБЯ ЭФФЕКТИВНО АКТИВНЫМИ.
Идеальные тренировочные носки для женщин, которые любят тренироваться в любое время дня: компрессионные носки для бега от CEP Activating Sportswear — это беговые носки для любого случая — независимо от того, бегаете ли вы по неровной местности или изо всех сил на беговой дорожке.
Бегайте с большей выносливостью и быстрее восстанавливайтесь.
Переопределенный профиль компрессии стал более точным и активирует поступление питательных веществ в стопы и икры. Благодаря этому ваши ноги становятся сильнее и легче. Более того, усиленное кровообращение стимулирует удаление метаболических отходов для большей выносливости и более быстрого восстановления — даже во время тренировки. Компрессия в икрах поглощает «удары» во время тренировки, чтобы дать вам дополнительный заряд энергии.
Больше стабильности и меньше травм.
Еще одно большое преимущество компрессионных носков The Run для женщин заключается в том, что они повышают точность вашей работы ног: компрессионный активирующий эффект стимулирует ваши мышцы с глубоким сенсорным эффектом. Вы можете лучше чувствовать свои ноги, что улучшает вашу устойчивость. Кроме того, компрессия стабилизирует опорно-двигательный аппарат и обеспечивает поддержку. Эффект: Меньше травм. Мягкие зоны в области стопы смягчают ваши шаги и защищают ваши суставы.
Комфорт бега без мозолей.
Женские компрессионные носки Run сочетают в себе проверенную смесь материалов и инновационные функции комфорта для идеального отведения тепла и влаги. Сетчатая структура в области икр обеспечивает отличную вентиляцию и приятные ощущения в кроссовках, а инновационные воздушные каналы в стельке и вентиляционные зоны в области носка обеспечивают дополнительный комфорт. А анатомический дизайн, сжатие и сочетание материалов гарантируют идеальную посадку, чтобы у вас не было мозолей на многие мили вперед.</t>
  </si>
  <si>
    <t>C125M-3</t>
  </si>
  <si>
    <t>C125W-4</t>
  </si>
  <si>
    <t>C125W-5</t>
  </si>
  <si>
    <t>C12EM-RY</t>
  </si>
  <si>
    <t>красный/желтый</t>
  </si>
  <si>
    <t>C12EW-GY</t>
  </si>
  <si>
    <t>Разработаны специально для женщин. Стильные компрессионные гольфы для бега с цветным градиентом! Испытайте их, чтобы почувствовать высокую производительность во время тренировки и быстрое восстановление после. Градуированная спортивная компрессия усиливает кровоток, предотвращает появление судорог икроножных мышц, уменьшает отечность и способствует выведению молочной кислоты. Компрессионная трикотажная ткань стабилизирует мышцы и суставы, а протектор в области ахиллова сухожилия защищает от возможных растяжений. Компрессионная вставка в среднем отделе стопы дополнительно стабилизирует своды стопы.
Благодаря высокотехнологичным материалам, системе терморегуляции HEIQ SMART TEMP и технологии отвода влаги FERAN ICP ноги остаются сухими во время пробежек, пот быстро испаряется с поверхности кожи, поддерживается оптимальная температура. Вы получаете удовольствие от бега! Анатомический крой обеспечивает плотное прилегание изделий, защиту от натирания и мозолей. Гольфы не перекручиваются и не сползают даже при высокоинсивных спортивных нагрузках.
Свойства и преимущества:
компрессия обеспечивает поддержку мышц и суставов, улучшает кровообращение, способствует снижению отеков и выводу лактата;
протектор ахиллова сухожилия для профилактики повреждений;
компрессионная вставка в области среднего отдела стопы для дополнительной стабилизации;
высокотехнологичная нить TWD SMART DRY оптимизирует терморегуляцию в жаркие и холодные дни;
система терморегуляции HEIQ SMART TEMP сохраняет прохладу, сухость и комфорт вкупе с отличной воздухопроницаемостью;
технология отвода влаги FERAN ICP способствует быстрому испарению влаги, сохраняя ноги сухими и поддерживает естественный охлаждающий эффект;
асимметричный носок обеспечивает естественное положение пальцев;
анатомический крой и сверхплоские швы минимизируют трение, предотвращая появление мозолей;
мягкий верхний край для комфортной фиксации на ноге без сдавливания.</t>
  </si>
  <si>
    <t>C1UPM-G</t>
  </si>
  <si>
    <t>C1UUM-S3</t>
  </si>
  <si>
    <t>ULTRALIGHT SOCKS – ЧРЕЗВЫЧАЙНО ЛЕГКИЕ КОМПРЕССИОННЫЕ ГОЛЬФЫ ДЛЯ МУЖЧИН.
Высокая производительность и малый вес: ультралегкие носки мгновенно приближают вас на два шага к вашим целям. Во-первых, вы получаете выгоду от сжатия, повышающего производительность . Кроме того, вы также наслаждаетесь исключительным комфортом сверхлегкой и чрезвычайно дышащей ткани . Идеальная посадка с асимметричными носками завершает комплект.
Больше энергии и больше силы благодаря уменьшению мышечных вибраций.
Вы почувствуете разницу уже на первых шагах: компрессионная посадка мужских носков Ultralight Socks снижает вибрации в мышцах. Это сохраняет вашу энергию, поэтому у вас больше силы на земле . Еще одним приятным эффектом сверхлегких компрессионных носков является улучшенный бег на любой дистанции.
Улучшение кровообращения для повышения производительности.
Усовершенствованная компрессия medi максимизирует эффективность кровообращения в мышцах. Это означает, что питательные вещества быстрее попадают в ваши мышцы, и ваше тело бы</t>
  </si>
  <si>
    <t>C1UUW-0-1</t>
  </si>
  <si>
    <t>ULTRALIGHT COMPRESSION SOCKS – СВЕРХЛЕГКИЕ КОМПРЕССИОННЫЕ ГОЛЬФЫ ДЛЯ ЖЕНЩИН.
Чувствуйте себя хорошо и быстрее достигайте своих целей: сверхлегкие компрессионные носки для женщин поддержат вас в ваших спортивных амбициях! Дышащая , сверхлегкая ткань гарантирует непревзойденный комфорт, а компрессионный материал повышает производительность . А благодаря идеальной посадке и анатомической форме эти компрессионные носки для женщин сидят как влитые.
Меньше мышечных колебаний = больше энергии и силы.
Вы почувствуете разницу сразу же, как только наденете их: сверхлегкие компрессионные носки для женщин снижают мышечную вибрацию. Вы сохраняете свою энергию и облегчаете свой шаг . Другими словами, вы получаете более комфортный бег — на короткие или длинные дистанции.
Легкие ноги и больше силы благодаря улучшенному кровообращению.
В женских женских носках Ultralight ваши ноги заметно облегчаются, и вы поднимаете свою производительность на новый уровень. Усовершенствованная компрессия medi улучшает кровообращение в мышцах, что также увеличивает снабжение мышц питательными веществами и ускоряет удаление продуктов метаболизма .
Откройте для себя сверхлегкий комфорт при ношении и идеальную посадку.
Сверхтонкие и с минимальной набивкой: эти особенности делают носки Ultralight Socks идеальным связующим звеном между вашими ногами и облегающими кроссовками. Они также обладают отличной воздухопроницаемостью, что идеально подходит в жаркие летние дни. Это помогает предотвратить волдыри. В то же время интегрированные углеродные волокна гарантируют максимальную стабильность тонкой ткани.</t>
  </si>
  <si>
    <t>C1UUW-5-1</t>
  </si>
  <si>
    <t>C214W-25</t>
  </si>
  <si>
    <t>Компрессионные гольфы CEP для катания на лыжах, мужские</t>
  </si>
  <si>
    <t>Компрессионные носки для горных лыж
Поддержка мышц и сухожилий
Мягкая, влагоотводящая, быстросохнущая ткань
Компрессионные носки специально для горнолыжного спорта. Обеспечивают поддержку мышц, снижают усталость, дают ощущение лёгкости и силы, помогают улучшить эффективность тренировок и предотвратить травмы.
• материал: 88% полиамид, 12% эластан;
• поддержка вен и мышц благодаря специальному градиенту давления, разработанному компанией medi для спортивных нагрузок;
• мягкие манжеты для комфортной фиксации на ноге без сдавливания;
• повышенная износоустойчивость за счет использования сверхпрочных синтетических нитей премиального качества;
• защитная накладка на всем протяжении голени;
• сверхплоский шов в области пальцев не давит и не натирает.</t>
  </si>
  <si>
    <t>серый/зеленый</t>
  </si>
  <si>
    <t>C221W-5</t>
  </si>
  <si>
    <t>`-Спортивная компрессия улучшает циркуляцию крови в стопе и икроножной мышце, предотвращает образование отеков                                                                                                                                                      -Шерсть Мерино в структуре нити обеспечивает широкий температурный диапазон комфортного применения: не холодно в мороз, не жарко при теплой погоде. Содержащийся в шерсти креатин естественный образом разрушает бактерии, подавляет патогенную микрофлору, обеспечивает антибактериальный эффект.
-Мягкий верхний край для комфортной фиксации на ноге без сдавливания
-Асимметричный носок и усовершенствованная конструкция создают более совершенную анатомическую посадку, которая помогает предотвратить натирание и образование мозолей
-Повышенная износоустойчивость за счет использования сверхпрочных эластичных нитей
-Протектор ахиллова сухожилия для профилактики повреждений
-Технология отвода влаги FERAN ICP - способствует быстрому испарению влаги, сохраняет ваши ноги сухими и поддерживает естественный охлаждающий эффект.
-Система терморегуляции HEIQ SMART TEMP - сохраняет прохладу, сухость и комфорт вкупе с идеальной воздухопроницаемостью
-Компрессия в области среднего отдела стопы обеспечивает дополнительную стабилизацию свода стопы
-Сверхплоский шов в области пальцев не давит и не натирает</t>
  </si>
  <si>
    <t>76% полиамид, 13% шерсть мериноса, 11% эластан</t>
  </si>
  <si>
    <t>C2UUM-S3</t>
  </si>
  <si>
    <t>Компрессионные укороченные гольфы для бега</t>
  </si>
  <si>
    <t>Мужские компрессионные ультратонкие носки CEP с охлаждающим эффектом для поддержки тонуса мышц и повышения результативности во время занятий спортом.
Ультратонкие компрессионные носки CEP подойдут для большого перечня видов спорта и физической активности. Градуированная спортивная компрессия улучшает тонус мышц, ускоряет кровообращение. Благодаря специальной вязке и технологии SMART CARBON изделия легче базовой модели на 30%. Они безупречно повторяют форму ноги и идеально прилегают к коже. Внедрение карбона в структуру нити обеспечивает охлаждающий эффект, что особенно важно при интенсивных тренировках. Компрессионная вставка в области стопы дополнительно стабилизирует ногу, повышая координацию и снижая риск травм и повреждений.
Ультратонкие носки CEP идеально подходят для следующих видов спорта:
Бег;
Спортивные дисциплины на выносливость;
Легкая и тяжелая атлетика.
Фитнес;
Триатлон;
Велоспорт;
Игровые виды спорта;
Сверхпрочные эластичные нити гарантируют долговечность и износоустойчивость изделия. Ионы сер</t>
  </si>
  <si>
    <t>C2UUW-5-1</t>
  </si>
  <si>
    <t>CORE RUN SLEEVES, CALF, 5.0</t>
  </si>
  <si>
    <t>C305M-0</t>
  </si>
  <si>
    <t>Гетры</t>
  </si>
  <si>
    <t>Мужские компрессионные гетры CEP Core Run Calf Compression созданы для поддержки мышц и улучшения кровообращения во время бега и других активных тренировок. Технология круговой вязки обеспечивает точное распределение компрессии, что стабилизирует мышцы, ускоряет их восстановление, снижает усталость и повышает выносливость спортсмена. Специальные сетчатые зоны улучшают вентиляцию, а влагоотводящий материал быстро испаряет пот, сохраняя ноги сухими. Поддержка ахиллова сухожилия снижает риск травм и улучшает посадку. Благодаря оптимальному давлению гетры стимулируют кровоток, доставку кислорода к мышцам и уменьшают отеки, что делает их идеальными для длительных тренировок.
Особенности:
Точечная компрессия – стабилизирует мышцы, улучшает кровообращение и снижает мышечную усталость.
Стратегически расположенные сетчатые зоны обеспечивают дополнительное охлаждение.
Влагоотводящий материал – быстро отводит пот, сохраняя сухость.
Протектор ахиллова сухожилия – снижает риск травм и повышает комфорт.
Фирменная технология CEP использует технику круговой вязки для компрессии на 360° с точно контролируемыми зонами поддержки и активации по всему изделию.
Линия CEP Core сочетает в себе технологичные решения с высоким уровнем комфорта, чтобы обеспечить оптимальную поддержку во время тренировок. При этом универсальность является главным приоритетом — продукты идеально подходят для широкого спектра видов спорта и степени интенсивности.
Походят для бега, кроссфита и других интенсивных тренировок.</t>
  </si>
  <si>
    <t>79% полиамид, 21% эластан</t>
  </si>
  <si>
    <t>C305M-3</t>
  </si>
  <si>
    <t>C305W-4</t>
  </si>
  <si>
    <t>Женские компрессионные гетры CEP Core Run Calf Compression созданы для поддержки мышц и улучшения кровообращения во время бега и других активных тренировок. Технология круговой вязки обеспечивает точное распределение компрессии, что стабилизирует мышцы, ускоряет их восстановление, снижает усталость и повышает выносливость спортсмена. Специальные сетчатые зоны улучшают вентиляцию, а влагоотводящий материал быстро испаряет пот, сохраняя ноги сухими. Поддержка ахиллова сухожилия снижает риск травм и улучшает посадку. Благодаря оптимальному давлению гетры стимулируют кровоток, доставку кислорода к мышцам и уменьшают отеки, что делает их идеальными для длительных тренировок.
Особенности:
Точечная компрессия – стабилизирует мышцы, улучшает кровообращение и снижает мышечную усталость.
Стратегически расположенные сетчатые зоны обеспечивают дополнительное охлаждение.
Влагоотводящий материал – быстро отводит пот, сохраняя сухость.
Протектор ахиллова сухожилия – снижает риск травм и повышает комфорт.
Фирменная технология CEP использует технику круговой вязки для компрессии на 360° с точно контролируемыми зонами поддержки и активации по всему изделию.
Линия CEP Core сочетает в себе технологичные решения с высоким уровнем комфорта, чтобы обеспечить оптимальную поддержку во время тренировок. При этом универсальность является главным приоритетом — продукты идеально подходят для широкого спектра видов спорта и степени интенсивности.
Походят для бега, кроссфита и других интенсивных тренировок.</t>
  </si>
  <si>
    <t>C3UUW-5-1</t>
  </si>
  <si>
    <t>Компрессионные гетры CEP для занятия спортом, ультратонкие, женские</t>
  </si>
  <si>
    <t>Ультратонкие компрессионные гетры CEP подойдут для большого перечня видов спорта и физической активности. Градуированная спортивная компрессия поддерживает тонус мышц, ускоряет кровообращение, повышает результативность и улучшает координацию движений. Благодаря специальной вязке и технологии SMART CARBON изделия легче базовой модели на 30%. Они безупречно повторяет форму ноги и идеально прилегают к коже. Внедрение карбона в структуру нити обеспечивает охлаждающий эффект, что особенно важно при интенсивных тренировках. Сверхпрочные эластичные нити гарантируют долговечность и износоустойчивость изделия. Ионы серебра в структуре ткани обеспечивают антибактериальный эффект и отсутствие неприятного запаха. Для создания максимального комфорта при ношении и фиксации ноги без сдавливания в изделии присутствуют мягкие верхний и нижний края.</t>
  </si>
  <si>
    <t>C3UUW-S3</t>
  </si>
  <si>
    <t>СВЕРХЛЕГКИЕ КОМПРЕССИОННЫЕ ГЕТРЫ ДЛЯ ЖЕНЩИН. 
Устанавливайте новые личные рекорды, чувствуйте себя хорошо и прекрасно выглядите — с ультралегкими компрессионными гетрами для голени для женщин. Они сделаны из тонкой, сверхлегкой и дышащей ткани, что делает их идеальными для жаркой погоды, чтобы вы могли наслаждаться благотворным эффектом компрессии и комфортным беззаботным бегом летом .
Улучшение кровообращения для повышения мышечной производительности. 
Оптимальное снабжение мышц питательными веществами и быстрое удаление лактатов необходимо для достижения максимальной производительности. Именно здесь в игру вступают сверхлегкие компрессионные гетры. Сжатие medi улучшает кровообращение, что увеличивает потенциал производительности. Это дает вам больше силы и выносливости, когда вам это нужно больше всего.
Уменьшение мышечных вибраций для большей мощности. 
Еще одним положительным эффектом сверхлегких компрессионных гетр  для женщин является то, что они минимизируют нежелательные вибрации мышц, которые краду</t>
  </si>
  <si>
    <t>CEP Socks</t>
  </si>
  <si>
    <t>C516UM-22</t>
  </si>
  <si>
    <t>Функциональные укороченные гольфы CEP для активного отдыха, тонкие, с шерстью мериноса, мужские</t>
  </si>
  <si>
    <t>Компрессионные гольфы Cep Socks для мужчин созданы специально для бегунов, стремящихся улучшить свои спортивные результаты и уменьшить усталость ног. Эти гольфы обеспечивают оптимальный уровень компрессии, что способствует улучшению кровообращения и повышению доставки кислорода к мышцам, тем самым снижая мышечную усталость и ускоряя восстановление после нагрузок. Высококачественные материалы и современная технология вязки гарантируют отличную воздухопроницаемость и отведение влаги, поддерживая комфорт и сухость даже во время интенсивных тренировок. Гольфы анатомически корректно сидят на ноге, а эластичность ткани обеспечивает надежную посадку без сдавливания. Усиленные зоны в ключевых областях повышают износостойкость и обеспечивают поддержку стопы и голеностопа. Cep Socks — это ваш надежный партнер в достижении новых спортивных высот.</t>
  </si>
  <si>
    <t>76% полиамид, 12% шерсть мериноса, 12% эластан</t>
  </si>
  <si>
    <t>HIKING LIGHT CUSHION SOCKS, MID CUT - MEN</t>
  </si>
  <si>
    <t>C516UM-2G</t>
  </si>
  <si>
    <t>C516UM-52</t>
  </si>
  <si>
    <t>HIKING LIGHT CUSHION SOCKS, MID CUT - WOMEN</t>
  </si>
  <si>
    <t>C516UW-2G</t>
  </si>
  <si>
    <t>Женские носки CEP Hiking Light Cushion Socks — это идеальное сочетание комфорта и функциональности для любительниц походов и активного образа жизни. Разработанные специально для длительных прогулок, они обеспечивают великолепную поддержку и амортизацию благодаря легкой подушечке. Технологичная ткань эффективно отводит влагу, обеспечивая ощущение сухости и свежести на протяжении всего дня. Анатомическая конструкция и обтягивающий крой гарантируют отличную посадку и предотвращают образование складок и натираний. Усиленные зоны на пятке и носке повышают долговечность, а эластичные манжеты надежно фиксируют носки на ноге. Эти носки станут незаменимым спутником в ваших приключениях, обеспечивая комфорт и защиту с каждым шагом.</t>
  </si>
  <si>
    <t>C516UW-52</t>
  </si>
  <si>
    <t>CS152U-5</t>
  </si>
  <si>
    <t>Компрессионная гетра CEP на коленный сустав, средняя поддержка</t>
  </si>
  <si>
    <t>НАКОЛЕННИК СО СРЕДНЕЙ ПОДДЕРЖКОЙ: АКТИВАЦИЯ КЛЕТОК И БОЛЬШАЯ СТАБИЛЬНОСТЬ.
Колено является стержнем опорно-двигательного аппарата в любом виде спорта, требующем выносливости. С Mid Support Knee Sleeve от CEP вы поддерживаете коленный сустав и мышцы компрессией. Функциональная коленная повязка стимулирует клетки, улучшает чувствительность и обеспечивает стабильность и поддержку. Наколенник сидит удобно и не скользит. Поддерживайте колено во время интенсивных тренировок и получайте пользу от эффективной регенерации с помощью наколенника со средней поддержкой.
Стабильность и комфорт во время тренировки. 
Коленный бинт средней поддержки имеет анатомическую форму. Благодаря компрессионному эффекту и предварительно сформированному углублению в колене он плотно прилегает и, таким образом, оптимально поддерживает коленный сустав и мышцы во время интенсивных занятий спортом. Это дает вам больше контроля над вашими движениями и позволяет вам работать наилучшим образом.
Оптимальная фиксация, отсутствие скольжения. 
техника без швов обеспечивает высокий комфорт при ношении, благодаря чему ничего не пережимается и не образуются заломы. Систематически используемые силиконовые точки на кромке и плотная посадка обеспечивают оптимальную поддержку. Mid Support Knee Sleeve изготовлен из дышащего материала, который позволяет воздуху циркулировать. Таким образом, вы можете посвятить себя тренировкам, не беспокоясь о соскальзывании аксессуаров или накоплении тепла.
Улучшенная чувствительность за счет активации клеток. 
Компрессия обеспечивает улучшение кровообращения и повышение чувствительности в суставе и мышцах. Таким образом, вы сможете проводить тренировки еще точнее и эффективнее восстанавливать силы.</t>
  </si>
  <si>
    <t>47% полиамид, 35% полиэстер, 18% эластан</t>
  </si>
  <si>
    <t>39-42</t>
  </si>
  <si>
    <t>CEP Gloves</t>
  </si>
  <si>
    <t>CB949U-5</t>
  </si>
  <si>
    <t>Перчатки флисовые</t>
  </si>
  <si>
    <t>Черные флисовые спортивные перчатки CEP представляют собой идеальное сочетание тепла, комфорта и функциональности для активных людей. Изготовленные из высококачественного флиса, они эффективно сохраняют тепло, обеспечивая при этом отличную воздухопроницаемость, чтобы ваши руки оставались сухими даже при интенсивных нагрузках.
Особенности:
- Тепло и комфорт: Флисовый материал обеспечивает отличную теплоизоляцию, защищая руки от холода в прохладную погоду.
- Дышащий материал: Перчатки позволяют коже дышать, предотвращая перегрев и потоотделение.
- Эргономичный дизайн: Анатомический крой обеспечивает идеальную посадку по руке и свободу движений.
- Совместимость с сенсорными экранами: Специальные вставки на кончиках пальцев позволяют пользоваться смартфоном или планшетом, не снимая перчаток.
- Антискользящие элементы: Усиленные вставки на ладонях обеспечивают надежный хват и дополнительную износостойкость.
- Светоотражающие детали: Для дополнительной безопасности в условиях низкой видимости.
Идеальны для:
- Бега и занятий спортом на открытом воздухе
- Пеших прогулок и туризма
- Езды на велосипеде
- Повседневного использования в городе
Стильный черный цвет перчаток CEP легко сочетается с любой спортивной одеждой, делая их универсальным аксессуаром в вашем гардеробе. Оцените качество и продуманный дизайн, которые помогут вам оставаться активными и защищенными в любую погоду.</t>
  </si>
  <si>
    <t>Полиэстер</t>
  </si>
  <si>
    <t>CORE RUN ULTRALIGHT SLEEVES, ARM, LONG</t>
  </si>
  <si>
    <t>CU71U-5</t>
  </si>
  <si>
    <t>Рукава</t>
  </si>
  <si>
    <t>Компрессионные рукава CEP CU71U Run Ultralight Long были созданы для повышения результативности во время физических нагрузок. Спортивная градуированная компрессия улучшает тонус мышц, ускоряет кровообращение, повышает выносливость и улучшает координацию. Кроме того, компрессионный эффект улучшает стабилизацию и ускоряет восстановление мышц, повышает координацию.
• виды спорта, где задействованы мышцы рук и локтевые суставы (велоспорт, игровые виды, бег, триатлон, теннис, гребля, гольф, легкая атлетика, триатлон, спортивные дисциплины на выносливость, фитнес);
• материал: 76% полиамид, 24% эластан;
• поддержка мышц в тонусе;
• выше работоспособность, меньше усталость;
• ниже риск спазмов и повреждений;
• лучше координация движений;
• комфорт при занятиях спортом;
• более быстрое восстановление.</t>
  </si>
  <si>
    <t>76% полиамид, 24% эластан</t>
  </si>
  <si>
    <t>CORE RUN ULTRALIGHT SLEEVES, ARM, SHORT</t>
  </si>
  <si>
    <t>CU70U-0</t>
  </si>
  <si>
    <t>Компрессионные рукава CEP CU70U Run Ultralight Short были созданы для повышения результативности во время физических нагрузок. Спортивная градуированная компрессия улучшает тонус мышц, ускоряет кровообращение, повышает выносливость и улучшает координацию. Кроме того, компрессионный эффект улучшает стабилизацию и ускоряет восстановление мышц, повышает координацию.
• виды спорта, где задействованы мышцы рук и локтевые суставы (велоспорт, игровые виды, бег, триатлон, теннис, гребля, гольф, легкая атлетика, триатлон, спортивные дисциплины на выносливость, фитнес);
• материал: 76% полиамид, 24% эластан;
• поддержка мышц в тонусе;
• выше работоспособность, меньше усталость;
• ниже риск спазмов и повреждений;
• лучше координация движений;
• комфорт при занятиях спортом;
• более быстрое восстановление.</t>
  </si>
  <si>
    <t>CU70U-5</t>
  </si>
  <si>
    <t>CU71U-0</t>
  </si>
  <si>
    <t>CORE RUN THERMAL TIGHTS - MEN</t>
  </si>
  <si>
    <t>C625TM-5</t>
  </si>
  <si>
    <t>Термобелье (низ)</t>
  </si>
  <si>
    <t>Термобелье</t>
  </si>
  <si>
    <t>Термолегкие тайтсы Core Run Thermo Tights обеспечивают эффективную защиту бегуна в холода. Изделие подходит как для ежедневных пробежек, так и для длительных дистанций.
Легкие компрессионные вставки имеют анатомическую посадку, поддерживают суставы и мышц. Компрессия улучшает кровообращение, ускоряет восстановление мышц между тренировками. Мягкая ткань с начесом сохраняет тепло и воздухопроницаемость, а ветроустойчивый материал дополнительно защищает от непогоды и порывов ветра. Благодаря светоотражающим элементам можно безопасно бегать в темное время суток или условиях низкой освещенности.
Карман на молнии для мелочей (телефона, наушников, ключей) позволяет чувствовать себя комфортно на пробежке.
Свойства и преимущества:
спортивная компрессия улучшает микроциркуляцию в мышцах, минимизирует изнурительные мышечные вибрации;
ткань с начесом сохраняет тепло и воздухопроницаемость, а ветрозащитный материал защищает от непогоды;
анатомическая посадка по фигуре не сковывает движения;
регулируемый пояс со шнурком гарантирует надежную посадку;
светоотражающие элементы на голени повышают безопасность в темное время суток;
мягкие и плоские швы обеспечивают комфорт при соприкосновении с кожей;
задний карман с молнией для мелочей позволяет полностью сосредоточиться на пробежке;</t>
  </si>
  <si>
    <t>91% полиэстер, 9% эластан</t>
  </si>
  <si>
    <t>CORE RUN WINDBREAKER - MEN</t>
  </si>
  <si>
    <t>CT88M-5</t>
  </si>
  <si>
    <t>Ветровка CEP Core Run создана для высокой результативности в межсезонье: она сочетает лёгкую ветрозащитную ткань с продуманно расположенными сетчатыми зонами для оптимальной воздухопроницаемости. Удлинённый воротник обеспечивает дополнительную защиту от непогоды, а эргономичные линии кроя и свободный силуэт гарантируют свободу движений и комфорт в течение всего дня. Разработанный специально для бегунов, этот жакет оснащён рукавами реглан для максимальной подвижности в плечах, эластичными манжетами для плотной посадки и регулируемым шнурком по низу — чтобы вы могли настроить посадку под себя. Светоотражающие элементы с логотипом повышают видимость в условиях недостаточной освещённости, а множество карманов для хранения, включая три удобных застёгивающихся на молнию кармана, надёжно фиксируют все необходимое во время пробежки.
Лёгкий и ветрозащитный: надёжно защищает от ветра и осадков, не нарушая воздухообмена.
Продуманная вентиляция: сетчатые вставки улучшают циркуляцию воздуха, сохраняя прохладу и комфорт.
Эргономичный и свободный крой: расслабленный силуэт обеспечивает полную свободу движений во время бега и тренировок.
Высокий воротник: дополнительная защита от ветра и холода.
Рукава реглан: улучшают подвижность в плечевом поясе для естественной беговой механики.
Регулируемые элементы: эластичные манжеты и шнурок по низу позволяют точно настроить посадку.
Светоотражающие детали: повышают безопасность за счёт лучшей заметности в темноте и сумерках.
Вместительные карманы: три кармана на молниях надёжно удерживают ключи, телефон и другие мелочи.</t>
  </si>
  <si>
    <t>100% полиамид | 96% полиэстер, 4% эластан</t>
  </si>
  <si>
    <t>CEP T-shirt</t>
  </si>
  <si>
    <t>C821W-5</t>
  </si>
  <si>
    <t>Футболка CEP ультралёгкая без рукавов, женская</t>
  </si>
  <si>
    <t>Беговая майка Run Ultralight создана, чтобы повысить комфорт и результаты ваших беговых тренировок в жаркие летние дни. Независимо от того, бегаете ли вы на длинные дистанции или короткие - в ультралегкой беговой футболке вы сможете достичь новых личных рекордов. Здесь все, от материала до деталей, отличается высокими эксплуатационными характеристиками, чтобы вы могли полностью сосредоточиться на результате своей тренировки.
Особенности:
Анатомический крой и ультралегкие эластичные материалы обеспечивают идеальное облегание по фигуре, исключая трение во время интенсивных тренировок.
Бесшовные технологии.
Светоотражающие элементы SMART Reflective с эффектом «кошачий глаз» обеспечивают безопасность в темноте и снижают риск того, что велосипедисты или водители вас не заметят.
Чрезвычайно легкий материал кажется воздушным даже и обеспечивает комфорт при высоких температурах, специальная структура ткани увеличивает воздухопроницаемость.
Вязка из дышащих и быстросохнущих материалов обеспечивает оптимальный влаго- и теплообмен.
Лазерная перфорация и сетчатые вставки на спине и в области предплечья для лучшей воздухопроницаемости
Футболка Run Ultralight с длинным рукавом имеет запатентованное покрытие UVProtection, которое защищает вашу кожу от ультрафиолетового излучения.</t>
  </si>
  <si>
    <t>90% полиамид, 10% эластан</t>
  </si>
  <si>
    <t>CORE RUN SHIRT, SHORT SLEEVE</t>
  </si>
  <si>
    <t>CT80W-I</t>
  </si>
  <si>
    <t>CEP CT80W – ультралёгкая футболка из сетчатой «дышащей ткани. Идеальна для ежедневных пробежек в жаркую погоду. Кофейные волокна, входящие в состав препятствуют возникновению запаха пота, дольше сохраняя свежесть.
• материал: 57% полиэстер, 32% кофейное волокно, 11% спандекс;
• светоотражающие элементы.</t>
  </si>
  <si>
    <t>57% полиэстер, 32% кофейное волокно, 11% спандекс</t>
  </si>
  <si>
    <t>CEP Tee</t>
  </si>
  <si>
    <t>C845MM-5</t>
  </si>
  <si>
    <t>Ультралёгкая футболка CEP</t>
  </si>
  <si>
    <t>УЛЬТРАЛЕГКАЯ ФУТБОЛКА С ДЛИННЫМИ РУКАВАМИ
ОБЛАСТЬ ПРИМЕНЕНИЯ
Фитнес, легкая и тяжелая атлетика, беговые и игровые виды спорта, триатлон, велоспорт, спортивные дисциплины на выносливость
КЛЮЧЕВЫЕ ЭФФЕКТЫ
- Легкость и комфорт во время занятий спортом
СВОЙСТВА И ПРЕИМУЩЕСТВА
- Чрезвычайно легкий и приятный на ощупь материал
- Охлаждающий эффект благодаря гидрофильной обработке ткани
- Дизайн с учетом анатомического строения тела обеспечивает плотное прилегание к поверхности кожи, не сковывая движения и грудную клетку
- Ткань с минимальным количеством швов не давит и не натирает кожу
- Специальная вязка из дышащего и быстро высыхающего волокна Nilit Aquarius обеспечивает быстрый вывод влаги с поверхности тела и превосходный воздухоообмен
СОСТАВ МАТЕРИАЛА
Полиамид, полиэстер</t>
  </si>
  <si>
    <t>Полиамид – 67%, полиэстер – 33%</t>
  </si>
  <si>
    <t>CORE RUN SHIRT, LONG SLEEVE, 5.0 - MEN</t>
  </si>
  <si>
    <t>CT81M-5</t>
  </si>
  <si>
    <t>Универсальная базовая кофта, созданная для комфортного бега и тренировок в любых условиях. Модель сочетает в себе легкость, функциональность и продуманный дизайн, обеспечивая идеальный баланс между воздухопроницаемостью и защитой.
Модель изготовлена из высококачественной сетчатой ткани, поэтому гарантирует максимальную вентиляцию и эффективное отведение влаги от тела. Свободный крой обеспечивает естественную свободу движений и комфорт при любой активности - от коротких пробежек до длительных тренировок. Для дополнительной безопасности в условиях низкой освещенности предусмотрен светоотражающий логотип CEP.</t>
  </si>
  <si>
    <t>CT80M-2</t>
  </si>
  <si>
    <t>CEP CT80M – ультралёгкая футболка из сетчатой «дышащей ткани. Идеальна для ежедневных пробежек в жаркую погоду. Кофейные волокна, входящие в состав препятствуют возникновению запаха пота, дольше сохраняя свежесть.
• материал: 57% полиэстер, 32% кофейное волокно, 11% спандекс;
• светоотражающие элементы.</t>
  </si>
  <si>
    <t>CT80M-5</t>
  </si>
  <si>
    <t>CT80W-5</t>
  </si>
  <si>
    <t>CORE RUN SHIRT, SLEEVELESS</t>
  </si>
  <si>
    <t>CT82M-5</t>
  </si>
  <si>
    <t>CEP CT82M – ультралёгкая майка из сетчатой «дышащей ткани. Идеальна для ежедневных пробежек в жаркую погоду. Кофейные волокна, входящие в состав препятствуют возникновению запаха пота, дольше сохраняя свежесть.
• материал: 57% полиэстер, 32% кофейное волокно, 11% спандекс;
• светоотражающие элементы.</t>
  </si>
  <si>
    <t>C801M-5</t>
  </si>
  <si>
    <t>Футболка CEP ультралёгкая с короткими рукавами</t>
  </si>
  <si>
    <t>Футболка выполнена из ультралегкого, практически невесомого материала. Силуэт продуман с учетом анатомического строения тела, плотно облегает, но не сковывает движений. Мягкая бесшовная ткань приятна на ощупь и предотвращает возможность натирания кожи.
На спине и в области предплечий предусмотрена лазерная перфорация и сетчатые вставки для дополнительной вентиляции. Гидрофильная обработка и особая структура ткани обеспечивают быстрый отвод влаги с поверхности тела и дарят приятный охлаждающий эффект.
Светоотражающие элементы с эффектом "кошачий глаз" Smart Reflective повышают безопасность тренировок в темное время суток.</t>
  </si>
  <si>
    <t>CEP Jogging hat</t>
  </si>
  <si>
    <t>CB941U-0</t>
  </si>
  <si>
    <t>Шапка CEP флисовая, универсальная</t>
  </si>
  <si>
    <t>Удобная шапка из микрофлиса поможет сохранить тепло в холода: с первых прохладных дней и до праздничных морозов. А самое главное, что с ней не нужно заранее планировать свой день. Обычная прогулка может легко превратиться в пробежку по вашему желанию. Воздухопроницаемый материал быстро впитает лишнюю влагу и высохнет. Так что вы сможете наслаждаться природой столько, сколько захотите.</t>
  </si>
  <si>
    <t>CB941U-3</t>
  </si>
  <si>
    <t>CB941U-5</t>
  </si>
  <si>
    <t>CEP BUFF</t>
  </si>
  <si>
    <t>CB947U-3</t>
  </si>
  <si>
    <t>Бафф</t>
  </si>
  <si>
    <t>Шарфы</t>
  </si>
  <si>
    <t>Бафф для тренировок на улице, который защитит от холода и ветра. Изготовлен из функциональной ткани, имеющей гладкую поверхность с внешней стороны и теплый флисовый слой с изнанки.
Изделие обладает хорошей эластичностью: растягивается во время надевания, но при этом быстро восстанавливает первоначальную форму.
Комфортная температура использования: от –5 до –15°С.</t>
  </si>
  <si>
    <t>CB947U-H</t>
  </si>
  <si>
    <t>CEP Shorts</t>
  </si>
  <si>
    <t>C48M-5</t>
  </si>
  <si>
    <t>Функциональные шорты CEP 2 в 1, мужские</t>
  </si>
  <si>
    <t>Специально для тех, кто не мыслит свою жизнь без спорта, разработаны компрессионные шорты CEP 2 в 1. Эти шорты состоят из внешних и внутренних шортов. Внутренние шорты компрессионные, равномерно распределяющие компрессию в области бедра с помощью технологии TightFit. Градуированная спортивная компрессия улучшает тонус мышц, ускоряет кровообращение, повышает выносливость и улучшает координацию. Внешние шорты Loose Fit со свободным кроем придают изделию отличный внешний вид. Они отличаются анатомическим пошивом, не стесняют движения и не мешают им. Специальная технология вязки создает эффективную терморегуляцию и оптимальный теплообмен. Сверхпрочные эластичные нити гарантируют долговечность и износоустойчивость изделия. Для дополнительного удобства в крой добавлен скрытый задний карман с молнией. Сверхплоские швы не натрут кожу и не окажут лишнего давления.</t>
  </si>
  <si>
    <t>90% полиэстер, 10% эластан</t>
  </si>
  <si>
    <t>C48W-5</t>
  </si>
  <si>
    <t>Функциональные шорты CEP 2 в 1, женские</t>
  </si>
  <si>
    <t>CEP TIGHTFIT. Компрессия.</t>
  </si>
  <si>
    <t>90% полиэстер, 10% эластан, материал вставки: 65% полиамид, 35% эластан</t>
  </si>
  <si>
    <t>46-46</t>
  </si>
  <si>
    <t>CORE RUN SHORTS, LOOSE FIT - WOMEN</t>
  </si>
  <si>
    <t>CT45W-5</t>
  </si>
  <si>
    <t>Линия Core сочетает в себе проверенные материалы и высокий комфорт при ношении, обеспечивая оптимальную поддержку и функциональность. При этом универсальность является главным приоритетом – продукция идеально подходит для различных целей и интенсивности тренировок.
Воздухопроницаемые шорты свободного кроя CEP Core Run обеспечивают максимальную свободу движений. Поддерживающие внутренние трусики обеспечивают максимальный комфорт и надежную фиксацию при каждом движении. Благодаря регулируемому поясу шорты всегда остаются на месте, независимо от интенсивности тренировки. Свобода движений, необходимая для сложных пробежек, обеспечивается боковыми вентиляционными отверстиями.
Для дополнительного удобства шорты имеют скрытый карман на молнии, чтобы вы не беспокоились за предметы первой необходимости (ключи, смартфон, карточку) и сосредоточились на тренировке. Встроенный крючок надежно зафиксирует ключи от дома.
Свойства и преимущества:
Ткань, которая не пропускает ветер, обеспечивая при этом защиту и воздухопроницаемость.
Специальный карман для смартфона.
Светоотражающие детали логотипа CEP для лучшей видимости в ночное время.
Легкодоступные карманы на молнии для ценных вещей.
Встроенный зажим надежно удерживает ключи.
Поддерживающие внутренние трусики для комфорта и надежной посадки.
Регулируемый пояс со шнурком для идеальной посадки и свободы движения.
Эргономичные боковые разрезы для большей свободы движений.</t>
  </si>
  <si>
    <t>верхние шорты – 100% полиамид/внутренние трусы - 92% полиэстер, 8% эластан</t>
  </si>
  <si>
    <t>CORE RUN SHORTS, LOOSE FIT</t>
  </si>
  <si>
    <t>CT45M-5</t>
  </si>
  <si>
    <t>CEP CT45M – лёгкие шорты для соревнований и тренировок. Выполнены из быстросохнущей эластичной ткани, оснащены внутренними трусами и тремя карманами.
• область применения: бег, фитнес, легкая атлетика, беговые и игровые виды спорта, спортивные дисциплины на выносливость;
• материал: верхние шорты – 100% полиамид/внутренние трусы - 92% полиэстер, 8% эластан;
• пояс регулируется встроенным шнуром;
• два кармана по бокам;
• карман на молнии в области поясницы;
• светоотражающие элементы для видимости в условиях плохой освещенности.</t>
  </si>
  <si>
    <t>CT45M-N</t>
  </si>
  <si>
    <t>TIGHTS FNK  F052</t>
  </si>
  <si>
    <t>4FSS23TFTIF052-20S</t>
  </si>
  <si>
    <t>Женские быстросохнущие тренировочные леггинсы из эластичной ткани, которая будет идеально сидеть на вашем теле. Высокая посадка обеспечит вам комфорт во время занятий спортом.
Потайной карман на поясе позволит хранить такие предметы первой необходимости, как ключи. Внизу ножек есть декоративный вырез, который также улучшит вентиляцию.
Мы использовали технологию 4FDry для впитывания влаги. 
Женские быстросохнущие тренировочные леггинсы - ХАРАКТЕРИСТИКИ:
длина по щиколотку,
высокая посадка обеспечивает идеальную посадку и предотвращает сползание ткани,
открытый карман на талии для мелочей,
из эластичной дышащей ткани,
декоративный вырез, улучшающий циркуляцию воздуха,
быстросохнущие волокна с технологией 4FDry способствуют впитыванию влаги.</t>
  </si>
  <si>
    <t>полиэстер 75%, эластан 25%</t>
  </si>
  <si>
    <t>TROUSERS CAS  F130</t>
  </si>
  <si>
    <t>4FJSS23TTROF130-83S</t>
  </si>
  <si>
    <t>Детские спортивные штаны для девочек из приятной на ощупь ткани с высоким содержанием хлопка. Удобный крой обеспечит свободу движений, а неутепленная внутренняя часть сделает брюки идеальными для весенних занятий вашего ребенка. 
Спортивные брюки для девочек - ХАРАКТЕРИСТИКИ:
однослойные,
штанины отделаны резинкой,
2 открытых кармана по бокам,
эластичный пояс со шнурками,
мягкая на ощупь ткань с высоким содержанием хлопка для комфорта.</t>
  </si>
  <si>
    <t>хлопок 78%, полиэстер 22%</t>
  </si>
  <si>
    <t>WOMEN'S KNITTED TROUSERS</t>
  </si>
  <si>
    <t>H4Z20-SPDD012-20S</t>
  </si>
  <si>
    <t>Женские длинные спортивные штаны из мягкого и эластичного трикотажа обеспечивают спортивный стиль и комфорт во время повседневных занятий или тренировок с низкой интенсивностью.
ПРЕИМУЩЕСТВА:
интерьер без подкладки,
2 открытых кармана для рук,
прямые ноги,
эластичный пояс с внешним шнуром для регулировки позволяет индивидуальную подгонку,
мягкая трикотажная ткань с добавлением эластана для дополнительного комфорта и свободы движений.</t>
  </si>
  <si>
    <t>72% полиэстер 23% вискоза 5% эластан</t>
  </si>
  <si>
    <t>DOWN JACKET  M348</t>
  </si>
  <si>
    <t>4FWAW23TDJAM348-44S</t>
  </si>
  <si>
    <t>Мужской пуховик с синтетическим наполнителем.
Мы добавили гидрофобное покрытие, чтобы предотвратить впитывание лишней влаги.
Мужской пуховик с синтетическим наполнителем - ХАРАКТЕРИСТИКИ:
свободный крой с широкой стежкой,
удобный воротник для защиты от ветра,
манжеты на резинке,
боковые карманы на молнии,
внутренний карман на липучке,
односторонняя молния с внутренней ветрозащитной планкой,
нижний край можно регулировать эластичным шнурком со стопором,
водоотталкивающее внешнее тканевое покрытие предотвращает впитывание влаги внутрь,
синтетический пуховой наполнитель обеспечивает оптимальный тепловой комфорт.
Особенности куртки : гидрофобная пропитка, с утеплителем.
Длина : обычная. 
Карманы : с карманами, внутренний, карман на молнии, карман на липучке.
Капюшон : без капюшона.
Подкладка : полиэстер. 
Утеплитель : синтетический пух.
Застежка : молния.</t>
  </si>
  <si>
    <t>DOWN JACKET  M249</t>
  </si>
  <si>
    <t>4FAW23TDJAM249-32S</t>
  </si>
  <si>
    <t>Мужской пуховик с синтетическим наполнителем . Идеально подходит для повседневного использования.
Он согреет вас в холодные дни благодаря синтетическому пуху и широкой стежке.
А встроенный регулируемый капюшон на воротнике-стойке обеспечит еще большую защиту от холода. Молния с двойной ветрозащитной планкой.
В карманах можно хранить все необходимое. Чтобы защитить вас от дождя, мы также пропитали ткань водоотталкивающей пропиткой.
Стеганая куртка с капюшоном - ОСОБЕННОСТИ:
стандартная длина,
подкладка из полиэстера,
боковые карманы на молнии,
внутренний карман на молнии,
основная молния с внутренней и внешней планкой на кнопках,
регулируемый подол с помощью шнура со стопорами,
встроенный капюшон с тройной регулировкой (по бокам и по глубине),
эластичные манжеты для защиты рук от холода,
высокий воротник для дополнительного тепла и комфорта,
синтетический пуховый утеплитель для тепла в холодные дни,
гладкая стеганая ткань с гидрофобной отделкой защищает от чрезмерного впитывания влаги.</t>
  </si>
  <si>
    <t>DOWN JACKET  M243</t>
  </si>
  <si>
    <t>4FAW23TDJAM243-61S</t>
  </si>
  <si>
    <t>Мужской пуховик с синтетическим наполнителем . Он легкий и имеет удобный крой, не стесняющий движений. Куртка с капюшоном наполнена мягким и легким синтетическим пухом.
Мы обработали внешнюю ткань гидрофобным покрытием, чтобы предотвратить чрезмерное впитывание влаги. Удобный несъемный капюшон защитит от холода, а передние карманы позволят держать все необходимое под рукой.
Мужской пуховик с синтетическим наполнителем - ХАРАКТЕРИСТИКИ:
свободная посадка,
капюшон на воротнике-стойке с боковой регулировкой на стопорах,
эластичные манжеты,
2 боковых кармана на молнии + 1 внутренний карман на сенсорной застежке,
односторонняя молния с ветрозащитной внутренней ветрозащитной планкой,
регулируемый нижний край с эластичным шнурком со стопорами,
водоотталкивающее покрытие на внешней ткани предотвращает впитывание влаги внутрь,
синтетический пух для оптимального теплового комфорта.</t>
  </si>
  <si>
    <t>100% полиамид. наполнитель, 100% полиэстер</t>
  </si>
  <si>
    <t>4FWAW23TDJAM348-82S</t>
  </si>
  <si>
    <t>светло-коричневый</t>
  </si>
  <si>
    <t>4FAW23TDJAM243-36S</t>
  </si>
  <si>
    <t>MEN'S JACKET  KUMP007</t>
  </si>
  <si>
    <t>H4Z22-KUMP007-74S</t>
  </si>
  <si>
    <t>Пуховик с синтетическим наполнителем для мужчин . Идеально подходит для повседневной жизни зимой. Благодаря наполнителю из синтетического пуха обеспечивает тепловой комфорт в холодные дни.
Внутренние трикотажные манжеты и складки на молнии защитят от проникновения ветра в пальто. Также мы использовали гидрофобную пропитку материала, которая защитит вас от неблагоприятных погодных условий.
Мужская куртка с синтетическим наполнителем - ХАРАКТЕРИСТИКИ:
2 боковых кармана на молнии,
внутренний карман на молнии,
двухзамковая основная молния с внутренним и внешним ветрозащитным клапаном,
встроенный капюшон с полной регулировкой объема и глубины,
наполнитель из синтетического пуха обеспечивает тепловой комфорт в холодные дни,
регулируемый низ с эластичными манжетами со стопорами,
внутренние трикотажные манжеты защищают от проникновения холода в пальто,
высокий воротник для дополнительной защиты и теплового комфорта,
широкая стеганая ткань с водоотталкивающей пропиткой защищает от чрезмерного впитывания влаги.</t>
  </si>
  <si>
    <t>100% полиэстер, синтепух</t>
  </si>
  <si>
    <t>DOWN JACKET  M246</t>
  </si>
  <si>
    <t>4FAW23TDJAM246-43S</t>
  </si>
  <si>
    <t>Мужское пуховое пальто с синтетическим наполнителем . Идеально подходит для зимних дней. Синтетический пуховый наполнитель и удлиненный крой выше колена обеспечат комфорт в холодные дни.
Встроенный регулируемый капюшон на воротнике-стойке также поможет защитить вас от холода. Застегивается на молнию с внутренней ветрозащитной планкой. Множество карманов на молнии позволяют держать все необходимое под рукой. Мы также нанесли на ткань водоотталкивающую обработку, чтобы защитить вас от плохих погодных условий.
Стеганое пальто - ОСОБЕННОСТИ:
длина выше колена,
2 боковых кармана и 2 нагрудных кармана на молнии,
внутренний карман на молнии,
основная молния защищена внутренней ветрозащитной планкой,
встроенный капюшон с регулировкой,
высокий воротник для дополнительной защиты и теплового комфорта,
светоотражающие элементы,
синтетический пуховый наполнитель для теплового комфорта в холодные дни,
гладкая стеганая ткань с гидрофобной отделкой способствует защите от чрезмерного впитывания влаги.</t>
  </si>
  <si>
    <t>DOWN JACKET  F238</t>
  </si>
  <si>
    <t>4FAW23TDJAF238-42S</t>
  </si>
  <si>
    <t>Женское пальто-пуховик оверсайз с синтетическим наполнителем . 
Более длинный крой длиной до колена повышает тепловой комфорт, закрывая спину и бедра.
Зимняя куртка также имеет большой отстегивающийся капюшон и высокий воротник. Двусторонняя молния облегчает регулировку нижней части пальто, например, во время вождения. Пальто можно превратить в длинный жилет благодаря съемным рукавам.
Защиту от чрезмерного впитывания влаги обеспечивает наружная пропитка.
Женский пуховик оверсайз с синтетическим наполнителем – ХАРАКТЕРИСТИКИ:
линой до колена,
подкладка из полиэстера,
боковые карманы на молнии,
основная молния с внутренней и внешней ветрозащитной планкой,
съемный капюшон на кнопках,
широкий стеганый синтетический пух для теплого комфорта в холодные дни,
манжеты с внутренним эластичным шнурком,
высокий воротник для дополнительной защиты и теплового комфорта
гладкая стеганая ткань с гидрофобной отделкой защищает от чрезмерного впитывания влаги.</t>
  </si>
  <si>
    <t>100% полиамид, наполнитель 100% полиэстер</t>
  </si>
  <si>
    <t>DOWN JACKET  F230</t>
  </si>
  <si>
    <t>4FAW23TDJAF230-83S</t>
  </si>
  <si>
    <t>Женский пуховик с синтетическим наполнителем . Он легкий и имеет удобный крой, не стесняющий движений. Куртка с капюшоном наполнена мягким и легким синтетическим пухом.
Внешняя ткань обработана гидрофобным покрытием. Это предотвращает чрезмерное впитывание влаги.
Удобный несъемный капюшон защитит от холода. Передние карманы позволят держать все необходимое под рукой.
Женский пуховик - ХАРАКТЕРИСТИКИ:
более короткий и свободный крой,
несъемный капюшон, установленный на воротнике-стойке с боковой регулировкой стопорами,
эластичные манжеты,
2 открытых боковых кармана для мелочей,
односторонняя молния с ветрозащитной планкой,
регулируемый подол с эластичным шнурком и стопорами,
водоотталкивающее покрытие на внешней ткани предотвращает впитывание влаги внутрь,
синтетический пух для оптимального теплового комфорта.</t>
  </si>
  <si>
    <t>4FAW23TDJAF238-20S</t>
  </si>
  <si>
    <t>4FAW23TDJAM246-20S</t>
  </si>
  <si>
    <t>MEN'S JACKET</t>
  </si>
  <si>
    <t>H4Z22-KUMP010-74S</t>
  </si>
  <si>
    <t>Пуховик с синтетическим наполнителем для мужчин. Идеально подходит для повседневной жизни зимой. Благодаря наполнителю из синтетического пуха и длинному крою она обеспечит вам тепловой комфорт в холодные дни.
Также мы использовали гидрофобную пропитку материала, которая защитит вас от неблагоприятных погодных условий.
Пуховик с синтетическим наполнителем для мужчин - ХАРАКТЕРИСТИКИ:
вырез выше колена,
обширная система внешних карманов: 2 нагрудных кармана на молнии + двойные боковые карманы (2 открытых и 2 на кнопках),
внутренний карман на молнии,
двусторонняя основная молния с внутренней ветрозащитной планкой,
встроенный регулируемый капюшон,
наполнитель из синтетического пуха обеспечивает тепловой комфорт в холодные дни,
манжеты отделаны высокоэластичной тесьмой,
высокий воротник для дополнительной защиты и теплового комфорта,
широкая стеганая ткань с водоотталкивающей пропиткой защищает от чрезмерного впитывания влаги.</t>
  </si>
  <si>
    <t>H4Z22-KUMP009-61S</t>
  </si>
  <si>
    <t>Пуховик с синтетическим наполнителем для мужчин. Идеально подходит для повседневной жизни зимой. Благодаря наполнителю из синтетического пуха и технологии 4FWarm обеспечит вам тепловой комфорт в холодные дни.
Складка на молнии защитит от проникновения ветра внутрь куртки. Также мы использовали гидрофобную пропитку материала, которая защитит вас от неблагоприятных погодных условий.
Мужская куртка с синтетическим наполнителем - ХАРАКТЕРИСТИКИ:
2 боковых кармана на молнии,
внутренний карман на молнии,
основная молния защищена внутренней и внешней ветрозащитной планкой,
встроенный капюшон с полной регулировкой объема и глубины,
наполнитель из синтетического пуха и технология 4FWarm обеспечат тепловой комфорт в холодные дни,
низ регулируется эластичными манжетами со стопорами,
широкая стеганая ткань с водоотталкивающей пропиткой защищает от чрезмерного впитывания влаги.</t>
  </si>
  <si>
    <t>4FAW23TDJAM246-82S</t>
  </si>
  <si>
    <t>4FAW23TDJAM249-20S</t>
  </si>
  <si>
    <t>TECHNICAL JACKET  F363</t>
  </si>
  <si>
    <t>4FAW23TTJAF363-20S</t>
  </si>
  <si>
    <t>Женская переходная куртка мембрана 5000. Изготовлена из водоотталкивающей ткани NeoDry.
Защиту от мороси и небольшого дождя обеспечивает мембрана NeoDry с водонепроницаемыми и воздухопроницаемыми параметрами 5000/3000 и проклеенные швы в наиболее открытых местах. Такое сочетание делает куртку идеальной для солнечных переходных дней.
Также имеется регулируемый капюшон для защиты от ветра. Рукава реглан обеспечивают полную свободу движений, повышая комфорт.
Куртку можно носить как дополнительный слой поверх утепленной одежды, например флиса.
Демисезонная куртка с капюшоном - ОСОБЕННОСТИ:
регулируемые манжеты на липучке,
подкладка из полиэстера,
рукава реглан для удобства движений,
2 боковых кармана на молнии,
внутренний карман на сенсорной и плотной застежке,
регулируемый подол с туннельным шнурком со стопорами, - мембрана NeoDry 5000/3000 для оптимальной защиты от небольшого дождя,
основная молния с ветрозащитной планкой и защитой подбородка,
встроенный капюшон с регулировкой глубины,
водоотталкивающая обработка и проклеенные критические швы для замедления впитывания влаги снаружи.
ПАРАМЕТРЫ :
Мембрана: NeoDry 5000
Гидроизоляция: 5000 мм H2O
Воздухопроницаемость: 3000 г/м2/24 часа.</t>
  </si>
  <si>
    <t>4FAW23TDJAF230-55S</t>
  </si>
  <si>
    <t>ярко-розовый</t>
  </si>
  <si>
    <t>MEN'S SKI JACKETS</t>
  </si>
  <si>
    <t>H4Z21-KUMN013-36S</t>
  </si>
  <si>
    <t>Горные Лыжи</t>
  </si>
  <si>
    <t>Мужская лыжная куртка с капюшоном 4FPro для профессионалов, которым нужна максимальная защита от влаги и потери тепла во время зимних активностей.
Он имеет прочную полиуретановую мембрану Dermizax 20,000 производства японской компании Toray. Мембрана обеспечивает длительную водонепроницаемость и воздухопроницаемость даже в неблагоприятных погодных условиях.
Покрытие TeflonShield+ дополнительно защищает внешний материал от влаги и грязи, а гидрофобная пропитка материала и проклеенные швы поддерживают защиту от впитывания влаги.
Внутри куртки вы найдете инструкции о том, как позвать на помощь в случае аварии или другой сложной ситуации на склонах. Модель имеет внутреннюю инструкцию по эксплуатации с левой стороны, которая включает контактные данные и сигнал SOS азбукой Морзе, модель имеет внутреннюю инструкцию по эксплуатации с левой стороны, которая включает контактные данные и сигнал SOS азбукой Морзе, встроенная противоскользящая пудровая юбка с застежками-кнопками предотвращает попадание холода и снега внутрь куртки, встроенная противоскользящая пудровая юбка с застежками-кнопками предотвращает попадание холода и снега внутрь куртки, встроенная противоскользящая пудровая юбка с застежками-кнопками предотвращает попадание холода и снега внутрь куртки, встроенная противоскользящая пудровая юбка с застежками-кнопками предотвращает попадание холода и снега внутрь куртки.</t>
  </si>
  <si>
    <t>Dermizax. Мембрана.</t>
  </si>
  <si>
    <t>Зима</t>
  </si>
  <si>
    <t>H4Z22-KUMP010-31S</t>
  </si>
  <si>
    <t>DOWN JACKET  F236</t>
  </si>
  <si>
    <t>4FAW23TDJAF236-20S</t>
  </si>
  <si>
    <t>Женское пуховое пальто с синтетическим наполнителем. Идеально подходит для повседневного зимнего стиля.
Обеспечивает комфорт в холодные дни благодаря синтетическому пуху и удлиненному крою.
Внутренние трикотажные манжеты и планка на двусторонней молнии защищают куртку от ветра.
Чтобы обеспечить вам защиту от непогоды, мы также обработали ткань водоотталкивающим покрытием.
Стеганое синтетическое пуховое пальто - ОСОБЕННОСТИ:
пуховик длиной до колена,
подкладка из полиэстера,
потайные передние карманы под планкой,
основная молния с внутренней и внешней ветрозащитной планкой,
встроенный капюшон с боковой регулировкой,
синтетический пуховой наполнитель для теплого комфорта в холодные дни,
внутренние трикотажные манжеты предотвращают попадание холода в пальто.
высокий воротник для дополнительной защиты и теплового комфорта,
гладкая стеганая ткань с гидрофобной отделкой защищает от чрезмерного впитывания влаги.</t>
  </si>
  <si>
    <t>WOMEN'S SKI JACKETS</t>
  </si>
  <si>
    <t>H4Z20-KUDN005-54S</t>
  </si>
  <si>
    <t>Куртка горнолыжная</t>
  </si>
  <si>
    <t>Женская лыжная куртка с капюшоном имеет водонепроницаемую и дышащую мембрану NeoDry 8000/5000, которая обеспечивает защиту от умеренного дождя или снегопада во время зимних занятий.
Водонепроницаемые швы и водоотталкивающая пропитка материала препятствуют чрезмерному впитыванию влаги при использовании.
ПРЕИМУЩЕСТВА:
4 внешних кармана на молнии: 2 по бокам + 1 нагрудный на ламинированной молнии + 1 абонемент на левый рукав,
система вентиляции подмышек на молнии,
удлиненные эластичные манжеты с отверстиями для большого пальца обеспечивают дополнительную защиту,
водонепроницаемая основная молния, застегивающаяся на внутренний ветрозащитный клапан
встроенный капюшон с боковой регулировкой 2D,
низ куртки регулируется туннельным рантом со стопором,
Манжеты на липучках,
утеплитель из полиэстера обеспечивает тепловой комфорт в холодные дни,
2 внутренних кармана: 1 сетчатый карман для очков + 1 карман на липучке для телефона с выходом для наушников,
Интегрированный нескользящий снежный пояс с застежкой-кнопкой предотвращает попадание снега и холода внутрь куртки.
ПАРАМЕТРЫ:
Мембрана: NeoDry 8000
Водонепроницаемость: 8000 мм / м2 / 24
часа Воздухопроницаемость: 5000 г / м2 / 24 часа</t>
  </si>
  <si>
    <t>4FAW23TDJAF236-64S</t>
  </si>
  <si>
    <t>VEST  M064</t>
  </si>
  <si>
    <t>4FAW23TVESM064-61S</t>
  </si>
  <si>
    <t>Мужской утепленный жилет на синтетическом пуху . Мы наполнили его легким синтетическим пухом, чтобы обеспечить вам тепловой комфорт во время повседневной деятельности.
Внешняя ткань обработана гидрофобным покрытием, чтобы замедлить впитывание влаги.
Жилет также имеет удобный капюшон с высоким воротником-стойкой для защиты от ветра и карманы для мелочей.
Пуховой жилет с капюшоном - ОСОБЕННОСТИ:
подкладка из полиэстера,
боковые карманы на молнии,
регулируемый капюшон, установленный на высоком воротнике,
подол с регулируемой туннельной кулиской со стопорами,
водоотталкивающая обработка ткани снижает впитывание внешней влаги,
основная молния с ветрозащитной планкой и защитой подбородка,
Синтетический пуховой наполнитель обеспечивает оптимальный тепловой комфорт во время использования.</t>
  </si>
  <si>
    <t>SOCKS CAS  F198 (3pack)</t>
  </si>
  <si>
    <t>4FAW23USOCF198-90S</t>
  </si>
  <si>
    <t>Женские повседневные носки (3 пары)  из эластичного материала с высоким содержанием хлопка.
Манжета обеспечивает идеальное прилегание к ноге без ощущения давления.
Женские повседневные носки (3 пары) – ХАРАКТЕРИСТИКИ:
3 пары в комплекте,
высота выше щиколотки,
мягкий материал благодаря высокому содержанию хлопка,
широкие эластичные ремни удерживают носок на месте.</t>
  </si>
  <si>
    <t>мультиколор</t>
  </si>
  <si>
    <t>72% хлопок, 26% полиамид, 2% эластан</t>
  </si>
  <si>
    <t>BACKPACK  U140</t>
  </si>
  <si>
    <t>4FSS23ABACU140-46S</t>
  </si>
  <si>
    <t>Рюкзак спортивный</t>
  </si>
  <si>
    <t>Трекинговый рюкзак (40 л). Легко настраивается как для дальних, так и для коротких поездок благодаря множеству карманов и удобной системе регулировки.
Наружная ткань рип-стоп с двойной пропиткой уменьшает поглощение излишней влаги и увеличивает долговечность рюкзака.
Трекинговый рюкзак (40 л) - ХАРАКТЕРИСТИКИ:
вместимость: 40 л,
светоотражающие элементы,
ручка для переноски в руке,
внешний материал рип-стоп с двойной пропиткой увеличивает долговечность рюкзака,
петли внизу и спереди рюкзака и эластичные резинки со стопорами для крепления дополнительных аксессуаров
регулируемые плечевые лямки с подкладкой из структурной сетки и мягкий регулируемый набедренный ремень с набивкой на спине обеспечивают комфорт в длительных поездках,
регулируемый нагрудный ремень обеспечивает устойчивость рюкзака,
Система H20 - отверстие в корпусе для установки бака с водой (бак с трубкой не продается с рюкзаком)
просторное основное отделение с двусторонней молнией и открытым внутренним карманом,
2 открытых боковых кармана,
1 карман на молнии в верхней части рюкзака, на подкладке из мягкого трикотажа с дополнительным кольцом для ключей,
компрессионные лямки с кнопками для регулировки объема рюкзака,
Система циркуляции воздуха Air Con на спине со специально разработанными подушками с терморегулирующей сеткой обеспечивает свободный поток воздуха и охлаждение спины.
ПАРАМЕТРЫ :
Размеры: 50 х 24 х 16 см
Емкость: ок. 40 л</t>
  </si>
  <si>
    <t>BACKPACK  U139</t>
  </si>
  <si>
    <t>4FSS23ABACU139-46S</t>
  </si>
  <si>
    <t>Трекинговый рюкзак (28 л). Многочисленные карманы и практичная система регулировки позволяют легко адаптировать рюкзак к вашим потребностям как во время дальних, так и коротких поездок.
Гидрофобное покрытие внешнего материала снижает избыточное влагопоглощение.
Трекинговый рюкзак (28 л) - ХАРАКТЕРИСТИКИ:
ручка для переноски в руке,
гидрофобная пропитка материала,
светоотражающие детали увеличивают видимость во время занятий после наступления темноты,
петли внизу и спереди рюкзака и эластичные шнурки со стопорами позволяют прикрепить другие аксессуары,
регулируемые подтяжки с подкладкой из структурированной сетки и мягкий регулируемый поясной ремень с системой амортизации на спине обеспечивают комфорт в длительных поездках,
регулируемый нагрудный ремень обеспечивает устойчивость рюкзака,
Система Н20 - отверстие в корпусе позволяет надеть поилку (поилка с трубкой в ​​комплекте с рюкзаком не продается),
просторное основное отделение с двусторонней молнией и открытым внутренним отделением,
3 дополнительных кармана: 2 открытых боковых кармана + 1 с застежкой в ​​верхней части рюкзака на дополнительное кольцо для ключей,
компрессионные лямки с застежкой на кнопку позволяют регулировать объем рюкзака,
система циркуляции воздуха, расположенная на спине со специально разработанными подушками с терморегулирующей сеткой, обеспечивает свободный поток воздуха и охлаждение спины.
ПАРАМЕТРЫ :
Размеры: 45 х 14 х 18 см
Объем: около 28 л</t>
  </si>
  <si>
    <t>SANDALS  F016</t>
  </si>
  <si>
    <t>4FSS23FSANF016-22S</t>
  </si>
  <si>
    <t>Сандали</t>
  </si>
  <si>
    <t>Женские сандалии 4F - отличный выбор для летнего сезона! Они обеспечивают комфорт, стиль и надежность, чтобы вы чувствовали себя комфортно в любое время.
Сандалии имеют открытую пятку и пальцы ног, что обеспечивает отличную вентиляцию и приятные ощущения в жаркие дни. Вы также можете показать красоту своих стоп и педикюра.
Их тройная липучка-застежка делает их очень удобными и практичными в использовании. Вы сможете легко регулировать их посадку на вашем ступне по вашему усмотрению.
Синтетический верх с дополнительной перфорацией способствует естественной вентиляции ног и предотвращает излишнее потоотделение. Кроме того, этот материал легко чистится и поддерживается в хорошем состоянии.
Мягкая стелька и резиновая подошва обеспечивают дополнительный комфорт и амортизацию при ходьбе. Они также обеспечивают надежное сцепление с поверхностью, что делает сандалии безопасными и устойчивыми.
В этих сандалиях от 4F вы будете выглядеть и чувствовать себя превосходно! Они идеально подходят для летних прогулок, пляжа или просто для повседневной носки. Доверьтесь комфорту и надежности 4F и наслаждайтесь своим летом!</t>
  </si>
  <si>
    <t>Термопластичный полиуретан 87%, Полиэстер 13%</t>
  </si>
  <si>
    <t>RUS</t>
  </si>
  <si>
    <t>SWEATSHIRT  M266</t>
  </si>
  <si>
    <t>4FSS23TSWSM266-20S</t>
  </si>
  <si>
    <t>Свитшот</t>
  </si>
  <si>
    <t>Мужская худи с капюшоном из мягкой ткани с добавлением хлопка.
Спереди разместились два кармана, куда можно положить необходимые мелочи. Классический крой позволит вам чувствовать себя комфортно каждый день.
ХАРАКТЕРИСТИКИ:
удобный двухслойный капюшон,
2 открытых боковых кармана,
манжеты и низ с эластичной кулиской,
мягкая на ощупь ткань для повседневного комфорта.</t>
  </si>
  <si>
    <t>хлопок 60%, полиэстер 40%</t>
  </si>
  <si>
    <t>SWEATSHIRT  M353</t>
  </si>
  <si>
    <t>4FSS23TSWSM353-62S</t>
  </si>
  <si>
    <t>Мужская худи с капюшоном из мягкого трикотажа с высоким содержанием хлопка. Внутренняя часть из утепленной ткани поддержит тепловой комфорт во время повседневной деятельности. А спереди есть карман для всего необходимого.
Классический крой позволит вам чувствовать себя комфортно каждый день.
 ХАРАКТЕРИСТИКИ:
внутренняя часть из начесаной ткани способствует тепловому комфорту,
удобный двухслойный капюшон,
карман-кенгуру спереди,
манжеты и низ с ребристой отделкой</t>
  </si>
  <si>
    <t>Хлопок 79%, Полиэстер 21%</t>
  </si>
  <si>
    <t>SWEATSHIRT  F244</t>
  </si>
  <si>
    <t>4FSS23TSWSF244-83S</t>
  </si>
  <si>
    <t>Эта женская укороченная худи - настоящая находка для любительниц комфорта и стиля! Она выполнена из мягкого трикотажного материала, который подарит вам ощущение нежности и приятности при носке.
Укороченный крой придает этой худи особый шарм и модный вид. Она идеально подойдет для создания стильных и непринужденных образов. 
Худи из мягкого трикотажа френч терри с высоким содержанием хлопка. Свободный крой и заниженные рукава делают модель удобной для любого случая.
Женская укороченная толстовка - ОСОБЕННОСТИ:
без подкладки,
капюшон без регулировки,
спущенные рукава для удобства движений,
манжеты отделаны эластичной резинкой,
мягкий махровый френч терри</t>
  </si>
  <si>
    <t>80% хлопок, 20% полиэстер, доп.материал: 95% хлопок, 5% эластан</t>
  </si>
  <si>
    <t>SWEATSHIRT  M229</t>
  </si>
  <si>
    <t>4FSS23TSWSM229-83S</t>
  </si>
  <si>
    <t>Мужская толстовка на молнии из мягкого трикотажа с добавлением хлопка.
Это обеспечит вам комфорт во время повседневной деятельности.
На груди этой толстовки размещена надпись, которая добавляет уникальности и стиля к вашему образу. 
Мужская зип худи на молнии – ОСОБЕННОСТИ:
2 открытых кармана для рук,
без подкладки внутри,
молния во всю длину,
просторный регулируемый капюшон</t>
  </si>
  <si>
    <t>46% хлопок, 4% эластан, 50% полиэстер, доп.материал: 58% хлопок, 4% эластан, 38% полиэстер, доп.материал 2: 60% хлопок, 40% полиэстер</t>
  </si>
  <si>
    <t>SWEATSHIRT  M694</t>
  </si>
  <si>
    <t>4FAW23TSWSM694-62S</t>
  </si>
  <si>
    <t>Мужская худи с капюшоном из мягкого трикотажа с высоким содержанием хлопка.
Начес на внутренней стороне поможет сохранить тепло и комфорт. Комфортная посадка этой толстовки с длинными рукавами и высоким воротником-стойкой обеспечит вам тепло и комфорт во время повседневных дел.
Мужская толстовка с капюшоном - ОСОБЕННОСТИ:
принт спереди,
капюшон с воротником-стойкой и шнурком,
карман-кенгуру спереди,
эластичные манжеты и пояс с широкой резинкой,
изготовлено из мягкого трикотажа с высоким содержанием хлопка.</t>
  </si>
  <si>
    <t>основной материал: хлопок 79%, полиэстер 21%, дополнительный материал: хлопок 95%, эластан 5%</t>
  </si>
  <si>
    <t>FLEECE  M040</t>
  </si>
  <si>
    <t>4FJSS23TFLEM040-20S</t>
  </si>
  <si>
    <t>Детская флисовая толстовка для мальчиков из мягкого микрофлиса по технологии 4FWarm, что обеспечит должный тепловой комфорт. Удобный крой обеспечит свободу движений. 
Толстовка на молнии будет служить верхним слоем в теплые дни или средним под курткой, когда вашему ребенку потребуется дополнительная защита от холода. 
Воротник-стойка дополнительно защитит от холода, а карманы вместят необходимые безделушки. 
молния во всю длину с мягкой планкой, защищающей подбородок,
внутренний слой из теплого микрофлиса,
Технология 4FWarm обеспечивает тепловой комфорт,
карманы на молнии по бокам.</t>
  </si>
  <si>
    <t>SWEATSHIRT  F0730</t>
  </si>
  <si>
    <t>4FAW23TSWSF0730-20S</t>
  </si>
  <si>
    <t>Женская толстовка на молнии . Изготовлен из мягкого трикотажа с высоким содержанием хлопка.
Начес внутренней стороны поможет сохранить тепло и комфорт. Эта толстовка с длинными рукавами обеспечивает полную свободу движений для повседневной деятельности благодаря удобному крою.
Женская толстовка на молнии. ОСОБЕННОСТИ:
матовая внутренняя поверхность,
2 открытых боковых кармана,
удобный капюшон с регулируемым шнурком,
ребристые манжеты и подол,
изготовлено из мягкого трикотажа с высоким содержанием хлопка.</t>
  </si>
  <si>
    <t>78% хлопок, 22% полиэстер</t>
  </si>
  <si>
    <t>WOMEN'S SWEATSHIRTS</t>
  </si>
  <si>
    <t>H4Z20-BLD013-25M</t>
  </si>
  <si>
    <t>Женская толстовка с капюшоном из мягкой трикотажной ткани с начесом на спине обеспечивает тепло и комфорт на весь день.
ПРЕИМУЩЕСТВА:
тип пуловера,
трикотажная ткань с начесом для тепла,
карман кенгуру,
манжеты и подол в рубчик,
большой встроенный капюшон с регулировкой шнурка,
мягкая и эластичная ткань с высоким содержанием хлопка обеспечивает комфортное ношение.</t>
  </si>
  <si>
    <t>58% хлопок 42% полиэстер</t>
  </si>
  <si>
    <t>H4Z20-BLD013-48S</t>
  </si>
  <si>
    <t>Женское худи 4F идеально подойдет женщинам, которые каждый день ценят комфорт и спортивный стиль. Содержание большого количества хлопка и синтетических материалов обеспечивает свободный поток воздуха и долговечность. Женская толстовка 4F имеет встроенный капюшон с регулировкой на шнурке, который защитит голову от неприятного ветра. Свободный крой с резинками на манжетах и ​​по низу обеспечат свободу движений. Карман-кенгуру удерживает мелкие предметы и холодные руки. Крупная надпись ACTIVE вместе с логотипом бренда 4F спереди подчеркнет спортивный стиль женской толстовки.
Свободный крой обеспечивает свободу движений.
Встроенный капюшон с регулировкой на шнурке.
Манжеты и низ отделаны резинкой.
Большая надпись ACTIVE спереди.
Карман кенгуру.</t>
  </si>
  <si>
    <t>TSHIRT  F0907</t>
  </si>
  <si>
    <t>4FAW23TTSHF0907-27M</t>
  </si>
  <si>
    <t>Женская футболка с принтом 4F – это стильная и комфортная верхняя одежда изготовленная из мягкого хлопка и добавлением эластана для лучшей эластичности и посадки по фигуре. Футболка имеет круглый вырез, который дает возможность свободного движения шеи и подходит для любого типа лица. Благодаря своему дизайну, эта футболка легко сочетается с различными брюками, юбками или шортами, что позволяет создавать различные стильные образы для каждого сезона. Она подходит для повседневного использования, спортивных тренировок или прогулок. Футболка обеспечивает приятное ощущение на коже и хорошую циркуляцию воздуха, делая ее идеальным выбором для комфортной и стильной одежды.</t>
  </si>
  <si>
    <t>серыймеланж</t>
  </si>
  <si>
    <t>95% хлопок, 5% эластан</t>
  </si>
  <si>
    <t>TSHIRT FNK  M404</t>
  </si>
  <si>
    <t>4FSS23TFTSM404-45S</t>
  </si>
  <si>
    <t>Мужская тренировочная футболка из переработанных материалов. Изготовлена из эластичного трикотажа.
Она также оснащена технологией 4FDry с быстросохнущими тканями, которые отводят влагу от кожи.
Мужская спортивная футболка - ХАРАКТЕРИСТИКИ:
крой: приталенный,
круглый вырез,
эластичный трикотаж для комфорта во время тренировки,
перфорированный материал под мышками улучшает вентиляцию,
плоские швы для предотвращения натирания и раздражения кожи,
Технология 4FDry с быстросохнущими волокнами помогает отводить влагу наружу</t>
  </si>
  <si>
    <t>полиэстер 88%, эластан 12%</t>
  </si>
  <si>
    <t>TSHIRT  F387</t>
  </si>
  <si>
    <t>4FJSS23TTSHF387-30S</t>
  </si>
  <si>
    <t>Эта футболка 4F - идеальный выбор для маленьких модниц! Она изготовлена из мягкого и приятного на ощупь хлопка, который обеспечивает комфорт в течение всего дня.
Футболка имеет уникальный принт, который добавляет стиль и индивидуальность. Он выполнен с использованием ярких и запоминающихся цветов, что делает ее привлекательной и модной.
Эта футболка универсальна и может использоваться как для повседневных прогулок, так и для активных игр и занятий спортом. Она отлично сочетается с джинсами, шортами или юбкой, позволяя создавать различные стильные образы.
По-настоящему качественная и надежная, футболка 4F станет любимой вещью в гардеробе вашей девочки. Обратите внимание на этот стильный и комфортный выбор!</t>
  </si>
  <si>
    <t>TSHIRT FNK  M163</t>
  </si>
  <si>
    <t>4FSS23TFTSM163-20S</t>
  </si>
  <si>
    <t>Мужская быстросохнущая тренировочная футболка из эластичной перфорированной ткани по технологии 4FDry, которая способствует отводу влаги. 
Мы использовали плоские швы, которые не вызовут раздражения. Благодаря этому вы будете чувствовать себя комфортно во время занятий.
Мужская спортивная футболка - ХАРАКТЕРИСТИКИ:
покрой: обычный,
круглый вырез,
плоские швы не вызывают натирания,
эластичная перфорированная ткань обеспечивает комфорт и правильную циркуляцию воздуха,
быстросохнущий материал с технологией 4FDry способствует отводу влаги.</t>
  </si>
  <si>
    <t>CAP  M314</t>
  </si>
  <si>
    <t>4FAW23ACAPM314-23S</t>
  </si>
  <si>
    <t>Шапка</t>
  </si>
  <si>
    <t>Мужская зимняя шапка-докер - это шапка, специально разработанная для использования в холодные зимние дни. Она имеет несколько особенностей, которые делают ее функциональной и стильной. 
Шапка изготовлена из материалов с плотной и толстой текстурой, что обеспечивает хорошую теплоизоляцию. Толстое плетение позволяет голове сохранять тепло, не пропуская его наружу.
 Шапка имеет длинную манжету, которую можно закатывать для добавления дополнительной защиты от холода. Закатанная манжета также придает шапке стильный и модный вид, что делает ее идеальной как для повседневного, так и для спортивного образа.
В целом, мужская зимняя шапка-докер - это стильный и функциональный аксессуар, который обеспечивает тепло и комфорт в холодные зимние дни. Она подходит для всех возрастных категорий и идеально подходит для любых зимних активностей.</t>
  </si>
  <si>
    <t>75% акрил, 15% полиамид, 10% эластан</t>
  </si>
  <si>
    <t>onesize</t>
  </si>
  <si>
    <t>CAP</t>
  </si>
  <si>
    <t>H4Z22-CAD017-25M</t>
  </si>
  <si>
    <t>Женская вязаная шапка 4F с отворотом помогает сохранять тепловой комфорт в холодные дни.  Позволяет подчеркнуть стиль и станет дополнительным украшением вашего образа.
Мягкий материал.
Гибкий крой.</t>
  </si>
  <si>
    <t>75% акрил, 15% полиамид, 10% шерсть</t>
  </si>
  <si>
    <t>CAP  F291</t>
  </si>
  <si>
    <t>4FAW23ACAPF291-83S</t>
  </si>
  <si>
    <t>Женская зимняя шапка 4F помогает сохранять тепловой комфорт в холодные дни.  Позволяет подчеркнуть стиль и станет дополнительным украшением вашего образа.
двойной слой,
закатанная манжета.</t>
  </si>
  <si>
    <t>100% акрил</t>
  </si>
  <si>
    <t>50-54</t>
  </si>
  <si>
    <t>CAP  F288</t>
  </si>
  <si>
    <t>4FAW23ACAPF288-54S</t>
  </si>
  <si>
    <t>Женская зимняя шапка из переработанных материалов с широкой манжетой - это стильный и экологически ответственный аксессуар, созданный с мыслью о сохранении окружающей среды. Шапка изготовлена из высококачественных и переработанных материалов, что делает ее нежной и комфортной.
Ее главная изюминка - это широкая манжета, которая создает дополнительный уровень защиты от холода, обеспечивая идеальную посадку на голове. Эта особенность делает шапку стильной и современной, добавляя изысканности и элегантности в любой образ.</t>
  </si>
  <si>
    <t>59% полиэстер, 21% полиамид, 20% вискоза</t>
  </si>
  <si>
    <t>CAP  F294</t>
  </si>
  <si>
    <t>4FAW23ACAPF294-55S</t>
  </si>
  <si>
    <t>Женская зимняя шапка из переработанных материалов 4F помогает сохранять тепловой комфорт в холодные дни. Позволяет подчеркнуть стиль и станет дополнительным украшением вашего образа. 
Одиночный слой,
закатанная манжета,</t>
  </si>
  <si>
    <t>полиэстер 59%, полиамид 21%, вискоза 20%</t>
  </si>
  <si>
    <t>54-58</t>
  </si>
  <si>
    <t>H4Z22-CAD017-32S</t>
  </si>
  <si>
    <t>4FAW23ACAPM314-41S</t>
  </si>
  <si>
    <t>WOMEN'S CAPS</t>
  </si>
  <si>
    <t>H4Z20-CAD007-56S</t>
  </si>
  <si>
    <t>Теплая женская шапка с помпоном. Плотный объемный трикотаж,
сложенная манжета,
с натуральной шерстью
Размеры (по окружности головы): S / M (55 см), L / XL (57 см).</t>
  </si>
  <si>
    <t>64% акрил 31% полиэстер 5% шерсть</t>
  </si>
  <si>
    <t>H4Z22-CAD005-47M</t>
  </si>
  <si>
    <t>Женская вязаная шапка 4F помогает сохранять тепловой комфорт в холодные дни.  Позволяет подчеркнуть стиль и станет дополнительным украшением вашего образа.
Небольшой логотип.
Мягкий материал.
Гибкий крой с отворотом.</t>
  </si>
  <si>
    <t>50% акрил, 43% полиамид,7% шерсть</t>
  </si>
  <si>
    <t>4FAW23ACAPF288-83S</t>
  </si>
  <si>
    <t>H4Z22-CAD005-64M</t>
  </si>
  <si>
    <t>SHORTS CAS  M057</t>
  </si>
  <si>
    <t>4FSS23TSHOM057-61S</t>
  </si>
  <si>
    <t>Мужские спортивные шорты из мягкого хлопкового трикотажа. Имеют резинку на талии с регулировкой, благодаря которой их легко можно подогнать по фигуре. Уникальный дизайн. Стандартная посадка.
Мужские шорты - ХАРАКТЕРИСТИКИ:
эластичный пояс с регулировкой шнурком,
боковые незастегивающиеся карманы,
два дополнительных кармана: 1 сзади + 1 на молнии на бедре</t>
  </si>
  <si>
    <t>BOARD SHORTS  F033</t>
  </si>
  <si>
    <t>4FJSS23UBDSF033-64N</t>
  </si>
  <si>
    <t>Пляжные шорты для девочек из легкой, дышащей ткани - это отличный выбор для маленьких модниц, желающих комфорта и стиля на пляже или бассейне. Шорты изготовлены из легкой ткани, которая обеспечивает отличную воздухопроницаемость, позволяя коже дышать даже в жаркую погоду. Эта легкая ткань также быстро сохнет, что делает ее удобной для активной игры в воде или на песке. 
Во время летнего отдыха они обеспечат комфорт и полную свободу передвижения.
Детские шорты для девочек - ОСОБЕННОСТИ:
2 открытых боковых кармана,
закругленный подол,
пояс со шнурком,
быстросохнущие волокна отводят лишнюю влагу,
легкая, дышащая ткань.</t>
  </si>
  <si>
    <t>90% полиэстер, 10% эластан, доп.материал: 100% полиэстер</t>
  </si>
  <si>
    <t>122/128</t>
  </si>
  <si>
    <t>122-128</t>
  </si>
  <si>
    <t>134/140</t>
  </si>
  <si>
    <t>134-140</t>
  </si>
  <si>
    <t>146/152</t>
  </si>
  <si>
    <t>146-152</t>
  </si>
  <si>
    <t>158/164</t>
  </si>
  <si>
    <t>158-164</t>
  </si>
  <si>
    <t>4FJSS23UBDSF033-46S</t>
  </si>
  <si>
    <t>Lacoste</t>
  </si>
  <si>
    <t>Lacoste Pants</t>
  </si>
  <si>
    <t>XJ94766XP</t>
  </si>
  <si>
    <t>Флис из смесового хлопка с начесом. Эластичный пояс. Боковые карманы. Ребристая отделка по низу штанин. Вышитый логотип на бедре.</t>
  </si>
  <si>
    <t>6A</t>
  </si>
  <si>
    <t>8A</t>
  </si>
  <si>
    <t>12A</t>
  </si>
  <si>
    <t>Bilcee</t>
  </si>
  <si>
    <t>WOMEN KNITTING PANTS</t>
  </si>
  <si>
    <t>TB23WL05S0676-1-1921</t>
  </si>
  <si>
    <t>Женские облегающие брюки-легинсы с высокой талией и карманами - это идеальное сочетание функциональности, комфорта и стиля. Их высокая талия обеспечивает оптимальную поддержку живота и создает эффект длинных ног, а карманы позволяют хранить необходимые предметы в удобном месте. Эти брюки-легинсы обеспечивают полную свободу движения и идеально подходят для тренировок, йоги, пилатеса и других видов физической активности. Они также являются отличным выбором для повседневной носки, так как обеспечивают оптимальную посадку и придают вашему облику ощущение легкости. Кроме того, их стильный дизайн и отличное качество материалов делают их неотъемлемой частью вашего гардероба.</t>
  </si>
  <si>
    <t>56 % полиамид, 44 % эластан</t>
  </si>
  <si>
    <t>PANTS</t>
  </si>
  <si>
    <t>TB21ML05W9344-1-1001</t>
  </si>
  <si>
    <t>Брюки утепленные</t>
  </si>
  <si>
    <t>Классические мужские брюки Bilcee прямого кроя со слегка зауженными штанинами к низу подойдут абсолютно ко всему. Боковые карманы для удобства, ширинка на молнии и пара пуговиц. Брюки имеют технологию Softshell. Комбинируй брюки с любимыми футболками и толстовками - ты готов к прогулке, или надень к ним пиджак для деловой встречи…или свидания - решать тебе!</t>
  </si>
  <si>
    <t>Softshell. Защищает от непогоды.</t>
  </si>
  <si>
    <t>95% полиэстер 5% эластан</t>
  </si>
  <si>
    <t>56-58</t>
  </si>
  <si>
    <t>Calvin Klein Jeans</t>
  </si>
  <si>
    <t>J2IJ202133745</t>
  </si>
  <si>
    <t>Лето</t>
  </si>
  <si>
    <t>100% вискоза</t>
  </si>
  <si>
    <t>Champion</t>
  </si>
  <si>
    <t>113554-BS122</t>
  </si>
  <si>
    <t>Женские  спортивные штаны, подходящие для повседневной жизни и тренировок, обеспечат вам удобство и комфорт. Благодаря используемой полиамидной нити они прочны и долговечны, а так же полиамид  в составе обеспечивает быстрое высыхание.Благодаря мягкой текстуре и способности впитывать влагу, вы можете надевать их в любое время года. Наслаждайтесь комфортом вместе с Champion!</t>
  </si>
  <si>
    <t>113565-EM004</t>
  </si>
  <si>
    <t>Женские спортивные штаны, подходящие для повседневной жизни и тренировок, обеспечат вам удобство и комфорт. Благодаря используемой хлопковой нити они прочны и долговечны, а полиэстер в составе обеспечивает быстрое высыхание.Благодаря мягкой текстуре и способности впитывать влагу, вы можете надевать их в любое время года. Наслаждайтесь комфортом вместе с Champion!</t>
  </si>
  <si>
    <t>Reima</t>
  </si>
  <si>
    <t>526432-4017</t>
  </si>
  <si>
    <t>Представьте, как было бы увлекательно выбирать свой повседневный образ с закрытыми глазами, полагаясь на случай и собственное настроение. С детской двусторонней моделью Reima это стало реальностью! Эта уникальная одежда воплощает идею игры и эксперимента в каждом дне. Одна сторона выполнена из роскошной шерсти с ярким и привлекательным рисунком, добавляющим образу индивидуальность и стиль. Эта сторона позволит вашему ребенку выделяться и проявлять свою креативность, подобно художнику, создающему уникальные шедевры. Другая сторона—из однотонного полиэстера, представляющего собой более спокойный и классический вариант, идеальный для повседневных ситуаций, когда требуется сдержанность и минимализм. Это позволяет получать вдвое больше удовольствия от одной вещи, предлагая разные варианты для разных случаев и настроений. Двусторонняя структура модели позволяет с легкостью менять образы, не занимая много места в гардеробе и обеспечивая разнообразие выбора на каждый день. Одежда из высококачественных материалов гарантирует долговечность и комфорт в носке. Эта модель идеально сочетает в себе эстетику и практичность, предлагая родителям и детям возможность выразить свою индивидуальность и сделать процесс выбора одежды увлекательной игрой. Пусть каждый день начинается с маленького приключения, полного радости и новых открытий!</t>
  </si>
  <si>
    <t>49% полиэстер , 29% шерсть, 22% акрил</t>
  </si>
  <si>
    <t>098</t>
  </si>
  <si>
    <t>526367-3031</t>
  </si>
  <si>
    <t>Леггинсы из материала Jersey</t>
  </si>
  <si>
    <t>Эти брюки из мягкого футера с начесом из органического хлопка станут отличным выбором для активного ребенка, обеспечивая комфорт и свободу движений на каждый день. Использование органического хлопка в ткани делает их особенно приятными к телу, гипоаллергенными и безопасными для чувствительной кожи, а также экологичными. Регулируемый пояс со шнурком позволяет легко подстроить посадку по фигуре, обеспечивая дополнительное удобство и комфорт во время носки. Эластичная резинка на талии и манжетах брючин способствует комфортной посадке и гарантирует, что брюки будут оставаться на месте во время активных игр. Усиления в области коленей делают брюки более долговечными, защищая эти критические зоны от износа и повреждений, что особенно важно для детей, предпочитающих активные виды деятельности. Два боковых кармана добавляют практичности, позволяя ребенку хранить маленькие сокровища или просто согревать руки в прохладную погоду. Эти брюки идеально подойдут для повседневной носки, будь то прогулка в парке или занятия спортом.</t>
  </si>
  <si>
    <t>WOMEN KNITTING LEGGINGS</t>
  </si>
  <si>
    <t>TB23WL09W1576-1-1002</t>
  </si>
  <si>
    <t>Ощутите высочайший уровень комфорта и уверенности в себе с женскими леггинсами Bilcee WOMEN KNITTING LEGGINGS. Эти леггинсы сочетают в себе передовые технологии и стильный дизайн, создавая идеальный выбор для активных женщин, ценящих как функциональность, так и эстетику спортивной одежды.
Материал и качество:
Изготовленные из высококачественного материала, леггинсы обладают отличной эластичностью и мягкостью. Благодаря использованию инновационных волокон, ткань отлично отводит влагу, быстро сохнет и обеспечивает хорошую воздухопроницаемость. Леггинсы сохраняют свою форму и не растягиваются даже при длительном и интенсивном ношении.
Дизайн и крой:
Современный и эргономичный дизайн леггинсов разработан с учетом анатомических особенностей женского тела. Облегающий крой подчеркивает достоинства фигуры и обеспечивает максимальную свободу движений. Высокая посадка поддерживает живот и создает стройный силуэт, а широкий пояс обеспечивает надежную фиксацию без давления и дискомфорта.
Функциональные детали:
- Швы: Плоские швы предотвращают натирание и обеспечивают дополнительный комфорт при активных движениях.
- Дополнительные элементы: Некоторые модели могут быть оснащены карманами для удобства хранения мелочей, таких как ключи или банковская карта.
- Эластичность: Четырехсторонняя растяжимость материала позволяет леггинсам идеально прилегать к телу и обеспечивать полную свободу движений во время любых занятий.
Применение:
Эти леггинсы идеально подходят для занятий спортом и фитнесом, йогой, бега, а также для повседневной носки. Они легко сочетаются с различными топами, спортивными бюстгальтерами, футболками и толстовками, что позволяет создавать как яркие спортивные образы, так и непринужденные повседневные луки.
Уход:
Леггинсы легко стираются в машине и не требуют особого ухода. Они сохраняют свои свойства и цветовую насыщенность даже после множества стирок, гарантируя долговечность и привлекательный вид.
Пополните свой гардероб универсальными и стильными леггинсами Bilcee WOMEN KNITTING LEGGINGS и наслаждайтесь комфортом и свободой движений в любой ситуации.</t>
  </si>
  <si>
    <t>68% вискоза, 28% нейлон, 4% эластана</t>
  </si>
  <si>
    <t>TB23WN09S0738-1-2645</t>
  </si>
  <si>
    <t>Ощутите свободу движений и максимальный комфорт с женскими леггинсами Bilcee WOMEN KNITTING LEGGINGS. Эти леггинсы созданы для активных и стильных женщин, которые ценят качество, функциональность и привлекательный внешний вид.
Материал и качество:
Леггинсы изготовлены из высококачественного эластичного материала, который идеально облегает фигуру и обеспечивает необходимую поддержку. Ткань леггинсов дышащая и мягкая на ощупь, что делает их идеальными для активных тренировок и повседневной носки. А благодаря влагоотводящим свойствам материала, вы будете ощущать комфорт даже при интенсивных физических нагрузках.
Дизайн и крой:
Современный и продуманный дизайн леггинсов подчеркивает фигуру и обеспечивает максимальное удобство при носке. Эргономичный крой и высокая посадка визуально удлиняют ноги и создают изящный силуэт, в то время как широкий эластичный пояс обеспечивает надежную фиксацию и удобство.
Функциональные детали:
- Швы: Плоские швы предотвращают натирание и обеспечивают дополнительный комфорт при движении.
- Компрессионный эффект: Леггинсы обеспечивают легкий компрессионный эффект, поддерживая мышцы и улучшая кровообращение.
- Эластичность: Четырехсторонняя растяжимость ткани позволяет леггинсам идеально прилегать к телу и обеспечивать полную свободу движений.
- Карманы: Некоторые модели могут быть оснащены скрытыми или открытыми карманами, куда удобно положить мелкие предметы, такие как ключи или банковская карта.
Применение:
Эти леггинсы идеальны для различных видов активности: фитнес, йога, бег, тренировки в зале, а также для ежедневного использования. Универсальный дизайн позволяет сочетать леггинсы с различными элементами гардероба – спортивными топами, футболками, худи и даже повседневными рубашками.
Уход:
Леггинсы легко стираются и не требуют особого ухода. Они устойчивы к многочисленным стиркам, сохраняя свою форму и цвет даже после продолжительного использования.
Создайте стильный и спортивный образ с женскими леггинсами Bilcee WOMEN KNITTING LEGGINGS и наслаждайтесь комфортом и свободой движений в любой ситуации. Безупречное сочетание функциональности и элегантности этих леггинсов станет вашим любимым выбором для любых мероприятий и активностей.</t>
  </si>
  <si>
    <t>56% полиамид, 44% эластана</t>
  </si>
  <si>
    <t>Children's Trousers</t>
  </si>
  <si>
    <t>512121-4510</t>
  </si>
  <si>
    <t>Эти брюки обеспечивают исключительный комфорт благодаря использованию легкого и дышащего материала, который позволяет коже дышать даже в самые жаркие дни. Универсальный дизайн и регулируемая эластичная талия обеспечивают идеальную посадку, что важно для свободы движений во время активных игр и прогулок.
Материал этих брюк прекрасно тянется, обеспечивая максимальную гибкость и адаптируясь к каждой активности и повседневной жизни ребёнка. Просторный крой гарантирует, что брюки не стесняют движений, а потому идеально подходят как для надерганных приключений, так и для спокойных прогулок в парке. Дополнительным преимуществом является простота ухода за этими брюками: материал легко стирается, не теряя своей мягкости и формы. Брюки отличаются прочностью и долговечностью, выдерживая многочисленные стирки и активное использование</t>
  </si>
  <si>
    <t>69% Хлопок, 28% Модал, 3% Эластан</t>
  </si>
  <si>
    <t>086</t>
  </si>
  <si>
    <t>092</t>
  </si>
  <si>
    <t>Bilcee Women's Jogger Sweatpants</t>
  </si>
  <si>
    <t>TB21WL05W8407-1-1464</t>
  </si>
  <si>
    <t>Женские спортивные джоггеры с высокой талией. Благодаря используемой хлопковой нити они прочны и долговечны, а полиэстер в составе обеспечивает быстрое высыхание.
Эти спортивные брюки, подходящие для повседневной жизни и тренировок, обеспечат вам удобство и комфорт. Благодаря мягкой текстуре и способности впитывать влагу, вы можете надевать их в любое время года. Комбинируйте их с вашими любимыми толстовками. Наслаждайтесь комфортом и элегантностью вместе с Bilcee!</t>
  </si>
  <si>
    <t>80% хлопок 20% полиэстер</t>
  </si>
  <si>
    <t>Joggers, Seiti</t>
  </si>
  <si>
    <t>526346-7300</t>
  </si>
  <si>
    <t>Эти спортивные брюки входят в коллекцию Moomin от Reima и сшиты из дышащего и эластичного футера, поэтому их очень удобно носить. Резинка на поясе и концах брючин. Надевайте в комплекте со спортивной курткой Moomin Holme, и наряд готов!</t>
  </si>
  <si>
    <t>64% Хлопок, 32% лиоцелл, 4% эластан</t>
  </si>
  <si>
    <t>TB21WL05W8407-1-1359</t>
  </si>
  <si>
    <t>Женские спортивные джоггеры на резинке. Спортивные штаны, подходящие для повседневной жизни и спорта, обеспечат вам удобство и комфорт. Изготовлены из хлопчатобумажной и полиэфирной ткани без смешивания, что обеспечивает максимальный комфорт. Ткань обработана антипилингом, пригодна для использования в течение 3-х сезонов. Вы обязательно захотите иметь один из различных цветовых вариантов. Спортивные штаны Bilcee, которые можно комбинировать с футболками и майками, могут стать незаменимой частью вашего гардероба.</t>
  </si>
  <si>
    <t>TB23WN09S0739-1-1911</t>
  </si>
  <si>
    <t>Найдите свой идеальный вариант спортивных и повседневных леггинсов с женскими леггинсами Bilcee WOMEN KNITTING LEGGINGS. Эти леггинсы специально разработаны для женщин, которые ценят удобство, стиль и практичность во всех аспектах своей жизни.
Материал и качество:
Изготовленные из высококачественного эластичного материала, эти леггинсы обеспечивают максимальное удобство и поддержку. Ткань обладает отличными влагоотводящими свойствами, которые позволяют вам оставаться в сухости и комфорте даже при интенсивных тренировках. Материал также отличается исключительной мягкостью и приятностью на ощупь, что делает ношение этих леггинсов настоящим удовольствием.
Дизайн и крой:
Современный и функциональный дизайн леггинсов сочетает в себе элегантность и спортивный стиль. Облегающий крой подчеркивает фигуру, а высокая посадка и широкий эластичный пояс обеспечивают идеальную фиксацию и комфортную посадку. Классический и универсальный внешний вид делает эти леггинсы подходящими для любого случая.
Функциональные детали:
- Карманы: Одним из ключевых преимуществ этих леггинсов является наличие удобных карманов. Два боковых кармана обеспечивают достаточно места для хранения необходимых мелочей, таких как телефон, ключи, карточки и другие аксессуары. Это делает леггинсы идеальными для тех, кто всегда в движении и ценит практичность.
- Швы: Плоские швы предотвращают натирание кожи и добавляют дополнительный комфорт при активных движениях.
- Эластичность: Четырехсторонняя растяжимость ткани гарантирует полную свободу движений и идеальное прилегание к телу.
- Дополнительные элементы: Вентиляционные вставки в некоторых моделях способствуют улучшению воздухопроницаемости и дополнительному комфорту.
Применение:
Эти леггинсы подходят для различных видов активности — они станут вашим надежным спутником во время занятий йогой, бегом, фитнесом, а также подходящим вариантам для повседневных дел и прогулок. Универсальный стиль позволяет легко комбинировать их с любыми элементами гардероба, от спортивной экипировки до повседневных рубашек и толстовок.
Уход:
Леггинсы легко стираются в машине и не теряют свои свойства даже после множества стирок. Материал устойчив к износу и сохраняет яркость цветов, благодаря чему леггинсы будут радовать вас своим свежим видом на протяжении долгого времени.
Позвольте себе быть активной и стильной с женскими леггинсами с карманами Bilcee WOMEN KNITTING LEGGINGS. Превосходное сочетание функциональности, стиля и комфорта сделает их неотъемлемой частью вашего гардероба.</t>
  </si>
  <si>
    <t>Pants, Rausku</t>
  </si>
  <si>
    <t>532208-2370</t>
  </si>
  <si>
    <t>Дети будут в восторге от яркой расцветки этих брюк. Удобные детские брюки-стрейч с пятью карманами с регулируемой талией обеспечивают отличную посадку по фигуре. Зауженный крой.</t>
  </si>
  <si>
    <t>146</t>
  </si>
  <si>
    <t>3/4 pants</t>
  </si>
  <si>
    <t>536252-9150</t>
  </si>
  <si>
    <t>Бриджи</t>
  </si>
  <si>
    <t>Удобные спортивные брюки-капри для детей и подростков сшиты из футера с начесом. Снабжены завязками на талии и резинкой на концах брючин. В этих удобных, теплых и мягких тренировочных брюках предусмотрены два боковых кармана и потайной карман для сенсора ReimaGO.</t>
  </si>
  <si>
    <t>526323-3160</t>
  </si>
  <si>
    <t>Симпатичные детские брюки промежуточного слоя изготовлены из нового трехслойного материала. Мягкая хлопковая поверхность приятна на ощупь, тонкий поддёв обеспечивает дополнительное тепло, а гладкая подкладка из джерси благоприятна для чувствительной кожи. Прорезные карманы дополняют стильный вид этих спортивных брюк.</t>
  </si>
  <si>
    <t>60% Полиэстер, 40% хлопок</t>
  </si>
  <si>
    <t>Trousers</t>
  </si>
  <si>
    <t>526357B-9510</t>
  </si>
  <si>
    <t>расивые шерстяные брюки согреют малышей в холодную погоду, а флисовая изнаночная поверхность с начёсом необыкновенно приятна для тела. Шерстяные брюки отлично подойдут в качестве промежуточного слоя под зимнюю одежду, потому что ткань пропускает воздух и ребёнок не вспотеет. Даже если вы возьмёте брюки немного на вырост, резинка в рубчик на брючинах гарантирует удобную посадку по фигуре. Стильная декоративная строчка придаёт изюминку этой элегантной однотонной модели. Если вы наденете их с шерстяной курткой Mahin, получится супер-тёплый комплект!   Эта одежда — идеальное сочетание стиля, функциональности и заботы об окружающей среде, обеспечивая ребенку максимальный комфорт и свободу движений в любой обстановке.Преимущества:
Мягкая внутренняя сторона с начесом для утепления.
Шерсть идеально поддерживает температуру.
Мягкие плоские швы для дополнительного комфорта: не раздражают кожу.
Резинка на талии и манжетах брючин.</t>
  </si>
  <si>
    <t>80% шерсть, 20% полиэстер</t>
  </si>
  <si>
    <t>TB24WG09S9711-1-1196</t>
  </si>
  <si>
    <t>Материал и качество:
Женские велосипедки Bilcee WOMEN KNITTING LEGGINGS изготовлены из высококачественной смеси полиэстера и эластана. Этот материал обеспечит плотное прилегание к телу, эластичность и высокий уровень комфорта. Полиэстер добавляет прочности и долговечности, а эластан позволяет материалу растягиваться и возвращаться в первоначальную форму, обеспечивая идеальную посадку.
Дизайн и стиль:
Велосипедки выполнены в современном и стильном дизайне, который отлично впишется как в спортивный, так и в повседневный гардероб. Сдержанный и элегантный внешний вид, а также аккуратное размещение логотипа Bilcee придают изделию премиальность и утонченность. Длина велосипедок до середины бедра идеально подходит для теплого времени года, обеспечивая свободу движения и комфорт.
Функциональность и удобство:
Эти велосипедки продуманы до мелочей для обеспечения максимального удобства и поддержки. Эластичная ткань повторяет контуры тела, создавая эффект "второй кожи" и гарантируя отсутствие натираний даже при длительных и интенсивных нагрузках. Высокая посадка обеспечивает дополнительную поддержку зоны живота и талии, улучшая общий силуэт и создавая комфортную посадку. Специальная технология плоских швов предотвращает их деформацию и растягивание, обеспечивая долговечность изделия.
Применение и особенности:
Женские велосипедки Bilcee WOMEN KNITTING LEGGINGS подходят для различных видов активности, включая езду на велосипеде, фитнес, йогу, бег и прогулки. Их быстросохнущая и дышащая ткань эффективно отводит влагу от тела, обеспечивая комфорт и свежесть на протяжении всей тренировки. Удобный широкий пояс обеспечивает надежную фиксацию и комфортную посадку без вреда для кровообращения. Эластичность материала позволяет выполнять любые движения без ощущения стеснения.
Заключение:
Женские велосипедки Bilcee WOMEN KNITTING LEGGINGS – это идеальное сочетание стиля, функциональности и комфорта. Они созданы для активных женщин, ценящих качество, надежность и стиль. Благодаря премиальным материалам, продуманному дизайну и эргономичному крою, эти велосипедки станут незаменимым элементом вашего спортивного и повседневного гардероба, гарантируя максимальный комфорт в любой ситуации.</t>
  </si>
  <si>
    <t>85% полиамид, 15% эластана</t>
  </si>
  <si>
    <t>TB24WF09S9729-1-1002</t>
  </si>
  <si>
    <t>Женские укороченные леггинсы Bilcee WOMEN KNITTING LEGGINGS изготовлены из премиальной смеси высококачественных материалов, таких как полиэстер и эластан. Полиэстер придает ткани прочность и долговечность, в то время как эластан обеспечивает великолепную эластичность, создавая эффект "второй кожи". Такой состав материала гарантирует идеальное прилегание к телу и высокую степень комфорта при носке.
Леггинсы имеют современный и стильный дизайн с укороченной длиной, что особенно актуально в теплое время года. Минималистический и элегантный внешний вид позволяет этим леггинсам легко комбинироваться с разным типом верха – от спортивных топов до повседневных футболок и рубашек. Логотип Bilcee расположен в ненавязчивом месте, добавляя нотку узнаваемости и премиальности.
Леггинсы продуманы до мелочей для обеспечения максимального удобства. Их эргономичный крой повторяет анатомические линии женского тела, что позволяет избежать натирания и дискомфорта даже при интенсивных занятиях. Высокая посадка поддерживает мышцы живота, создавая дополнительную поддержку и улучшая силуэт. Специальная технология швов предотвращает их растягивание и деформацию в процессе носки
Эти леггинсы отлично подходят для различных видов активности, включая фитнес, йогу, бег, танцы и силовые тренировки. Укороченная длина сделает их отличным выбором для занятий в жаркую погоду или для тренировок в зале. Быстросохнущая ткань эффективно отводит влагу от тела, поддерживая свежесть и сухость на протяжении всей тренировки. Удобный пояс на резинке надежно фиксирует леггинсы на талии, исключая их сползание.
Женские укороченные леггинсы Bilcee WOMEN KNITTING LEGGINGS – это идеальное сочетание стиля, функциональности и комфорта. Они созданы для активных женщин, которые ценят качество и удобство в спортивной одежде. Благодаря продуманному дизайну и использованию высококачественных материалов, эти леггинсы станут отличным дополнением вашего спортивного гардероба и помогут вам достигнуть новых высот в ваших тренировках.</t>
  </si>
  <si>
    <t>TB24WF09S9726-1-1942</t>
  </si>
  <si>
    <t>Женские укороченные леггинсы Bilcee WOMEN KNITTING LEGGINGS изготовлены из премиальной смеси высококачественных материалов, таких как полиэстер и эластан. Полиэстер придает ткани прочность и долговечность, в то время как эластан обеспечивает великолепную эластичность, создавая эффект "второй кожи". Такой состав материала гарантирует идеальное прилегание к телу и высокую степень комфорта при носке.
Леггинсы имеют современный и стильный дизайн с укороченной длиной, что особенно актуально в теплое время года. Минималистический и элегантный внешний вид позволяет этим леггинсам легко комбинироваться с разным типом верха – от спортивных топов до повседневных футболок и рубашек. Логотип Bilcee расположен в ненавязчивом месте, добавляя нотку узнаваемости и премиальности.
Леггинсы продуманы до мелочей для обеспечения максимального удобства. Их эргономичный крой повторяет анатомические линии женского тела, что позволяет избежать натирания и дискомфорта даже при интенсивных занятиях. Высокая посадка поддерживает мышцы живота, создавая дополнительную поддержку и улучшая силуэт. Специальная технология швов предотвращает их растягивание и деформацию в процессе носки.
Эти леггинсы отлично подходят для различных видов активности, включая фитнес, йогу, бег, танцы и силовые тренировки. Укороченная длина сделает их отличным выбором для занятий в жаркую погоду или для тренировок в зале. Быстросохнущая ткань эффективно отводит влагу от тела, поддерживая свежесть и сухость на протяжении всей тренировки. Удобный пояс на резинке надежно фиксирует леггинсы на талии, исключая их сползание.
Женские укороченные леггинсы Bilcee WOMEN KNITTING LEGGINGS – это идеальное сочетание стиля, функциональности и комфорта. Они созданы для активных женщин, которые ценят качество и удобство в спортивной одежде. Благодаря продуманному дизайну и использованию высококачественных материалов, эти леггинсы станут отличным дополнением вашего спортивного гардероба и помогут вам достигнуть новых высот в ваших тренировках.</t>
  </si>
  <si>
    <t>TB23WN09S0739-1-1810</t>
  </si>
  <si>
    <t>526431-1498</t>
  </si>
  <si>
    <t>Lassie</t>
  </si>
  <si>
    <t>Softshell pants, Miry</t>
  </si>
  <si>
    <t>7100016A-9990</t>
  </si>
  <si>
    <t>Брюки подойдут мальчикам и девочкам для поздней осени и ранней весны. Ребенку будет комфортно в слякоть и ветреную погоду: 100% полиэстер в составе основного материала отталкивает воду, не пропускает ветер, но при этом «дышит». Это значит, что даже активные ребята не взмокнут после игр в догонялки и не прогроднут — не придется прерывать прогулку раньше времени. 
Внутри — мягкая уютная подкладка из флиса. На брючинах предусмотрены эластичные манжеты, которые не дают снегу попасть под одежду. А благодаря прямому крою штанины легко заправляются в ботинки. 
В пояс вшита эластичная резинка. Так брюки плотно сидят на талии, но не давят.</t>
  </si>
  <si>
    <t>100% Полиэстер, ПУ покрытие</t>
  </si>
  <si>
    <t>Trousers  Myrsky</t>
  </si>
  <si>
    <t>7100065A-2150</t>
  </si>
  <si>
    <t>Myrsky — непромокаемые брюки для осени и ранней весны. Они изготовлены из плотной ткани с водонепроницаемым полиуретановым покрытием: в легкий дождь, снегопад или слякоть не будете переживать, что ребенок промокнет.
Швы штанов запаяны. Так в местах стыка ткани брюки не намокнут. Не придется возвращаться домой и переодевать малышу колготки, если он случайно упадет в снег или пройдется по лужам.
Брюки фиксируются с помощью подтяжек. Их длину можно регулировать под рост ребенка. В области талии штаны тянутся — малыш не будет проситься домой уже через полчаса из-за того, что ему неудобно. Предусмотрены штрипки, которые фиксируют брючины и не дают им задираться. Штрипки можно снять.</t>
  </si>
  <si>
    <t>Softshell pants, Mighty</t>
  </si>
  <si>
    <t>7100117A-9990</t>
  </si>
  <si>
    <t>Прямые брюки брюки Mighty подойдут для демисезона. Когда ребенок в них, родители могут не переживать, что он промокнет или испачкается.
Ткань Softshell отличается водонепроницаемостью. Дополнительно она покрыта водо- и грязеотталкивающей пропиткой BIONIC-FINISH ECO. С ней пятна и другие загрязнения не проникают глубоко в волокна ткани, и легко отстирываются. С внутренней стороны есть подкладка из мягкого флиса, которая не колется и не раздражает кожу.
Обхват талии регулируется: например, если заправляете под брюки толстый свитер, пояс можно ослабить. Штаны застегиваются на молнию. Предусмотрены два боковых кармана, куда можно положить перчатки.</t>
  </si>
  <si>
    <t>TROUSERS</t>
  </si>
  <si>
    <t>HH247171R</t>
  </si>
  <si>
    <t>Идеальная посадка, удобный крой и актуальная расцветка – вот, что отличает эти джинсы Lacoste. Правильно подобранные джинсы помогут подчеркнуть все плюсы фигуры. Материал: 98% хлопок, 2% эластан Дизайн: Франция</t>
  </si>
  <si>
    <t>3032</t>
  </si>
  <si>
    <t>MinyMo</t>
  </si>
  <si>
    <t>123405-5416</t>
  </si>
  <si>
    <t>Симпатичные розовые брючки со сплошным цветочным принтом станут ярким акцентом в гардеробе маленькой принцессы. Брюки изготовлены из высококачественной смеси 97% хлопка и 3% эластана, что обеспечивает им приятную на ощупь текстуру и отличные дышащие свойства. Гипоаллергенная ткань гарантирует комфорт даже для чувствительной кожи, а эластичность материала позволяет ребенку свободно двигаться. Саржевое плетение с характерными косыми полосками делает брюки не только износостойкими, но и легко поддающимися частым стиркам, что добавляет практичности в уходе. Регулируемый пояс позволяет добиться идеальной посадки, подходящей даже для худенькой девочки, а шлевки на поясе позволяют использовать ремешок для дополнительного акцента на талии. Брюки застегиваются на пуговицу и оснащены карманами спереди и сзади, что добавляет им функциональность.</t>
  </si>
  <si>
    <t>97 % хлопок, 3 % эластан</t>
  </si>
  <si>
    <t>123443-8150</t>
  </si>
  <si>
    <t>Серые брюки из денима — универсальный вариант базовой одежды на каждый день. Прямой крой и простые линии дополняет оборка на талии, поэтому брюки выглядит свежо, стильно и оригинально. Благодаря однотонному спокойному цвету и лаконичному фасону брюки можно дополнить любым верхом — футболкой, толстовкой или кардиганом.
Брюки сшиты из мягкой смеси хлопка. В ее составе — 80% хлопок, 17% полиэстер, 3% эластан. Ткань дышащая и приятная к телу, поэтому не будет раздражать и натирать кожу. Брюки хорошо тянутся — маленькой моднице будет удобно и сидеть на занятиях, и прыгать на прогулке. Полиэстер добавляет прочности. Будьте уверены: брюки прослужат долго и не протрутся из-за катаний на горке.
Свободный крой и идеальная посадка за счет регулируемого пояса делают брюки комфортными в носке. На поясе есть шлевки — можно сделать дополнительный акцент на талии, подчеркнув ее ярким ремешком. Брюки застегиваются на одну пуговицу, спереди и сзади есть карманы.</t>
  </si>
  <si>
    <t>80 % хлопок, 17 % полиэстер, 3 % эластан</t>
  </si>
  <si>
    <t>Sports trousers</t>
  </si>
  <si>
    <t>133400-8404</t>
  </si>
  <si>
    <t>Спортивные штаны</t>
  </si>
  <si>
    <t>Симпатичные спортивные брюки от бренда Minymo — это идеальный выбор для активных детей, стремящихся к комфорту и свободе движений. Изготовленные из качественного хлопка с добавлением эластана, эти брюки обеспечивают мягкость и эластичность, прекрасно подходят для активного дня на улице или домашних игр. Материал отличается воздухопроницаемостью и эффективно отводит влагу, что делает брюки комфортными даже в жаркую погоду. Низ штанин, оснащенный резинкой, обеспечивает плотную посадку, защищая от продувания и создавая стильный образ. Эластичный пояс с регулируемой завязкой гарантирует, что брюки будут держаться удобно. Эти брюки легко сочетаются с различными футболками и свитшотами, становясь универсальной частью гардероба, которая порадует как детей, так и родителей. Создайте стильный и удобный образ для вашего ребенка с Minymo!</t>
  </si>
  <si>
    <t>95 % хлопок, 5 % эластан</t>
  </si>
  <si>
    <t>133401-9113</t>
  </si>
  <si>
    <t>Базовые спортивные брюки с боковыми полосками от бренда Minymo — это воплощение комфорта и функциональности для вашего ребенка. Предназначенные для активного образа жизни, эти брюки выполнены из мягкой смеси хлопка, что обеспечивает нежное прикосновение к коже и предотвращает натирание, позволяя комфортно носить их на прогулках или дома. Пояс и низ штанин, собранные на эластичной резинке, гарантируют надежную посадку и свободу движений, следуя за каждым шагом юного исследователя. Декоративная завязка на поясе добавляет стильный акцент, но не затягивается, что избавляет от необходимости постоянно вставлять её обратно, если ребёнок перепутает её с игрушкой. Эти брюки идеально подходят для повседневных активностей, обеспечивая уют и поддерживая свободу движений, которые так необходимы детям.</t>
  </si>
  <si>
    <t>133402-9113</t>
  </si>
  <si>
    <t>Симпатичные брюки от бренда Minymo станут отличным выбором, если ваш малыш стремится быть похожим на папу и просит себе такие же стильные штаны. Брюки изготовлены из саржи — мягкой смеси хлопка с диагональным переплетением нитей, что придаёт им особую прочность и износостойкость. Этот материал обладает тонкой структурой, что позволяет коже дышать и эффективно испаряет влагу, обеспечивая комфорт даже самым активным непоседам, которым не сидится на месте. Эластичный пояс с регулируемыми завязками обеспечивает идеальную посадку, позволяя подгонять брюки под индивидуальные особенности каждого ребёнка, и добавляет уверенности в движениях. Карманы спереди и по бокам не только добавляют оригинальности внешнему виду изделия, но и предоставляют практичные места для хранения мелких предметов, которые ребенок может взять с собой на прогулку.</t>
  </si>
  <si>
    <t>133403-7899</t>
  </si>
  <si>
    <t>Повседневные брюки от бренда Minymo, выполненные из денима, предлагают вашему ребенку стильный и комфортный вариант на каждый день. Деним на 80% состоит из хлопка, благодаря чему материал мягкий, приятный к телу и обеспечивает отличное отведение влаги. Таким образом, если ребенок активно играет и вспотеет, джинсы быстро высохнут, сохраняя комфорт. Добавление 17% полиэстера и 3% эластана в состав ткани делает брюки более мягкими и тянущимися, что позволяет ребенку легко надевать их и свободно двигаться во время бега или активных игр. Спереди и сзади предусмотрены карманы, что делает эти брюки функциональными и позволяет вашему ребенку чувствовать себя взрослее, имея возможность складывать в них свои мелочи, например, телефон или деньги. Эти джинсы легко сочетаются с различными футболками, рубашками и свитерами, создавая универсальный элемент гардероба.</t>
  </si>
  <si>
    <t>133404-8150</t>
  </si>
  <si>
    <t>Спортивные брюки из денима от бренда Minymo — это идеальное сочетание спортивного и повседневного стиля, которое поможет вашему ребенку выглядеть стильно и чувствовать себя комфортно в любой ситуации. Эти брюки изготовлены из смеси хлопка и синтетических волокон, что обеспечивает им необходимую эластичность и мягкость. Это значит, что они отлично подойдут для активных игр и занятий спортом, даже если ребенок забыл взять с собой спортивную форму. Регулируемый пояс позволяет настроить брюки под индивидуальные нужды, обеспечивая удобную посадку, а эластичный низ штанин не только защищает от холода, но и предотвращает задирание брюк во время активных движений. 
Эти брюки прекрасно сочетаются с различными футболками, свитерами и куртками, что делает их универсальной частью гардероба для любых случаев, будь то поход в школу, прогулка в парке или встреча с друзьями.</t>
  </si>
  <si>
    <t>133405-8404</t>
  </si>
  <si>
    <t>Комплект из двух однотонных спортивных брюк от Minymo — это идеальное сочетание комфорта и практичности для вашего ребенка. Изготовленные из натурального хлопка, эти брюки отлично впитывают и испаряют влагу, обеспечивая комфорт даже во время занятий спортом и активных игр. Универсальные цвета — хаки и серый — делают их подходящими для любого гардероба. Минималистичный дизайн позволяет легко комбинировать брюки с другими вещами, создавая разнообразные образы. Благодаря наличию двух пар, у ребенка всегда будет запасная пара на случай, если первые испачкаются. Функциональные карманы спереди позволяют хранить мелочи или согревать руки в прохладную погоду. Для надежной фиксации и комфорта предусмотрены манжеты и регулируемый пояс на завязках, которые обеспечивают идеальную посадку даже во время самых активных игр. Этот комплект — практичное решение для родителей, стремящихся обеспечить своим детям удобство и свободу движений каждый день.</t>
  </si>
  <si>
    <t>133429-2055</t>
  </si>
  <si>
    <t>Подарите вашему малышу стиль и комфорт с этими спортивными брюками от Minymo, которые идеально сочетают в себе функциональность и привлекательный дизайн. Изготовленные из мягкой смеси хлопка, они обеспечивают максимальный комфорт, позволяя коже дышать. Брюки плотно сидят, но не натирают нежную детскую кожу, что делает их идеальным выбором для активных игр и прогулок. Регулируемый пояс позволит без труда адаптировать посадку под растущие параметры ребенка, делая брюки незаменимыми во время периодов резкого роста. Низ штанин на резинке гарантирует, что брюки всегда будут сидеть идеально, не ограничивая движений и позволяя вашему малышу чувствовать себя свободно. Удобные карманы спереди — это не только стильный элемент дизайна, но и практичное решение для хранения мелочей, будь то ключи от дома или маленькие сувениры, собранные во время прогулок.</t>
  </si>
  <si>
    <t>90 % хлопок, 5 % полиэстер, 5 % эластан</t>
  </si>
  <si>
    <t>133432-2325</t>
  </si>
  <si>
    <t>Брюки Minymo из саржи представляют собой сочетание стиля, комфорта и функциональности, идеально подходящее для активных детей. Материал состоит на 97% из хлопка с добавлением 3% эластана, что делает его очень комфортным к телу, обеспечивая отличную воздухопроницаемость. Благодаря этому брюки отлично подойдут как для жаркой погоды, не давая ребенку вспотеть, так и для прохладных дней, создавая ощущение тепла и уюта. Диагональное плетение саржи придает ткани высокую износостойкость, что особенно важно для маленьких исследователей — материал выдерживает испытания даже при падениях с велосипеда или самоката. Карманы спереди и сзади добавляют практичности, предоставляя вашему ребенку место для хранения мелочей, таких как карманные деньги или любимые сладости, которые всегда будут под рукой.</t>
  </si>
  <si>
    <t>133432-7899</t>
  </si>
  <si>
    <t>133433-7337</t>
  </si>
  <si>
    <t>Объедините стиль и практичность с набором спортивных брюк от Minymo, который станет незаменимым элементом гардероба вашего ребенка. Комплект из двух пар брюк предлагает разнообразие и удобство: одну пару можно использовать для учебных занятий в школе или детском саду, а другую — для прогулок или домашнего отдыха. Изготовленные из 95% хлопка и 5% эластана, брюки обеспечивают максимальный комфорт — натуральный материал мягко касается кожи, не вызывая раздражения, а эластан добавляет эластичности и свободы движений. Регулируемый пояс позволяет легко подогнать брюки под индивидуальные параметры ребенка, а эластичные манжеты по низу штанин обеспечивают идеальную посадку, не сковывая движения. Удобные карманы спереди практичны для хранения мелочей. Этот комплект станет надежным выбором для родителей, ищущих комфорт и стиль в одном изделии.</t>
  </si>
  <si>
    <t>Pants, Sway</t>
  </si>
  <si>
    <t>532163-1110</t>
  </si>
  <si>
    <t>Перед вами очень удобные детские стрейчевые брюки, которые можно носить с весны и до осени. Брюки изготовлены из дышащего, быстросохнущего и ветронепроницаемого материала. А благодаря фактору УФ-защиты 50+ эти брюки еще и защищают от солнца! Простота и функциональность: простой зауженный фасон с эластичной регулируемой талией.  К приключениям на свежем воздухе готовы!</t>
  </si>
  <si>
    <t>95% Полиамид, 5% эластан</t>
  </si>
  <si>
    <t>532169-6840</t>
  </si>
  <si>
    <t>Reima с гордостью представляет детские джинсы с уникальным охлаждающим эффектом, созданные для комфорта и стиля наших маленьких модников. Изготовленные из инновационного материала COOLMAX®, эти джинсы обладают водоотталкивающими и влагоотводящими свойствами, которые обеспечат оптимальную температуру тела даже в самые жаркие летние дни. Специальная технология охлаждения позволит вашей детворе чувствовать себя свежо и комфортно во время игр и прогулок на улице.
Джинсы снабжены регулируемой талией, что гарантирует отличную посадку на любой фигуре, обеспечивая свободу движений. Стильный дизайн дополняется практичными передними и задними карманами, которые не только удобны, но и акцентируют внимание на модном облике.</t>
  </si>
  <si>
    <t>61% Хлопок, 32% полиэстер COOLMAX®, 1% эластан</t>
  </si>
  <si>
    <t>7100011A-3550</t>
  </si>
  <si>
    <t>Технологичные брюки Vynne из мембранной ткани с высокой степенью утепления 140 грамм для холодной зимы. Рекомендуемый температурный режим -10 - 30 градусов*. Водоотталкивающая, ветронепроницаемая и «дышащая» мембранная ткань с показателем водостойкости 3000 мм защитит от дождя средней интенсивности, мокрого снега без промокания и пребывания в лужах. Воздухопроницаемость мембранной ткани 2000 г/м2/24ч обеспечит оптимальный микроклимат и сухость. Высокая степень износостойкости для активной повседневной носки обеспечит долговечность и сохранность. Брюки оснащены эластичной талией и выполнены в прямом крое для безупречной и комфортной посадки. Регулируемые подтяжки на брюках позволяют корректировать их по росту. Эластичные снегозащитные манжеты на брючинах предотвратят попадание снега внутрь. Светоотражающие детали служат для безопасности ребенка.
*Температурный режим носит рекомендательный характер, зависит от индивидуальных особенностей ребёнка, надетых слоев одежды и климатической зоны. Прочный материал.
Усиленные вставки на коленях.
Ветронепроницаемый «дышащий» материал.
Задний серединный шов проклеен.</t>
  </si>
  <si>
    <t>100% полиэстер, полиуретановое покрытие</t>
  </si>
  <si>
    <t>Jacket&amp;Trousers Raiku</t>
  </si>
  <si>
    <t>7100013B-6961</t>
  </si>
  <si>
    <t>Комплект (куртка/брюки)</t>
  </si>
  <si>
    <t>Технологичный зимний комплект Sassa из сверхпрочной мембранной ткани Windshell со средней степенью утепления 160 грамм. Рекомендуемый температурный режим -5-25 градусов*. Водоотталкивающая, ветронепроницаемая и «дышащая» мембранная ткань 1000 мм защитит от дождя средней интенсивности и кратковременного пребывания в лужах. Воздухопроницаемость мембранной ткани 2000 г/м2/24ч подойдет для города и пеших прогулок. Модель обеспечит оптимальный микроклимат, сухость, тепло и максимальный комфорт во время носки. Съемный капюшон с регулировкой по размеру защищает от пронизывающего ветра. Благодаря регулируемому подолу и подтяжкам на брюках, эту модель легко адаптировать под нужный рост ребенка. Низ брючин усилен защитой от попадания снега внутрь. Ветронепроницаемый «дышащий» материал.
Задний серединный шов проклеен.
Гладкая подкладка из полиэстера.
Средняя степень утепления.
Безопасный, съемный капюшон.
Съемные эластичные штрипки.
Регулируемые эластичные подтяжки.
*Температурный режим носит рекомендательный характер, зависит от индивидуальных особенностей ребёнка, надетых слоев одежды и климатической зоны.</t>
  </si>
  <si>
    <t>Softshell pants, Peeta</t>
  </si>
  <si>
    <t>7100017A-9990</t>
  </si>
  <si>
    <t>Комфортные брюки Peeta из мембранной ткани с легкой степенью утепления для осени или весны. Рекомендуемый температурный режим до +10 градусов*. Водоотталкивающая, ветронепроницаемая и «дышащая» мембранная ткань 5000 мм защитит от непродолжительного дождя средней интенсивности без промокания и несильного ветра. Воздухопроницаемость мембранной ткани 3000 г/м2/24ч обеспечит оптимальный микроклимат и сухость. Теплый флис на внутренней стороне брюк выводит излишнюю влагу в верхний мембранный слой. Эластичные защитные манжеты на брючинах предотвратят попадание осадков внутрь. Изделие обладает эластичной регулируемой талией для комфортного прилегания к телу. Светоотражающие детали служат для безопасности ребенка.*Температурный режим носит рекомендательный характер, зависит от индивидуальных особенностей ребёнка, надетых слоев одежды и климатической зоны.</t>
  </si>
  <si>
    <t>Trousers  Sverker</t>
  </si>
  <si>
    <t>7100057A-4740</t>
  </si>
  <si>
    <t>Удобные брюки Sverker из мембранной ткани со средней степенью утепления 80 грамм и проклеенными швами. Рекомендуемый температурный режим +5-10 градусов*. Высокая степень износостойкости для активной повседневной носки обеспечит долговечность и сохранность изделия. Водоотталкивающая, ветронепроницаемая и «дышащая» мембранная ткань с показателем водостойкости 3000 мм защитит от дождя средней интенсивности, мокрого снега без промокания и пребывания в лужах.  Светоотражающие детали служат для безопасности ребенка. *Температурный режим носит рекомендательный характер, зависит от индивидуальных особенностей ребёнка, надетых слоев одежды и климатической зоны.</t>
  </si>
  <si>
    <t>7100057A-6960</t>
  </si>
  <si>
    <t>Pants, Sverker</t>
  </si>
  <si>
    <t>7100057A-9990</t>
  </si>
  <si>
    <t>Pants, Teri</t>
  </si>
  <si>
    <t>7100058A-9990</t>
  </si>
  <si>
    <t>Демисезонные брюки — незаменимая вещь для прогулок в обманчивую погоду. Грязь, снег или дождь — не помеха, чтобы ребенок дышал свежим воздухом, но при этом находился в тепле. У брюк есть утеплитель, который выдерживает температуру от +5 до –10 градусов. А гладкая подкладка из «дышащего» полиэстера не дает перегреться при активных играх.
Брюки изготовлены из таслана с полиуретановым покрытием. Этот плотный материал не пропускает воду — можно спокойно отпускать ребенка кататься с ледяной горки и играть в снегу. Также таслан отталкивает грязь: штаны легко отстирать от пятен.
Брюки комфортно сидят и не сковывают движения за счет эластичного пояса и регулируемых концов брючин. Добавлены светоотражающие детали, с которыми ребенок заметен в темноте. Родители могут не переживать — водители должны издалека увидеть ребенка.</t>
  </si>
  <si>
    <t>Trousers  Maimai</t>
  </si>
  <si>
    <t>7100060A-4740</t>
  </si>
  <si>
    <t>Maimai — демисезонные брюки для детей от 2 до 14 лет. С ними родители могут быть уверены, что ребенку тепло и комфортно в любую погоду. 
Штаны изготовлены из таслана — легкого и прочного материала, который не пропускает ветер. Сверху нанесено полиуретановое покрытие с водоотталкивающими свойствами. Ребенок не промокнет в снегопад и дождь. К тому же, задний шов брюк проклеен — влага не попадет внутрь даже если ребенок сядет на мокрую лавочку или упадет в снег.  
Через гладкую подкладку из полиэстера свободно циркулирует воздух. Так не возникает «парниковый эффект» — ребенок не перегреется при активных играх и не вспотеет.
Пояс регулируется с помощью шнурка. Если под куртку заправлен толстый свитер, можно ослабить пояс, а если тонкий лонгслив — затянуть. Есть два боковых кармана, в которые можно положить проездную карту или ключи. А еще на брюках расположены светоотражающие элементы — ребенок будет в безопасности даже в темноте.</t>
  </si>
  <si>
    <t>158</t>
  </si>
  <si>
    <t>7100060A-9990</t>
  </si>
  <si>
    <t>Trousers  Erft</t>
  </si>
  <si>
    <t>7100103A-4671</t>
  </si>
  <si>
    <t>Утепленные брюки Erft рассчитаны на температуру от −10 до +5 ℃. Ткань брюк и запаянные швы не пропускают влагу и воздух — можно смело отправляться на прогулку, даже если на улице сыро. А высокая талия и эластичные манжеты на брючинах дополнительно защитят от попадания холодного ветра под одежду. При этом дышащий материал быстро отводит влагу от тела, так что малыш не перегреется во время подвижных игр.
Ребенок сможет прыгать по лужам, сколько ему вздумается! Брюки обработаны водо- и грязеотталкивающей пропиткой Bionic-Finish® Eco — не придется беспокоиться о стирке после каждой прогулки.
Фасон брюк продуман так, чтобы малышу было в них комфортно. Благодаря регулируемым подтяжкам брюки не будут сползать. А силиконовые штрипки не дадут брючинам задраться.</t>
  </si>
  <si>
    <t>Pohjoistuuli</t>
  </si>
  <si>
    <t>71206106-0160</t>
  </si>
  <si>
    <t>71206106-3110</t>
  </si>
  <si>
    <t>trousers  Saarni</t>
  </si>
  <si>
    <t>7200013X-4160</t>
  </si>
  <si>
    <t>Флисовые брюки с мягкой резинкой на талии, в которых ребенку будет комфортно гулять в прохладную погоду весной и летом.
Материал подходит для активных игр и спокойного отдыха. Родители могут не переживать за комфорт и безопасность: флис отведет лишнюю влагу наружу, и ребенок останется сухим, если вспотеет.
Брюки мягкие, приятные на ощупь, а еще теплые, легкие, эластичные и быстросохнущие. Ребенок может беззаботно проводить время и не бояться запачкать одежду! Уход за ними не требует особых усилий, даже после многократных стирок они не потеряют внешний вид и свойства.
Эластичные резинки на манжетах плотно облегают ноги, поэтому не пропускают внутрь холод и ветер. Брюки  Saarni не сковывают движений: можно бегать, кататься на горках, кувыркаться — никаких ограничений!</t>
  </si>
  <si>
    <t>7200013X-6961</t>
  </si>
  <si>
    <t>7200013X-9090</t>
  </si>
  <si>
    <t>Hanna</t>
  </si>
  <si>
    <t>72105212-6960</t>
  </si>
  <si>
    <t>Детские утепленные брюки из таслана с мембраной — отличный выбор для активных прогулок в межсезонье, обеспечивая комфорт в температурном диапазоне от +5°C до -10°C. Пропитка DWR и проклеенные швы дают надежную защиту от влаги и загрязнений, а подкладка из таффеты и утеплитель Fellex сохраняют тепло. Эластичный пояс обеспечивает плотное прилегание, а застежка на молнию и кнопку добавляет удобства. Регулируемые и отстегивающиеся лямки позволяют адаптировать брюки под нужды ребенка. Силиконовые штрипки предотвращают задирание штанин, а два кармана на молнии на коленях удобны для хранения мелочей. Светоотражающие элементы на левой брючине повышают безопасность в темное время суток.
Характеристики:
- Рекомендуемый температурный режим: от +5°C до -10°C
- Тип утеплителя: Fellex
- Вес утеплителя: 80 г
- Водонепроницаемость: 10 000 мм
- Воздухопроводимость: 7 000 г/м²/24 ч
- Сопротивление истиранию: 35 000 циклов
- Конструкция швов: Все швы проклеены</t>
  </si>
  <si>
    <t>Birgi</t>
  </si>
  <si>
    <t>72206107-6960</t>
  </si>
  <si>
    <t>72206107-8070</t>
  </si>
  <si>
    <t>Tea</t>
  </si>
  <si>
    <t>73106103-9990</t>
  </si>
  <si>
    <t>100% полиэстер, ПУ покрытие</t>
  </si>
  <si>
    <t>Hannu</t>
  </si>
  <si>
    <t>73106104-9990</t>
  </si>
  <si>
    <t>Linnunrata</t>
  </si>
  <si>
    <t>73205215-5091</t>
  </si>
  <si>
    <t>88% нейлон, 2% эластан, 10% эластика</t>
  </si>
  <si>
    <t>130</t>
  </si>
  <si>
    <t>150</t>
  </si>
  <si>
    <t>160</t>
  </si>
  <si>
    <t>73205215-6520</t>
  </si>
  <si>
    <t>Ympyra</t>
  </si>
  <si>
    <t>73206102-9470</t>
  </si>
  <si>
    <t>74% хлопок, 24% полиэстер, 2% эластан</t>
  </si>
  <si>
    <t>Etana</t>
  </si>
  <si>
    <t>73206112-8070</t>
  </si>
  <si>
    <t>Koivu</t>
  </si>
  <si>
    <t>73206117-3110</t>
  </si>
  <si>
    <t>Джоггеры</t>
  </si>
  <si>
    <t>73206117-9340</t>
  </si>
  <si>
    <t>73206117-9370</t>
  </si>
  <si>
    <t>Color kids</t>
  </si>
  <si>
    <t>Pants Stretch W. Zip Off</t>
  </si>
  <si>
    <t>741368-7150</t>
  </si>
  <si>
    <t>Брюки сделаны из материала Softshell, который делает одежду теплой и при этом уменьшает ее общий объем — не надо надевать несколько слоев, потому что Softshell спокойно их заменит. 
Изделие состоит на 92% из полиэстера и на 8% из эластана, поэтому штаны быстро сохнут, износостойкие и эластичные. Они отлично сядут по фигуре и не будут сковывать движение. К тому же, брюки пропитаны BIONIC FINISH® ECO со специальными водо- и грязеотталкивающими свойствами. Родители могут быть спокойны: не придется стирать и сушить брюки после каждой прогулки. В самых быстро изнашивающихся местах, на коленях и сзади, есть плотные черные вставки — идеальный вариант для любителей ползать и кататься с горок.
Нижняя часть брюк отстегивается. Ребенок сможет легко превратить штаны в шорты, если станет жарко или он придет в гости — выше колена вшита молния. Брюки застегиваются на кнопки, а на поясе есть ремешки. На лицевой стороне — карманы на молнии, а на лодыжках — фиксаторы-липучки.</t>
  </si>
  <si>
    <t>92 % полиэстер, 8 % эластан</t>
  </si>
  <si>
    <t>Pants Outdoor - Stretch</t>
  </si>
  <si>
    <t>741369-1919</t>
  </si>
  <si>
    <t>Эти практичные брюки из материала Softshell — идеальный выбор для активных игр на улице, обеспечивающий комфорт и стойкость в любых условиях. Они созданы из эластичного и износостойкого материала, состоящего на 92% из полиэстера и на 8% из эластана, что обеспечивает отличную свободу движений. Пропитка BIONIC FINISH® ECO придает ткани водо- и грязеотталкивающие свойства, делая эти брюки отличным вариантом для дождливых и грязных дней. При этом изделие легко стирается, быстро сохнет и не требует особого ухода, что особенно удобно для родителей. На самых уязвимых местах — коленях и задней части — предусмотрены усиленные черные вставки, которые повышают износостойкость и позволяют ребенку свободно двигаться, не беспокоясь о возможных повреждениях. Брюки застегиваются на удобные кнопки, а ремешки на поясе обеспечивают комфортную посадку, давая возможность подогнать изделие по фигуре ребенка. Стильные карманы на молнии на лицевой стороне.</t>
  </si>
  <si>
    <t>Sweat Pants - Solid</t>
  </si>
  <si>
    <t>741401-5005</t>
  </si>
  <si>
    <t>Эластичные спортивные брюки из быстросохнущего материала — идеальный вариант для активных занятий или прогулок. Даже если ребенок вспотеет, ему будет комфортно — малыш не замерзнет и не будет стыдиться мокрых пятен на одежде.
Спортивные брюки сделаны с резинкой на талии и завязками. Они точно не спадут во время занятий — ребенку не придется отвлекаться и вечно подтягивать их. На штанинах есть карманы с обеих сторон. Это не только стильно, но и практично — в карманы можно положить солнцезащитный крем или очки, если занятия проходят не улице. Миниатюрный логотип спереди дополняет образ, не перегружая его.
В составе — 75% полиэстера. Материал износостойкий и не деформируется при стирке. А еще в таких брюках не вытянутся колени. Благодаря 25% вискозы в составе ткань хорошо пропускает воздух, поглощает влагу и приятна к телу.</t>
  </si>
  <si>
    <t>75 % полиэстер, 25 % вискоза</t>
  </si>
  <si>
    <t>741401-7850</t>
  </si>
  <si>
    <t>Sunhat, Puu</t>
  </si>
  <si>
    <t>7200088A-0920</t>
  </si>
  <si>
    <t>Панама — незаменимая вещь, которая защитит голову малыша от солнца в летний день. Плотный 100% хлопковый муслин, из которого она сшита, хорошо держит форму. Можно сложить панаму в чемодан и отправиться в отпуск — головной убор не помнется.
Сзади на панаме вшита эластичная резинка. С ней головной убор плотно сидит и не спадает, даже если ребенок играет в догонялки. При этом панама не давит на голову.</t>
  </si>
  <si>
    <t>042</t>
  </si>
  <si>
    <t>046</t>
  </si>
  <si>
    <t>7200088A-4380</t>
  </si>
  <si>
    <t>7200088A-6930</t>
  </si>
  <si>
    <t>Balaclava</t>
  </si>
  <si>
    <t>162233-4535</t>
  </si>
  <si>
    <t>Балаклава</t>
  </si>
  <si>
    <t>Эта милая нежно-розовая шапка-шлем станет надежной защитой для вашего ребенка в холодные и ветреные дни. Она обеспечит тепло и комфорт не только для головы и ушей, но и шеи, что делает её идеальным вариантом для детей, у которых шарфы часто оказываются свободными или вовсе развязываются. Шапка изготовлена из мягкого трикотажного материала, состоящего из 97% хлопка и 3% эластана. Высокое содержание натуральных волокон обеспечивает приятные тактильные ощущения и комфорт в носке — голова вашего малыша останется сухой и не будет подвержена раздражению. Добавление небольшого количества эластана придает изделию необходимую эластичность, благодаря чему балаклава легко надевается и надежно сидит, не создавая неудобств и не давя. Особая резинка вокруг лица обеспечивает более плотное прилегание, защищая уши и личико от пронизывающего ветра.</t>
  </si>
  <si>
    <t>52</t>
  </si>
  <si>
    <t>162233-5416</t>
  </si>
  <si>
    <t>54</t>
  </si>
  <si>
    <t>Panama  Ossea</t>
  </si>
  <si>
    <t>7300057A-6960</t>
  </si>
  <si>
    <t>Нежная кожа малышей летом нуждается в особой заботе. Панама Ossea пригодится и в городе, и на пляже: она надежно скроет голову и шею ребенка от агрессивных  солнечных лучей. 
Модель сшита из смеси полиэстера и эластана. Материал эластичный и с защитой от ультрафиолета. Чтобы солнце не слепило глазки, есть козырек, а для защиты шеи предусмотрена удлиненная задняя часть. 
Ткань быстро сохнет, поэтому не придется снимать панаму, если ребенок пойдет купаться в море.</t>
  </si>
  <si>
    <t>85% Полиэстер, 15% эластан</t>
  </si>
  <si>
    <t>Kalassa</t>
  </si>
  <si>
    <t>73304402-0160</t>
  </si>
  <si>
    <t>Панама для подростков из натурального 100% хлопка. Рассчитана на температуру от +15°C и выше. Без подкладки. Идеально подходит для прогулок в летнюю погоду.</t>
  </si>
  <si>
    <t>052</t>
  </si>
  <si>
    <t>048</t>
  </si>
  <si>
    <t>Calvin Klein</t>
  </si>
  <si>
    <t>SKINNY HR BLUE BLACK STR</t>
  </si>
  <si>
    <t>IG0IG01239-1BJ</t>
  </si>
  <si>
    <t>Джинсы детские Calvin Klein - это идеальный выбор для молодых стильных модниц. Изготовленные из прочного и высококачественного денима, эти джинсы гарантируют долговечность и комфорт даже в самых активных играх и приключениях. Эти джинсы на 20 % изготовлены из экологически чистой ткани и дополнены эластичным хлопковым денимом. Уникальный дизайн джинсов Calvin Klein подчеркнет индивидуальность вашего ребенка, а значок с логотипом добавит нотку классического стиля. С их идеальной посадкой и модным силуэтом, эти джинсы прекрасно смотрятся с любой верхней одеждой - от футболок до рубашек. Штаны Calvin Klein для детей обладают не только отличным стилем, но и практичностью. Они имеют функциональные карманы, позволяющие ребенку хранить свои вещи в безопасности. Кроме того, они легко стираются и сохраняют свою первоначальную форму после каждой стирки. Позвольте вашему ребенку выражать свой индивидуальный стиль и чувствовать себя комфортно в джинсах Calvin Klein. Выберите качество, стиль и комфорт - выберите джинсы Calvin Klein для детей.</t>
  </si>
  <si>
    <t>сине-черный</t>
  </si>
  <si>
    <t>71% хлопок, 20% перераб. хлопок, 5% полиэстер, 4% эластан</t>
  </si>
  <si>
    <t>98-104</t>
  </si>
  <si>
    <t>123406-7899</t>
  </si>
  <si>
    <t>Брюки из денима с потертостями от бренда Minymo — это стильный и незаменимый элемент в гардеробе каждой маленькой модницы. Они легко комбинируются с любым верхом, будь то футболка, свитер или блузка, что делает их универсальной вещью, которая точно не будет пылиться в шкафу. Брюки изготовлены из качественного материала, в составе которого 80% хлопка, 19% полиэстера и 1% эластана. Благодаря этому сочетанию, они мягкие, эластичные и долговечные, а полиэстер придает им дополнительную прочность. Регулируемый пояс обеспечивает идеальную посадку, что особенно важно для девочек с узкой талией. Дополнительную практичность придают шлевки для ремня, позволяя не только украсить образ, но и обеспечить надежную фиксацию брюк на теле. Накладные карманы спереди и сзади добавляют удобства для хранения мелочей. Ассиметричный низ штанин с бахромой и потертости придают брюкам оригинальность и модный вид. Застежка на пуговицы и эффектный дизайн сделают эти брючки любимым элементом гардероба девочки, которой нравится выделяться и быть в центре внимания.</t>
  </si>
  <si>
    <t>80 % хлопок, 19 % полиэстер, 1 % эластан</t>
  </si>
  <si>
    <t>123438-7337</t>
  </si>
  <si>
    <t>Оригинальные джинсы с цветочным рисунком — отличный выбор для девочки, которая не любит скучные наряды. Ткань с потертостями и сплошным принтом, контрастная строчка, ассиметричный низ штанин с бахромой делают наряд современным и запоминающимся. Маленькая модница будет самой стильной!
В составе ткани — 80% хлопка, 19% полиэстера и 1% эластана. Материал дышащий и мягкий, поэтому в джинсах будет удобно и комфортно путешествовать, гулять и ходить на кружки. Наряд станет одним из самых любимых у юной принцессы!
Благодаря эластану в составе ткани, брюки хорошо тянутся, а полиэстер делает джинсы более прочными. Пояс регулируется — даже на худенькой девочке джинсы будут хорошо сидеть. Узкую талию можно подчеркнуть ремешком. Джинсы застегиваются на пуговицу, спереди и сзади есть накладные карманы. Эти джинсы станут любимым элементом гардероба девочки, которой нравится выделяться и быть в центре внимания.</t>
  </si>
  <si>
    <t>Kattila</t>
  </si>
  <si>
    <t>73204104-6030</t>
  </si>
  <si>
    <t>Джинсы из денима с высокой посадкой. Брючины не стесняют движений и свободно сидят на бедрах. Надежно фиксируются благодаря застежке на молнии и кнопке. Есть карманы спереди и сзади. Практичный грязе- и водоотталкивающий материал с охлаждающим эффектом. Его обеспечивает вплетение волокон CoolMax. Представлены в классических расцветках.</t>
  </si>
  <si>
    <t>57% Хлопок, 23% Вискоза, 19% Полиэстер, 1% Эластан</t>
  </si>
  <si>
    <t>73204105-9370</t>
  </si>
  <si>
    <t>Джинсы из денима с высокой посадкой. Свободные в бедрах. Штанины заужены к низу. Застегиваются на молнию с кнопкой. Есть карманы. Материал с грязе- и водоотталкивающими свойствами. Охлаждающий эффект за счет добавления волокон CoolMax. Выполнены в приглушенных оттенках.</t>
  </si>
  <si>
    <t>GEOX</t>
  </si>
  <si>
    <t>J FLEXYPER BOY</t>
  </si>
  <si>
    <t>J369BA032MEC4002</t>
  </si>
  <si>
    <t>ВЕР:34% ПОЛИМЕРНЫЙ МАТЕРИАЛ (ПОЛИУРЕТАН) 24% ПОЛИМЕРНЫЙ МАТЕРИАЛ (ПОЛИЭСТЕР) 22% ТЕКСТИЛЬ (ПОЛИЭСТЕР</t>
  </si>
  <si>
    <t>J569BA0ME32C0033</t>
  </si>
  <si>
    <t>ВЕР:37% ПОЛИМЕРНЫЙ МАТЕРИАЛ (ПОЛИУРЕТАН) 29% ПОЛИМЕРНЫЙ МАТЕРИАЛ (ПОЛИЭСТЕР) 27% ТЕКСТИЛЬ (ПОЛИЭСТЕР</t>
  </si>
  <si>
    <t>30</t>
  </si>
  <si>
    <t>31</t>
  </si>
  <si>
    <t>J CASEY GIRL</t>
  </si>
  <si>
    <t>J9420G000CNC9240</t>
  </si>
  <si>
    <t>ВЕР:100% ПОЛИМЕРНЫЙ МАТЕРИАЛ (ПОЛИЭСТЕР);ПОДОШВА:100% ТЕРМОПЛАСТИК;ПОДКЛАДКА:85% ТЕКСТИЛЬ (ПОЛИЭСТЕР</t>
  </si>
  <si>
    <t>Lumberjack</t>
  </si>
  <si>
    <t>KRISTY</t>
  </si>
  <si>
    <t>101386026</t>
  </si>
  <si>
    <t>кожа, синт.кожа, текстиль, резина</t>
  </si>
  <si>
    <t>RIVER</t>
  </si>
  <si>
    <t>101681942</t>
  </si>
  <si>
    <t>кремовый</t>
  </si>
  <si>
    <t>Кожа</t>
  </si>
  <si>
    <t>101681980</t>
  </si>
  <si>
    <t>101682024</t>
  </si>
  <si>
    <t>101682036</t>
  </si>
  <si>
    <t>кожа, синт.кожа</t>
  </si>
  <si>
    <t>101906204</t>
  </si>
  <si>
    <t>кожа, резина</t>
  </si>
  <si>
    <t>101987936</t>
  </si>
  <si>
    <t>кожа</t>
  </si>
  <si>
    <t>101987937</t>
  </si>
  <si>
    <t>101987938</t>
  </si>
  <si>
    <t>101987948</t>
  </si>
  <si>
    <t>101987949</t>
  </si>
  <si>
    <t>101987951</t>
  </si>
  <si>
    <t>101987952</t>
  </si>
  <si>
    <t>101987954</t>
  </si>
  <si>
    <t>101987957</t>
  </si>
  <si>
    <t>101987959</t>
  </si>
  <si>
    <t>101987963</t>
  </si>
  <si>
    <t>101988075</t>
  </si>
  <si>
    <t>Нубук, кожа, синтетика, резина</t>
  </si>
  <si>
    <t>EVRIL 1</t>
  </si>
  <si>
    <t>101988091</t>
  </si>
  <si>
    <t>Полуботинки</t>
  </si>
  <si>
    <t>101988107</t>
  </si>
  <si>
    <t>замша</t>
  </si>
  <si>
    <t>101988109</t>
  </si>
  <si>
    <t>WARANASI</t>
  </si>
  <si>
    <t>101988154</t>
  </si>
  <si>
    <t>текстиль, синт.кожа</t>
  </si>
  <si>
    <t>101988155</t>
  </si>
  <si>
    <t>101988157</t>
  </si>
  <si>
    <t>rubber boots  Sade</t>
  </si>
  <si>
    <t>7400053A-4671</t>
  </si>
  <si>
    <t>Сапоги</t>
  </si>
  <si>
    <t>С такими сапожками не страшны дожди, мокрый снег и лужи — ноги останутся сухими после прогулки. 
Сапоги просты в уходе: их можно помыть или протереть, а стельку — вытащить и просушить. 
Рассчитаны на температуру от −5 до +5 ℃. 
Легко надеть и снять с помощью двух отверстий по бокам. Высокие голенища не упираются в ногу и не сковывают движений, при этом защищают штаны от грязи и влаги. Внутри тканевая подкладка для дополнительного комфорта и тепла. 
Подошва сделана из гибкой резины и не скользит, поэтому удобно гулять, бегать и прыгать. 
Светоотражающие элементы делают вечерние прогулки более безопасными.
Без ПВХ, фторуглерода и продуктов животного происхождения. Выбирая эту обувь, вы делаете вклад в заботу об окружающей среде и поддерживаете экологичное производство.</t>
  </si>
  <si>
    <t>029</t>
  </si>
  <si>
    <t>030</t>
  </si>
  <si>
    <t>031</t>
  </si>
  <si>
    <t>032</t>
  </si>
  <si>
    <t>7400053A-6651</t>
  </si>
  <si>
    <t>7400053A-6961</t>
  </si>
  <si>
    <t>rubber boots  Sade T</t>
  </si>
  <si>
    <t>7400054A-4671</t>
  </si>
  <si>
    <t>Осенью и весной погода непредсказуема, но в резиновых сапогах можно смело гулять и в дождь, и в мокрый снег. Ножки останутся сухими! 
Сапоги просты в уходе: их можно быстро помыть или протереть после прогулки, а съемную стельку — вытащить и просушить. 
Рассчитаны на температуру от −5 до +5 ℃. 
Легко надеваются и снимаются с помощью двух отверстий по бокам. Голенище не упирается в ногу и не сковывает движений, а тканевая подкладка дарит больше комфорта и тепла. 
Подошва сделана из гибкой резины и не скользит, поэтому в сапогах удобно гулять, бегать и прыгать.
Светоотражающие элементы делают вечерние прогулки более безопасными.
Без ПВХ, фторуглерода и продуктов животного происхождения. Выбирая эту обувь, вы делаете вклад в заботу об окружающей среде и поддерживаете экологичное производство.</t>
  </si>
  <si>
    <t>028</t>
  </si>
  <si>
    <t>Children's Cap</t>
  </si>
  <si>
    <t>518550-4411</t>
  </si>
  <si>
    <t>Сшитая из высококачественного эластичного и мягкого хлопкового материала, кепка мягко облегает голову, обеспечивая максимальный комфорт даже при длительном ношении. Натуральный хлопок приятен к коже, не вызывает раздражений и позволяет голове «дышать», что особенно важно для активных малышей. 
Уникальная особенность этой кепки — ее двусторонний дизайн. В зависимости от настроения или случая, вы можете выбрать сторону с ярким рисунком, чтобы добавить образу вашего ребенка игривости и цвета, или остановиться на одноцветной стороне для более сдержанного и классического стиля. Это также позволяет легко сочетать кепку с различными нарядами. Прочная и качественная, ее можно многократно стирать без потери формы и яркости цветов. Кепка легко надевается и снимается, а эластичный материал позволяет ей надежно сидеть на голове, не создавая дискомфорта.</t>
  </si>
  <si>
    <t>044</t>
  </si>
  <si>
    <t>518550-4571</t>
  </si>
  <si>
    <t>Эта кепка для малышей пользуется огромной популярностью! Она сшита из эластичного, мягкого хлопкового материала. Одна сторона у нее с рисунком, а другая одноцветная — выберите ту, которая вам больше нравится сегодня.</t>
  </si>
  <si>
    <t>95% Хлопок, 5% эластан</t>
  </si>
  <si>
    <t>Nuppi</t>
  </si>
  <si>
    <t>72306312-0100</t>
  </si>
  <si>
    <t>72306312-9000</t>
  </si>
  <si>
    <t>Baseball Cap</t>
  </si>
  <si>
    <t>804473-RS046</t>
  </si>
  <si>
    <t>Кепка Champion красного цвета.</t>
  </si>
  <si>
    <t>UNI</t>
  </si>
  <si>
    <t>Overalls</t>
  </si>
  <si>
    <t>7100019B-6821</t>
  </si>
  <si>
    <t>Технологичный комбинезон Nyuka из мембранной ткани Taslan rec с высокой степенью утепления 220 грамм для холодной зимы и активных прогулок. Рекомендуемый температурный режим -10 - 30 градусов*. Водоотталкивающая, ветронепроницаемая и «дышащая» мембранная ткань с показателем водостойкости 3000 мм защитит от дождя средней интенсивности, мокрого снега без промокания и пребывания в лужах. Воздухопроницаемость мембранной ткани 2000 г/м2/24ч обеспечит оптимальный микроклимат и сухость. Съемный капюшон с отсоединяемой каймой из искусственного меха с регулировкой по размеру защищает от пронизывающего ветра. Кнопки легко отстегиваются, если капюшон случайно за что-нибудь зацепится. Эластичные манжеты на руках и ногах, а также съемные эластичные штрипки предотвратят попадание влаги, грязи и снега внутрь изделия. Светоотражающие детали служат для безопасности ребенка. Прочный материал.
Ветронепроницаемый «дышащий» материал.
Задний серединный шов проклеен.
Гладкая подкладка из полиэстера.
Имитация пуха.
Безопасный съемный капюшон с отсоединяемой каймой из искусственного меха.
Эластичные манжеты на руках и ногах.
Съемные эластичные штрипки.
Длинная молния для легкого одевания.
*Температурный режим носит рекомендательный характер, зависит от индивидуальных особенностей ребёнка, надетых слоев одежды и климатической зоны.</t>
  </si>
  <si>
    <t>074</t>
  </si>
  <si>
    <t>Overalls  Vende</t>
  </si>
  <si>
    <t>7100039A-6961</t>
  </si>
  <si>
    <t>Демисезонный комбинезон рассчитан на температуру от +5 до –10 градусов. Он защитит ребенка от непогоды — дождя, слякоти, снегопада и ветра. Особенность изделия — непромокаемый материал таслан, с которым ребенку всегда будет сухо и комфортно.
Средний задний шов проклеен. Низ комбинезона не промокнет, если ребенок будет всю прогулку кататься с ледяной горки или случайно сядет в снег. 
Внутри — утеплитель и гладкая подкладка из полиэстера. Благодаря дышащему материалу малыш не перегреется и не вспотеет. Сзади и на брючинах есть вставки из прочной ткани: комбинезон не сотрется и не растянется.
Капюшон дополнительно защищает от холода, при желании его можно снять. Штрипки, с которыми штанины не задираются, тоже отстегиваются. На рукавах и брючинах — эластичные манжеты, поэтому внутрь комбинезона не попадет снег.</t>
  </si>
  <si>
    <t>Lauri</t>
  </si>
  <si>
    <t>71105301-6960</t>
  </si>
  <si>
    <t>Комбинезон утепленный</t>
  </si>
  <si>
    <t>Этот утепленный комбинезон из оксфорда идеально подходит для холодной зимней погоды, обеспечивая комфорт в температурном диапазоне от -5°C до -25°C. Благодаря подкладу из таффеты и утеплителю Fellex, он надежно защищает от холода. Влагозащита обеспечивается проклеенными швами и специальной пропиткой DWR, которая также защищает от загрязнений. Комбинезон оснащен отстегивающимся капюшоном на кнопках и каймой из искусственного меха, крепящейся на молнию. Воротник и манжеты, утепленные флисом, добавляют тепло и комфорт. Регулируемая талия на резинке и пуговицах обеспечивает идеальную посадку, а безопасный стоппер на молнии защищает подбородок от защемления. Внутренняя и внешняя ветрозащитные планки увеличивают защиту от ветра. Боковой карман на молнии удобен для мелких предметов. Силиконовые штрипки на штанинах предотвращают их задирание во время активных игр.
Характеристики:
- Материал: Оксфорд с мембраной
- Температурный режим: от -5°C до -25°C
- Утеплитель: Fellex
- Подклад: Таффета
- Защита от влаги: Проклеенные швы и пропитка DWR
Преимущества:
- Отстегивающийся капюшон на кнопках
- Кайма из искусственного меха на молнии
- Утепленные флисом воротник и манжеты
- Регулируемая талия на резинке и пуговицах
- Безопасный стоппер на молнии
- Ветрозащитные планки (внутренняя и внешняя)
- Боковой карман на молнии</t>
  </si>
  <si>
    <t>Leijona</t>
  </si>
  <si>
    <t>71204101-6910</t>
  </si>
  <si>
    <t>флис</t>
  </si>
  <si>
    <t>Savelka</t>
  </si>
  <si>
    <t>72105219-4590</t>
  </si>
  <si>
    <t>Утеплённый комбинезон из таслана с мембраной — идеальный выбор для холодных зимних дней, обеспечивая комфорт и защиту от влаги и грязи. Благодаря пропитке DWR и проклеенным швам, комбинезон эффективно защищает в любых погодных условиях. Подкладка из таффеты и утеплитель Фелекс позволяют носить его при температуре от -5°C до -25°C.
Комбинезон оснащён функциями для максимального удобства: съёмный капюшон с флисовой подкладкой и эластичной резинкой защищает от ветра, а внутренние лямки позволяют легко снять комбинезон в помещении. Безопасный флисовый стоппер на молнии защищает подбородок, а эластичные воротник и манжеты, утеплённые флисом, предотвращают проникновение холода. Боковые карманы на молнии обеспечивают удобное хранение личных вещей.
Эргономичная конструкция комбинезона включает в себя регулируемую талию с пуговицами и резинкой, а силиконовые штрипки помогают брюкам не задираться. Для дополнительной прочности задняя часть до талии и нижние части брючин спереди усилены материалом оксфорд.
Особенности:
- Пропитка DWR и проклеенные швы
- Подкладка из таффеты, утеплитель Фелекс
- Температурный режим: от -5°C до -25°C
- Съёмный капюшон с флисом и внутренние лямки
- Безопасный флисовый стоппер на молнии
- Регулируемая талия с пуговицами и резинкой
- Усиление оксфордом для дополнительной прочности
- Светоотражающие элементы для безопасности</t>
  </si>
  <si>
    <t>Alpha Caprice</t>
  </si>
  <si>
    <t>Swimming trunks</t>
  </si>
  <si>
    <t>SWD005</t>
  </si>
  <si>
    <t>лайкра, полиэстер</t>
  </si>
  <si>
    <t>30_116</t>
  </si>
  <si>
    <t>32_122</t>
  </si>
  <si>
    <t>36_140</t>
  </si>
  <si>
    <t>Children's Swimsuit</t>
  </si>
  <si>
    <t>526280-7503</t>
  </si>
  <si>
    <t>Бикини входят в эксклюзивную коллекцию Reima SunProof, которая обеспечивает не только яркий и стильный вид, но и надежную защиту от вредных солнечных лучей. Материал, использованный для создания этого комплекта, обладает высоким фактором УФ-защиты 50+, что позволяет вашему ребенку наслаждаться летним отдыхом без лишних забот.
Верхняя часть бикини разработана с учетом максимального комфорта и дополнительной защиты. Она имеет накладку на передней части, которая обеспечивает более широкий охват тела, предлагая родителям дополнительное спокойствие, а детям — свободу активных игр и удовольствия от плаванья. Эластичный пояс нижней части бикини делает их чрезвычайно удобными в носке, обеспечивая надежную посадку без лишнего давления и дискомфорта.
Комплект выполнен из высококачественного, быстросохнущего материала, что уникально сочетает в себе долговечность и мягкость к нежной коже ребенка.</t>
  </si>
  <si>
    <t>80% Полиамид, 20% Эластан</t>
  </si>
  <si>
    <t>Swimsuit, Uimaan</t>
  </si>
  <si>
    <t>7200062A-6961</t>
  </si>
  <si>
    <t>Закрытый купальник синего цвета с ярким рисунком листьев для девочек от 4 до 14 лет, в котором точно будет удобно.
Купальник почти полностью закрывает спину и грудь, поэтому ребенок сможет безопасно проводить время на море и не обгореть в этих местах. К тому же у ткани есть солнцезащитный фактор 50+. А еще благодаря тому, что купальник закрытый, он не будет спадать во время плавания и игр. 
Комфорт обеспечат несколько важных деталей:
17% эластана в составе ткани, благодаря которому купальник легко тянется — малышке будет удобно и плавать, и играть на пляже
Подкладка купальника спереди, чтобы не просвечивала грудь
Эластичная сборка на шее, проймах и в нижней части купальника, чтобы ребенок смог быстро и легко надевать купальник без помощи родителей 
83% переработанного полиэстера в составе ткани, благодаря которому купальник быстро высохнет</t>
  </si>
  <si>
    <t>Children's swimwear</t>
  </si>
  <si>
    <t>516492B-6988</t>
  </si>
  <si>
    <t>Купальный костюм</t>
  </si>
  <si>
    <t>Изготовленная из дышащего и эластичного футера, курточка обеспечивает удивительное чувство комфорта и легкости при каждом носке. Футер — это трикотажное полотно, которое отличается мягкостью и хорошими терморегулирующими свойствами, позволяя коже дышать и поддерживая оптимальный микроклимат в любую погоду. Особенности дизайна включают резинки на воротнике, манжетах и подоле, которые обеспечивают отличную посадку и препятствуют проникновению ветра, создавая дополнительное тепло. Эта курточка отлично смотрится в сочетании с другими элементами гардероба и идеально комбинируется со спортивными брюками Tirro, создавая стильный и современный образ. Она подходит для различных повседневных ситуаций: от прогулок в парке до мероприятий в детском саду. Благодаря её универсальности и практичности, эта курточка станет любимым выбором на каждый день.</t>
  </si>
  <si>
    <t>80% Полиамид, 20% эластан</t>
  </si>
  <si>
    <t>MadeSky blue</t>
  </si>
  <si>
    <t>72206310-6140</t>
  </si>
  <si>
    <t>85% полиэстер, 15% эластан</t>
  </si>
  <si>
    <t>Kuha</t>
  </si>
  <si>
    <t>72206311-5101</t>
  </si>
  <si>
    <t>лиловый</t>
  </si>
  <si>
    <t>72206311-7060</t>
  </si>
  <si>
    <t>Kelme</t>
  </si>
  <si>
    <t>KELME Women's Down Jacket</t>
  </si>
  <si>
    <t>6147YR1008-202</t>
  </si>
  <si>
    <t>Пуховик Kelme с капюшоном. Изготовлен из практичного ветро-и влагозащитного материала с наполнителем из утиного пуха. Застежка на скрытую молнию. Капюшон с воротником-стойкой и эластичным шнурком для надежной защиты от ветра в непогоду. Боковые карманы для рук и хранения различных мелочей. В рукава вшиты трикотажные манжеты для дополнительной защиты от ветра. Фирменный принт логотипа в тон пуховика.</t>
  </si>
  <si>
    <t>2XL</t>
  </si>
  <si>
    <t>531489-8130</t>
  </si>
  <si>
    <t>Все дети любят играть на свежем воздухе, но никому не нравятся укусы насекомых. Идеальное решение — эта детская куртка с пропиткой, защищающей от насекомых. Она сшита из тянущегося во все стороны материала и очень удобна в носке. Быстросохнущий материал защищает от вредных солнечных лучей с УФ-фактором 50+.
Материал Reima Anti-Bite обработан пропиткой Si Repel Mosquito — нетоксичной и биоразлагаемой. Она защищает от клещей, комаров, мух, ос и даже вшей, но не наносит вред природе или насекомым. Пропитка репеллентом выдерживает до 100 циклов машинной стирки. Важно помнить, что даже несмотря на пропитку Anti-Bite, насекомые могут садиться на незащищенные участки кожи или другую одежду. Молния по всей длине с защитой подбородка.
Карманы на молнии.
Cветоотражающие детали.</t>
  </si>
  <si>
    <t>Reimatec® jacket, Svinge</t>
  </si>
  <si>
    <t>531383-0104</t>
  </si>
  <si>
    <t>Эту классную спортивную куртку для подростков можно носить от весны и до осени! Куртка Reimatec изготовлена из водо- и ветронепроницаемого и дышащего материала, при чем основные швы в ней запаяны и водонепроницаемы. Она снабжена множеством практичных деталей, а съемный капюшон защищает от пронизывающего ветра, и к тому же абсолютно безопасен во время активных прогулок, поскольку легко отстегнется, если вдруг за что-нибудь зацепится. За ненадобностью капюшон можно подвернуть под воротник. Обратите внимание на эластичные манжеты, регулируемый подол и карманы на молнии. К весне готовы!</t>
  </si>
  <si>
    <t>100% Полиэстер, ПУ ламинирование</t>
  </si>
  <si>
    <t>Jacket, Slusse</t>
  </si>
  <si>
    <t>531394-3500</t>
  </si>
  <si>
    <t>Ваш ребенок любит гулять, но ему досаждают комары? Эта детская куртка изготовлена из материала, тянущегося в четырех направлениях. Поэтому в ней очень комфортно. Быстросохнущий материал с фактором УФ-защиты 50+ покрывает кожу, защищая ребенка от вредных солнечных лучей. Кроме того, эта детская куртка отпугивает комаров.
Материал Reima Anti-Mosquito имеет пропитку, отпугивающую комаров. В основе пропитки – экологически чистый экстракт растения гераниол. Помните, что даже при использовании анти-москитной одежды комары могут садиться на незащищенные участки кожи.</t>
  </si>
  <si>
    <t>90% Полиамид, 10% эластан</t>
  </si>
  <si>
    <t>Reimatec jacket, Finholma</t>
  </si>
  <si>
    <t>521675-3210</t>
  </si>
  <si>
    <t>Материал Sorona®, частично созданный на растительной основе, помогает сокращать выбросы углеводорода. Уровень выбросов CO2 при производстве этого материала примерно в 5 раз меньше, чем у обычного полиэстера! При этом все модели, как всегда, обладают прекрасными водонепроницаемыми свойствами. Вы заметили, что молния спереди надежно защищена от влаги и украшена светоотражающим логотипом Reima? Эта куртка Finholma готова к приключениям в любую погоду!</t>
  </si>
  <si>
    <t>персиковый</t>
  </si>
  <si>
    <t>6147YR2014-000</t>
  </si>
  <si>
    <t>Легкий укороченный пуховик Kelme. Изготовлен из практичного материала с наполнителем из утиного пуха. Застежка на молнию. Воротник-стойка для защиты от ветра. Капюшон с эластичным шнурком для регулировки посадки. Боковые карманы на молнии для рук и хранения различных мелочей. В рукава вшиты трикотажные манжеты для дополнительной защиты от ветра. Эластичный шнурок для регулировки размера по нижнему краю. Нашивка логотипа на груди в тон пуховика и полоса с фирменной надписью по кромке капюшона.</t>
  </si>
  <si>
    <t>531578-3210</t>
  </si>
  <si>
    <t>Лучшие каникулы включают в себя всего понемногу: катание в лодке или на велосипеде, походы и много свободного времени для веселья в солнечные дни. Пакуя чемоданы, необходимо всегда учитывать все капризы погоды, при этом оставляя место для новых сувениров.  В этой новой легкой куртке от Reima так просто отправиться в любое путешествие! Ветронепроницаемый материал с пропиткой, обладающей водо- и грязеотталкивающими свойствами, надежно защитит в любую летнюю погоду, а особая вставка сзади с дышащими свойствами поможет ощущать больше прохлады. Монетки на мороженое и другие важные сокровища можно надежно хранить в карманах на молнии. Преимущества:
Ветронепроницаемый материал.
Водо- и грязеотталкивающая пропитка без содержания фторуглеродов BIONIC-FINISH®ECO.
Сетчатая подкладка на капюшоне и частично со внутренней стороны изделия.
Отверстия для проветривания с задней стороны.
Фиксированный капюшон.
Эластичные подол и манжеты.
Молния по всей длине с защитой подбородка.
Карманы на молнии.</t>
  </si>
  <si>
    <t>KELME Men's Down Jacket</t>
  </si>
  <si>
    <t>6147YR1020-000</t>
  </si>
  <si>
    <t>Укороченный пуховик Kelme. Изготовлен из практичного ветро-и влагозащитного материала с наполнителем из утиного пуха. Застежка на скрытую молнию. Капюшон с воротником-стойкой и скрытым эластичным шнурком для надежной защиты от ветра в непогоду. Боковые карманы для рук и хранения различных мелочей. Фирменный принт логотипа.</t>
  </si>
  <si>
    <t>Men's Down Jacket</t>
  </si>
  <si>
    <t>6147YR1028-000</t>
  </si>
  <si>
    <t>Укороченный стеганый пуховик Kelme. Изготовлен из практичного ветро-и влагозащитного материала с наполнителем из утиного пуха. Внутренняя часть карманов и воротника из мягкого флиса, обеспечивающего мягкость и дополнительное тепло. Использована технология сохранения тепла на внутренней части спинки. Застежка на молнию, также предусмотрен тканый клапан для защиты подбородка. Капюшон с воротником-стойкой и эластичным шнурком для надежной защиты от ветра в непогоду. Боковые карманы на молнии для рук и хранения различных мелочей. Эластичный шнурок для регулировки размера по нижнему краю. Принт логотипа и полоса с фирменной надписью по кромке капюшона.</t>
  </si>
  <si>
    <t>6147YR1019-716</t>
  </si>
  <si>
    <t>Функциональный пуховик Kelme с капюшоном со множеством карманов. Изготовлен из практичного ветро-и влагозащитного материала с наполнителем из утиного пуха. Застежка на молнию с двусторонним замком. Ветрозащитный клапан по всей длине на кнопках. Высокий воротник-стойка для надежной защиты от ветра в непогоду. Капюшон с эластичным шнурком для регулировки посадки. Двойные накладные карманы с клапанами на кнопках для рук и надежного хранения различных мелочей. Дополнительный нагрудный карман на молнии и с клапаном на кнопке. В рукава вшиты трикотажные манжеты для дополнительной защиты от ветра, также предусмотрены липучки для регулировки на запястьях. На одном рукаве предусмотрен карман для ски-пасс и прочих мелочей.</t>
  </si>
  <si>
    <t>6147YR1008-000</t>
  </si>
  <si>
    <t>100% полиэстер, наполнитель пух/перо</t>
  </si>
  <si>
    <t>Jacket, Marla</t>
  </si>
  <si>
    <t>7100045A-4380</t>
  </si>
  <si>
    <t>Эта удлиненная куртка подойдет для прогулок осенью и весной. Внутри куртки — легкий утеплитель, с которым ребенку будет комфортно при температуре от +5 до –10 градусов. 
Основной материал куртки — твил. Это легкая износостойкая ткань, которая прослужит не один сезон. Благодаря полиуретановому ламинированию материал отталкивает воду — ребенок не промокнет в снегопад. Также твил не пропускает ветер. А еще куртка быстро высыхает после стирки. 
Гладкая подкладка из полиэстера дополнительно сохраняет тепло. При этом материал «дышит», чтобы ребенок не перегрелся на активной прогулке, не вспотел и не простыл.
Для максимального комфорта и красоты предусмотрены дополнительные детали:
эластичные манжеты на рукавах, чтобы под куртку не проникал холодный воздух;
декоративная оборка на груди;
светоотражающая эмблема для безопасности.</t>
  </si>
  <si>
    <t>7100045A-6920</t>
  </si>
  <si>
    <t>Jacket, Melise</t>
  </si>
  <si>
    <t>7100050A-6961</t>
  </si>
  <si>
    <t>Куртка подойдет девочкам от 2 до 10 лет. В ней будет комфортно осенью и ранней весной в любую погоду. 
Плотная ткань с полиуретановым ламинированием отталкивает воду и не пропускает ветер — куртка защитит в дождь, снегопад и переменчивую ветреную погоду. Благодаря удлиненному крою и эластичному поясу на талии снизу под куртку не попадет снег и холодный воздух. 
Гладкая подкладка из полиэстера хорошо пропускает воздух. Если ребенок вспотеет во время активных игр на площадке, изнутри куртка быстро высохнет — родителям не придется переживать, что малыш замерзнет и простудится.
Спереди куртки — два накладных кармана, в которые можно положить перчатки, телефон или ключи. Есть съемный капюшон. А эластичные манжеты плотно прилегают к запястьям, чтобы в рукава не попал снег.</t>
  </si>
  <si>
    <t>Jacket, Karli</t>
  </si>
  <si>
    <t>7100055A-6961</t>
  </si>
  <si>
    <t>Karli — демисезонная куртка для мальчиков от 2 до 10 лет. Она изготовлена из плейнвива с полиуретановым покрытием. Ткань водо- и ветронепроницаемая: ребенок может играть в дождь, а родителям не придется переживать, что он замерзнет и простудится. С внутренней стороны куртки — гладкая дышащая подкладка из полиэстера, которая не дает телу перегреваться.
Манжеты регулируются с помощью застежки-липучки. Их можно плотно застегнуть, и под куртку не попадет снег и не задует ветер. Спереди размещены два прорезных кармана. Капюшон с сетчатой прокладкой снимается. Есть светоотражающие детали для безопасности во время вечерней прогулки.</t>
  </si>
  <si>
    <t>7100055A-9991</t>
  </si>
  <si>
    <t>Jacket, Kevat</t>
  </si>
  <si>
    <t>7100056A-6961</t>
  </si>
  <si>
    <t>Эта яркая куртка с необычным принтом подойдет девочкам для осенних и весенних прогулок. Она защитит модницу от любой непогоды: снега, слякоти, дождя и сильного ветра. Все благодаря водо- и водонепроницаемому материалу с полиуретановым покрытием.
Внутри куртки — два вида подкладки. На съемном капюшоне это сетка, а в основной части изделия — гладкий полиэстер. Подкладка хорошо пропускает воздух, не дает ребенку перегреться и взмокнуть даже во время игры в догонялки.
Манжеты выполнены из эластичной резинки: между запястьем и рукавом нет пространства, куда может попасть снег . Обхват талии регулируется, поэтому ребенок не будет жаловаться, что куртка давит на пояс. Спереди есть два вместительных накладных кармана.</t>
  </si>
  <si>
    <t>7100056A-8961</t>
  </si>
  <si>
    <t>ARCTIC PARKA</t>
  </si>
  <si>
    <t>101510945</t>
  </si>
  <si>
    <t>60%хлопок 40%полиэстер, подкладка 100% полиэстер, утеплитель 100% полиэстер</t>
  </si>
  <si>
    <t>101510983</t>
  </si>
  <si>
    <t>REVERSIBLE PADDED JACKET</t>
  </si>
  <si>
    <t>101990053</t>
  </si>
  <si>
    <t>100%полиэстер, подкладка 100% полиэстер, утеплитель 100% полиэстер</t>
  </si>
  <si>
    <t>HOODIE PUFFA PADDED JACKET</t>
  </si>
  <si>
    <t>101990057</t>
  </si>
  <si>
    <t>100%полиамид, подкладка 100% полиамид, утеплитель 100% полиэстер</t>
  </si>
  <si>
    <t>101990058</t>
  </si>
  <si>
    <t>HOODIE PUFFA PADDED PARKA</t>
  </si>
  <si>
    <t>101990062</t>
  </si>
  <si>
    <t>101990064</t>
  </si>
  <si>
    <t>101990065</t>
  </si>
  <si>
    <t>162200-7899</t>
  </si>
  <si>
    <t>С уличной курткой из софтшелла от бренда Minymo ваш ребенок будет готов к любым капризам погоды. Эта куртка сочетает в себе стиль и практичность, что делает её идеальным выбором для активных детей. Материал софтшелл отличается мягкостью и комфортом, обеспечивая свободу движений и высокую износостойкость. Съемный капюшон добавляет функциональности, позволяя адаптироваться к изменяющимся погодным условиям, а светоотражающие элементы обеспечивают безопасность в темное время суток и в условиях плохой видимости. 
Куртка оснащена удобной застежкой-молнией спереди, которая защищена тканевым клапаном сверху, предотвращающим появление царапин и раздражений на коже лица. Водоотталкивающее покрытие куртки не содержит опасных фторуглеродов, что делает её безопасной для окружающей среды, а также выполняет свою функцию даже в условиях дождя или снега, сохраняя ребенка сухим и комфортным.</t>
  </si>
  <si>
    <t>100 % полиэстер</t>
  </si>
  <si>
    <t>162201-7899</t>
  </si>
  <si>
    <t>Куртка со сплошным рисунком с изображением динозавров от бренда Minymo выполнена из ткани Softshell. Такой материал заменяет собой сразу несколько слоев одежды. То есть вместо термобелья, футболки, кофты и куртки ребенок может надеть просто футболку и куртку — и не замерзнет. Это особенно важно для активных малышей, которых стесняет большое количество одежды. При этом ребенку не будет жарко, потому что Softshell отлично отводит влагу.
За счет пропитки BIONIC FINISH ECO куртка водонепроницаема. Малыш не промокнет, даже если снег резко сменится на дождь. При этом куртка сохраняет свои водоотталкивающие свойства даже после многочисленных стирок.
Рукава и низ выполнены из эластичного материала. Благодаря этому куртка плотно сидит и не продувает. Предусмотрен капюшон на кнопках, который легко можно снять — например, если ваш ребенок не любит этот элемент одежды. Изделие застегивается на молнию с защитой подбородка, поэтому вы не прижмете малыша, даже если он вертится во время сборов. Водонепроницаемость &gt; 3000 мм. Воздухопроводимость &gt; 7000.</t>
  </si>
  <si>
    <t>162203-7899</t>
  </si>
  <si>
    <t>Красивая куртка со сплошным рисунком цветов и бабочек будет не только красивым, но и функциональным дополнением гардероба. Она изготовлена из материала Softshell, что в переводе с английского означает «мягкая оболочка». Ткань полностью оправдывает своё название: она легкая, тонкая, но при этом очень теплая.
Внешний материал напоминает нейлон. Он не продувает и отталкивает влагу благодаря мембране и специальной пропитке BIONIC FINISH ECO. Вам не придется часто стирать куртку — даже если ребенок любит специально упасть в лужу или грязь. Внутренний материал похож на флис. Он приятен к телу и отводит лишнюю влагу к верхнему слою ткани. Если девочка вспотеет, куртка быстро испарит пот, и малышка не заболеет.
Рукава, пояс и съемный капюшон выполнены из эластичного материала, чтобы одеваться было легко даже самым маленьким. Эта же особенность делает куртку непродуваемой. На лицевой стороне есть карманы на молнии, куда можно складывать телефон, деньги и ключи — и не опасаться, что они потеряются.</t>
  </si>
  <si>
    <t>162213-5416</t>
  </si>
  <si>
    <t>Стеганая куртка нежно-розового цвета от Minymo станет заметным и стильным акцентом в гардеробе вашей юной модницы. Изделие выполнено из грязеотталкивающего материала и обработано водоотталкивающей пропиткой BIONIC FINISH ECO, что значительно уменьшает необходимость частых стирок даже при светлом цвете. Это особенно ценно в демисезон, когда погода может резко измениться. 
Куртка оснащена молнией с защитой подбородка, что обеспечивает комфортную носку и исключает натирание во время активных игр и прогулок. Для более плотного прилегания и эффективной защиты от ветра горловина собрана на резинке, обеспечивая дополнительное тепло и комфорт. На лицевой стороне расположены удобные карманы. С этой курткой ваша маленькая модница всегда будет чувствовать себя уверенно и комфортно, независимо от погоды.</t>
  </si>
  <si>
    <t>7100010A-6961</t>
  </si>
  <si>
    <t>Легкая зимняя куртка Emmeli с мембранной ткани Windshell с утеплителем из экологичного искусственного пуха. Водоотталкивающая, ветронепроницаемая и «дышащая» мембранная ткань 1000 мм защитит от дождя средней интенсивности и мокрого снега без промокания. Съемный капюшон с регулировкой по размеру защищает от пронизывающего ветра. Кнопки легко отстегиваются, если капюшон случайно за что-нибудь зацепится, поэтому игры на свежем воздухе будут безопасными. Благодаря эластичной талии, регулируемому подолу и подтяжкам на брюках, эту модель легко адаптировать под нужный рост ребенка. Эластичные манжеты предотвратят попадание влаги, грязи и снега внутрь изделия. Светоотражающие детали служат для безопасности ребенка. *Температурный режим носит рекомендательный характер, зависит от индивидуальных особенностей ребёнка, надетых слоев и климатической зоны.</t>
  </si>
  <si>
    <t>7100010A-9991</t>
  </si>
  <si>
    <t>Легкая зимняя куртка Emmeli с мембранной ткани Windshell с утеплителем из экологичного искусственного пуха. Водоотталкивающая, ветронепроницаемая и «дышащая» мембранная ткань 1000 мм защитит от дождя средней интенсивности и мокрого снега без промокания. Съемный капюшон с регулировкой по размеру защищает от пронизывающего ветра. Кнопки легко отстегиваются, если капюшон случайно за что-нибудь зацепится, поэтому игры на свежем воздухе будут безопасными. Благодаря эластичной талии, регулируемому подолу и подтяжкам на брюках, эту модель легко адаптировать под нужный рост ребенка. Эластичные манжеты предотвратят попадание влаги, грязи и снега внутрь изделия. Светоотражающие детали служат для безопасности ребенка.</t>
  </si>
  <si>
    <t>Costume  Manna</t>
  </si>
  <si>
    <t>7100042A-4671</t>
  </si>
  <si>
    <t>Комплект</t>
  </si>
  <si>
    <t>В комплект входят куртка и брюки. Он подойдет для осени и ранней весны: малышу будет тепло при температуре от +5 до –10 градусов. Даже слякоть и ветер не помешают прогулке, потому что у костюма водо- и ветронепроницаемый материал.
С внутренней стороны куртки и брюк — гладкая подкладка из полиэстера. Она позволяет телу дышать и не создает «парниковый эффект». Средний шов на штанах проклеен, чтобы они оставались сухими сзади, если ребенок сядет на мокрое.
Капюшон снимается. В пояс штанов, манжеты рукавов и брючин вшита плотно прилегающая эластичная резинка — под костюм не попадет снег. Есть два прорезных кармана и светоотражающие элементы. 
Яркий принт костюма наверняка понравится ребенку, и он будет с радостью собираться на прогулку.</t>
  </si>
  <si>
    <t>Jacket  Valton</t>
  </si>
  <si>
    <t>7100044A-6961</t>
  </si>
  <si>
    <t>Куртка для мальчиков изготовлена из плейнвива. Особенность этого материала — полиуретановый верхний слой с водо- и водонепроницаемыми свойствами. Неважно, какая погода на улице — слякоть, дождь или ветер: ребенку будет сухо и комфортно.
Утеплитель в куртке подойдет для температуры от +5 до –10 градусов — можно надевать осенью и ранней весной. Внутри гладкая «дышащая» подкладка из полиэстера. 
Чтобы ребенку было комфортно, продумана каждая деталь: 
Капюшон снимается — если на улице тепло, его можно отстегнуть. 
Карманы застегивается на кнопку, поэтому ключи и телефон не выпадут. 
Эластичные манжеты плотно прилегают к запястьям, чтобы под куртку не попадал снег. 
На случай вечерней прогулки предусмотрены светоотражающие элементы.</t>
  </si>
  <si>
    <t>7100044A-9991</t>
  </si>
  <si>
    <t>Jacket  Laine</t>
  </si>
  <si>
    <t>7100046A-4740</t>
  </si>
  <si>
    <t>В демисезонной куртке ребенку будет тепло при температуре от +5 до –10 градусов. Она изготовлена из твила с утеплителем. Материал не пропускает ветер и воду: в сильный снегопад не придется переживать, что малыш промокнет и простудится.
Внутри куртки — гладкая подкладка из полиэстера. Ткань «дышит», поэтому по возвращении домой ребенок не будет взмокшим, даже если всю прогулку играл в догонялки.
У куртки съемный капюшон. Пояс регулируется: можно затянуть его, чтобы внутрь не попал снег. Есть два прорезных кармана, куда поместятся перчатки и шапка. На груди — светоотражающая эмблема Lassie, с которой ребенок будет заметен в темноте.</t>
  </si>
  <si>
    <t>7100046A-9090</t>
  </si>
  <si>
    <t>7100081A-9990</t>
  </si>
  <si>
    <t>Куртка для девочек Emmy из блестящей мембранной ткани с высоким показателем утеплителя 300 грамм для холодной зимы. Рекомендуемый температурный режим -10 - 30 градусов*. Водоотталкивающая, ветронепроницаемая и «дышащая» мембрана с показателем водостойкости 3000 мм защитит от дождя средней интенсивности и мокрого снега без промокания. Съемный капюшон с регулировкой по размеру защищает от пронизывающего ветра. Кнопки легко отстегиваются, если капюшон случайно за что-нибудь зацепится, поэтому игры на свежем воздухе будут безопасными. Эластичные манжеты предотвратят попадание влаги, грязи и снега внутрь изделия. Светоотражающие детали служат для безопасности ребенка. Водоотталкивающий, ветронепроницаемый и «дышащий» материал.
Крой для девочек.
Гладкая подкладка из полиэстера.
Имитация пуха.
Безопасный, съемный капюшон.
Эластичные манжеты на рукавах.
Два боковых кармана.
Светоотражающая эмблема Lassie.
*Температурный режим носит рекомендательный характер и зависит от индивидуальных особенностей ребёнка, надетых слоев одежды и климатической зоны</t>
  </si>
  <si>
    <t>7100093A-1510</t>
  </si>
  <si>
    <t>Куртка Toby из прочной мембранной ткани Windshell с высокой степенью утепления 220 грамм для холодной зимы. Рекомендуемый температурный режим -10 - 30 градусов*. Водоотталкивающая, ветронепроницаемая и «дышащая» мембрана 1000 мм защитит от дождя средней интенсивности и мокрого снега без промокания. Съемный капюшон с регулировкой по размеру защищает от пронизывающего ветра. Кнопки легко отстегиваются, если капюшон случайно за что-нибудь зацепится, поэтому игры на свежем воздухе будут безопасными. Эластичные манжеты и регулируемый подол предотвратят попадание влаги, грязи и снега внутрь изделия. Светоотражающие детали служат для безопасности ребенка. Ветронепроницаемый «дышащий» материал.
Гладкая подкладка из полиэстера.
Высокая степень утепления.
Безопасный съемный капюшон с отсоединяемой каймой из искусственного меха.
Эластичные манжеты на рукавах.
Регулируемый подол.
Карман с клапаном на кнопках.
Светоотражающая эмблема Lassie.
*Температурный режим носит рекомендательный характер, зависит от индивидуальных особенностей ребёнка, надетых слоев одежды и климатической зоны.</t>
  </si>
  <si>
    <t>Jacket  Symppis</t>
  </si>
  <si>
    <t>7100096A-2151</t>
  </si>
  <si>
    <t>Куртка с легким утеплителем для температуры от −10 до +5 ℃. Незаменимая вещь в межсезонье, когда перемену погоды так сложно предугадать. Ткань изделия не пропускает воду, а основные швы проклеены — можно играть в снежки или радоваться дождю без риска промокнуть.
Стеганая подкладка из полиэстера не только сохраняет тепло, но и обеспечивает циркуляцию воздуха, позволяя пару выйти наружу. Благодаря этому ребенок не перегреется во время подвижных игр.
Ветер тоже не станет преградой для комфортной прогулки. Эластичные манжеты и регулируемый подол куртки не дадут холодному воздуху попасть под одежду. А мягкая резинка на кромке капюшона позволит надежнее защитить уши, если в прохладную погоду шапки будет недостаточно.
Капюшон отстегивается — его можно легко снять, чтобы, например, повязать поверх куртки объемный шарф.
Еще одна маленькая, но важная деталь — светоотражающие полоски. Это не только стильный, но и практичный элемент. С ними малыша будет лучше видно в темноте, поэтому вечерние прогулки станут безопаснее.</t>
  </si>
  <si>
    <t>7100096A-4671</t>
  </si>
  <si>
    <t>Costume  Tihku</t>
  </si>
  <si>
    <t>7100111A-6960</t>
  </si>
  <si>
    <t>Можно смело отправляться гулять под дождем или прыгать по лужам — в комплекте Tihku малыш будет надежно защищен от осадков и сырости. Благодаря водонепроницаемой ткани и запаянным швам влага не попадет внутрь.
Ветер — тоже не повод сидеть дома! Комплект сделан из ветронепроницаемого материала. А высокая посадка брюк и резинки на манжетах, брючинах и кромке капюшона дополнительно защитят от попадания холодного воздуха под одежду.
Эластичный материал не будет сковывать движений во время игры — можно лазить по площадке, бегать, прыгать и не чувствовать дискомфорта.
Мы продумали комплект так, чтобы малышу не приходилось ничего поправлять. Обхват талии и размер подтяжек легко регулируются, чтобы брюки сели по размеру и не болтались. А благодаря съемным эластичным штрипкам брючины не будут задираться.
В дизайне костюма мы предусмотрели важные детали для безопасности:
Светоотражающие полоски делают ребенка заметнее в темное время суток.
Безопасный капюшон сразу отстегнется, если малыш им зацепится.
На бирке можно написать имя ребенка и контакты родителей.</t>
  </si>
  <si>
    <t>Jacket  Vesi</t>
  </si>
  <si>
    <t>7100112A-2150</t>
  </si>
  <si>
    <t>Стильный дождевик для ярких прогулок даже в пасмурную погоду.
Дождь — больше не причина сидеть дома. Даже в сильный ливень у влаги нет шансов попасть под ткань: все швы на куртке проклеены, а молния закрыта. Ветер тоже не помеха веселью на улице: эластичные манжеты на рукавах и резинка на кромке капюшона защитят ребенка.
Дождевик сделан из эластичного материала, который не будет стеснять во время игры. Можно лазить по площадке, размахивать руками, играть в мяч и не чувствовать дискомфорта.
Чтобы вечерние прогулки были безопаснее, мы добавили светоотражающие детали на рукава и капюшон. Так ребенка будет лучше видно в темное время суток.
Капюшон на кнопках легко отстегивается — при необходимости его можно постирать отдельно от куртки.</t>
  </si>
  <si>
    <t>7100112A-4670</t>
  </si>
  <si>
    <t>7100112A-6960</t>
  </si>
  <si>
    <t>Jacket  Vantti</t>
  </si>
  <si>
    <t>7100113A-3290</t>
  </si>
  <si>
    <t>Куртка Vantti — идеальный выбор для прогулки в непогоду. Изделие сшито из Softshell: трехслойный материал не пропускает воду и ветер. К тому же, сверху он дополнительно покрыт грязе- и водоотталкивающей пропиткой Teflon EcoElite. Ребенок может бегать по лужам и играть в снегу — он не промокнет и не простудится.
На оборотной стороне куртки — мягкая флисовая подкладка. Малыш не будет жаловаться, что ткань колется. 
Куртка изготовлена с заботой об экологии. В ее составе — переработанные волокна, что подтверждает сертификат качества. 
Капюшон снимается. На рукавах — эластичные манжеты, которые предотвращают попадание снега. Спереди есть большой карман, в который ребенок сможет положить телефон и проездную карту. Родители могут не пережить, что из кармана что-то выпадет — он плотно застегивается на молнию.</t>
  </si>
  <si>
    <t>7100113A-4672</t>
  </si>
  <si>
    <t>Driva</t>
  </si>
  <si>
    <t>71105305-4510</t>
  </si>
  <si>
    <t>Куртка утепленная</t>
  </si>
  <si>
    <t>Утепленная куртка из прочного эпонжа с мембраной идеально подходит для зимних условий, обеспечивая максимальный комфорт и защиту в температурном диапазоне от -5°C до -25°C. Подкладка выполнена из мягкой таффеты, а в качестве утеплителя использован Фелекс, что гарантирует тепло и легкость.
Куртка оснащена проклеенными швами и водоотталкивающей пропиткой DWR, обеспечивающими надежную защиту от влаги и загрязнений. Отстегивающийся капюшон на кнопках добавляет практичности, его светоотражающие элементы повышают безопасность в темное время суток. Эластичные манжеты обеспечивают плотную посадку и препятствуют проникновению ветра.
Особо стоит отметить безопасный стоппер на молнии, предотвращающий защемление подбородка. Водозащитная молния и внутренняя ветрозащитная планка сохраняют тепло даже в экстремально плохих погодных условиях. Два боковых кармана на кнопках идеально подходят для надежного хранения мелочей.
Характеристики: 
- Рекомендуемый температурный режим: от -5°C до -25°C
- Сезон: Зима
- Тип утеплителя: Фелекс
- Вес утеплителя: 160 г
- Водонепроницаемость: 10 000 мм
- Воздухопроводимость: 8 000 г/м²/24ч
- Сопротивление истиранию: 20 000 циклов
- Светоотражающие элементы в капюшоне для дополнительной безопасности</t>
  </si>
  <si>
    <t>71105305-8010</t>
  </si>
  <si>
    <t>Harri</t>
  </si>
  <si>
    <t>72103322-6960</t>
  </si>
  <si>
    <t>Эта стильная детская куртка "Harri" создана в коллаборации с Музеем космонавтики и является идеальным выбором для морозных и снежных зимних дней, поддерживая температурный диапазон от -5 до -25 ℃. Благодаря полиуретановому покрытию, куртка эффективно отталкивает воду, что позволяет детям играть в снегу, оставаясь сухими. Внутри куртки содержится 140 г утеплителя Fellex, обеспечивающего надежную защиту от холода, что дает возможность ребенку долго гулять на улице и наслаждаться активными играми. Мембрана куртки отводит лишнюю влагу от тела, предотвращая перегрев.
Каждая деталь куртки продумана для удобства и безопасности: светоотражающие вставки улучшают видимость в темное время, а эластичные манжеты на рукавах и поясе удерживают тепло и защищают от ветра. Износостойкий материал рассчитан на любые зимние испытания — катание с горки, игру в снежки и прыжки в сугробы. Куртка доступна в двух цветах — белом и синем, вдохновленных униформой космонавтов.
Характеристики:
- Сезон: Демисезон
- Тип утеплителя: Fellex
- Вес утеплителя: 140 г
- Водонепроницаемость: 10 000 мм
- Воздухопроницаемость: 6 000 г/м²/24ч
- Сопротивление истиранию: 20 000 циклов</t>
  </si>
  <si>
    <t>Uuno</t>
  </si>
  <si>
    <t>72103430-0100</t>
  </si>
  <si>
    <t>Эта зимняя куртка создана для детей, любящих активные игры на свежем воздухе. Расчитана на температурный режим от -5 до -25 ℃, она обеспечит тепло даже в самых суровых условиях благодаря 140 г высокотехнологичного утеплителя Fellex. Теперь ваш ребёнок может спокойно гулять по парку, прыгать по сугробам и лепить снеговиков, а вам не придётся беспокоиться о его замерзших руках. Снегопад? Не проблема! Полиуретановое покрытие и проклеенные швы делают её полностью водонепроницаемой.
Куртка оснащена гладкой подкладкой и удобной молнией, которые облегчают процесс надевания. Продуманные детали гарантируют комфорт и безопасность: светоотражающие вставки делают ребёнка заметным в темное время суток, а эластичные манжеты защищают от ветра и снега. Мембрана эффективно отводит влагу от тела, позволяя ребёнку наслаждаться активными играми.
Характеристики:
- Сезон: Зима
- Тип утеплителя: Фелекс
- Вес утеплителя: 140 г/м²
- Водонепроницаемость: 12 000 мм
- Воздухопроводимость: 7 000 г/м²/24ч
- Сопротивление истиранию: 40 000 циклов
- Конструкция швов: Все швы проклеены
Преимущества:
- Все швы запаяны и водонепроницаемы
- Водо- и грязеотталкивающая пропитка без фторуглеродов
- Гладкая подкладка из полиэстера
- Безопасный, отстегивающийся и регулируемый капюшон
- Подходит для активных видов спорта
- Карман для SKI-pass</t>
  </si>
  <si>
    <t>72103430-9480</t>
  </si>
  <si>
    <t>Skasen</t>
  </si>
  <si>
    <t>72105206-8680</t>
  </si>
  <si>
    <t>Утеплённая куртка из эпонжа с мембраной обеспечивает надежную защиту в суровых погодных условиях. Уникальная конструкция и качественные материалы позволяют носить её при температуре от -5°C до -25°C. Подкладка выполнена из таффеты, а утеплитель Фелекс сохраняет тепло даже в сильный мороз. Пропитка DWR и проклеенные швы обеспечивают дополнительную влагозащиту.
Куртка оснащена функциональными элементами: съёмным капюшоном на кнопках с флисовой подкладкой, внешней и внутренней ветрозащитной планкой, эластичными подтяжками и регулируемым подолом. Манжеты с флисом не пропускают холодный воздух, а светоотражающие элементы повышают безопасность в тёмное время суток. Дополнительные карманы, включая накладной карман на рукаве и два боковых кармана, удобны для хранения мелочей.
Характеристики:
- Рекомендуемый температурный режим: от -5°C до -25°C
- Тип утеплителя: Фелекс
- Вес утеплителя: 160 г/м²
- Водонепроницаемость: 10 000 мм
- Воздухопроводимость: 8 000 г/м²/24ч
- Сопротивление истиранию: 20 000 циклов
- Конструкция швов: Проклеенные основные швы</t>
  </si>
  <si>
    <t>72105206-9990</t>
  </si>
  <si>
    <t>Sirpa</t>
  </si>
  <si>
    <t>72105207-4510</t>
  </si>
  <si>
    <t>Эта детская утепленная куртка из таслана с мембраной — идеальный выбор для межсезонья, обеспечивая комфорт в температурном диапазоне от +5°C до -10°C. Подкладка из таффеты и утеплитель Fellex сохраняют тепло, а пропитка DWR и проклеенные швы надежно защищают от влаги и загрязнений. Съемный капюшон на кнопках оснащен трикотажной вставкой, обеспечивающей дополнительную защиту от ветра. Эластичные подтяжки позволяют снять куртку в помещении и не носить её в руках. Внутренний ветрозащитный клапан помогает сохранить тепло, а безопасный стоппер на молнии защищает подбородок. Два боковых кармана на молнии удобны для хранения мелочей. Трикотажные манжеты обеспечивают плотное прилегание, а подол куртки регулируется с помощью стопперов для оптимальной посадки.
Характеристики:
- Рекомендуемый температурный режим: от +5°C до -10°C
- Тип утеплителя: Fellex
- Вес утеплителя: 80 г
- Водонепроницаемость: 10 000 мм
- Воздухопроводимость: 7 000 г/м²/24 ч
- Сопротивление истиранию: 35 000 циклов
- Конструкция швов: Основные швы проклеены
Преимущества:
- Трикотажная вставка по периметру капюшона
- Съемный капюшон на кнопках
- Безопасный стоппер молнии
- Эластичные подтяжки для удобства ношения
- Внутренний ветрозащитный клапан
- Трикотажные манжеты для плотного прилегания
- Брендированная молния
- Два боковых кармана на молнии
- Надпись "lassie waterproof"
- Регулирование ширины низа изделия системой стопперов
- Силиконовые штрипки для фиксации штанин</t>
  </si>
  <si>
    <t>Eira</t>
  </si>
  <si>
    <t>72105309-6960</t>
  </si>
  <si>
    <t>Эта детская утепленная куртка из оксфорда с мембраной идеально подходит для холодной зимы, обеспечивая комфорт в температурном диапазоне от -15 до -30°C. Пропитка DWR и проклеенные швы надежно защищают от влаги и загрязнений, гарантируя сухость и чистоту. Внутри куртки используется утеплитель Fellex, а подкладка из таффеты добавляет дополнительное тепло. Капюшон, оснащенный эластичными резинками, легко отстегивается благодаря кнопкам. Воротник утеплен флисом для дополнительного комфорта. Куртка оснащена двумя боковыми карманами на молниях для удобного хранения личных вещей. Внутренние лямки позволяют удобно снимать куртку в помещении. Эластичные манжеты с флисовым подкладом обеспечивают плотное прилегание и защиту от ветра, в то время как безопасный флисовый стоппер на молнии защищает подбородок. Внутренняя ветрозащитная планка сохраняет тепло, а ширина низа изделия регулируется системой стопперов для идеальной посадки.
Характеристики:
- Рекомендуемый температурный режим: от -15 до -30°C
- Сезон: Зима
- Тип утеплителя: Fellex
- Вес утеплителя: 160 г
- Водонепроницаемость: 5 000 мм
- Воздухопроводимость: 3 000 г/м²/24 ч
- Сопротивление истиранию: 50 000 циклов
- Конструкция швов: Все швы проклеены</t>
  </si>
  <si>
    <t>Nidelva</t>
  </si>
  <si>
    <t>72105311-0100</t>
  </si>
  <si>
    <t>Детская утепленная куртка из таслана с мембраной разработана для зимних условий и подходит для температурного режима от -5°C до -25°C. Подкладка из таффеты и утеплитель Фелекс обеспечивают отличную защиту от холода. Куртка пропитана DWR и имеет проклеенные швы, что гарантирует защиту от влаги и загрязнений. Съёмный капюшон с флисом регулируется по глубине с помощью липучек и имеет фиксацию для защиты лица от ветра. Кайма из искусственного меха крепится на молнию, добавляя стильности и защиты.
Куртка оснащена двойной ветрозащитной системой: внутренняя и внешняя планки на липучке надежно сохраняют тепло. Утепленный флисовый воротник и эластичные манжеты эффективно защищают от проникновения холода. Безопасный флисовый стоппер на молнии оберегает подбородок. Для удобства хранения предусмотрены нагрудный карман на водозащитной молнии, два боковых и внутренний карманы. Светоотражающие элементы повышают безопасность в темное время суток.
Характеристики:
- Температурный режим: от -5°C до -25°C
- Сезон: Зима
- Тип утеплителя: Фелекс
- Вес утеплителя: 160 г/м²
- Водонепроницаемость: 10 000 мм
- Воздухопроводимость: 7 000 г/м²/24ч
- Сопротивление истиранию: 35 000 циклов
- Конструкция швов: Все швы проклеены</t>
  </si>
  <si>
    <t>72105311-3200</t>
  </si>
  <si>
    <t>Tana</t>
  </si>
  <si>
    <t>72106106-0160</t>
  </si>
  <si>
    <t>72106106-6960</t>
  </si>
  <si>
    <t>Verkko</t>
  </si>
  <si>
    <t>72106111-3110</t>
  </si>
  <si>
    <t>72106111-6520</t>
  </si>
  <si>
    <t>Ulla</t>
  </si>
  <si>
    <t>72106205-6960</t>
  </si>
  <si>
    <t>Верх-92% Полиэстер, 8% Эластан. Hиз-100% Полиэстер, ПУ покрытие</t>
  </si>
  <si>
    <t>Miika</t>
  </si>
  <si>
    <t>73103208-4080</t>
  </si>
  <si>
    <t>Эта стильная куртка станет неотъемлемой частью гардероба юной модницы, обеспечивая ей тепло и комфорт в прохладную погоду. Рассчитанная на температурный диапазон от +5 до -10 ℃, куртка отлично подходит для прогулок весной и осенью. Удлиненный фасон и ткань из эпонжа надежно защищают от ветра, а водонепроницаемая поверхность не пропускает влагу, позволяя гулять под дождем или в снегу без боязни промокнуть.
Данная куртка создана для активных детей: дышащий материал предотвращает перегрев и обеспечивает комфорт при подвижных играх, таких как бег, прыжки по лужам или игры в прятки в осеннем парке.
Особенности:
- Молния без острых краев: Обеспечивает безопасность, не царапая подбородок.
- Наполнитель "пух-перо": Гарантирует тепло даже в промозглый день.
- Отсутствие капюшона: Удобно для тех, кто предпочитает носить объемный шарф.
Характеристики:
- Сезон: Демисезон
- Тип утеплителя: Fellex
- Вес утеплителя: 160 г</t>
  </si>
  <si>
    <t>Heikki</t>
  </si>
  <si>
    <t>73103212-4680</t>
  </si>
  <si>
    <t>Эта куртка — идеальный выбор для прохладной погоды, рассчитана на температурный диапазон от +5 до −10 ℃. Изделие оснащено 80 г утеплителя Fellex, который не только согревает, но и обеспечивает отличную воздухопроницаемость, что предотвращает перегревание ребенка в процессе активных игр. Благодаря водонепроницаемости куртки, дождь больше не станет препятствием для прогулок — можно смело выходить даже при пасмурной погоде. Удлиненный подол надежно защищает от влаги, что особенно актуально, когда ребенок решит покататься с горки. Свободный фасон гарантирует, что движения малыша не будут стеснены, и позволяет при необходимости надеть теплый свитер. Эластичные манжеты на рукавах предотвращают попадание холодного воздуха внутрь.
Характеристики:
- Сезон: Демисезон
- Тип утеплителя: Fellex
- Вес утеплителя: 80 г
- Водонепроницаемость: 10 000 мм
- Воздухопроводимость: 6 000 г/м²/24 ч
- Сопротивление истиранию: 20 000 циклов
- Конструкция швов: Все швы проклеены
Преимущества:
- Внутренние подтяжки для надежной фиксации
- Два накладных кармана с клапанами для мелочей и защиты от влаги
- Утяжка по талии для лучшей посадки и защиты от ветра
- Регулируемые манжеты на липучках для дополнительного комфорта и защиты</t>
  </si>
  <si>
    <t>73103212-8640</t>
  </si>
  <si>
    <t>Yrjana</t>
  </si>
  <si>
    <t>73103218-6200</t>
  </si>
  <si>
    <t>Куртка дождевая</t>
  </si>
  <si>
    <t>Полностью светоотражающий дождевик Yrjana с технологичными деталями — идеальный выбор для подростков, которые любят проводить время на свежем воздухе, независимо от погоды. Куртка выполнена из водонепроницаемого материала с проклеенными швами, что обеспечивает надежную защиту от ливня. Регулируемый капюшон защищает голову от влаги и ветра, а карманы на молнии хранят ключи и телефон в сухости. Рукава можно затянуть липучками, предотвращая попадание воды внутрь. Светоотражающие детали обеспечивают отличную видимость в темноте, повышая безопасность вечерних прогулок. Материал куртки легко очищается, выдерживает многократные стирки и быстро сохнет, что позволяет подросткам активно гулять, бегать, кататься на велосипеде и играть с друзьями в любую погоду.
Характеристики:
- Сезон: Демисезон
- Водонепроницаемость: 10 000 мм
- Конструкция швов: Все швы запаяны и водонепроницаемы
Этот дождевик, с множеством карманов, эластичными манжетами и свободным кроем, станет незаменимой вещью в гардеробе любого подростка.</t>
  </si>
  <si>
    <t>65% Полиэстер, 35% ПУ</t>
  </si>
  <si>
    <t>Jacket Aljona</t>
  </si>
  <si>
    <t>73103312-9990</t>
  </si>
  <si>
    <t>Куртка утепленная, Aljona</t>
  </si>
  <si>
    <t>Куртка-трансформер для подростков. Носите куртку в удлиненном варианте в школу, или отстегните нижнюю часть для более активных дней на свежем воздухе. Модель 2-в-1! Куртка рассчитана на температуру от -15 до -30 ℃. Внутри 220 г утеплителя Fellex, поэтому ребенок не замерзнет во время прогулок по парку или катания на коньках. Материал водонепроницаемый. Подросток не промокнет, если решит устроить битву снежками или построить снежную крепость. При этом куртка обладает хорошей вентиляцией: ребенок не перегреется во время активных игр. Регулируемые манжеты на липучках дополнительно защищают от холода, а еще снег не забьется в рукава. Два кармана — накладной и на молнии — подходят для хранения телефона и перчаток. Состав верхней части:
100% Полиэстер, ПУ покрытие.
Состав подкладки:
100% Полиэстер.</t>
  </si>
  <si>
    <t>Aamu</t>
  </si>
  <si>
    <t>73206113-6140</t>
  </si>
  <si>
    <t>Джинсовая куртка</t>
  </si>
  <si>
    <t>Основная ткань: 100% хлопок; состав подкладки: 65% полиэстер, 35% хлопок</t>
  </si>
  <si>
    <t>73206113-9990</t>
  </si>
  <si>
    <t>Jacket - Colorblock</t>
  </si>
  <si>
    <t>741313-5005</t>
  </si>
  <si>
    <t>Стильная водо- и ветронепроницаемая куртка — предмет гардероба, без которого не обойтись летом. Сочетание розового и желтого цветов модное, а благодаря синим рукавам куртка еще и практичная — даже если ребенок испачкает рукава или сядет на грязную лавочку, куртка будет выглядеть опрятно.
В составе материала — 100% полиэстер. Куртка практически невесомая, поэтому ребенок сможет играть в догонялки во дворе с комфортном. Материал износостойкий — куртка прослужит не один год. Водонепроницаемость в 10 000 мм — идеальный показатель для любой погоды: гуляйте хоть в ливень. К тому же, у куртки проклеенные швы. Ребенку будет тепло, и вода не просочится через одежду. 
Карманы на молнии, съемный капюшон на кнопках, застежка-молния и эластичные манжеты стильно смотрятся и еще больше защищают от ветра. А светоотражающие детали помогут обезопасить ребенка, когда на улице стемнеет.</t>
  </si>
  <si>
    <t>741315-7150</t>
  </si>
  <si>
    <t>Разноцветная легкая куртка-ветровка идеально подойдет для прохладного дождливого лета.
Куртка сшита из ветронепродуваемого и водонепроницаемого материала 10 000 мм и обработана пропиткой BIONIC FINISH® ECO. Швы проклеены, а внизу есть утяжка — в такой одежде не страшен промозглый ветер и моросящий дождь. Материал куртки дышащий, благодаря этому ребенок не будет потеть во время активных игр.
Такая куртка идеально подойдет на каждый день, потому что она продумана до мелочей: 
Съемный капюшон удобно носить — благодаря эластичной вставке он не падает на лицо. 
У молнии предусмотрена защита подбородка, чтобы уберечь от защемления.
Манжеты эластичные. Они подойдут на любую руку, а в рукава не задует ветер.
В два удобных кармана на молнии поместятся ключи и телефон, поэтому ребенок не пропустит звонок от родителей. 
Благодаря светоотражающим деталям сзади куртки и на рукаве малыш не останется незамеченным в темноте.</t>
  </si>
  <si>
    <t>Jacket W. Hood - Quilted</t>
  </si>
  <si>
    <t>741327-3040</t>
  </si>
  <si>
    <t>Практичная стеганая куртка из легкого материала — идеальный вариант для межсезонья и прохладного лета!
Куртка на 100% состоит из полиэстера и устойчива к дождю, ветру и грязи. Ребенок сможет бегать, прыгать, ползать и падать, сколько угодно — куртка все выдержит, и родителям не придется стирать изделие после каждой прогулки. Если малыш вспотеет во время активной игры, ткань отведет влагу, и ребенок не простудится — материал дышащий. А мягкая подкладка из полиэстера сохранит тепло. 
У разноцветной куртки есть застежка-молния, которая поможет быстрее собраться на прогулку — не придется застегивать каждую пуговицу отдельно. Несъемный капюшон и высокая горловина защитят от ветра. Также есть карманы спереди — ребенок сможет положить туда телефон или просто засунуть внутрь руки, если забыл перчатки.</t>
  </si>
  <si>
    <t>Hybrid Fleece Jacket W. Hood</t>
  </si>
  <si>
    <t>741332-4856</t>
  </si>
  <si>
    <t>Эта стеганая куртка из легкого материала — идеальный выбор для активного ребенка, который ценит стиль и практичность. Куртка оснащена флисовыми рукавами и мягкой подкладкой из полиэстера, что делает её невероятно комфортной для носки. Материал не натирает и не колется, поэтому куртку можно смело надевать даже на футболку, не беспокоясь о дискомфорте. Состав из 100% полиэстера гарантирует прочность и долговечность, что особенно важно для детской одежды. Особенность этой модели — материал с пропиткой BIONIC FINISH® ECO, который обеспечивает водо- и грязеотталкивающие свойства. Практичная застежка-молния позволяет быстро и легко надевать и снимать куртку, а высокая горловина надежно защищает шею от пронизывающего ветра. Функциональные передние карманы идеально подходят для хранения мелочей. Светоотражающие детали добавляют уверенности в безопасности вашего ребенка рядом с дорогами в темное время суток, обеспечивая ему дополнительную видимость.</t>
  </si>
  <si>
    <t>741332-7150</t>
  </si>
  <si>
    <t>Softshell Colorblock</t>
  </si>
  <si>
    <t>741345-2909</t>
  </si>
  <si>
    <t>Контрастная куртка из материала Softshell — модный и практичный вариант на период ветров и дождей.
Куртка идеально подойдет на межсезонье благодаря ветронепродуваемому и водонепроницаемому материалу с показателем 8 000 мм. Ткань дополнительно обработана пропиткой BIONIC FINISH® ECO, поэтому можно не сидеть дома в дождь и смело отправляться гулять. В составе — 94% полиэстер и 6% эластан. Материал дышащий, 3 000 г/м2, поэтому даже активный ребенок, который ни минуты не сидит на месте, не вспотеет.
От непогоды дополнительно защитит удобный тянущийся капюшон, утяжка по низу куртки и липучки на манжетах — в куртке будет уютно и тепло. У молнии предусмотрена защита подбородка, чтобы уберечь от защемления. По бокам куртки два удобных кармана на молнии, чтобы телефон и другие нужные вещи не выпали во время активных игр.</t>
  </si>
  <si>
    <t>94 % полиэстер, 6 % эластан</t>
  </si>
  <si>
    <t>Softshell - Light weight</t>
  </si>
  <si>
    <t>741349-7850</t>
  </si>
  <si>
    <t>Однотонная куртка для мальчиков  из легкого материала Softshell. Ребенку будет тепло и без нескольких слоев одежды — куртка заменит их все и не будет сковывать движения. 
С обеих сторон предусмотрены карманы на молнии, чтобы мальчик не растерял все содержимое. Куртка застегивается на молнию, а на манжетах — застежки-липучки. Все сделано для того, чтобы непоседа смог быстро одеться и побежать гулять с друзьями. Эластичный регулируемый подол и несъемный капюшон защитят от ветра, а светоотражающие детали станут предупреждающим знаком для водителей.
Состав ткани — 100% полиэстер, а также есть пропитка BIONIC FINISH® ECO с водо- и грязеотталкивающими свойствами. С водонепроницаемостью 8000 мм юным исследователям будут по плечу любые лужи и горки. А дышащий ветронепроницаемый материал со значением 3000 г идеально подходит для долгих пеших прогулок даже по набережной, где ветер особенно прохладный.</t>
  </si>
  <si>
    <t>741349-9651</t>
  </si>
  <si>
    <t>Fleece Jacket - W. Hood</t>
  </si>
  <si>
    <t>741385-2909</t>
  </si>
  <si>
    <t>Флисовая толстовка станет незаменимой вещью в гардеробе ребенка, обеспечивая ему комфорт и тепло в прохладную погоду. Удобный капюшон защитит малыша от ветра и моросящего дождя. Толстовка оснащена качественной фронтальной молнией, которая легко застегивается и расстегивается. Для дополнительной безопасности и комфорта на молнии предусмотрена мягкая защита подбородка, чтобы избежать случайного защемления. Это поможет избежать потери вещи в детском саду или на занятиях в кружках, а также облегчит её возвращение владельцу. Изготовленная на 100% из прочного и эластичного полиэстера, толстовка идеально подстраивается под движения ребенка, не ограничивая их, что позволяет ему свободно бегать и играть с друзьями. Материал устойчив к разрывам и повреждениям, поэтому вещь прослужит долго, даже при активной эксплуатации. Толстовка не требует сложной стирки и сохраняет первозданный вид после многочисленных циклов очистки.</t>
  </si>
  <si>
    <t>741385-5005</t>
  </si>
  <si>
    <t>741386-2909</t>
  </si>
  <si>
    <t>Изготовленная на 100% из высококачественного полиэстера, она отличается невероятной износостойкостью и прочностью. Материал не деформируется при частой стирке и быстро сохнет, что особенно удобно для родителей. Толстовка спроектирована таким образом, чтобы идеально садиться по фигуре, не ограничивая активность ребенка, что делает ее незаменимой для подвижных игр и прогулок.
Фронтальная молния, используемая для застегивания толстовки,обеспечивая легкость и надежность в использовании. Особое внимание уделено безопасности: предусмотрена мягкая защита на молнии, чтобы избежать случайного прищемления. Толстовка также оснащена удобным капюшоном, который защитит вашего ребенка от ветра и непогоды, добавляя дополнительный уровень комфорта.
На внутренней стороне модели расположена специальная этикетка, которая позволяет родителям вписывать имя ребенка и контактный номер телефона.</t>
  </si>
  <si>
    <t>Fleece Shirt</t>
  </si>
  <si>
    <t>741395-7150</t>
  </si>
  <si>
    <t>Красивая однотонная флисовая рубашка от бренда Color Kids подойдет для прогулок и более серьезных мероприятий, например утренника или отчетного концерта в музыкальной школе. В образе с брюками и футболкой она будет смотреться стильно.
У этой рубашки с длинными рукавами есть классический воротник, нагрудный карман с логотипом, а также карманы по бокам. Ребенок сможет носить при себе все самое важно: жетоны для игр с друзьями, машинки, расческу или ключи от дома. 
Эластичная ткань на 100% состоит из полиэстера. Материал отлично тянется, но держит форму после стирки. Ребенок сможет играть с друзьями в подвижные игры даже в рубашке и не будет чувствовать скованность в движениях. Полиэстер хорошо держит форму и рукава не вытянутся в локтях. А если ребенок забежал домой на перекус и случайно намочил рукава, когда мыл руки, быстросохнущий материал спасет ситуацию — никакого дискомфорта из-за влажных манжетов!</t>
  </si>
  <si>
    <t>Fleece Jacket</t>
  </si>
  <si>
    <t>741396-5005</t>
  </si>
  <si>
    <t>Флисовая толстовка оснащена удобной застежкой-молнией на лицевой стороне, что позволяет легко надеть и снять изделие буквально в одно движение. Для дополнительной безопасности предусмотрена защита на молнии, предотвращающая случайное прищемление подбородка. Эта деталь заботливо разработана с учетом повседневных нужд и комфорта вашего ребенка. 
Изготовленная из 100% полиэстера, толстовка обещает долгий срок службы. Это прочный материал, который выдерживает многочисленные стирки и ежедневное использование, оставаясь в отличном состоянии. Исходя из практичности, материал обладает быстросохнущими свойствами, что делает толстовку идеально подходящей для активных малышей, которые не сидят на месте ни минуты. В такую толстовку ваш ребенок сможет активно бегать и играть на улице, оставаясь сухим и уютным на протяжении всей прогулки.</t>
  </si>
  <si>
    <t>741396-7850</t>
  </si>
  <si>
    <t>Socks, Insect</t>
  </si>
  <si>
    <t>527341-6980</t>
  </si>
  <si>
    <t>Материал Reima Anti-Bite обработан пропиткой Si Repel Mosquito — нетоксичной и биоразлагаемой. Она защищает от клещей, комаров, мух, ос и даже вшей, но не наносит вред природе или насекомым. Пропитка репеллентом выдерживает до 100 циклов машинной стирки. Важно помнить, что даже несмотря на пропитку Anti-Bite, насекомые могут садиться на незащищенные участки кожи или другую одежду.</t>
  </si>
  <si>
    <t>76% Хлопок, 11% полипропилен, 11% полиамид, 2% эластан</t>
  </si>
  <si>
    <t>022</t>
  </si>
  <si>
    <t>Silver Pinquin</t>
  </si>
  <si>
    <t>А004</t>
  </si>
  <si>
    <t>Термоноски</t>
  </si>
  <si>
    <t>85% Полипропилен, 5% Лайкра, 10% Полиамид</t>
  </si>
  <si>
    <t>527341-0100</t>
  </si>
  <si>
    <t>Saniainen</t>
  </si>
  <si>
    <t>72305204-9370</t>
  </si>
  <si>
    <t>70% хлопок, 28% полиэстер, 2% эластан</t>
  </si>
  <si>
    <t>023</t>
  </si>
  <si>
    <t>025</t>
  </si>
  <si>
    <t>037</t>
  </si>
  <si>
    <t>Varpunen</t>
  </si>
  <si>
    <t>72306104-0790</t>
  </si>
  <si>
    <t>Носки (2 пары)</t>
  </si>
  <si>
    <t>зеленый/коричневый</t>
  </si>
  <si>
    <t>68% хлопок, 26% полиэстер, 6% эластан</t>
  </si>
  <si>
    <t>034</t>
  </si>
  <si>
    <t>72306104-8520</t>
  </si>
  <si>
    <t>Haikara</t>
  </si>
  <si>
    <t>72306105-3340</t>
  </si>
  <si>
    <t>красный/розовый</t>
  </si>
  <si>
    <t>Saniainen S</t>
  </si>
  <si>
    <t>72306301-0100</t>
  </si>
  <si>
    <t>70% хлопок, 28% полиамид, 2% эластан</t>
  </si>
  <si>
    <t>Osteri</t>
  </si>
  <si>
    <t>73306302-4040</t>
  </si>
  <si>
    <t>78% полиамид, 20% полиэстер, 2% эластан</t>
  </si>
  <si>
    <t>73306302-9370</t>
  </si>
  <si>
    <t>73306302-9990</t>
  </si>
  <si>
    <t>Paivalla</t>
  </si>
  <si>
    <t>73306303-4040</t>
  </si>
  <si>
    <t>розовый/белый</t>
  </si>
  <si>
    <t>87% хлопок, 11% полиэстер, 2% эластан</t>
  </si>
  <si>
    <t>73306303-6140</t>
  </si>
  <si>
    <t>87% хлопок, 11% полиамид, 2% эластан</t>
  </si>
  <si>
    <t>Diadora</t>
  </si>
  <si>
    <t>B.ICON 2 W CLAY</t>
  </si>
  <si>
    <t>DR101179107D0267</t>
  </si>
  <si>
    <t>Кроссовки Diadora B.ICON 2 CLAY представляют собой специализированную спортивную обувь, предназначенную для игры в теннис на грунтовых кортах. Эта модель ориентирована на обеспечение удобства, долговечности и производительности для теннисистов всех уровней. Вот некоторые особенности и преимущества кроссовок Diadora B.ICON 2 CLAY:
1. Верхняя часть: Обычно верх этих кроссовок изготавливается из смеси высококачественных материалов, включая натуральную и синтетическую кожу, что обеспечивает комфорт и износостойкость. Сетчатые вставки повышают воздухопроницаемость, помогая поддерживать прохладу и сухость стопы во время интенсивных матчей.
2. Подошва: Специально разработанный для грунтового покрытия CLAY профиль обеспечивает отличное сцепление и контроль скольжения на мягком грунте. Рисунок подошвы усложняет накопление грунта и обеспечивает хороший разгон и торможение.
3. Стабилизация: Укрепления в пятке и боковых частях способствуют дополнительному удержанию стопы и предотвращению её скручивания во время игры, что позволяет избегать травм.
4. Амортизация: Подошва и стелька кроссовок могут включать в себя технологии поглощения ударов для дополнительного комфорта и защиты стопы от нагрузки во время бега и прыжков.
5. Дизайн: Diadora обращает внимание на эстетический аспект, сочетая элегантный современный дизайн с функциональностью, что делает эти кроссовки стильными как на корте, так и вне его.
Важно отметить, что разработчики Diadora постоянно совершенствуют свою обувь, внедряя новые технологии и материалы для повышения уровня производительности и комфорта. Кроссовки Diadora B.ICON 2 CLAY идеально подходят теннисистам, которые ищут надёжные и стильные кроссовки для грунтовых кортов.</t>
  </si>
  <si>
    <t>верх 52% полиэстер, 43% тпу, 5% искусственная кожа(полиуретан), подкладка 100% полиэстер, низ 100% резина</t>
  </si>
  <si>
    <t>75</t>
  </si>
  <si>
    <t>85</t>
  </si>
  <si>
    <t>BLUSHIELD TORNEO 2 AG</t>
  </si>
  <si>
    <t>DR101179502C1512</t>
  </si>
  <si>
    <t>Кроссовки мужские BLUSHIELD TORNEO 2 AG - это специально разработанные кроссовки для тенниса, обеспечивающие надежную поддержку и комфорт на корте. Они оснащены технологией BLUSHIELD, которая обеспечивает стабильность и амортизацию во время движений по корте. Кроссовки также имеют прочный защитный носок, который обеспечивает дополнительную защиту от износа и ударов. Эти кроссовки выполнены в стильном дизайне в голубом и белом цветах, что придает им элегантный вид на корте. Они идеально подходят для игроков, которые ценят высокое качество, функциональность и стиль в теннисной экипировке.</t>
  </si>
  <si>
    <t>Верх - 55% полиэстер 40% ТПУ 5% искусственная кожа(полиуретан) , подкладка - 100% полиэстер, низ - 100% резина</t>
  </si>
  <si>
    <t>43.5</t>
  </si>
  <si>
    <t>44.5</t>
  </si>
  <si>
    <t>B.ICON 2 AG</t>
  </si>
  <si>
    <t>DR101179099D0272</t>
  </si>
  <si>
    <t>Diadora B.ICON 2 AG представляют собой мужские спортивные кроссовки, предназначенные для игры в теннис на кортах с искусственным газоном (Artificial Grass). Эти кроссовки сочетают в себе передовые инновации бренда Diadora для обеспечения оптимальной производительности, долговечности и стиля, чтобы спортсмен мог наслаждаться игрой, чувствуя уверенность в каждом своем движении.
Важные характеристики кроссовок Diadora B.ICON 2 AG:
1. Верхняя часть: Качественные материалы обеспечивают верху кроссовок превосходную прочность и износостойкость, сохраняя при этом дышащие свойства, нужные для комфорта во время многих часов на корте.
2. Подошва AG: Подошва специально разработана с учетом требований искусственного газона, обладая уникальной структурой и расположением шипов, которые гарантируют оптимальное сцепление, повышая устойчивость и контроль при боковом движении или полном рывке.
3. Система амортизации: Внедренная технология в подошве эффективно поглощает удары, снижая нагрузку на стопы, суставы и мышцы. Это повышает комфорт и предотвращает возможные травмы при длительных игровых сессиях.
4. Улучшенная посадка: Анатомически разработанная конструкция кроссовок и система шнуровки обеспечивают плотное и безопасное прилегание к ноге, сохраняя естественную гибкость и обеспечивая максимальный контроль.
5. Стильный дизайн: Diadora B.ICON 2 AG имеют современный и стильный дизайн, который сочетает яркие цветовые акценты и элегантные линии, подчеркивающие спортивный характер и заслуженную репутацию бренда Diadora.
6. Долговечность: Использование высококачественных материалов и профессиональной сборки делает эти кроссовки прочными и способными выдерживать регулярные нагрузки, свойственные теннису на профессиональном уровне.
Кроссовки Diadora B.ICON 2 AG станут отличным выбором для теннисистов, которые предпочитают искусственные газонные покрытия и нуждаются в обуви, которая может удовлетворить их потребности в скорости, комфорте и устойчивости, не жертвуя при этом стильным внешним видом.</t>
  </si>
  <si>
    <t>95</t>
  </si>
  <si>
    <t>B.ICON 2 CLAY</t>
  </si>
  <si>
    <t>DR101179106D0261</t>
  </si>
  <si>
    <t>NNormal</t>
  </si>
  <si>
    <t>Tomir Boot WP Shoe Black/Blue</t>
  </si>
  <si>
    <t>N2BTRW1-001</t>
  </si>
  <si>
    <t>Лучшая защита от непогоды и надёжная поддержка лодыжки.
Для любых занятий на открытом воздухе и любого уровня подготовки.
Ботинки Tomir Waterproof помогут вам справиться как с технически сложными однодневными походами по снегу, так и с недельными приключениями под проливным дождём. Помимо превосходной поддержки лодыжки, комфорта для стопы и оптимальной водонепроницаемой защиты, эти фиолетово-синие ботинки отличаются низким воздействием на окружающую среду, поскольку производятся с минимальным расходом материалов и оснащены водонепроницаемой углеродно-нейтральной мембраной.</t>
  </si>
  <si>
    <t>верх: текстиль, иск.кожа; подкладка: текстиль; подошва: резина</t>
  </si>
  <si>
    <t>Tomir Boot WP Shoe Purple/Orange</t>
  </si>
  <si>
    <t>N2BTRW1-002</t>
  </si>
  <si>
    <t>фиолетовый/оранжевый</t>
  </si>
  <si>
    <t>12,5</t>
  </si>
  <si>
    <t>Tomir 2.0 Boot Black</t>
  </si>
  <si>
    <t>N2BTR02-001</t>
  </si>
  <si>
    <t>Ботинки Tomir 2.0 — ваш надёжный союзник в приключениях на природе. Почувствуйте поддержку голеностопа при любых активностях на открытом воздухе и на маршрутах любой сложности.
Ботинки Tomir помогут вам в технически сложных однодневных походах и в недельных приключениях на любом рельефе, сочетая проверенный дизайн с передовыми технологиями.
Износостойкость и долговечность: Ботинки Tomir 2.0, созданные из более прочных материалов, помогут вам покорять каменистые тропы и гарантируют стабильно высокую производительность во всех ваших приключениях.
Комфорт для трейлраннинга: Улучшенная амортизация и переработанная посадка обеспечивают превосходный комфорт и надёжную фиксацию, адаптированные под динамичные движения при беге по пересечённой местности.
Воздухопроницаемость и защита от непогоды: Благодаря улучшенной вентиляции и устойчивости к требованиям трейлраннинга вы остаётесь защищёнными и чувствуете себя комфортно в любых условиях.
Мощное сцепление: Подошва ботинок Tomir 2.0 имеет более глубокий протектор, который обеспечивает исключительное сцепление и стабильность на скользком или сложном рельефе.
Ботинки Tomir 2.0 — это не просто обновление предыдущей модели, это ваш лучший союзник на трейлах, готовый сопровождать вас в любом приключении.</t>
  </si>
  <si>
    <t>TOMIR 2.0 BOOT GREEN</t>
  </si>
  <si>
    <t>N2BTR02-002</t>
  </si>
  <si>
    <t>Tomir 2.0 Orange</t>
  </si>
  <si>
    <t>N2ZTR02-010</t>
  </si>
  <si>
    <t>Улучшенная версия нашего классического трейлового кроссовка Tomir. Tomir 02 сочетает в себе проверенный дизайн с передовыми технологиями и отвечает специфическим требованиям самого сурового трейлраннинга.
Tomir 02 оснащён ещё более износостойкими материалами и станет вашим надёжным союзником на самых сложных трейлах. Он готов покорять вместе с вами каменистые тропы и гарантирует долговечную производительность во всех ваших приключениях.
Ключевые характеристики:
Высота платформы: 25 мм (передняя часть) / 33 мм (пятка)
Перепад (Drop): 8 мм
Длина шипов: 5 мм
Вес: размер UK 8 — 264 г</t>
  </si>
  <si>
    <t>DR101179099D0261</t>
  </si>
  <si>
    <t>B.ICON 2 W AG</t>
  </si>
  <si>
    <t>DR101179103D0267</t>
  </si>
  <si>
    <t>Diadora B.ICON 2 AG - это исключительные кроссовки, предназначенные для активного спорта и повседневной носки. С уникальным дизайном и высококачественными материалами, эти кроссовки сочетают комфорт и функциональность.
Верх обуви изготовлен из прочного синтетического материала с использованием передовых технологий. Это обеспечивает долговечность, сохраняя при этом легкость и гибкость обуви.
Внутренняя подкладка эффективно отводит влагу, а съемная стелька обеспечивает отличную амортизацию и поддержку, что делает эти кроссовки идеальными для длительных тренировок или долгой ходьбы.
Благодаря прочной резиновой подошве, Diadora B.ICON 2 AG обладают превосходной устойчивостью к скольжению и обеспечивают отличное сцепление с различными поверхностями.
Стремясь к эстетическому совершенству, Diadora создала узнаваемый дизайн с использованием корпоративных цветов и логотипа. Diadora B.ICON 2 AG не только предлагают высокий уровень комфорта и производительности, но и обеспечивают исключительный стиль для любителей активного образа жизни.</t>
  </si>
  <si>
    <t>BLUSHIELD TORNEO 2 CLAY</t>
  </si>
  <si>
    <t>DR101179504D0620</t>
  </si>
  <si>
    <t>Diadora Blushield Torneo 2 Clay - это высокотехнологичные теннисные кроссовки, предназначенные для игроков всех уровней, ищущих оптимальное сочетание комфорта, стабильности и производительности на грунтовых кортах. Эта модель обуви оснащена рядом инновационных технологий Diadora, которые позволяют спортсменам выступать на максимально возможном уровне.
Ключевые характеристики:
1. Верхняя часть: Благодаря использованию дышащих материалов и сетки, верхняя часть обеспечивает исключительную вентиляцию, поддерживая ноги в прохладе и комфорте в течение всего матча или тренировки. Усилители в критических зонах повышают износостойкость обуви.
2. Технология Blushield: Уникальная система Blushield, встроенная в подошву, обеспечивает динамическую адаптацию к каждому движению стопы, гарантируя выдающуюся амортизацию и снижая риск непреднамеренных движений, что важно при быстрых перестроениях на корте.
3. Подошва для грунтовых кортов: Многоуровневая подошва специально адаптирована для игры на грунтовых покрытиях, обеспечивая исключительное сцепление и устойчивость на земляных кортах, что позволяет игроку с легкостью выполнять боковые и многонаправленные движения.
4. Промежуточная подошва: Эргономично спроектированная для максимального комфорта, промежуточная подошва улучшает распределение ударных нагрузок по стопе, минимизируя усталость и повышая выносливость во время игры.
5. Конструкция обуви: Продуманный дизайн обеспечивает превосходную посадку, обволакивая ногу и предоставляя поддержку где это наиболее необходимо, а также облегчая натяжение и давление на стопу.
6. Стиль и дизайн: Сочетание классических и современных элементов делает Blushield Torneo 2 Clay стильным выбором, выделяющим игрока на корте. Яркие акценты и характерный для Diadora логотип завершают образ, делая эти кроссовки идеальным сочетанием функциональности и моды.
В сумме, Diadora Blushield Torneo 2 Clay – это идеальный вариант для серьезных теннисистов, которые требуют от своей обуви не только высокой производительности и долговечности, но также высокого уровня комфорта и поддержки на грунтовых кортах.</t>
  </si>
  <si>
    <t>верх 55% полиэстер, 40% тпу, 5% искусственная кожа(полиуретан), подкладка 100% полиэстер, низ 100% резина</t>
  </si>
  <si>
    <t>Kjerag Brut White</t>
  </si>
  <si>
    <t>N1ZKSM1-001</t>
  </si>
  <si>
    <t>NNormal Kjerag Brut — это трейловые кроссовки, созданные для сложного и изменчивого рельефа. Они отличаются высокой адаптивностью к различным типам поверхностей и обеспечивают исключительное сцепление благодаря шипам высотой 6,5–7 мм — особенно на грязных и технически сложных участках.
Верх выполнен из материала Matryx Micro с добавлением кевларовых нитей, что делает кроссовки необычайно лёгкими, дышащими, прочными и износостойкими. Улучшенная система дренажа обеспечивает быстрое высыхание, делая модель идеальной для влажных условий. Дополнительные элементы защиты включают ТПУ-усиление в носочной части и на стратегически важных участках — для защиты от ударов и механических повреждений.
Промежуточная подошва использует компаунд EExpure для стабильной амортизации, а внешняя подошва Vibram Litebase с технологией Megagrip гарантирует превосходное сцепление на любом рельефе.
Кроссовки разработаны как для соревнований, так и для длительных трейл-забегов, сочетая в себе производительность, комфорт и долговечность в современном спортивном дизайне, вдохновлённом скандинавской эстетикой. При весе всего 215 г и перепаде высоты подошвы 6 мм они обеспечивают динамику и точность на каждом шаге.
Особенности:
Верх из материала Matryx Micro
Усиление кевларовыми нитями
Подошва Vibram Megagrip
Промежуточная подошва EExpure
Шипы высотой 7 мм
Преимущества:
Превосходное сцепление на пересечённой местности
Быстрое высыхание
Прочность и долговечность
Лёгкость и воздухопроницаемость
Эффективная амортизация</t>
  </si>
  <si>
    <t>Kjerag Brut Black</t>
  </si>
  <si>
    <t>N1ZKSM1-002</t>
  </si>
  <si>
    <t>EQUIPE SESTRIERE-XT</t>
  </si>
  <si>
    <t>DR101179551D0491</t>
  </si>
  <si>
    <t>Кроссовки Diadora EQUIPE SESTRIERE-XT отлично сочетают в себе наследие итальянской моды и инновационные технологии, создавая новый стандарт спортивной обуви.
Верх кроссовок выполнен из непромокаемой ткани и кожи высшего качества, что обеспечивает долговечность и защиту от неблагоприятных погодных условий. Мягкая внутренняя подкладка добавляет дополнительного комфорта, создавая теплую и уютную обувь для ежедневного использования.
Промежуточная подошва из EVA материала обеспечивает отличную амортизацию, в то время как прочная резиновая подошва добавляет нужную стабильность и сцепление со скользкими поверхностями. 
Система шнуровки содержит восьмиотверстный дизайн, который с легкостью адаптируется к форме ноги, обеспечивая надежную посадку на стопе. На язычке кроссовок расположен логотип Diadora, подчеркивающий качественный и премиальный характер обуви.
Строгий и элегантный дизайн кроссовок делает их идеальным дополнением к любому гардеробу. Их можно носить как с спортивной, так и с повседневной одеждой.
Кроссовки Diadora EQUIPE SESTRIERE-XT - это эффективное сочетание функциональности и стиля, доказывающее, что обувь для активного образа жизни может быть по-настоящему шикарной.</t>
  </si>
  <si>
    <t>верх 45% полиэстер, 35% тпу, 20% искусственная кожа(полиуретан), подкладка 100% полиэстер, низ 100% резина</t>
  </si>
  <si>
    <t>41.5</t>
  </si>
  <si>
    <t>SPEED BLUSHIELD FLY 4 + W CLAY</t>
  </si>
  <si>
    <t>DR101179508D0257</t>
  </si>
  <si>
    <t>Кроссовки женские SPEED BLUSHIELD FLY 4 + W CLAY - это специально разработанные кроссовки для тенниса, предназначенные для высокой производительности на грунтовых кортах. Они обладают технологией BLUSHIELD, которая обеспечивает стабильность, амортизацию и поддержку во время движений по корте. Кроссовки также имеют прочный, но легкий верх и подошву, обеспечивающие отличное сцепление с поверхностью корта. Дизайн кроссовок выполнен с учетом комфорта, функциональности и стиля, что делает их идеальным выбором для активных игроков, которые ценят качество и производительность в теннисной обуви.</t>
  </si>
  <si>
    <t>голубой/розовый</t>
  </si>
  <si>
    <t>Верх - 65% искусственная кожа(полиуретан) 35% полиэстер, подкладка - 100% полиэстер, низ - 100% резина</t>
  </si>
  <si>
    <t>SHELL HI</t>
  </si>
  <si>
    <t>101188126</t>
  </si>
  <si>
    <t>101188128</t>
  </si>
  <si>
    <t>101188130</t>
  </si>
  <si>
    <t>JOSEP HI</t>
  </si>
  <si>
    <t>101681901</t>
  </si>
  <si>
    <t>синт.кожа, текстиль</t>
  </si>
  <si>
    <t>JOSEP</t>
  </si>
  <si>
    <t>101681964</t>
  </si>
  <si>
    <t>VERONA</t>
  </si>
  <si>
    <t>101988031</t>
  </si>
  <si>
    <t>Текстиль</t>
  </si>
  <si>
    <t>EAGLE 6 SL</t>
  </si>
  <si>
    <t>DR101179076C0200</t>
  </si>
  <si>
    <t>Diadora EAGLE 6 SL - это высококачественные кроссовки, которые сочетают в себе элегантный дизайн и функциональность.
Верх кроссовок изготовлен из устойчивого к износу материала, который обеспечивает долговечность и стабильность обуви. Прочное мягкое замшевое покрытие гарантирует максимальный комфорт и амортизацию для каждого шага.
Оснащенные внутренним слоем, который активно дышит, эти кроссовки обеспечивают исключительную вентиляцию, предотвращая накопление влаги и пота, обеспечивая сухость и комфорт на протяжении всего дня.
Подошва Diadora, изготовленная с использованием новейших технологий, обеспечивает превосходную устойчивость к скольжению на любой поверхности, обеспечивая максимальную безопасность во время носки.
Своим эргономичным дизайном и темно-серым цветом, кроссовки Diadora EAGLE 6 SL добавляют стильный акцент к любому образу, являясь идеальным компаньоном для тех, кто ведёт активный образ жизни и ценит комфорт до, во время, и после тренировки.</t>
  </si>
  <si>
    <t>верх 90% искусственная кожа(полиуретан), 10% полиэстер, подкладка 100% полиэстер, низ 87% резина 13% эва</t>
  </si>
  <si>
    <t>DR101179099D0273</t>
  </si>
  <si>
    <t>DR101179106D0272</t>
  </si>
  <si>
    <t>Diadora B.ICON 2 CLAY - это специализированные кроссовки, предназначенные для тенниса на грунтовых кортах. Они сочетают в себе стиль, комфорт и технологическое превосходство.
В основе этих кроссовок лежит прочная, но лёгкая синтетическая верхняя часть, позволяющая ноге дышать. Благодаря прочному материалу, они устойчивы к потрясениям и износу, обеспечивая надёжность в течение долгого времени.
Внутри обуви есть подкладка из материала, который впитывает пот и обеспечивает комфортную посадку. Используемая в кроссовках система амортизации обеспечивает максимальный комфорт при беге по корту.
Обувь оснащена подошвой, специально разработанной для грунтовых кортов, обеспечивая превосходное сцепление и устойчивость на скользящих поверхностях. 
Наконец, элегантный дизайн и сочетание классических цветов делают кроссовки Diadora B.ICON 2 CLAY идеальными для любого спортсмена. 
Эта обувь - изящное дополнение к спортивному гардеробу любого любителя тенниса, внося элемент стиля и функциональности в комплект спортивной одежды.</t>
  </si>
  <si>
    <t>SPEED BLUSHIELD FLY 4 + W AG</t>
  </si>
  <si>
    <t>DR101179506D0257</t>
  </si>
  <si>
    <t>Кроссовки Diadora SPEED BLUSHIELD FLY 4 + AG предназначены для выдающихся спортсменов, кто ищет максимальную скорость и амортизацию на искусственных газонах.
Верх обуви изготовлен из дышащего Air Mesh и D Suprell с мягким внутренним вкладышем, создавая достаточную вентиляцию и комфорт во время игры. Система шнуровки позволит обеспечить плотно сидящую на ноге обувь, гарантирующую отличную поддержку.
Благодаря внедрению технологии Blushield в промежуточную подошву, обувь обеспечивает активное распределение нагрузки на стопу, большую стабильность и снижение уровня усталости. Эта модель также оснащена специальной технологией Power Flow, которая гарантирует 37% большую амортизацию и 31% большую возвратную мощность по сравнению с традиционной подошвой.
Уникальная подошва AG, сделанная из многонаправленных шипов, рассчитана на игру на искусственных газонах. Это обеспечивает отличное сцепление и управляемость для перенаправления и ускорения на поле.
Визуально кроссовки Diadora SPEED BLUSHIELD FLY 4 + AG впечатляют своим современным и динамичным дизайном, который будет обеспечивать выделения на поле.
В целом, эти кроссовки - идеальный выбор для футболистов, которые стремятся к высшей производительности и комфорту во время игры.</t>
  </si>
  <si>
    <t>верх 65% искусственная кожа(полиуретан), 35% полиэстер, подкладка 100% полиэстер, низ 100% резина</t>
  </si>
  <si>
    <t>35.5</t>
  </si>
  <si>
    <t>SPEED BLUSHIELD FLY 4 + AG</t>
  </si>
  <si>
    <t>DR101179507D0274</t>
  </si>
  <si>
    <t>KJerag Shoe Beige</t>
  </si>
  <si>
    <t>N1ZKGM1-005</t>
  </si>
  <si>
    <t>Двигайся быстро. Выкладывайся на полную. Не оставляя следа. Kjerag — наш самый продвинутый трейловый кроссовок — воплощает эти принципы. Это выражение нашей приверженности заботе о планете и стремлению к максимальной производительности.
Ключевые характеристики:
Высота платформы: 17,5 мм (передняя часть) / 23,9 мм (пятка)
Перепад (Drop): 6 мм
Длина шипов: 3,5 мм
Вес: размер UK 8 — 205 г
· VIBRAM® Megagrip
Заснеженные скалы, мокрые корни, грязные трейлы... Независимо от того, с каким рельефом вы столкнётесь, VIBRAM Megagrip обеспечивает исключительное сцепление и долговечность. Его способность адаптироваться к местности помогает вашим стопам, мышцам и суставам стать единым целым с природой.
· VIBRAM® Litebase
Подошва VIBRAM® Litebase снижает общий вес на целых 30 % за счёт уменьшения толщины на 50 %. И всё это без изменения оптимальной высоты шипов — 3,5 мм. Общий вес кроссовка составляет всего 200 грамм (размер 42).
· Matryx® Jacquard
Верх кроссовка, изготовленный из индивидуально покрытых полиамидных и кевларовых нитей, отличается исключительной воздухопроницаемостью и износостойкостью. Технология окрашивания, применяемая в Ардеше (Франция), расходует на 50–95 % меньше воды по сравнению с другими методами.
· Промежуточная подошва EExpure
Новое поколение пены, специально разработанное для трейловых кроссовок, с перепадом высоты 6 мм в каждой паре. Благодаря пене промежуточной подошвы EExpure ваши стопы получают более прямой контакт с поверхностью, что улучшает толчок и амортизацию, одновременно снижая проскальзывание и риск образования мозолей.</t>
  </si>
  <si>
    <t>Tomir Shoe Grey/Purple</t>
  </si>
  <si>
    <t>N2ZTR01-001</t>
  </si>
  <si>
    <t>Tomir 01 — это обувь, которая нужна вам для любых активностей на природе. От холмистой местности до горных вершин и новых тренировочных режимов — вы получаете надёжный комфорт, превосходное сцепление и амортизацию нового уровня.
· VIBRAM® Megagrip
Подошва Tomir с технологией VIBRAM® Megagrip создана для гравия и травы, песка и солнца, корней и камней. Любые условия, любые приключения. От коротких шагов на финальном вертикальном километре до многодневных походов по холмистой местности — чувствуйте уверенность, делайте больше.
· VIBRAM® Litebase
Внешняя подошва Tomir с технологией VIBRAM® Litebase примерно на 50% тоньше и до 30% легче. И всё это без потери устойчивости 5-миллиметровых шипов. Резиновая смесь также отличается (очень) высокой износостойкостью, ведь реже менять обувь — лучше для планеты.
· Износостойкий верх
Верх обуви выполнен из уникальной комбинации моноволоконного полиэстера и ТПЭ (термопластичного эластомера). Это делает его устойчивым к истиранию и зацепкам. Кроме того, он вручную пристрочен к промежуточной подошве, что повышает долговечность обуви. Асимметричная шнуровка усиливает поддержку и снижает давление на отдельные участки стопы.
· Промежуточная подошва из EVA
Промежуточная подошва из этиленвинилацетатной пены обеспечивает меньший вес, превосходную амортизацию и энергоотдачу, облегчающую каждый шаг — при высоте платформы 31/23 мм и перепаде 8 мм. Будь то рывок к новому личному рекорду или прыжки по лестнице в рамках силовой тренировки — ваши ноги получают всю необходимую поддержку.</t>
  </si>
  <si>
    <t>серый/фиолетовый</t>
  </si>
  <si>
    <t>Tomir Shoe Sand/Blue</t>
  </si>
  <si>
    <t>N2ZTR01-002</t>
  </si>
  <si>
    <t>бежевый/голубой</t>
  </si>
  <si>
    <t>Tomir 2.0 Black</t>
  </si>
  <si>
    <t>N2ZTR02-005</t>
  </si>
  <si>
    <t>Tomir 2.0 Blue/Green</t>
  </si>
  <si>
    <t>N2ZTR02-014</t>
  </si>
  <si>
    <t>Mittens knitted, Silli</t>
  </si>
  <si>
    <t>7300076A-4160</t>
  </si>
  <si>
    <t>Варежки</t>
  </si>
  <si>
    <t>Вязаные розовые варежки модели Sili — идеальный вариант для прогулок поздней весной и ранней осенью!
Варежки сделаны без подкладки. Материал состоит из 90% органического хлопка, а значит, варежки не вызовут раздражения, даже если у ребенка чувствительная кожа. 9% полиэстера придает прочности, а 1% эластана обеспечивает комфортную посадку.
Ребенку не придется морозить руки и снимать варежки, чтобы ответить на звонок или посмотреть дорогу в навигаторе. Варежки подходят для сенсорного экрана. 
Чтобы варежки сохранили форму и внешний вид, стирать их рекомендуется наизнанку при температуре 40°C и полоскать без специального средства. Во влажном виде лучше придать им первоначальную форму, а после гладить тоже на левой стороне. Учтите, что возможна небольшая усадка на 5%.</t>
  </si>
  <si>
    <t>90% Хлопок, 9% полиэстер, 1% эластан</t>
  </si>
  <si>
    <t>001</t>
  </si>
  <si>
    <t>003</t>
  </si>
  <si>
    <t>005</t>
  </si>
  <si>
    <t>7300076A-9090</t>
  </si>
  <si>
    <t>Вязаные серые варежки модели Sili — идеальный вариант для прогулок поздней весной и ранней осенью!
Варежки сделаны без подкладки. Материал состоит из 90% органического хлопка, а значит, варежки не вызовут раздражения, даже если у ребенка чувствительная кожа. 9% полиэстера придает прочности, а 1% эластана обеспечивает комфортную посадку.
Ребенку не придется морозить руки и снимать варежки, чтобы ответить на звонок или посмотреть дорогу в навигаторе. Варежки подходят для сенсорного экрана. 
Чтобы варежки сохранили форму и внешний вид, стирать их рекомендуется наизнанку при температуре 40°C и полоскать без специального средства. Во влажном виде лучше придать им первоначальную форму, а после гладить тоже на левой стороне. Учтите, что возможна небольшая усадка на 5%.</t>
  </si>
  <si>
    <t>7300076A-6961</t>
  </si>
  <si>
    <t>Вязаные варежки модели Sili темно-синего цвета — идеальный вариант для прогулок поздней весной и ранней осенью!
Варежки сделаны без подкладки. Материал состоит из 90% органического хлопка, а значит, варежки не вызовут раздражения, даже если у ребенка чувствительная кожа. 9% полиэстера придает прочности, а 1% эластана обеспечивает комфортную посадку.
Ребенку не придется морозить руки и снимать варежки, чтобы ответить на звонок или посмотреть дорогу в навигаторе. Варежки подходят для сенсорного экрана. 
Чтобы варежки сохранили форму и внешний вид, стирать их рекомендуется наизнанку при температуре 40°C и полоскать без специального средства. Во влажном виде лучше придать им первоначальную форму, а после гладить тоже на левой стороне. Учтите, что возможна небольшая усадка на 5%.</t>
  </si>
  <si>
    <t>U SENALES B ABX</t>
  </si>
  <si>
    <t>U56M2C0EK3RC0517</t>
  </si>
  <si>
    <t>Мужские сникеры Senales ABX — максимально водонепроницаемая и воздухопроницаемая обувь для любых погодных условий. Эта надежная модель из искусственного нубука идеально подходит для городской жизни и не подведет даже в плохую погоду.</t>
  </si>
  <si>
    <t>коричневый/чёрный</t>
  </si>
  <si>
    <t>верх:54% полимерный материал (полиуретан) 34% текстиль (полиэстер) 12% резина;подошва:100% резина;подкладка:68% искусственный мех (полиэстер) 32% полимерный материал (полиуретан)стелька:100% текстиль (полиэстер)</t>
  </si>
  <si>
    <t>J ECLAIR GIRL</t>
  </si>
  <si>
    <t>J569QJ000BCC9999</t>
  </si>
  <si>
    <t>Полусапоги</t>
  </si>
  <si>
    <t>Ботинки Eclair для девочек с изысканными деталями — это образец моды и элегантности. Эта модель из искусственной кожи привнесет стильную нотку в повседневный образ.</t>
  </si>
  <si>
    <t>чёрный</t>
  </si>
  <si>
    <t>верх:100% полимерный материал (полиуретан) ;подошва:100% термопластик;подкладка:80% текстиль (полиэстер) 20% полимерный материал (полиуретан);стелька:100% искусственный мех (полиэстер)</t>
  </si>
  <si>
    <t>D SWELEN</t>
  </si>
  <si>
    <t>D565GC00046C6006</t>
  </si>
  <si>
    <t>Современные женские ботинки Swelen созданы для жизни в городе. Эта стильная модель из мятой кожи отлично дополнит повседневный городской образ и подойдет для прогулок.</t>
  </si>
  <si>
    <t>темно-коричневый</t>
  </si>
  <si>
    <t>верх:100% кожа;подошва:100% термопластик;подкладка:65% текстиль (полиэстер) 35% полимерный материал (полиуретан)стелька:100% полимерный материал (полиуретан)</t>
  </si>
  <si>
    <t>D565GC00046C9999</t>
  </si>
  <si>
    <t>D565GE00043C9999</t>
  </si>
  <si>
    <t>Женские ботинки Swelen отличаются лаконичностью дизайна и современным стилем. Эта кожаная модель отлично дополнит городской образ на каждый день.</t>
  </si>
  <si>
    <t>верх:100% кожа;подошва:100% термопластик;подкладка:60% текстиль (полиэстер) 40% полимерный материал (полиуретан)стелька:100% полимерный материал (полиуретан)</t>
  </si>
  <si>
    <t>J049QD000BCC9999</t>
  </si>
  <si>
    <t>Ботинки Eclair для девочек в изысканном стиле — это прекрасное сочетание комфорта, эстетики и современного дизайна. Эта элегантная модель из искусственной кожи отлично дополнит образ для школы и отдыха.</t>
  </si>
  <si>
    <t>ВЕРХ:100% ПОЛИУРЕТАН ;ПОДОШВА:100% ТЕРМОПЛАСТИЧНАЯ РЕЗИНА ;ПОДКЛАДКА:80% ГЕОМЕШ (ПОЛИЭСТЕР) 10% ПОЛИ</t>
  </si>
  <si>
    <t>J049QO000CNC1006</t>
  </si>
  <si>
    <t>верх:100% полимерный материал (полиэстер) ;подошва:100% термопластик;подкладка:80% искусственный мех (полиэстер) 20% полимерный материал (полиуретан);стелька:100% искусственный мех (полиэстер)</t>
  </si>
  <si>
    <t>J049QB000CNC1006</t>
  </si>
  <si>
    <t>Ботинки Eclair для девочек отличаются современным изысканным дизайном. Эта модель из искусственной кожи привнесет нотку изысканности в идеальный образ для школы и отдыха.</t>
  </si>
  <si>
    <t>D LAMIDIE + GRIP ABX</t>
  </si>
  <si>
    <t>D56XMB00085C9999</t>
  </si>
  <si>
    <t>Непромокаемые женские ботинки Lamidie + Grip ABX отличаются современным городским дизайном. Эта надежная модель из наппы на подошве с непревзойденным сцеплением отлично подходит для городской жизни и не подведет даже в плохую погоду.</t>
  </si>
  <si>
    <t>верх: 100% кожа;подошва: 100% резина;подкладка: 59% искусственный мех (полиэстер) 41% полимерный материал (полиуретан);стелька: 92% текстиль (полиэстер) 8% полимерный материал (полиуретан)</t>
  </si>
  <si>
    <t>J SHAYLAX GIRL</t>
  </si>
  <si>
    <t>J46EXD00043C9999</t>
  </si>
  <si>
    <t>Классические полуботинки Shaylax с неизменно актуальным дизайном отлично подходят для школы. Эта практичная кожаная модель обеспечивает комфорт во время повседневных занятий.</t>
  </si>
  <si>
    <t>верх: 100% кожа;подошва:100% термопластик;подкладка:80% искусственный мех (полиэстер) 15% полимерный материал 5% кожа;стелька:100% искусственный мех (полиэстер)</t>
  </si>
  <si>
    <t>J HIMALAYA BOY B ABX</t>
  </si>
  <si>
    <t>J46FRA0FU50C9999</t>
  </si>
  <si>
    <t>Дышащие, теплые и непромокаемые сапоги Himalaya ABX для мальчиков идеально подходят для приключений на свежем воздухе. У этой функциональной спортивной модели из нейлона и искусственной кожи прочная подошва с отличной амортизацией и превосходным сцеплением.</t>
  </si>
  <si>
    <t>верх:60% текстиль (полиэстер) 40% полимерный материал (полиуретан);подошва:100% резина;подкладка:90% искусственный мех (полиэстер) 10% полимерный материал (полиуретан);стелька:100% искусственный мех (полиэстер)</t>
  </si>
  <si>
    <t>J TREKKYUP GIRL B AB</t>
  </si>
  <si>
    <t>J46M7E08V22C0922</t>
  </si>
  <si>
    <t>Созданные специально для активного отдыха ботинки Trekkyup ABX для девочек — максимально водонепроницаемая обувь даже под дождем. Эта модель из нейлона и замши обеспечивает защиту и воздухопроницаемость во время приключений на свежем воздухе.</t>
  </si>
  <si>
    <t>ВЕРХ: 50% ТЕКСТИЛЬ (ПОЛИЭСТЕР) 30% КОЖА 20% ПОЛИМЕРНЫЙ МАТЕРИАЛ (ПОЛИУРЕТАН);ПОДОШВА: 100% РЕЗИНА;ПО</t>
  </si>
  <si>
    <t>J FLEXYPER PLUS BOY</t>
  </si>
  <si>
    <t>J56LCC0FUMEC4J2T</t>
  </si>
  <si>
    <t>Непромокаемые ботинки Flexyper Plus ABX для мальчиков в стиле обуви для активного отдыха отлично защищают ноги. Модель из нейлона и искусственной вощеной кожи обеспечит комфорт и максимальную защиту даже под дождем и во время активного отдыха на свежем воздухе.</t>
  </si>
  <si>
    <t>синий/оранжевый</t>
  </si>
  <si>
    <t>верх:52% полимерный материал (полиуретан) 33% текстиль (нейлон) 15% резина;подошва:100% резина;подкладка:81% текстиль (полиэстер) 19% полимерный материал (полиуретан);стелька:100% текстиль (полиэстер)</t>
  </si>
  <si>
    <t>J PHAOLAE GIRL</t>
  </si>
  <si>
    <t>J36ETC000BCC9999</t>
  </si>
  <si>
    <t>Ботинки Phaolae для девочек, в современном городском стиле, созданы по образцу женской обуви. Модель из искусственной кожи прекрасно подходит и для школы, и для городских образов.</t>
  </si>
  <si>
    <t>верх 100% полимерный материал (полиуретан); подошва 100% полиуретан; подкладка 85% искусственный мех (полиэстер) 10% полимерный материал (микрофибра) 5% полимерный материал (полиуретан); стелька 100% искусственный мех (полиэстер)</t>
  </si>
  <si>
    <t>J TREKKYUP BOY B ABX</t>
  </si>
  <si>
    <t>J46MBE0MEMSC0275</t>
  </si>
  <si>
    <t>Созданные специально для активного отдыха непромокаемые полусапожки-слипоны Trekkyup ABX для мальчиков отлично защитят ноги во время активного отдыха на свежем воздухе. Модель из искусственной вощеной кожи и нейлона обеспечивает максимальное удобство и защиту даже в проливной дождь.</t>
  </si>
  <si>
    <t>светло-коричневый/чёрный</t>
  </si>
  <si>
    <t>верх:53% полимерный материал (полиуретан) 26% текстиль (полиэстер) 21% резина;подошва:100% резина;подкладка:91% искусственный мех (полиэстер) 9% текстиль (полиэстер) ;стелька:100% текстиль (полиэстер)</t>
  </si>
  <si>
    <t>J46MBE0MEMSC0749</t>
  </si>
  <si>
    <t>J FLEXYPER BOY B ABX</t>
  </si>
  <si>
    <t>J949XA032FUC9241</t>
  </si>
  <si>
    <t>Полусапожки для мальчиков Flexyper ABX, изготовленные из нубука и нейлона, отлично сочетаются с повседневной одеждой. Эта легкая и гибкая, теплая и непромокаемая модель идеально подходит для холодных дней и зимнего активного отдыха.</t>
  </si>
  <si>
    <t>чёрный/желтый</t>
  </si>
  <si>
    <t>верх: 46% полиуретан 36% кожа 18% текстиль (полиэстер) ;подошва: 65% этиленвинилацетат 35% резина ;подкладка: 80% искусственный мех (полиэстер) 20% полиуретан ;стелька: 100% текстиль (полиэстер)</t>
  </si>
  <si>
    <t>J949XA032MEC0498</t>
  </si>
  <si>
    <t>Ботинки Flexyper ABX для мальчиков в непринужденно спортивном стиле созданы специально для непоседливых маленьких исследователей. Эта модель из нубука со вставками из искусственной вощеной кожи станет надежным спутником малыша в его приключениях на свежем воздухе и во время активных игр в течение дня.</t>
  </si>
  <si>
    <t>зеленый/чёрный</t>
  </si>
  <si>
    <t>верх: 45% кожа 35% полимерный материал (полиуретан) 20% текстиль (полиэстер);подошва:65% этиленвинилацетат 35% резина;подкладка:70% текстиль (полиэстер) 17% искусственный мех (полиэстер) 13% полимерный материал (полиуретан);стелька:100% искусственный мех (полиэстер)</t>
  </si>
  <si>
    <t>D AMABEL</t>
  </si>
  <si>
    <t>D56MDB08520C9999</t>
  </si>
  <si>
    <t>Современные универсальные женские сникеры AMABEL отличаются современным дизайном, который привнесет нотку индивидуальности в повседневный образ. Эта стильная модель отлично подходит для насыщенной событиями городской жизни.</t>
  </si>
  <si>
    <t>верх:100% кожа;подошва:100% резина ;подкладка:79% искусственный мех (полиэстер) 21% полимерный материал (полиуретан);стелька:100% искусственный мех (полиэстер)</t>
  </si>
  <si>
    <t>U56M2C0EK3RC9999</t>
  </si>
  <si>
    <t>J46M7E08V22C4269</t>
  </si>
  <si>
    <t>синий/фиолетовый</t>
  </si>
  <si>
    <t>верх: 50% текстиль (полиэстер) 30% кожа 20% полимерный материал (полиуретан);подошва: 100% резина;подкладка: 91% искусственный мех (полиэстер) 9% текстиль (полиэстер);стелька: 100% текстиль (полиэстер)</t>
  </si>
  <si>
    <t>J56LCC0FUMEC0616</t>
  </si>
  <si>
    <t>коричневый/оранжевый</t>
  </si>
  <si>
    <t>ВЕРХ:52% ПОЛИМЕРНЫЙ МАТЕРИАЛ (ПОЛИУРЕТАН) 33% ТЕКСТИЛЬ (НЕЙЛОН) 15% РЕЗИНА;ПОДОШВА:100% РЕЗИНА;ПОДКЛ</t>
  </si>
  <si>
    <t>D IRIDEA</t>
  </si>
  <si>
    <t>D26HRQ00043C9999</t>
  </si>
  <si>
    <t>Ботинки Iridea отличаются современным городским дизайном. Эта стильная кожаная модель на комфортной подошве отлично дополнит повседневный образ.</t>
  </si>
  <si>
    <t>верх:100% кожа;подошва:100% термопластичная резина;подкладка:70% текстиль (полиэстер) 30% полиуретан;стелька:100% текстиль (полиэстер)</t>
  </si>
  <si>
    <t>J46FRD050FUCA3K4</t>
  </si>
  <si>
    <t>Теплые непромокаемые ботинки Himalaya ABX для мальчиков идеально подходят для приключений на свежем воздухе. Эта модель из нейлона и искусственной кожи обеспечивает максимальную защиту и комфорт благодаря прочной подошве с превосходным сцеплением.</t>
  </si>
  <si>
    <t>верх:45% текстиль (полиэстер) 40% полимерный материал (полиуретан) 15% резина;подошва:100% резина;подкладка:72% искусственный мех (полиэстер) 20% текстиль (полиэстер) 8% полимерный материал (полиуретан);стелька:100% искусственный мех (полиэстер)</t>
  </si>
  <si>
    <t>J46MBE0MEMSC0036</t>
  </si>
  <si>
    <t>серый/оранжевый</t>
  </si>
  <si>
    <t>ВЕРХ:53% ПОЛИМЕРНЫЙ МАТЕРИАЛ (ПОЛИУРЕТАН) 26% ТЕКСТИЛЬ (ПОЛИЭСТЕР) 21% РЕЗИНА;ПОДОШВА:100% РЕЗИНА;ПО</t>
  </si>
  <si>
    <t>J KALISPERA GIRL</t>
  </si>
  <si>
    <t>J744GI0DHAJC9017</t>
  </si>
  <si>
    <t>Kalispera — это сникеры для девочек, в современном городском стиле, оснащены гибкой вулканизированной подошвой. Модель понравится самым маленьким модницам. Верх выполнен из искусственной тисненой замши и искусственной перламутровой кожи.</t>
  </si>
  <si>
    <t>тёмно-серый</t>
  </si>
  <si>
    <t>верх: 100% полиуретан ;подошва: 100% резина ;подкладка: 91% текстиль (полиэстер) 9% полимерный материал (микрофибра) ;стелька: 100% кожа</t>
  </si>
  <si>
    <t>J ADELHIDE GIRL B AB</t>
  </si>
  <si>
    <t>J56EWA0LVNFC0474</t>
  </si>
  <si>
    <t>Сапоги Adelhide для девочек в спортивном стиле прекрасно подходят для приключений на свежем воздухе. Эта комфортная модель из нейлона со вставками из искусственной перламутровой кожи защитит ноги во время повседневных занятий и отдыха.</t>
  </si>
  <si>
    <t>серый/чёрный</t>
  </si>
  <si>
    <t>ВЕРХ: 60% ТЕКСТИЛЬ (ПОЛИЭСТЕР) 40% ПОЛИМЕРНЫЙ МАТЕРИАЛ (ПОЛИУРЕТАН);ПОДОШВА: 100% РЕЗИНА;ПОДКЛАДКА:</t>
  </si>
  <si>
    <t>J BUNSHEE BOY B ABX</t>
  </si>
  <si>
    <t>J16FMA0ME32C4J9B</t>
  </si>
  <si>
    <t>Bunshee ABX — ботинки для мальчиков в приятном неформальном стиле, идеальны на случай непогоды. Из искусственной вощеной кожи и нубука, на удобной толстой «коробчатой» подошве, теплые и непромокаемые, обеспечат максимальный комфорт в любой ситуации.</t>
  </si>
  <si>
    <t>синий/чёрный</t>
  </si>
  <si>
    <t>верх: 41% кожа 48% полиуретан 11% текстиль (полиэстер) ;подошва: 100% резина ;подкладка: 85% искусственный мех (полиэстер) 15% текстиль (полиэстер) ;стелька: 100% искусственный мех (полиэстер)</t>
  </si>
  <si>
    <t>J46FRA0FU50C4J9B</t>
  </si>
  <si>
    <t>ВЕРХ:60% ТЕКСТИЛЬ (ПОЛИЭСТЕР) 40% ПОЛИМЕРНЫЙ МАТЕРИАЛ (ПОЛИУРЕТАН);ПОДОШВА:100% РЕЗИНА;ПОДКЛАДКА:90%</t>
  </si>
  <si>
    <t>J56EWA0LVNFC9999</t>
  </si>
  <si>
    <t>верх: 60% текстиль (полиэстер) 40% полимерный материал (полиуретан);подошва: 100% резина;подкладка: 80% искусственный мех (полиэстер) 20% полимерный материал (полиуретан);стелька: 100% текстиль (полиэстер)</t>
  </si>
  <si>
    <t>D56HRK00043C9999</t>
  </si>
  <si>
    <t>Женские ботинки Iridea отличаются современным стилем, лаконичностью очертаний и универсальностью. Эта стильная кожаная модель с внутренней теплой подкладкой идеально подходит для городской жизни в холодное время года.</t>
  </si>
  <si>
    <t>верх: 100% кожа;подошва: 100% термопластик;подкладка: 70% искусственный мех (полиэстер) 30% полимерный материал (полиуретан);стелька: 100% искусственный мех (полиэстер)</t>
  </si>
  <si>
    <t>D565GB00043C9999</t>
  </si>
  <si>
    <t>Туфли</t>
  </si>
  <si>
    <t>Современные женские ботинки Swelen отлично подходят для городской жизни. Эта кожаная модель идеально дополнит непринужденный повседневный образ, привнеся в него собственную уникальную нотку.</t>
  </si>
  <si>
    <t>верх:100% кожа;подошва:100% термопластик;подкладка:100% полимерный материал (полиуретан)стелька:100% полимерный материал (полиуретан)</t>
  </si>
  <si>
    <t>D55MDA022FUCH61Z</t>
  </si>
  <si>
    <t>Современные женские кроссовки Amabel дополняют образ в повседневном стиле, внося в него нотку динамизма, а также обеспечивают комфорт и воздухопроницаемость. Дизайн оригинального верха модели основан на игре контрастов. Сочетание замши и нейлона делает модель очень заметной.</t>
  </si>
  <si>
    <t>светло-кротовый/белый</t>
  </si>
  <si>
    <t>верх: 30% текстиль (полиэстер) 47% кожа 23% полимерный материал (полиуретан);подошва: 100% резина;подкладка: 78% текстиль (полиэстер) 22% полимерный материал (полиуретан);стелька: 100% текстиль (полиэстер)</t>
  </si>
  <si>
    <t>U RENAN</t>
  </si>
  <si>
    <t>U554GC08522C1260</t>
  </si>
  <si>
    <t>Городская модель на каждый день: мужские низкие кроссовки Renan обеспечивают легкость, комфорт и воздухопроницаемость. Модель, разработанная для теплого времени года, дополнена верхом в винтажном стиле из мягкой кожи наппа и замши.</t>
  </si>
  <si>
    <t>белый/светло-синий</t>
  </si>
  <si>
    <t>верх: 55% кожа 25% текстиль (нейлон) 20% полимерный материал (полиэстер);подошва: 100% резина;подкладка: 73% текстиль (нейлон) 27% полимерный материал (полиуретан);стелька: 100% полимерный материал (полиуретан)</t>
  </si>
  <si>
    <t>D45MDA08522C1ZJ8</t>
  </si>
  <si>
    <t>Женские кроссовки Amabel являются незаменимым атрибутом повседневного образа, привнося в него нотку динамизма, а также обеспечивают комфорт и воздухопроницаемость. Неповторимый дизайн верхней части этой модели основан на игре контрастов. Сочетание мягкой кожи наппа и замши делает модель очень заметной.</t>
  </si>
  <si>
    <t>белый/сирень</t>
  </si>
  <si>
    <t>верх: 80% кожа 10% полимерный материал (полиуретан) 10% текстиль (полиэстер);подошва: 100% резина;подкладка: 79% текстиль (полиэстер) 21% полимерный материал (полиуретан);стелька: 100% текстиль (полиэстер)</t>
  </si>
  <si>
    <t>D MELEDA</t>
  </si>
  <si>
    <t>D36UGB022BCC4K1Z</t>
  </si>
  <si>
    <t>Универсальная модель Meleda — это легкие и дышащие женские кроссовки в неизменно актуальном стиле теннисной обуви. Модель из замши и искусственной кожи внесет спортивный штрих в любой повседневный образ.</t>
  </si>
  <si>
    <t>тёмно-голубой/белый</t>
  </si>
  <si>
    <t>верх:72% кожа 28% полимерный материал (полиуретан) ;подошва:100% резина ;подкладка:74% текстиль (полиэстер) 26% полимерный материал (полиуретан) ;стелька:100% текстиль (полиэстер)</t>
  </si>
  <si>
    <t>D EMMELENY</t>
  </si>
  <si>
    <t>D550UE022BCC0004</t>
  </si>
  <si>
    <t>Низкие женские кроссовки Emmeleny в повседневном стиле обеспечивают комфорт и воздухопроницаемость. Модель из замши и искусственной кожи привнесет нотку оригинальности в любой урбанистический образ.</t>
  </si>
  <si>
    <t>светло-синий/белый</t>
  </si>
  <si>
    <t>верх: 50% кожа 50% полимерный материал (полиуретан);подошва: 100% резина;подкладка: 73% текстиль (полиэстер) 27% полимерный материал (полиуретан);стелька: 100% полимерный материал (полиуретан)</t>
  </si>
  <si>
    <t>D SPHERICA ECUB-3</t>
  </si>
  <si>
    <t>D46WTD05422C8191</t>
  </si>
  <si>
    <t>Spherica™ ECUB-3 — изящные женские спортивные кроссовки, которые обеспечивают исключительную амортизацию и легкую походку в течение всего дня. Модель из кожи и замши делает повседневный наряд особенно комфортным, привнося в него нотку изысканного шика.</t>
  </si>
  <si>
    <t>верх: 70% полимерный материал (полиуретан) 17% кожа 13% текстиль (полиэстер);подошва: 70% этиленвинилацетат 30% резина;подкладка: 76% текстиль (полиэстер) 24% полимерный материал (полиуретан);стелька: 100% текстиль (полиэстер)</t>
  </si>
  <si>
    <t>D SPHERICA EC4.1</t>
  </si>
  <si>
    <t>D55TCA08522C1Z8Z</t>
  </si>
  <si>
    <t>Spherica™ EC4.1 — это культовые низкие женские кроссовки для повседневного ношения в стиле «непринужденный шик». Отличаются несравненным комфортом. Спортивная и изысканная модель из мягкой кожи наппа и замши обеспечивает воздухопроницаемость и амортизацию, даря ощущение легкости при ходьбе.</t>
  </si>
  <si>
    <t>верх: 85% кожа 15% текстиль (полиэстер);подошва: 100% этиленвинилацетат;подкладка: 68% текстиль (полиэстер) 32% полимерный материал (полиуретан);стелька: 100% текстиль (полиэстер)</t>
  </si>
  <si>
    <t>RAPTOR MID</t>
  </si>
  <si>
    <t>DR101177703C0657</t>
  </si>
  <si>
    <t>Спортивные высокие кеды унисекс Raptor от Diadora из высококачественной искусственной кожи. Минималистская модель с контрастными логотипами.
Высокий верх
Кружевная застежка
Перфорация пальцев
Текстильный элемент вокруг щиколотки
Контрастный логотип на пятке
Этикетка с логотипом на язычке</t>
  </si>
  <si>
    <t>полиэстер; иск.кожа</t>
  </si>
  <si>
    <t>RAPTOR HIGH SL</t>
  </si>
  <si>
    <t>DR101178324D0314</t>
  </si>
  <si>
    <t>Обувь Diadora Insignia подходит для повседневного использования. Имеют отверстия для вентиляции</t>
  </si>
  <si>
    <t>Верх 75% искусственная кожа(полиуретан), 20% бычья кожа, 5% полиэстер , подкладка 100% полиэстер, низ 100% термопластичная резина</t>
  </si>
  <si>
    <t>D BRIONIA R</t>
  </si>
  <si>
    <t>D55Y3M000HHC1000</t>
  </si>
  <si>
    <t>Туфли ремешковые</t>
  </si>
  <si>
    <t>Женские сандалии Brionia R с двумя ремешками обеспечивают невероятный уровень комфорта и исключительную воздухопроницаемость, а также отличаются спокойным и современным стилем. Модель из искусственной лакированной кожи идеально дополнит урбанистический образ в неформальном стиле для теплого времени года.</t>
  </si>
  <si>
    <t>верх: 100% полимерный материал (полиуретан);подошва: 100% этиленвинилацетат;подкладка: 100% текстиль (полиэстер);стелька: 100% полимерный материал (микрофибра)</t>
  </si>
  <si>
    <t>D FLEXTRIDE</t>
  </si>
  <si>
    <t>D659AB0009BC9999</t>
  </si>
  <si>
    <t>Мокасины</t>
  </si>
  <si>
    <t>Женские мокасины Geox D Sirona — классическая и невероятно комфортная модель для женщин на сезон весна-лето. Изготовленные из высококачественной  натуральной кожи, они идеально подходят для офиса, вождения автомобиля и долгих городских прогулок. Главная особенность — гибкая подошва с технологией Geox Respira, которая поддерживает естественную вентиляцию стопы. Благодаря мягкой кожаной подкладке и конструкции без застежек, мокасины обеспечивают идеальную посадку и комфорт при ношении даже на босу ногу.</t>
  </si>
  <si>
    <t>верх: 100% кожа; подошва: 90% этиленвинилацетат 10% резина; подкладка: 100% полимерный материал (полиурет</t>
  </si>
  <si>
    <t>U BRANDOLF B</t>
  </si>
  <si>
    <t>U024VB00043C9999</t>
  </si>
  <si>
    <t>Мужские туфли Geox U Brandolf — безупречное сочетание классической элегантности и технологичного комфорта для современного делового образа.
Эта статусная модель в стиле дерби — идеальный выбор на сезон весна-осень и для офиса в любое время года. Туфли выполнены из 100% высококачественной гладкой кожи премиальной выделки, которая отличается благородным блеском, мягкостью и исключительной долговечностью. Главная особенность модели — гибкая подошва из 100% износостойкой резины с запатентованной технологией Geox Respira™: благодаря перфорации и встроенной дышащей мембране обувь эффективно отводит лишнее тепло, сохраняя стопы сухими даже при длительном ношении. Продуманная комбинированная подкладка из натурального хлопка (50%) и технологичной микрофибры (50%) обеспечивает превосходную вентиляцию, мягкость и идеальную посадку по ноге. Лаконичный дизайн с открытой шнуровкой делает Geox Brandolf незаменимым элементом делового гардероба, который одинаково эффектно смотрится как со строгим костюмом, так и с одеждой в стиле smart casual.</t>
  </si>
  <si>
    <t>верх: 100% кожа ; подошва: 100% резина ; подкладка: 50% текстиль (хлопок) 50% полимерный материал (микроф</t>
  </si>
  <si>
    <t>J ALBEN BOY</t>
  </si>
  <si>
    <t>J459EC01454C0735</t>
  </si>
  <si>
    <t>Дышащие низкие кроссовки для мальчиков Alben, выполненные в винтажном стиле, легко надеваются благодаря удобной застежке с двумя ремешками на липучке. Модель из сетчатой ткани и искусственной кожи позволит создать повседневный образ в городском стиле.</t>
  </si>
  <si>
    <t>синий/красный</t>
  </si>
  <si>
    <t>верх:56% текстиль (полиэстер) 44% полимерный материал (полиуретан);подошва:100% резина;подкладка:100% текстиль (полиэстер);стелька:100% текстиль (полиэстер)</t>
  </si>
  <si>
    <t>D ANNYTAH MOC B</t>
  </si>
  <si>
    <t>D56BMB00046C4692</t>
  </si>
  <si>
    <t>Женские лоферы Geox Annytah — это воплощение вневременной элегантности и инновационного комфорта, созданное специально для женщин, которые ценят безупречный стиль в каждой детали. Эта модель идеально подходит для демисезонного периода (весна-осень) и прохладных летних вечеров, гармонично дополняя как строгие офисные образы, так и повседневные наряды. Главной особенностью лоферов является запатентованная технология Geox Respira™: перфорированная подошва в сочетании с дышащей мембраной обеспечивает надежную водозащиту — мембрана не пропускает влагу извне, но эффективно выводит пот, сохраняя ножки абсолютно сухими в течение всего дня. Внутри находится анатомическая стелька с эффектом амортизации, которая значительно снижает нагрузку при ходьбе и дарит ощущение легкости. Выполненные из премиальной зернистой кожи с изысканной золотистой фурнитурой, эти лоферы отличаются исключительной гибкостью и мягкостью, что делает их идеальным спутником для долгих прогулок, путешествий и динамичных рабочих будней.</t>
  </si>
  <si>
    <t>верх: 100% кожа; подошва: 100% термопластичный полиуретан; подкладка: 100% полимерный материал (полиурета</t>
  </si>
  <si>
    <t>D ANNYTAH</t>
  </si>
  <si>
    <t>D657NA000TUC9999</t>
  </si>
  <si>
    <t>Балетки</t>
  </si>
  <si>
    <t>Женские балетки Geox Annytah — это воплощение вневременной элегантности и инновационного комфорта, созданное для женщин, которые ценят безупречный стиль и легкость в каждом шаге. Эта лаконичная модель идеально подходит для демисезонного периода (весна-осень) и прохладных летних дней, гармонично дополняя как деловые офисные костюмы, так и женственные повседневные наряды. Главной особенностью балеток является запатентованная технология Geox Respira™: перфорированная подошва в сочетании с дышащей мембраной обеспечивает надежную водозащиту — мембрана не пропускает влагу извне, но эффективно выводит лишнее тепло и пот, сохраняя ножки абсолютно сухими в течение всего дня. Внутри расположена анатомическая стелька Triple Wellness System, которая обеспечивает три зоны амортизации, значительно снижая нагрузку при ходьбе и даря непревзойденное ощущение мягкости. Выполненные из премиальной гладкой кожи с изысканной золотистой деталью на мыске, эти балетки станут незаменимым спутником для долгих прогулок, путешествий и динамичных будней, подчеркивая вашу индивидуальность без ущерба для комфорта.</t>
  </si>
  <si>
    <t>верх: 100% кожа; подошва: 100% этиленвинилацетат; подкладка: 80% текстиль (полиэстер) 20% полимерный мате</t>
  </si>
  <si>
    <t>D NEW PALMARIA</t>
  </si>
  <si>
    <t>D654JA0TU11C9999</t>
  </si>
  <si>
    <t>Женские балетки Geox D Lola — элегантная классика для женщин на сезон весна-лето. Модель выполнена из высококачественной натуральной кожи  и идеально подходит для офиса, деловых встреч или повседневных городских прогулок. Главная особенность — запатентованная дышащая подошва Geox Respira, которая обеспечивает естественную вентиляцию стопы в течение всего дня. Мягкая кожаная подкладка и анатомическая стелька гарантируют комфорт без натирания, а лаконичный дизайн без застежек позволяет легко сочетать балетки с любым гардеробом.</t>
  </si>
  <si>
    <t>верх:100% кожа;подошва:100% резина;подкладка:80% текстиль (хлопок) 20% полимерный материал (полиурет</t>
  </si>
  <si>
    <t>D654JF0TU11C9999</t>
  </si>
  <si>
    <t>Женские балетки Geox New Palmaria — это идеальное воплощение вечной классики и инновационного комфорта, созданное для женщин, которые ценят легкость и безупречный стиль в каждом шаге.
Эта универсальная модель идеально подходит для весенне-летнего сезона и ранней осени, становясь гармоничным дополнением как к строгим офисным костюмам, так и к легким повседневным нарядам. Главной особенностью балеток является легендарная запатентованная технология Geox Respira™: перфорированная подошва в сочетании с дышащей мембраной обеспечивает безупречную терморегуляцию. Система эффективно выводит лишнее тепло и влагу изнутри, позволяя стопе «дышать» и сохраняя ощущение свежести даже при длительной ходьбе. При этом мембрана надежно защищает саму подошву, обеспечивая водозащиту и не позволяя влаге с земли проникать внутрь через вентиляционные отверстия. Внутри расположена мягкая анатомическая стелька из натуральной кожи, которая обеспечивает дополнительную амортизацию и дарит непревзойденное ощущение комфорта. Выполненные из премиальной мягкой кожи с изящным бантиком, эти балетки отличаются исключительной гибкостью подошвы и облегченной конструкцией, превращая каждый шаг в истинное удовольствие.</t>
  </si>
  <si>
    <t>верх: 100% кожа; подошва: 100% резина; подкладка: 80% текстиль (хлопок) 20% полимерный материал (полиурет</t>
  </si>
  <si>
    <t>D ACTIVART</t>
  </si>
  <si>
    <t>D46XTA01454C5000</t>
  </si>
  <si>
    <t>Низкие женские кроссовки Activart, созданные в стиле обуви для активного отдыха, внесут современную нотку в любой спортивный образ. Дышащая и удобная модель выполнена из сетчатого текстиля и искусственной кожи.</t>
  </si>
  <si>
    <t>верх:70% текстиль (полиэстер) 15% полимерный материал (полиуретан) 15% полимерный материал (полиуретан);подошва:100% этиленвинилацетат;подкладка:90% текстиль (полиэстер) 5% полимерный материал (полиуретан) 5% полимерный материал;стелька:100% текстиль (полиэстер)</t>
  </si>
  <si>
    <t>D55UGB05422C1352</t>
  </si>
  <si>
    <t>Универсальная модель Meleda — это легкие и воздухопроницаемые низкие женские кроссовки в неизменно актуальном стиле теннисной обуви. Модель из искусственной кожи и замши внесет спортивный штрих в любой повседневный образ.</t>
  </si>
  <si>
    <t>белый/серо-белый</t>
  </si>
  <si>
    <t>верх: 71% полимерный материал (полиуретан) 15% кожа 9% полимерный материал (полиэстер) 5% полимерный материал (полиамид);подошва: 100% резина;подкладка: 80% текстиль (полиэстер) 20% полимерный материал (полиуретан);стелька: 100% текстиль (полиэстер)</t>
  </si>
  <si>
    <t>U SERIFOS</t>
  </si>
  <si>
    <t>U55LSA000BUC4002</t>
  </si>
  <si>
    <t>Легкие и дышащие низкие мужские кроссовки Serifos, разработанные для города, дарят стиль и комфорт на протяжении всего дня. Модель из искусственной потертой кожи отличается современным силуэтом и привносит нотку стиля «спортивный шик» в повседневный образ.</t>
  </si>
  <si>
    <t>верх: 85% полимерный материал (полиэстер) 15% текстиль (полиэстер);подошва: 100% термопластик;подкладка: 83% текстиль (полиэстер) 17% полимерный материал (полиуретан);стелька: 100% текстиль (полиэстер)</t>
  </si>
  <si>
    <t>B OMAR BOY WPF</t>
  </si>
  <si>
    <t>B462DC04322C4429</t>
  </si>
  <si>
    <t>Облегающие ботинки Omar для новорожденных мальчиков надежно защитят детские ножки с первых шагов. Эта комфортная и практичная обувь из кожи и замши отлично подходит для игр и повседневных занятий.</t>
  </si>
  <si>
    <t>чёрный/синий</t>
  </si>
  <si>
    <t>верх:75% кожа20% текстиль (полиэстер) 5% полимерный материал (полиуретан) ;подошва:100% термопластик;подкладка:90% текстиль (80% шерсть 20% полиэстер) 10% кожа;стелька:100% текстиль (80% шерсть 20% полиэстер)</t>
  </si>
  <si>
    <t>25</t>
  </si>
  <si>
    <t>D BLOMIEE</t>
  </si>
  <si>
    <t>D556HE011BCC1405</t>
  </si>
  <si>
    <t>Спортивная и вместе с тем изысканная обувь на каждый день: легкие низкие женские кроссовки Blomieee обеспечивают комфорт и воздухопроницаемость. Модель из ткани и искусственной кожи прекрасно дополнит повседневный образ.</t>
  </si>
  <si>
    <t>верх: 69% текстиль (хлопок) 31% полимерный материал (полиуретан);подошва: 100% резина;подкладка: 81% текстиль (хлопок) 19% полимерный материал (полиуретан);стелька: 100% полимерный материал (полиуретан)</t>
  </si>
  <si>
    <t>J BRIEZEE B. A</t>
  </si>
  <si>
    <t>J36GMA01454C4244</t>
  </si>
  <si>
    <t>Детские кроссовки Geox J Briezee Boy — идеальное сочетание спортивного стиля и комфорта для повседневных приключений. Модель выполнена в практичном темно-синем цвете с динамичными акцентами, она оснащена запатентованной дышащей подошвой Geox Respira, которая обеспечивает естественную терморегуляцию и оставляет ноги сухими в течение всего дня. Легкий комбинированный верх из текстильной сетки и износостойкой экокожи гарантирует отличную вентиляцию и долговечность, а эластичная шнуровка с надежным ремешком на липучке позволяет ребенку быстро и легко обуваться самостоятельно. Кроссовки дополнены съемной антибактериальной стелькой и амортизирующей подошвой с защитой мыска, что делает их отличным выбором как для школы, так и для активных прогулок на свежем воздухе.Кроссовки Geox J Briezee Boy — ультрадышащая модель для жаркого лета. Водозащита отсутствует. Застежка на липучке. Особенности: сетчатый верх для максимального обдува. Подкладка текстильная. Для любых летних покрытий. Стелька текстильная, съемная, анатомическая.</t>
  </si>
  <si>
    <t>верх: 47% текстиль (полиэстер) 41% полимерный материал (полиуретан) 12% кожа;подошва: 100% термоплас</t>
  </si>
  <si>
    <t>J MAGNETAR BOY B ABX</t>
  </si>
  <si>
    <t>J463ZB050FUC4231</t>
  </si>
  <si>
    <t>Непромокаемые дышащие сникеры Magnetar ABX для мальчиков созданы для активного отдыха. Эта модель из искусственной кожи и нейлона идеально подходит для активного отдыха на свежем воздухе даже в дождливые дни.</t>
  </si>
  <si>
    <t>синий/голубой</t>
  </si>
  <si>
    <t>верх: 70% полимерный материал (полиуретан) 30% текстиль (нейлон);подошва:100% резина;подкладка:88% текстиль (полиэстер) 12% полимерный материал (полиуретан);стелька:100% текстиль (полиэстер)</t>
  </si>
  <si>
    <t>J INEK BOY</t>
  </si>
  <si>
    <t>J559CE01454C0693</t>
  </si>
  <si>
    <t>Удобные и воздухопроницаемые низкие кроссовки для мальчиков Inek выполнены из сетки и искусственной кожи. Благодаря встроенной в подошву подсветке и смелым графическим рисункам, украшающим верх, модель прекрасно дополняет любой спортивный образ.</t>
  </si>
  <si>
    <t>синий/светло-голубой</t>
  </si>
  <si>
    <t>верх: 55% текстиль (полиэстер) 45% полимерный материал (полиуретан);подошва: 100% термопластик;подкладка: 100% текстиль (полиэстер);стелька: 100% текстиль (полиэстер)</t>
  </si>
  <si>
    <t>J PAVEL GIRL</t>
  </si>
  <si>
    <t>J458CA0BC14CF48L</t>
  </si>
  <si>
    <t>Дышащие и легкие низкие кроссовки Jensea — это спортивная модель в стиле беговой обуви. Благодаря динамичному дизайну эта модель из искусственной кожи и сетчатой ткани украсит собой повседневный образ.</t>
  </si>
  <si>
    <t>сиий/флуоресцентная фуксия</t>
  </si>
  <si>
    <t>верх:75% полимерный материал (полиуретан) 25% текстиль (полиэстер) ;подошва:100% термопластичный полиуретан ;подкладка:100% текстиль (полиэстер) ;стелька:100% текстиль (полиэстер)</t>
  </si>
  <si>
    <t>D OCTAVIEE</t>
  </si>
  <si>
    <t>D659LA0AU54C5W1S</t>
  </si>
  <si>
    <t>Женские кроссовки Geox D Nebula — инновационная и сверхлегкая модель для женщин на сезон весна-лето. Благодаря дышащему текстильному верху эти кроссовки идеально подходят для путешествий, активного отдыха и долгих прогулок. Главная особенность — технология 3D Performance Unit, обеспечивающая исключительную амортизацию и гибкость, в сочетании с системой Net Breathing System, которая гарантирует максимальную вентиляцию стопы на 360 градусов. Модель оснащена эластичными шнурками, что позволяет надевать их как слипоны, обеспечивая комфортную посадку без лишних усилий.</t>
  </si>
  <si>
    <t>верх:55% полимерный материал (полиуретан) 20% полимерный материал (полиэстер) 15% текстиль (полиэсте</t>
  </si>
  <si>
    <t>D65UGA09B22C1Z1M</t>
  </si>
  <si>
    <t>верх:95% кожа 5% полимерный материал (полиуретан);подошва:100% резина;подкладка:75% текстиль (полиэс</t>
  </si>
  <si>
    <t>D PLUMMERY PLUS</t>
  </si>
  <si>
    <t>D670JB01402C0B1Z</t>
  </si>
  <si>
    <t>Женские кроссовки Geox Velletri — это идеальное сочетание легкости и спортивной элегантности, созданное для женщин, которые ценят безупречный комфорт и функциональность в каждом движении.
Эта ультралегкая модель идеально подходит для весенне-летнего сезона и ранней осени, становясь незаменимым спутником для активных прогулок, путешествий и динамичных городских будней. Главной особенностью кроссовок является легендарная запатентованная технология Geox Respira™: перфорированная подошва в сочетании с дышащей мембраной обеспечивает безупречную терморегуляцию и надежную водозащиту. Инновационная мембрана эффективно выводит лишнее тепло и влагу изнутри, не пропуская воду снаружи, что гарантирует стопе идеальный микроклимат и ощущение свежести даже в самую жаркую погоду. Внутри расположена съемная анатомическая стелька, которая обеспечивает дополнительную амортизацию, снижает нагрузку при ходьбе и гарантирует безупречную гигиену. Выполненные из высокотехнологичного дышащего текстиля с эластичной конструкцией, эти кроссовки дарят ощущение «второй кожи», подчеркивая ваш стиль и обеспечивая непревзойденную легкость в каждом шаге.</t>
  </si>
  <si>
    <t>верх: 68%текстиль (полиэстер) 32%полимерный материал (полиуретан); подошва: 100% этиленвинилацетат; подк</t>
  </si>
  <si>
    <t>D670JB01402C9999</t>
  </si>
  <si>
    <t>U VITTOUR PLUS</t>
  </si>
  <si>
    <t>U659KA0EK14C0866</t>
  </si>
  <si>
    <t>Мужские кроссовки Geox U Vittour Plus — это технологичная и стильная модель в спортивном стиле, созданная для весенне-летнего сезона. Они идеально подходят для активного городского ритма, обеспечивая безупречный внешний вид и комфорт при длительной ходьбе.
Главная особенность модели — запатентованная технология Geox Respira, которая благодаря перфорированной подошве и дышащей мембране поддерживает идеальный микроклимат стопы в течение всего дня. Кроссовки выполнены из легкого дышащего текстиля с деталями из качественных синтетических материалов и оснащены мягкой анатомической стелькой из натуральной кожи, которую при необходимости можно вынуть. Классическая шнуровка позволяет надежно зафиксировать ногу и отрегулировать плотность посадки, а гибкая амортизирующая подошва из ЭВА со вставками из резины гарантирует легкость и уверенность в каждом шаге.</t>
  </si>
  <si>
    <t>нубук; резина</t>
  </si>
  <si>
    <t>U659KA0EK14C1352</t>
  </si>
  <si>
    <t>U FLEXTRIDE R</t>
  </si>
  <si>
    <t>U65N4B014EKC4078</t>
  </si>
  <si>
    <t>Мужские кроссовки Geox U Box — стильная и износостойкая модель для мужчин на сезон весна-осень. Выполненные из высококачественной натуральной кожи , эти кроссовки в дизайне «теннисных туфель» идеально дополнят современный городской гардероб. Главная особенность — запатентованная подошва Geox Respira, которая поддерживает идеальный микроклимат внутри обуви в течение всего дня. Классическая шнуровка обеспечивает надежную фиксацию стопы, а прочная резиновая подошва гарантирует отличное сцепление с асфальтом и долговечность при ежедневной носке.</t>
  </si>
  <si>
    <t>верх:47% текстиль (полиэстер) 26% полимерный материал (полиуретан) 21% полимерный материал (полиэсте</t>
  </si>
  <si>
    <t>J ECLYPER BOY</t>
  </si>
  <si>
    <t>J55LSD05411C0899</t>
  </si>
  <si>
    <t>Eclyper — это низкие кроссовки для девочек, созданные по образцу теннисной обуви. Предназначены для любителей мультфильма «Маша и медведь». Благодаря современному дизайну в урбанистическом стиле эта модель из искусственной кожи и ткани легко дополнит любой повседневный образ.</t>
  </si>
  <si>
    <t>верх: 86% полимерный материал (полиуретан) 14% текстиль (полиэстер);подошва: 100% резина;подкладка: 100% текстиль (полиэстер);стелька: 100% текстиль (полиэстер)</t>
  </si>
  <si>
    <t>J463ZC050FUC4231</t>
  </si>
  <si>
    <t>Непромокаемые сникеры до щиколоток Magnetar ABX для мальчиков с прекрасной амортизацией вдохновлены обувью для трекинга. Эта модель из искусственной кожи со вставками из нейлона идеально подходит для приключений на свежем воздухе и игр даже под дождем.</t>
  </si>
  <si>
    <t>верх: 63% полимерный материал (полиуретан) 37% текстиль (нейлон);подошва:100% резина;подкладка:86% текстиль (полиэстер) 14% полимерный материал (полиуретан);стелька:100% текстиль (полиэстер)</t>
  </si>
  <si>
    <t>J ARZACH B. A</t>
  </si>
  <si>
    <t>J454AA0FU54C4327</t>
  </si>
  <si>
    <t>Кроссовки Geox J Arzach Boy — практичный стиль и надежность для активных будней.
Эта универсальная модель для мальчиков на сезон весна-осень выполнена из износостойкой комбинации синтетики (50%) и текстиля (50%) с мягкой дышащей подкладкой. Главная особенность — прочная подошва из 100% термопластичной резины с запатентованной технологией Geox Respira, которая позволяет стопе «дышать», не пропуская влагу извне. Кеды оснащены съемной антибактериальной стелькой и двойной системой фиксации — эластичной шнуровкой и липучкой, что гарантирует быструю и надежную посадку по ноге. Благодаря гибкой, нескользящей подошве и усиленному заднику, эта модель станет идеальным выбором для школы, спорта и долгих прогулок, обеспечивая комфорт и правильную поддержку стопы.</t>
  </si>
  <si>
    <t>верх: 50% полимерный материал (полиуретан) 50% текстиль (полиэстер); подошва: 100% резина; подкладка: 100</t>
  </si>
  <si>
    <t>J ASSISTER B. C</t>
  </si>
  <si>
    <t>J45DZC014CEC0820</t>
  </si>
  <si>
    <t>Кроссовки Geox J Assister Boy — это заряд энергии и комфорта для каждого шага вашего ребенка. Модель создана для активных мальчиков и идеально подходит для сезона весна-лето или теплой осени. Верх кроссовок выполнен из комбинации воздухопроницаемого текстиля (сетки) и износостойкой синтетики, что в сочетании с запатентованной технологией Geox Respira обеспечивает идеальную вентиляцию и сухость стоп. Главная особенность — эффектная светодиодная подсветка, встроенная в амортизирующую подошву из EVA, с удобной кнопкой включения на корпусе. Благодаря эластичной шнуровке и надежной липучке, ребенок сможет обуваться самостоятельно за считанные секунды. Внутри расположена съемная антибактериальная анатомическая стелька, гарантирующая гигиену и правильную поддержку стопы во время игр, спорта и повседневных прогулок.</t>
  </si>
  <si>
    <t>верх: 53% текстиль (полиэстер) 47% полимерный материал (полиуретан); подошва: 100% этиленвинилацетат; по</t>
  </si>
  <si>
    <t>J ASSISTER</t>
  </si>
  <si>
    <t>J65DZC01454CF43U</t>
  </si>
  <si>
    <t>верх: 57% текстиль (полиэстер) 43% полимерный материал (полиуретан); подошва: 100% этиленвинилацетат; по</t>
  </si>
  <si>
    <t>J WASHIBA GIRL</t>
  </si>
  <si>
    <t>J45HXD000BCC0563</t>
  </si>
  <si>
    <t>Washiba — это легкие и воздухопроницаемые кроссовки для девочек. Идеально подойдут как для школы, так и для отдыха. Модель из искусственной кожи гармонично сочетается с повседневным образом.</t>
  </si>
  <si>
    <t>белый/фуксия</t>
  </si>
  <si>
    <t>верх: 90% полимерный материал (полиуретан) 10% текстиль (нейлон);подошва: 100% термопластик;подкладка: 80% текстиль (полиэстер) 20% полимерный материал (полиуретан);стелька: 100% текстиль (полиэстер)</t>
  </si>
  <si>
    <t>J LOFTUS A</t>
  </si>
  <si>
    <t>J55MQB01454CK44D</t>
  </si>
  <si>
    <t>Кроссовки Geox J Loftus Boy — динамичный стиль и максимальный комфорт для активных движений.
Эта ультрасовременная модель для мальчиков — идеальный выбор на сезон весна-лето и теплую осень. Кроссовки выполнены из износостойкой комбинации дышащего сетчатого текстиля и прочной синтетики, что гарантирует отличную вентиляцию и легкость в уходе. Главная особенность — массивная, но невероятно легкая подошва из EVA с глубокими флекс-линиями для максимальной гибкости, дополненная запатентованной технологией Geox Respira, которая поддерживает стопы сухими. Модель оснащена съемной антибактериальной анатомической стелькой и удобной системой фиксации — эластичной шнуровкой и липучкой, что позволяет ребенку обуваться самостоятельно за считанные секунды. Это надежный выбор для спорта, школы и повседневных приключений, обеспечивающий превосходную амортизацию и комфорт в течение всего дня.</t>
  </si>
  <si>
    <t>верх: 55% текстиль (полиэстер) 45% полимерный материал (полиуретан);подошва: 100% этиленвинилацетат;</t>
  </si>
  <si>
    <t>D46XTA01454C9999</t>
  </si>
  <si>
    <t>ВЕРХ: 70% ТЕКСТИЛЬ (ПОЛИЭСТЕР) 15% ПОЛИМЕРНЫЙ МАТЕРИАЛ (ПОЛИУРЕТАН) 15% ПОЛИМЕРНЫЙ МАТЕРИАЛ (ПОЛИУРЕТАН);ПОДОШВА: 100% ЭТИЛЕНВИНИЛАЦЕТАТ;ПОДКЛАДКА: 90% ТЕКСТИЛЬ (ПОЛИЭСТЕР) 5% ПОЛИМЕРНЫЙ МАТЕРИАЛ (ПОЛИУРЕТАН) 5% ПОЛИМЕРНЫЙ МАТЕРИАЛ;СТЕЛЬКА: 100% ТЕКСТИЛЬ (ПОЛИЭСТЕР)</t>
  </si>
  <si>
    <t>U SIRON</t>
  </si>
  <si>
    <t>U55Q3A00022C4002</t>
  </si>
  <si>
    <t>Мужские мокасины Geox U Siron — безупречное воплощение классического стиля и технологичного комфорта для современного мужчины.
Эта элегантная модель в лаконичном дизайне — идеальный выбор на сезон весна-лето и теплую осень. Мокасины полностью выполнены из 100% высококачественной натуральной замши премиальной выделки, которая отличается исключительной мягкостью, долговечностью и благородной бархатистой фактурой. Главная особенность модели — тонкая и гибкая подошва из 100% износостойкой резины с запатентованной технологией Geox Respira™: благодаря перфорации и встроенной дышащей мембране обувь эффективно отводит лишнее тепло, сохраняя стопы сухими даже при длительном ношении.
Продуманная внутренняя отделка и стелька из натуральной кожи обеспечивают превосходную амортизацию, гигиену и идеальную посадку по ноге. Лаконичный силуэт с характерным ручным швом на мыске делает Geox Siron незаменимым элементом стиля smart casual, который одинаково эффектно смотрится как с классическими джинсами, так и с легкими летними брюками или чиносами.</t>
  </si>
  <si>
    <t>верх:100% кожа;подошва:100% резина;подкладка:60% полимерный материал (полиуретан) 40% текстиль (хлоп</t>
  </si>
  <si>
    <t>U SEDRAL COURT</t>
  </si>
  <si>
    <t>U56M5A08522C1056</t>
  </si>
  <si>
    <t>Мужские сникеры Sedral Court в современном стиле привнесут особую нотку в образ на каждый день. Эта практичная модель из мягкой наппы со вставками из замши обеспечит комфорт среди постоянной городской суеты.</t>
  </si>
  <si>
    <t>верх:87% кожа 13% текстиль (полиэстер);подошва:100% термопластик;подкладка:61% текстиль (полиэстер) 39% полимерный материал (полиуретан)стелька:100% текстиль (полиэстер)</t>
  </si>
  <si>
    <t>D VILDE</t>
  </si>
  <si>
    <t>D46UAH00022C6372</t>
  </si>
  <si>
    <t>Женские мокасины Vilde отличаются современными линиями и городским шармом. Эта модель из мягкой замши с ультрамодной удобной массивной подошвой придаст оригинальность неформальному повседневному образу.</t>
  </si>
  <si>
    <t>верх: 100% кожа;подошва: 70% этиленвинилацетат 30% резина;подкладка: 80% кожа 20% полимерный материал;стелька: 100% текстиль (полиэстер)</t>
  </si>
  <si>
    <t>U MEIERN</t>
  </si>
  <si>
    <t>U56LZF000FFC9999</t>
  </si>
  <si>
    <t>Современные мужские ботинки Meiern — это прекрасное сочетание лаконичных очертаний и изысканного городского стиля. Эта сдержанная модель из мягкой кожи на амортизирующей подошве подарит чувство легкости среди постоянной городской суеты.</t>
  </si>
  <si>
    <t>верх: 100% кожа;подошва: 100% резина;подкладка: 70% искусственный мех (полиэстер) 25% полимерный материал (полиуретан) 5% кожа;стелька: 100% текстиль (полиэстер)</t>
  </si>
  <si>
    <t>U BALTMOORE</t>
  </si>
  <si>
    <t>U55LDA0009BC4002</t>
  </si>
  <si>
    <t>Baltmoore — это низкие мужские кроссовки простого силуэта. Идеальное сочетание универсальности и элегантности. Модель из кожи с покрытием идеально подходит для создания урбанистического образа, обеспечивая при этом комфорт и воздухопроницаемость в течение всего дня.</t>
  </si>
  <si>
    <t>верх: 82% кожа 18% текстиль (полиэстер);подошва: 100% термопластик;подкладка: 79% текстиль (полиэстер) 21% полимерный материал (полиуретан);стелька: 100% текстиль (полиэстер)</t>
  </si>
  <si>
    <t>D SPHERICA ECUB-1</t>
  </si>
  <si>
    <t>D45WEA09BNFC0761</t>
  </si>
  <si>
    <t>Женские кроссовки Spherica™ ECUB-1 в повседневном стиле отличаются высочайшим уровнем комфорта и исключительной воздухопроницаемостью. Модель из кожи с покрытием и искусственной перламутровой кожи выполнена в стиле «спортивный шик» и обеспечивает превосходную амортизацию.</t>
  </si>
  <si>
    <t>белый/сиреневый</t>
  </si>
  <si>
    <t>верх:93% кожа 7% полимерный материал (полиуретан);подошва:90% этиленвинилацетат 10% резина;подкладка:75% текстиль (полиэстер) 25% полимерный материал (полиуретан)стелька:100% текстиль (полиэстер)</t>
  </si>
  <si>
    <t>B OMAR GIRL WPF</t>
  </si>
  <si>
    <t>B462LC022FUC9228</t>
  </si>
  <si>
    <t>Теплые и дышащие полусапожки Omar для вашей малышки выполнены в стиле спортивной обуви для активного отдыха. Модель из замши и нейлона, обладающая водостойкими и защитными свойствами, отлично подойдет и для холодных дней.</t>
  </si>
  <si>
    <t>чёрный/фиолетовый</t>
  </si>
  <si>
    <t>верх:81% кожа 19% текстиль (полиэстер);подошва:100% резина;подкладка:85% искусственный мех (80% шерсть 20% полиэстер) 15% кожа;стелька:80% шерсть 20% полиэстер</t>
  </si>
  <si>
    <t>27</t>
  </si>
  <si>
    <t>D SUKIE</t>
  </si>
  <si>
    <t>D02F2B00022C6738</t>
  </si>
  <si>
    <t>Сникеры Sukie, созданные по образцу беговых кроссовок, отличаются универсальностью. Легко сочетаются с повседневной неформальной одеждой, подходят для носки во время отдыха. Невероятно легкая и удобная модель выполнена из замши и дополнена контрастной подошвой.</t>
  </si>
  <si>
    <t>верх:92% кожа 8% текстиль (полиэстер) ;подошва:92% этиленвинилацетат 8% резина ;подкладка:87% полиуретан 13% текстиль (полиэстер) ;стелька:100% кожа</t>
  </si>
  <si>
    <t>D BULMYA</t>
  </si>
  <si>
    <t>D46NQA01422C1ZJ8</t>
  </si>
  <si>
    <t>Удобные и дышащие низкие женские кроссовки Bulmya отличаются непринужденным и динамичным стилем. Модель из сетчатой ткани и замши для повседневного ношения в городских условиях соответствует насыщенному ритму современной жизни.</t>
  </si>
  <si>
    <t>ВЕРХ: 42% ПОЛИМЕРНЫЙ МАТЕРИАЛ (ПОЛИУРЕТАН) 32% ТЕКСТИЛЬ (ПОЛИЭСТЕР) 15% КОЖА 8% ПОЛИМЕРНЫЙ МАТЕРИАЛ (ПОЛИАМИД) 3% ПОЛИМЕРНЫЙ МАТЕРИАЛ (ПОЛИЭСТЕР);ПОДОШВА: 100% РЕЗИНА;ПОДКЛАДКА: 83% ТЕКСТИЛЬ (ПОЛИЭСТЕР) 17% ПОЛИМЕРНЫЙ МАТЕРИАЛ (ПОЛИУРЕТАН);СТЕЛЬКА: 100% ТЕКСТИЛЬ (ПОЛИЭСТЕР)</t>
  </si>
  <si>
    <t>D46NQA05422C1Z4Y</t>
  </si>
  <si>
    <t>Женские кроссовки Bulmya прекрасно дополняют летний наряд. Модель выполнена в повседневном стиле по образцу беговой обуви. Удобная и воздухопроницаемая модель из искусственной кожи и замши внесет спортивный акцент в любой повседневный образ.</t>
  </si>
  <si>
    <t>верх: 80% полимерный материал (полиуретан) 20% кожа;подошва: 100% резина;подкладка: 83% текстиль (полиэстер) 17% полимерный материал (полиуретан);стелька: 100% текстиль (полиэстер)</t>
  </si>
  <si>
    <t>D46WTD0CK22C4005</t>
  </si>
  <si>
    <t>Spherica™ ECUB-3 — изящные женские спортивные кроссовки, которые обеспечивают исключительную амортизацию и легкую походку в течение всего дня. Модель из вышитой ткани и замши делает повседневный наряд особенно комфортным, привнеся в него нотку изысканного шика.</t>
  </si>
  <si>
    <t>небесно-голубой</t>
  </si>
  <si>
    <t>верх: 40% текстиль (полиэстер) 32% полимерный материал (полиуретан) 28% кожа;подошва: 70% этиленвинилацетат 30% резина;подкладка: 76% текстиль (полиэстер) 24% полимерный материал (полиуретан);стелька: 100% текстиль (полиэстер)</t>
  </si>
  <si>
    <t>D55MDA02211C5VH6</t>
  </si>
  <si>
    <t>Современные женские кроссовки Amabel дополняют образ в повседневном стиле, внося в него нотку динамизма, а также обеспечивают комфорт и воздухопроницаемость. Дизайн оригинального верха модели основан на игре контрастов. Сочетание замши и ткани делает модель очень заметной.</t>
  </si>
  <si>
    <t>верх: 43% полимерный материал (полиуретан) 30% текстиль (конопля) 27% кожа;подошва: 100% резина;подкладка: 78% текстиль (полиэстер) 22% полимерный материал (полиуретан);стелька: 100% текстиль (полиэстер)</t>
  </si>
  <si>
    <t>D SPHERICA ECUB-2</t>
  </si>
  <si>
    <t>D55WVC0CK22C4005</t>
  </si>
  <si>
    <t>Женские кроссовки Spherica™ ECUB-2 в повседневном стиле с женственным силуэтом отличаются высочайшим уровнем комфорта и исключительной воздухопроницаемостью. Модель из вышитой ткани и замши, выполненная в стиле «повседневный шик», обеспечивает превосходную амортизацию.</t>
  </si>
  <si>
    <t>верх: 42% полимерный материал (полиуретан) 36% текстиль (полиэстер) 22% кожа;подошва: 90% этиленвинилацетат 10% резина;подкладка: 75% текстиль (полиэстер) 25% полимерный материал (полиуретан);стелька: 100% кожа</t>
  </si>
  <si>
    <t>D55Y3S00011C1122</t>
  </si>
  <si>
    <t>Женские сандалии Brionia R с двумя ремешками обеспечивают воздухопроницаемость и комфорт при ношении, а также отличаются спокойным и современным стилем. Модель из ткани идеально подходит для внесения нотки оригинальности в летний урбанистический образ.</t>
  </si>
  <si>
    <t>белый/коричневый</t>
  </si>
  <si>
    <t>верх: 100% текстиль (хлопок);подошва: 100% этиленвинилацетат;подкладка: 100% текстиль (полиэстер);стелька: 100% кожа</t>
  </si>
  <si>
    <t>D56BMB00046C7008</t>
  </si>
  <si>
    <t>D56BMB00046C9999</t>
  </si>
  <si>
    <t>D PLUMMERY</t>
  </si>
  <si>
    <t>D56YNE0BCBNC0007</t>
  </si>
  <si>
    <t>Женские кроссовки Geox Plummery — это безупречное воплощение современного стиля и передовых технологий, созданное для женщин, которые ценят абсолютный комфорт и легкость в каждом движении.
Эта универсальная модель идеально подходит для активного демисезонного периода (весна-осень) и прохладных летних дней, становясь стильным дополнением к любому городскому образу — от спортивного до повседневного. Главной особенностью кроссовок является легендарная запатентованная технология Geox Respira™: перфорированная подошва в сочетании с дышащей мембраной обеспечивает надежную водозащиту и идеальную терморегуляцию. Специальная мембрана не пропускает влагу извне, но при этом эффективно выводит лишнее тепло и пот, сохраняя ножки абсолютно сухими и свежими в течение всего дня. Внутри расположена съемная анатомическая стелька, которая обеспечивает безупречную гигиену, дополнительную амортизацию и значительно снижает нагрузку на стопу при длительной ходьбе. Выполненные из премиальных материалов с изысканными деталями и удобной боковой молнией для быстрого обувания, эти кроссовки отличаются исключительной гибкостью и легкостью, даря ощущение непревзойденного комфорта.</t>
  </si>
  <si>
    <t>верх: 63% полимерный материал (полиуретан) 17% кожа 10% полимерный материал (полиэстер) 10% текстиль</t>
  </si>
  <si>
    <t>D56YNE0BCBNC1S5V</t>
  </si>
  <si>
    <t>D KALISTENA</t>
  </si>
  <si>
    <t>D651JE00022C6001</t>
  </si>
  <si>
    <t>Женские мокасины Geox Kalistena — это идеальное воплощение расслабленной элегантности и передовых технологий комфорта, созданное специально для женщин, ценящих мягкость в каждом шаге. Данная модель безупречно подходит для весенне-летнего сезона и ранней осени, становясь универсальным дополнением как к повседневному городскому гардеробу, так и к легким отпускным образам. Главной особенностью мокасин является легендарная запатентованная технология Geox Respira™: перфорированная подошва с шипованным протектором в паре с дышащей мембраной обеспечивает надежную водозащиту — мембрана эффективно выводит лишнее тепло и пот изнутри, но не пропускает влагу снаружи, сохраняя ножки абсолютно сухими в течение всего дня. Внутри расположена анатомическая стелька из натуральной кожи, которая дарит дополнительную амортизацию и безупречную гигиену. Выполненные из премиальной зернистой кожи с изящной шнуровкой по канту, эти мокасины отличаются исключительной гибкостью и легкостью, обеспечивая непревзойденное ощущение свежести и комфорта даже при длительной ходьбе.</t>
  </si>
  <si>
    <t>верх: 100% кожа; подошва: 100% резина; подкладка: 85% кожа 15% полимерный материал (полиуретан); стелька: 1</t>
  </si>
  <si>
    <t>D659AA00022C5000</t>
  </si>
  <si>
    <t>Женские мокасины Geox D Sirona — универсальная и невероятно комфортная модель для женщин на сезон весна-лето. Выполненные из мягкой натуральной кожи , они идеально дополнят повседневный или деловой образ. Главная особенность — гибкая подошва с запатентованной технологией Geox Respira, которая обеспечивает отличную вентиляцию и комфортный микроклимат внутри. Модель имеет классический дизайн без застежек и мягкую кожаную подкладку, что позволяет носить её на босу ногу в течение всего дня без усталости.</t>
  </si>
  <si>
    <t>верх:100% кожа;подошва:90% этиленвинилацетат 10% резина;подкладка:100% полимерный материал (полиурет</t>
  </si>
  <si>
    <t>D FLEXTRIDE PLUS</t>
  </si>
  <si>
    <t>D667SA000BCC9999</t>
  </si>
  <si>
    <t>искуственная кожа, текстиль; резина</t>
  </si>
  <si>
    <t>D669AB00067C9999</t>
  </si>
  <si>
    <t>Лоферы</t>
  </si>
  <si>
    <t>ВЕР:86% КОЖА 14% ТЕКСТИЛЬ (ЭЛАСТАН);ПОДОШВА:90% ЭТИЛЕНВИНИЛА|ЕТАТ 10% РЕЗИНА;ПОДКЛАДКА:86% ПОЛИМЕРН</t>
  </si>
  <si>
    <t>D670JB01402C1S5K</t>
  </si>
  <si>
    <t>J ARIL B. A</t>
  </si>
  <si>
    <t>J02DMA0006KC9999</t>
  </si>
  <si>
    <t>Легкие и технологичные кроссовки Geox Aril для мальчиков — это идеальное сочетание спортивного стиля и повседневного комфорта. Верх модели выполнен из дышащего текстиля и прочного синтетического материала, что обеспечивает отличную вентиляцию и долговечность. Фирменная подошва с технологией Geox Respira эффективно отводит влагу, поддерживая естественную терморегуляцию и сохраняя стопы сухими даже при высокой активности. Эластичная шнуровка в сочетании с надежной липучкой позволяет ребенку обуваться самостоятельно и гарантирует идеальную фиксацию по ноге. Невесомая и гибкая подошва обладает отличной амортизацией и не оставляет следов на полу, что делает эти кроссовки отличным выбором как для уличных прогулок, так и для занятий физкультурой в зале.</t>
  </si>
  <si>
    <t>верх: 100% текстиль (полиэстер) ;подошва: 100% полиуретан ;подкладка: 100% текстиль (полиэстер) ;сте</t>
  </si>
  <si>
    <t>J0420C000HHC9999</t>
  </si>
  <si>
    <t>Casey — это элегантные туфли дерби для девочек. Благодаря классическому дизайну идеально сочетаются со школьной формой. Верх из лаковой кожи украшен деталями в стиле модели «оксфорд».</t>
  </si>
  <si>
    <t>верх: 100% полиуретан; подошва: 100% термопластичная резина; подкладка: 90% геомеш (полиэстер) 10% микр</t>
  </si>
  <si>
    <t>JR FEDERICO C</t>
  </si>
  <si>
    <t>J04D1C00043C9999</t>
  </si>
  <si>
    <t>Верх: 100% кожа. Подкладка: 70% кожа, 25% текстиль, 5% синтетика. Подошва: 100% синтетический материал. Стелька: 50% кожа - 50% синтетический материал.</t>
  </si>
  <si>
    <t>J PERTH BOY E</t>
  </si>
  <si>
    <t>J367RE054FUC3009</t>
  </si>
  <si>
    <t>Кеды Geox J Perth Boy — классический теннисный стиль и повседневная надежность для юных исследователей.
Эта универсальная модель в практичном оливковом цвете — идеальная база детского гардероба на сезон весна-осень и прохладные летние дни. Кеды выполнены из износостойкой комбинации высококачественной экокожи  и дышащего текстиля , что гарантирует долговечность и отличный воздухообмен. Главная особенность — гибкая резиновая подошва с запатентованной технологией Geox Respira, которая поддерживает естественную терморегуляцию и сохраняет стопы сухими. Модель оснащена съемной антибактериальной анатомической стелькой и удобной системой фиксации — эластичной шнуровкой и липучкой, что позволяет ребенку обуваться самостоятельно за считанные секунды. Это надежный выбор для школы и активных прогулок, обеспечивающий идеальную посадку, защиту стопы и комфорт в течение всего дня.</t>
  </si>
  <si>
    <t>верх: 78% полимерный материал (полиуретан) 22% текстиль (полиэстер) ; подошва: 100% резина; подкладка: 10</t>
  </si>
  <si>
    <t>J PERTH BOY</t>
  </si>
  <si>
    <t>J367RF0FE8VC9999</t>
  </si>
  <si>
    <t>Perth — сникеры высотой по щиколотку, для мальчиков, воплощение современного и ультрамодного дизайна, идеальный вариант для непринужденных или спортивных образов. Модель из искусственной мятой кожи и нейлона дополнена не только практичным ремешком на липучке, но и эластичными шнурками, поэтому удобно надевается и надежно удерживает стопу.</t>
  </si>
  <si>
    <t>ВЕРХ:75% ПОЛИУРЕТАН 25% ТЕКСТИЛЬ (ПОЛИЭСТЕР); ПОДОШВА:100% РЕЗИНА; ПОДКЛАДКА:92% ТЕКСТИЛЬ (ПОЛИЭСТЕР</t>
  </si>
  <si>
    <t>JR AGATA A</t>
  </si>
  <si>
    <t>J4449A00043C9999</t>
  </si>
  <si>
    <t>Состав верха: 100% КОЖА; Материал подкладки: Состав подошвы: 100% ТЕРМОПЛАСТИЧНАЯ РЕЗИНА; Материал стельки: Состав подкладки: 70% ГЕОМЕШ 20% КОЖА 10% МИКРОФИБРА; Материал подошвы: Состав стельки: 100% КОЖА</t>
  </si>
  <si>
    <t>J4449A00066C9999</t>
  </si>
  <si>
    <t>верх: 100% кожа; подошва: 100% термопластичная резина; подкладка: 70% геомеш, 20% кожа, 10% микрофибра; стелька: 100% кожа</t>
  </si>
  <si>
    <t>J GISLI BOY</t>
  </si>
  <si>
    <t>J555CD05410C0659</t>
  </si>
  <si>
    <t>Gisli — это современные низкие спортивные кроссовки для мальчиков в повседневном стиле. Выполнены из искусственной кожи и ткани. Гибкая, легкая и дышащая модель отлично подходит для школы или прогулок по городу.</t>
  </si>
  <si>
    <t>сиий/оранжевый</t>
  </si>
  <si>
    <t>верх: 56% текстиль (полиэстер) 44% полимерный материал (полиуретан);подошва: 100% резина;подкладка: 81% текстиль (хлопок) 19% полимерный материал (полиуретан);стелька: 100% текстиль (полиэстер)</t>
  </si>
  <si>
    <t>J559EA0FU54C0293</t>
  </si>
  <si>
    <t>Alben — это удобные и воздухопроницаемые низкие кроссовки для мальчиков в винтажном стиле. Выполнены из нейлона и искусственной кожи. Легкая и гибкая модель отлично дополнит повседневный образ, внеся в него стильную нотку.</t>
  </si>
  <si>
    <t>ВЕРХ: 53% ТЕКСТИЛЬ (ПОЛИЭСТЕР) 32% ПОЛИМЕРНЫЙ МАТЕРИАЛ (ПОЛИУРЕТАН) 15% КОЖА;ПОДОШВА: 100% РЕЗИНА;ПОДКЛАДКА: 100% ТЕКСТИЛЬ (ПОЛИЭСТЕР);СТЕЛЬКА: 100% ТЕКСТИЛЬ (ПОЛИЭСТЕР)</t>
  </si>
  <si>
    <t>J RANN</t>
  </si>
  <si>
    <t>J56NEA0BC14CK41M</t>
  </si>
  <si>
    <t>Детские кроссовки Geox J Kilwi Boy — стильная и практичная модель для мальчиков на сезон весна-лето. Благодаря верху из качественного белого текстиля (парусины), эти кеды идеально подходят для школы, активных игр на улице и повседневных прогулок. Главная особенность — гибкая вулканизированная подошва с запатентованной технологией Geox Respira, которая позволяет стопе «дышать» и не перегреваться. Модель оснащена удобной застежкой на липучке и эластичными шнурками для быстрой фиксации ножки, а съемная кожаная антибактериальная стелька обеспечивает комфорт и гигиену при каждом шаге.</t>
  </si>
  <si>
    <t>верх:67% полимерный материал (полиуретан) 33% текстиль (полиэстер);подошва:100% термопластик;подклад</t>
  </si>
  <si>
    <t>J CASEY GIRL N</t>
  </si>
  <si>
    <t>J6420N00085C9999</t>
  </si>
  <si>
    <t>верх 100% кожа; подошва 100% резина; подкладка 80% текстиль геомеш 20% синтетика полиуретан; стельк</t>
  </si>
  <si>
    <t>J ARZACH BOY E</t>
  </si>
  <si>
    <t>J844AE05443C9999</t>
  </si>
  <si>
    <t>верх: 48% полиуретан 29% кожа 23% текстиль (полиэстер); подошва: 100% резина; подкладка: 91% геомеш</t>
  </si>
  <si>
    <t>J RIDDOCK BOY F</t>
  </si>
  <si>
    <t>J847SF00043C9999</t>
  </si>
  <si>
    <t>Верх: 29% синтетика, 71% кожа. Подкладка: 47% кожа, 53% текстиль. Подошва: 100% синтетический материал. Стелька: 100% кожа.</t>
  </si>
  <si>
    <t>U LEITAN</t>
  </si>
  <si>
    <t>U043QE00085C9999</t>
  </si>
  <si>
    <t>Мужские мокасины Geox U Leitan — безупречное сочетание классического дизайна и инновационной легкости для современного мужчины.
Эта элегантная модель станет идеальной базой мужского гардероба в сезоне весна-лето и теплую осень. Мокасины полностью выполнены из высококачественной натуральной кожи премиальной выделки, которая отличается исключительной мягкостью, долговечностью и благородной фактурой. Главная особенность модели — сверхлегкая амортизирующая подошва из  этиленвинилацетата (EVA) с глубокими флекс-линиями, которая в сочетании с технологией Geox Respira™ обеспечивает превосходную гибкость и естественную вентиляцию стоп. Благодаря съемной анатомической стельке из натуральной кожи и дышащей комбинированной подкладке из текстиля и полимерных материалов, внутри обуви поддерживается здоровый микроклимат в течение всего дня. Лаконичный силуэт с характерным ручным швом на мыске делает Geox Leitan незаменимым элементом стиля business casual, который одинаково эффектно смотрится как со строгими брюками, так и с классическими джинсами.</t>
  </si>
  <si>
    <t>верх:100% кожа ;подошва:100% этиленвинилацетат ;подкладка:45% полимерный материал (микрофибра) 35% т</t>
  </si>
  <si>
    <t>U AVOLA</t>
  </si>
  <si>
    <t>U45GSB00022C4002</t>
  </si>
  <si>
    <t>Летние легкие мужские мокасины Avola, выполненные в неподвластном времени стиле, отличаются комфортом и воздухопроницаемостью. Модель из замши с гибкой подошвой идеально подходит как для городской жизни, так и для загородного отдыха.</t>
  </si>
  <si>
    <t>верх:100% кожа;подошва:100% термопластичная резина;подкладка:55% текстиль (полиэстер) 45% полимерный материал (полиуретан); стелька:100% текстиль (полиэстер)</t>
  </si>
  <si>
    <t>U SPHERICA</t>
  </si>
  <si>
    <t>U46BYB04685C1039</t>
  </si>
  <si>
    <t>Spherica™ — это мужские низкие кроссовки, выполненные в городском стиле. Обеспечивают высокую воздухопроницаемость и превосходную амортизацию. Будучи синонимом мягкой и легкой походки, модель отличается верхом из потертой кожи и мягкой кожи наппа, а также культовым дизайном.</t>
  </si>
  <si>
    <t>белый/темный неви</t>
  </si>
  <si>
    <t>верх: 85% кожа 15% текстиль (полиэстер);подошва: 100% этиленвинилацетат;подкладка: 82% текстиль (полиэстер) 18% полимерный материал (полиуретан);стелька: 100% текстиль (полиэстер)</t>
  </si>
  <si>
    <t>U PORTELLO</t>
  </si>
  <si>
    <t>U46E1B0EK11C4021</t>
  </si>
  <si>
    <t>Смелая городская модель: удобные и дышащие мужские кроссовки Portello выполнены в стиле беговой обуви. Модель из искусственного нубука и ткани внесет актуальную спортивную нотку в непринужденные повседневные образы.</t>
  </si>
  <si>
    <t>верх: 42% полимерный материал (полиуретан) 41% текстиль (полиэстер) 17% кожа;подошва: 100% этиленвинилацетат;подкладка: 79% текстиль (полиэстер) 21% полимерный материал (полиуретан);стелька: 100% текстиль (полиэстер)</t>
  </si>
  <si>
    <t>U AFFILE</t>
  </si>
  <si>
    <t>U55BUB09B04C1000</t>
  </si>
  <si>
    <t>Легкие низкие мужские кроссовки Affile, выполненные в непринужденном повседневном стиле, обеспечивают комфорт и воздухопроницаемость. Модель из кожи с покрытием и искусственной принтованной кожи добавит спортивный и вместе с тем изысканный акцент в любой образ.</t>
  </si>
  <si>
    <t>верх: 59% кожа 30% полимерный материал (полиуретан) 11% текстиль (полиэстер);подошва: 100% резина;подкладка: 79% текстиль (полиэстер) 11% полимерный материал (полиуретан) 10% полимерный материал (полиэстер);стелька: 100% текстиль (полиэстер)</t>
  </si>
  <si>
    <t>U MONREALE</t>
  </si>
  <si>
    <t>U55BVA014EKC4002</t>
  </si>
  <si>
    <t>Мужские кроссовки Monreale, выполненные в изысканном стиле обуви для активного отдыха, отлично дополнят любой городской образ на каждый день. Эта модель сочетает в себе стиль, комфорт и воздухопроницаемость. Верх с лаконичными очертаниями выполнен из сетчатой ткани и искусственного нубука.</t>
  </si>
  <si>
    <t>верх: 62% текстиль (полиэстер) 38% полимерный материал (полиуретан);подошва: 100% этиленвинилацетат;подкладка: 81% текстиль (полиэстер) 19% полимерный материал (полиуретан);стелька: 100% текстиль (полиэстер)</t>
  </si>
  <si>
    <t>U PANTELLERIA</t>
  </si>
  <si>
    <t>U55DWA00010C1018</t>
  </si>
  <si>
    <t>Мужские кроссовки Geox U Pantelleria — это воплощение изысканного итальянского стиля и технологичного комфорта, созданное для весенне-летнего сезона. Эта элегантная модель в лаконичном дизайне идеально подходит для повседневных городских образов, деловых встреч в стиле casual и прогулок, подчеркивая безупречный вкус владельца.
Главная особенность модели — запатентованная технология Geox Respira, которая благодаря перфорированной подошве и дышащей мембране обеспечивает естественную терморегуляцию стопы в течение всего дня. Кроссовки выполнены из высококачественной натуральной кожи с мягкой кожаной стелькой анатомической формы, которая дарит ощущение легкости при каждом шаге. Классическая шнуровка позволяет идеально отрегулировать плотность посадки, а гибкая и износостойкая резиновая подошва гарантирует надежное сцепление и долговечность, делая эту модель эталоном премиального комфорта.</t>
  </si>
  <si>
    <t>ВЕРХ:80% ТЕКСТИЛЬ (ХЛОПОК) 20% КОЖА;ПОДОШВА:100% ТЕРМОПЛАСТИК;ПОДКЛАДКА:55% ПОЛИМЕРНЫЙ МАТЕРИАЛ (ПОЛ</t>
  </si>
  <si>
    <t>U RECANATI</t>
  </si>
  <si>
    <t>U55HVD00043C9999</t>
  </si>
  <si>
    <t>Мужские лоферы Geox U Recanati — безупречное воплощение классического стиля и технологичного комфорта для современного гардероба.
Эта статусная модель в стиле пенни-лоферов станет идеальным выбором на сезон весна-осень и для офиса в любое время года. Лоферы полностью выполнены из 100% высококачественной натуральной кожи премиальной выделки, которая отличается благородным блеском, мягкостью и исключительной долговечностью. Главная особенность модели — гибкая и износостойкая подошва из термопластика с запатентованной технологией Geox Respira™: благодаря перфорации и встроенной дышащей мембране обувь эффективно отводит лишнее тепло, сохраняя стопы сухими даже при длительном ношении.
Продуманная комбинированная подкладка из натурального хлопка , натуральной кожи и полиэстера  обеспечивает превосходную вентиляцию, мягкость и идеальную посадку по ноге. Классический силуэт с характерным ручным швом на мыске и традиционной кожаной накладкой делает Geox Recanati незаменимым элементом стиля business casual, который одинаково эффектно смотрится как со строгими брюками, так и с классическими джинсами или чиносами.</t>
  </si>
  <si>
    <t>верх: 100% кожа; подошва: 100% термопластик; подкладка: 50% текстиль (хлопок) 35% кожа 15% полимерный</t>
  </si>
  <si>
    <t>U BRANTHON</t>
  </si>
  <si>
    <t>U55LCA02211C9002</t>
  </si>
  <si>
    <t>Branthon — это мужские кроссовки, созданные по образцу беговой обуви в стиле большого города. Обеспечивают комфорт и воздухопроницаемость. Модель из замши с тканевыми деталями придаст динамизм повседневному образу.</t>
  </si>
  <si>
    <t>верх: 51% текстиль (полиэстер) 41% кожа 8% полимерный материал (полиуретан);подошва: 100% резина;подкладка: 78% текстиль (полиэстер) 22% полимерный материал (полиуретан);стелька: 100% текстиль (полиэстер)</t>
  </si>
  <si>
    <t>U55Q3A00047C9999</t>
  </si>
  <si>
    <t>верх: 100% кожа; подошва: 100% резина; подкладка: 60% полимерный материал (полиуретан) 40% текстиль (хлоп</t>
  </si>
  <si>
    <t>U56M2A0EK3RC0045</t>
  </si>
  <si>
    <t>Мужские сникеры Senales ABX отличаются городским стилем и современными очертаниями. Эта надежная модель из искусственного нубука с максимальной водонепроницаемостью и воздухопроницаемостью прекрасно подходит для городской жизни и не подведет даже в плохую погоду.</t>
  </si>
  <si>
    <t>верх:61% полимерный материал (полиуретан) 27% текстиль (полиэстер) 12% резина;подошва:100% резина;подкладка:100% текстиль (полиэстер)стелька:100% текстиль (полиэстер)</t>
  </si>
  <si>
    <t>U DEIVEN</t>
  </si>
  <si>
    <t>U655WB00043C6002</t>
  </si>
  <si>
    <t>Мужские кроссовки Geox Deiven — это безупречное сочетание лаконичного дизайна в стиле casual и современных технологий комфорта. Модель выполнена из высококачественной натуральной кожи, которая придает обуви благородный вид и обеспечивает долговечность. Уникальная перфорированная подошва с технологией Geox Respira гарантирует отличную воздухопроницаемость и поддерживает естественную терморегуляцию, сохраняя ноги в сухости и комфорте на протяжении всего дня. Мягкая текстильная подкладка и съемная кожаная стелька с амортизирующим эффектом снижают нагрузку при ходьбе, делая модель идеальной для длительного ношения. Классическая шнуровка позволяет точно отрегулировать плотность посадки, а легкая, гибкая подошва обеспечивает надежное сцепление с поверхностью. Эти кроссовки станут универсальным дополнением к любому повседневному гардеробу, одинаково хорошо сочетаясь как с джинсами, так и с брюками чинос.</t>
  </si>
  <si>
    <t>Верх:100% Кожа;Подошва:100% Этиленвинилацетат;Подкладка:85% Текстиль (Полиэстер) 15% Полимерный Мате</t>
  </si>
  <si>
    <t>U659KA0EK14C4174</t>
  </si>
  <si>
    <t>U65HVA00043C6010</t>
  </si>
  <si>
    <t>верх:100% кожа;подошва:100% термопластик;подкладка:50% кожа 35% текстиль (хлопок) 15% полимерный мат</t>
  </si>
  <si>
    <t>U65LDD0009BC4002</t>
  </si>
  <si>
    <t>верх: 88% кожа 12% текстиль (полиэстер); подошва: 100% термопластик; подкладка: 80% текстиль (полиэстер)</t>
  </si>
  <si>
    <t>U65LSH0EK22C6003</t>
  </si>
  <si>
    <t>Мужские кроссовки Geox U Symbol — универсальная и долговечная модель для мужчин на сезон весна-осень. Выполненные из высококачественной натуральной кожи , эти кроссовки идеально вписываются в стиль casual и подходят для ежедневной носки. Главная особенность — запатентованная технология Geox Respira, которая в сочетании с дышащей подкладкой обеспечивает сухой и комфортный микроклимат стопы в течение всего дня. Модель оснащена классической шнуровкой для идеальной фиксации и съемной кожаной стелькой, что гарантирует практичность и максимальный комфорт при каждом шаге.</t>
  </si>
  <si>
    <t>верх:72% полимерный материал (полиуретан) 14% кожа 14% текстиль (полиэстер);подошва:100% термопласти</t>
  </si>
  <si>
    <t>U MASSIMIANO</t>
  </si>
  <si>
    <t>U66H9A00022C4002</t>
  </si>
  <si>
    <t>ВЕР:100% КОЖА;ПОДОШВА:100% ТЕРМОПЛАСТИК;ПОДКЛАДКА:75% ПОЛИМЕРНЫЙ МАТЕРИАЛ (ПОЛИУРЕТАН) 25% ТЕКСТИЛЬ</t>
  </si>
  <si>
    <t>D DIAMANTA</t>
  </si>
  <si>
    <t>D45UFB05422C0815</t>
  </si>
  <si>
    <t>Diamanta — это комфортные воздухопроницаемые женские кроссовки с ярким современным дизайном в стиле беговой обуви. Модель придаст элегантность любому повседневному образу, а ее характерная черта — верх из искусственной кожи и замши. Благодаря массивной подошве идеально подходит для активного образа жизни.</t>
  </si>
  <si>
    <t>светло-синий/серовато-белый</t>
  </si>
  <si>
    <t>верх: 50% кожа 25% полимерный материал (полиуретан) 15% текстиль (полиэстер) 10% полимерный материал (полиамид);подошва: 60% этиленвинилацетат 40% резина;подкладка: 80% текстиль (полиэстер) 20% полимерный материал (полиуретан);стелька: 100% текстиль (полиэстер)</t>
  </si>
  <si>
    <t>D46WEA0CK22C4005</t>
  </si>
  <si>
    <t>Spherica™ ECUB-1 — это современные женские кроссовки в повседневном стиле. Воздухопроницаемая, невероятно комфортная модель с исключительной амортизацией. Модель из вышитой ткани и замши с металлическим элементом, подчеркивающим элегантность повседневного образа.</t>
  </si>
  <si>
    <t>верх: 54% текстиль (полиэстер) 24% кожа 13% полимерный материал (полиамид) 9% полимерный материал (полиуретан);подошва: 90% этиленвинилацетат 10% резина;подкладка: 77% текстиль (полиэстер) 23% полимерный материал (полиуретан);стелька: 100% кожа</t>
  </si>
  <si>
    <t>D PALMARIA</t>
  </si>
  <si>
    <t>D45MUJ00021C4003</t>
  </si>
  <si>
    <t>Palmaria — это легкие, удобные и дышащие женские мокасины, которые переосмысливают классическую эстетику в свежем, современном ключе. Модель выполнена из замши и украшена изысканными металлическими деталями. Идеально подходит для городской жизни, чтобы носить ее как в рабочее, так и в свободное время. - Обувь без застежки.</t>
  </si>
  <si>
    <t>светло-синий</t>
  </si>
  <si>
    <t>верх:100% кожа ;подошва:100% резина ;подкладка:60% текстильный материал (хлопок) 20% кожа 20% полимерный материал (полиуретан) ;стелька:100% кожа</t>
  </si>
  <si>
    <t>U55BUA09B22C0045</t>
  </si>
  <si>
    <t>Affile — это легкие и дышащие низкие мужские кроссовки. Отличаются классическим дизайном в стиле теннисной обуви. Модель из кожи с покрытием и замши гармонично дополнит как непринужденные, так и спортивные комплекты на каждый день.</t>
  </si>
  <si>
    <t>сиий/чёрный</t>
  </si>
  <si>
    <t>верх: 77% кожа 11% полимерный материал (полиуретан) 7% текстиль (полиэстер) 5% полимерный материал (полиэстер);подошва: 100% резина;подкладка: 80% текстиль (полиэстер) 20% полимерный материал (полиуретан);стелька: 100% текстиль (полиэстер)</t>
  </si>
  <si>
    <t>N.92 L</t>
  </si>
  <si>
    <t>DR101173744C0200</t>
  </si>
  <si>
    <t>Кроссовки Diadora - культовая модель любимая некоторыми из лучших спортсменов в истории спорта, теперь доступна в casual версии. Спортивная и casual обувь, сочетает в себе спортивную ДНК с типичной для бренда элегантностью.</t>
  </si>
  <si>
    <t>Верх - 100% искусственная кожа(полиуретан), подкладка - 100% полиэстер, низ - 100% термопластичная резина</t>
  </si>
  <si>
    <t>DIADORA GAME L LOW WAXED SUEDE POP</t>
  </si>
  <si>
    <t>DR501180188C3091</t>
  </si>
  <si>
    <t>Кроссовки DIADORA GAME L LOW WAXED SUEDE POP – это стильное сочетание классического дизайна и современных технологий. Выполненные из высококачественного вощеного замша, они предлагают исключительный комфорт и долговечность. Эти кроссовки идеально подойдут как для повседневной носки, так и для активного отдыха. Благодаря культовому силуэту и ярким акцентам, DIADORA GAME L LOW WAXED SUEDE POP станут ярким дополнением вашего гардероба.</t>
  </si>
  <si>
    <t>Верх - 99% бычья кожа 1% искусственная кожа(полиуретан), подкладка - 100% полиэстер, низ - 100% резина</t>
  </si>
  <si>
    <t>ACELINE 96 124 1 SMA</t>
  </si>
  <si>
    <t>747SMA003618C</t>
  </si>
  <si>
    <t>Кроссовки Lacoste - это дань уважения спортивному прошлому бренда в сочетании с современными технологиями. Универсальность, удобство и практичность сделает их фаворитами вашего гардероба.
 Кроссовки Celine 96, созданные по мотивам архивов Lacoste, созданы с использованием аутентичного фирменного стиля и вспомогательных технических элементов. Подошва выполнена с использованием потертостей, что придает паре винтажный вид.
 Мягкая кожа премиум-класса
 Высокотехнологичные стельки Ortholite с антимикробным покрытием, оснащенные амортизацией и идеальной фиксацией стопы
 Сетчатый воротник и язычок
 Рельефная резиновая подошва</t>
  </si>
  <si>
    <t>белый/ белый</t>
  </si>
  <si>
    <t>Верх - 85% кожа, 15% переработанный полиэстер, подкладка - 100% переработанный полиэстер, низ - 100% резина</t>
  </si>
  <si>
    <t>DR101173744C0657</t>
  </si>
  <si>
    <t>Кроссовки Diadora N.92 L - это классическая модель, которая сочетает в себе стиль и функциональность. Идеальный выбор для тех, кто ищет удобную и модную обувь.
Верх кроссовок выполнен из синтетической кожи высокого качества, что обеспечивает прочность и долговечность. Эта модель также имеет детали из замши и сетчатой ткани, которые добавляют стильный акцент и обеспечивают улучшенную вентиляцию.
Кроссовки Diadora N.92 L оснащены средней подошвой EVA, которая обеспечивает амортизацию и комфорт при ходьбе или беге. Они также имеют подошву из резины с отличным сцеплением, что делает их идеальными для активных занятий на улице.
Дизайн кроссовок Diadora N.92 L олицетворяет истинный стиль и элегантность. Они оснащены шнуровкой для идеальной посадки и фирменной символикой Diadora на язычке и заднике кроссовок.
Кроссовки Diadora N.92 L гарантируют не только стильный внешний вид, но и комфорт во время носки. Они идеально подходят для повседневного использования и тренировок, а также для создания модного образа.
Не важно, куда вы направляетесь - на прогулку, в тренажерный зал или просто на прогулку по городу – кроссовки Diadora N.92 L будут надежным спутником, который подчеркнет ваш стиль и обеспечит комфорт на протяжении дня.</t>
  </si>
  <si>
    <t>FINSTER</t>
  </si>
  <si>
    <t>101188182</t>
  </si>
  <si>
    <t>синт.кожа, текстиль, пластик</t>
  </si>
  <si>
    <t>CHARLIE</t>
  </si>
  <si>
    <t>101385943</t>
  </si>
  <si>
    <t>101385991</t>
  </si>
  <si>
    <t>синт.кожа</t>
  </si>
  <si>
    <t>MODESTAS</t>
  </si>
  <si>
    <t>101386047</t>
  </si>
  <si>
    <t>101396780</t>
  </si>
  <si>
    <t>BASIC CASUAL BOOTS KING</t>
  </si>
  <si>
    <t>101562112</t>
  </si>
  <si>
    <t>синт.кожа; текстиль; резина</t>
  </si>
  <si>
    <t>13,5</t>
  </si>
  <si>
    <t>1,5</t>
  </si>
  <si>
    <t>2,5</t>
  </si>
  <si>
    <t>101562113</t>
  </si>
  <si>
    <t>BASIC CASUAL BOOTS LINE</t>
  </si>
  <si>
    <t>101562143</t>
  </si>
  <si>
    <t>FREYA</t>
  </si>
  <si>
    <t>101679481</t>
  </si>
  <si>
    <t>SNEAKER WPF</t>
  </si>
  <si>
    <t>101681696</t>
  </si>
  <si>
    <t>101681706</t>
  </si>
  <si>
    <t>ANKLE BOOT</t>
  </si>
  <si>
    <t>101681961</t>
  </si>
  <si>
    <t>кожа, синт.кожа, резина</t>
  </si>
  <si>
    <t>RIVER 2 STYLE 4</t>
  </si>
  <si>
    <t>101906219</t>
  </si>
  <si>
    <t>NOVO</t>
  </si>
  <si>
    <t>101917480</t>
  </si>
  <si>
    <t>BRISTOL</t>
  </si>
  <si>
    <t>101917534</t>
  </si>
  <si>
    <t>101917535</t>
  </si>
  <si>
    <t>101917536</t>
  </si>
  <si>
    <t>DERULO</t>
  </si>
  <si>
    <t>101917554</t>
  </si>
  <si>
    <t>101917573</t>
  </si>
  <si>
    <t>RIVER 2</t>
  </si>
  <si>
    <t>101987929</t>
  </si>
  <si>
    <t>101987933</t>
  </si>
  <si>
    <t>101987940</t>
  </si>
  <si>
    <t>101987941</t>
  </si>
  <si>
    <t>101987965</t>
  </si>
  <si>
    <t>WILFRED</t>
  </si>
  <si>
    <t>101987974</t>
  </si>
  <si>
    <t>кожа, синт.кожа, текстиль, резина, пластик</t>
  </si>
  <si>
    <t>101988074</t>
  </si>
  <si>
    <t>101988077</t>
  </si>
  <si>
    <t>101988078</t>
  </si>
  <si>
    <t>101988079</t>
  </si>
  <si>
    <t>101988080</t>
  </si>
  <si>
    <t>101988081</t>
  </si>
  <si>
    <t>FRIDY</t>
  </si>
  <si>
    <t>101988083</t>
  </si>
  <si>
    <t>EVRIL</t>
  </si>
  <si>
    <t>101988095</t>
  </si>
  <si>
    <t>101988097</t>
  </si>
  <si>
    <t>101988099</t>
  </si>
  <si>
    <t>серо-коричневый</t>
  </si>
  <si>
    <t>101988100</t>
  </si>
  <si>
    <t>101988102</t>
  </si>
  <si>
    <t>101988103</t>
  </si>
  <si>
    <t>101988105</t>
  </si>
  <si>
    <t>101988108</t>
  </si>
  <si>
    <t>CHARLOTTE</t>
  </si>
  <si>
    <t>101988113</t>
  </si>
  <si>
    <t>кожа, синт.кожа, текстиль, пластик, резина</t>
  </si>
  <si>
    <t>TECLA 1</t>
  </si>
  <si>
    <t>101988168</t>
  </si>
  <si>
    <t>Замша, текстиль, синтетика</t>
  </si>
  <si>
    <t>Somero</t>
  </si>
  <si>
    <t>71404301-4650</t>
  </si>
  <si>
    <t>Кроссовки рассчитаны на температуру от +5°C до +15°C. Верх выполнен из полиэстера и полиуретана. Легкая и гибкая подошва из этиленвинилацетата обеспечивает естественное движение. Стелька Dynamic Fit из хлопка адаптируется под форму стопы. Кроссовки имеют застежку на липучке-велькро. TPU вставки на носочной и пяточной части защищают обувь от повреждений. Есть светоотражающие детали.</t>
  </si>
  <si>
    <t>80% Полиэстер, 20% Полиуретан</t>
  </si>
  <si>
    <t>Haapavesi</t>
  </si>
  <si>
    <t>71404304-0100</t>
  </si>
  <si>
    <t>Кроссовки рассчитаны на температуру от +15°C до +25°C. Верх выполнен из износостойких материалов. Внутри — стелька Dynamic Fit и подкладка из 100% хлопка. Липучка-велькро позволяет легко надевать и снимать обувь. Подошва из легкой EVA имеет мерцающие лампочки, которые загораются при ходьбе. Носок и пятка защищены от повреждений благодаря TPU-элементам. Есть светоотражающие детали.</t>
  </si>
  <si>
    <t>70% Полиэстер, 30% Полиуретан</t>
  </si>
  <si>
    <t>020</t>
  </si>
  <si>
    <t>021</t>
  </si>
  <si>
    <t>024</t>
  </si>
  <si>
    <t>71404304-6960</t>
  </si>
  <si>
    <t>71406302-0100</t>
  </si>
  <si>
    <t>полиэстер, полиуретан, хлопок</t>
  </si>
  <si>
    <t>026</t>
  </si>
  <si>
    <t>71406302-9470</t>
  </si>
  <si>
    <t>Lyngdal</t>
  </si>
  <si>
    <t>72404202-9990</t>
  </si>
  <si>
    <t>Кроссовки не содержат ПВХ и фторуглеродов. Верх из влагоотводящего материала на основе полиэстера. Прочная подошва из термопластичной резины не скользит. Съемная стелька Dynamic Fit адаптируется под форму стопы. Поглощает ударную нагрузку при ходьбе и беге. Система быстрой шнуровки. Фиксатор и крючок плотно удерживают обувь на ноге. Светоотражающие детали. Носочная часть укреплена резиновой вставкой. Рассчитаны на температуру от +15 до +25°C.</t>
  </si>
  <si>
    <t>Suonenjoki</t>
  </si>
  <si>
    <t>72404302-6960</t>
  </si>
  <si>
    <t>Кеды рассчитаны на температурный режим от +5°C до +15°C. Верх выполнен из комбинации натуральной замши и синтетических материалов. Внутренняя подкладка хорошо сохраняет тепло. Плоская подошва из смеси резины и каучука обеспечивает отличное сцепление с поверхностью. Стелька Dynamic Fit адаптируется к форме стопы. Липучка-велькро из пластика легко застегивается и надежно фиксирует обувь на ноге. Модель имеет светоотражающие детали.</t>
  </si>
  <si>
    <t>80% Натуральная Кожа, 20% Полиуретан</t>
  </si>
  <si>
    <t>Tampere</t>
  </si>
  <si>
    <t>72404303-0100</t>
  </si>
  <si>
    <t>Кроссовки рассчитаны на температуру от +20°C до +30°C. Верх выполнен из полиэстера и полиуретана. Подошва с максимальной амортизацией из этиленвинилацетата и термопластичной резины смягчает удары при ходьбе и беге. Стелька Dynamic Fit подстраивается под форму стопы. Двойная липучка-велькро позволяет легко надевать обувь и надежно фиксирует ее на ноге. Есть светоотражающие детали.</t>
  </si>
  <si>
    <t>Hanko</t>
  </si>
  <si>
    <t>72404306-6960</t>
  </si>
  <si>
    <t>Кроссовки рассчитаны на температуру от +15°C до +25°C. Верх выполнен из износостойких материалов. Стелька Dynamic Fit обеспечивает поддержку стопы. Застежка на липучке-велькро надежно фиксирует обувь на ноге. Подошва из легкой EVA имеет мерцающие лампочки, которые загораются при ходьбе. Носок и пятка защищены от повреждений благодаря TPU-элементам. Есть светоотражающие детали.</t>
  </si>
  <si>
    <t>72404306-9990</t>
  </si>
  <si>
    <t>033</t>
  </si>
  <si>
    <t>Helsinki</t>
  </si>
  <si>
    <t>72405201-9370</t>
  </si>
  <si>
    <t>натуральная кожа, полиуретан, хлопок</t>
  </si>
  <si>
    <t>036</t>
  </si>
  <si>
    <t>038</t>
  </si>
  <si>
    <t>72405201-9990</t>
  </si>
  <si>
    <t>72406201-4680</t>
  </si>
  <si>
    <t>72406201-9470</t>
  </si>
  <si>
    <t>72406303-9990</t>
  </si>
  <si>
    <t>70% полиэстер, 30% полиуретан</t>
  </si>
  <si>
    <t>Kaskinen</t>
  </si>
  <si>
    <t>72406305-9990</t>
  </si>
  <si>
    <t>Sandefjord</t>
  </si>
  <si>
    <t>72406312-4650</t>
  </si>
  <si>
    <t>80% полиэстер, 20% полиуретан</t>
  </si>
  <si>
    <t>72406312-6910</t>
  </si>
  <si>
    <t>Boots Oulainen</t>
  </si>
  <si>
    <t>73403402-9990</t>
  </si>
  <si>
    <t>ботинки</t>
  </si>
  <si>
    <t>Зимние ботинки Oulainen подойдут детям от 5 до 10 лет и рассчитаны на температуру от -15 до -30 ℃. Можно покорять снежные горки даже в самый морозный день. Внутри ботинок — 200 г утеплителя 3M Thinsulate и подкладка с шерстью в составе. Ножки будут в тепле. 
Водонепроницаемая мембрана защитит ноги от влаги. Ребенок может смело прыгать в сугробы, не боясь промокнуть. 
Подошва обеспечивает отличное сцепление с любой поверхностью. Ребенок не поскользнется и сохранит равновесие на скользких улицах. Больше никаких долгих сборов — быстрая шнуровка позволяет легко надевать и снимать обувь. 
Для беззаботных зимних прогулок нет никаких преград:
Прочные усилительные вставки увеличивают срок службы ботинок.
Светоотражающие вставки обеспечивают безопасность на вечерних прогулках, делая ребенка заметным в темноте.
Нет ПВХ и фторуглеродов — материал безопасен для здоровья и окружающей среды.</t>
  </si>
  <si>
    <t>80% Полиуретан, 20% Полиэстер</t>
  </si>
  <si>
    <t>Eskilstuna</t>
  </si>
  <si>
    <t>73404305-9990</t>
  </si>
  <si>
    <t>Летние кроссовки из дышащего материала. Верх из воздухопроницаемой сетки. Постоянная вентиляция и терморегуляция. Резиновая подошва с повышенной амортизацией. Съемная стелька Dynamic Fit поглощает ударную нагрузку на стопу. Конструкция слип-он облегчает обувание. Носочная часть укреплена резиновой вставкой. Светоотражающие вставки на верхней части. Светлый низ и контрастный верх. Рассчитаны на температуру от +15 до +25°C.</t>
  </si>
  <si>
    <t>б</t>
  </si>
  <si>
    <t>73406104-0100</t>
  </si>
  <si>
    <t>Высокие кеды</t>
  </si>
  <si>
    <t>80% нат. кожа, 20% полиуретан, подкладка 100% хлопок</t>
  </si>
  <si>
    <t>Ludvika</t>
  </si>
  <si>
    <t>73406201-9991</t>
  </si>
  <si>
    <t>Sneakers  Helppous</t>
  </si>
  <si>
    <t>7400035A-2151</t>
  </si>
  <si>
    <t>Стильные кроссовки, в которых каждый шаг ребенка будет комфортным и безопасным.
Модель рассчитана на температуру от +15 до +25 ℃, но малышу не будет жарко: материал из легкой сетки пропускает воздух и оставляет ноги сухими даже во время активных игр.
Для тех, кто не любит завязывать шнурки, эти кроссовки — настоящий подарок. Их можно легко и быстро надеть благодаря эластичной шнуровке с фиксатором. Потянул — и готово!
В кроссовках Helppous любые приключения по плечу:
Боковые части кроссовок надежно фиксируют ногу, чтобы она не скользила при резких движениях во время игр.
Носок и пятка усилены износостойким материалом — это защитит стопу от ударов. 
Средняя часть подошвы выполнена из мягкой пены ЭВА. Этот материал делает обувь легкой и не утяжеляет походку.
Подошва с глубоким протектором устойчива на скользкой и неровной поверхности — можно смело играть с друзьями в догонялки после дождя.</t>
  </si>
  <si>
    <t>60% Полиэстер, 40% Полиуретан</t>
  </si>
  <si>
    <t>Shoes Trekking - Knit</t>
  </si>
  <si>
    <t>760140-7150</t>
  </si>
  <si>
    <t>Стильные трехцветные ботинки — идеальный вариант для  спорта или долгих прогулок в любую погоду. 
У кроссовок твердая и довольно высокая подошва из ТЭП. Она обеспечивает стабильное положение ноги и не разъедается под воздействием дорожных реагентов и кислот — отличный вариант для города. Верхняя часть и подкладка изготовлены из текстильный полиуретана. Это прочный и дышащий материал. В такой обуви ногам будет тепло, но не жарко. Пропитка BIONIC FINISH® ECO защищает от влаги и грязи — обувь надолго сохранит первоначальный вид. 
Завязывать шнурки не придется. На ботинках удобная застежка на липучке и эластичный регулируемый ремешок на подъеме для идеальной посадки. Безопасно и просто! Есть стелька, но ее можно снять при необходимости.
Ботинки упакованы в коробку.
Рекомендуется брать обувь на 1 см больше — на вырост.
Внутренние размеры:
22 = 14,7 см
23 = 15,4 см
24 = 16 см
25 = 16,7 см
26 = 17,4 см
27 = 18 см
28 = 18,7 см
29 = 19,4 см
30 = 20 см
31 = 20,7 см
32 = 21,4 см
33 = 22 см
34 = 22,7 см
35 = 23,4 см</t>
  </si>
  <si>
    <t>Верхняя часть: текстильный полиуретан / полиуретан, подкладка: текстильный полиуретан, подошва: ТЭП</t>
  </si>
  <si>
    <t>039</t>
  </si>
  <si>
    <t>Насос</t>
  </si>
  <si>
    <t>BF-P03</t>
  </si>
  <si>
    <t>пластик; метал</t>
  </si>
  <si>
    <t>OSZ</t>
  </si>
  <si>
    <t>Starfit</t>
  </si>
  <si>
    <t>STARFITFA-701</t>
  </si>
  <si>
    <t>УТ-00010044</t>
  </si>
  <si>
    <t>Петли тренировочные</t>
  </si>
  <si>
    <t>Тренировочные петли Starfit FA-701, черный/зеленый УТ-00010044 – аксессуар для занятий фитнесом и функциональным тренингом. Используются как инструмент для выполнения безопасных и эффективных упражнений на развитие мышц грудной клетки, спины, рук, пресса, ног. Подходят для кардиотренировок и растяжки. Так как во время тренировки задействован только собственный вес тела человека, минимизирован риск перегрузки позвоночника.
Легко и быстро закрепляются в дверном проеме, точке подвеса на потолке, на уличной спортивной площадке.
Прочные карабины и современные синтетические материалы обеспечивают надежность и комфорт тренировки.
Для предотвращения скольжения рукоятки петель выполнены из нескользящего материала.
Max нагрузка 200 кг.</t>
  </si>
  <si>
    <t>текстиль, полипропилен, TPR, сталь, оксфорд</t>
  </si>
  <si>
    <t>123419-1450</t>
  </si>
  <si>
    <t>Изделие выполнено из тканого материала, состоящего на 100% из хлопка, обеспечивая исключительную мягкость и комфорт при носке. Натуральная ткань приятна на ощупь и заботится о коже, исключая неприятные ощущения, такие как пощипывание или раздражение. Удобство в использовании обеспечивают длинные рукава с эластичными манжетами, которые облегчают процесс одевания и носки. Это делает блузку не только эстетически привлекательной, но и практичной в повседневной жизни. Застежка на пуговицы добавляет функциональности и позволяет легко регулировать посадку по фигуре. Такая блузка станет неотъемлемой частью гардероба, подчеркивая утонченность и изящество своей обладательницы.</t>
  </si>
  <si>
    <t>100 % хлопок</t>
  </si>
  <si>
    <t>Onkalo</t>
  </si>
  <si>
    <t>72204413-6030</t>
  </si>
  <si>
    <t>Рубашка из муслина свободного силуэта. Длинные рукава с манжетами на одну пуговицу. Классический рубашечный воротник. Практичные карманы на кнопках. Застежка на пять разноцветных пуговиц. Материал – 100% хлопок. Мягкая натуральная ткань позволяет коже дышать и быстро сохнет.</t>
  </si>
  <si>
    <t>72204413-6960</t>
  </si>
  <si>
    <t>J GHITA</t>
  </si>
  <si>
    <t>J658LD000BCC3X3N</t>
  </si>
  <si>
    <t>Сандалии для мальчиков Geox J Ghita — это стильная анатомическая модель, созданная для комфортного летнего сезона и активных прогулок. Благодаря универсальному дизайну и безупречному качеству материалов, они станут идеальной базой для повседневного гардероба и отдыха.
Ключевая особенность модели — запатентованная технология Geox Respira, которая объединяет перфорированную подошву и дышащую мембрану для поддержания естественного микроклимата стопы даже в самую жаркую погоду. Верх выполнен из высококачественной износостойкой искусственной кожи с мягкой анатомической стелькой из натуральной замши, которая дарит ощущение легкости и поддержку в течение всего дня. Две регулируемые металлические пряжки позволяют идеально подогнать посадку под любой подъем ноги, а гибкая амортизирующая подошва обеспечивает свободу движений и комфорт при каждом шаге.</t>
  </si>
  <si>
    <t>ВЕРХ:100% ПОЛИМЕРНЫЙ МАТЕРИАЛ (ПОЛИВИНИЛХЛОРИД);ПОДОШВА:100% ЭТИЛЕНВИНИЛАЦЕТАТ;ПОДКЛАДКА:100% ТЕКСТИ</t>
  </si>
  <si>
    <t>J S.KARLY G. D</t>
  </si>
  <si>
    <t>J5235D00254C1000</t>
  </si>
  <si>
    <t>Сандалии для девочек Geox J S.Karly G. D — это стильная и универсальная модель в римском стиле, созданная для комфортного летнего сезона. Благодаря лаконичному темно-синему дизайну они идеально подходят как для повседневных прогулок по городу, так и для торжественных случаев, легко сочетаясь с платьями, юбками или шортами.
Главная особенность модели — запатентованная технология Geox Respira, которая объединяет перфорированную подошву и дышащую водонепроницаемую мембрану для поддержания естественной терморегуляции стопы в течение всего дня. Верх выполнен из высококачественной износостойкой искусственной кожи с мягкой анатомической стелькой из натуральной кожи, которая дарит ощущение легкости при каждом шаге. Ремешок с надежной металлической пряжкой вокруг щиколотки обеспечивает точную регулировку и надежную фиксацию стопы, а гибкая резиновая подошва гарантирует отличное сцепление и долговечность.</t>
  </si>
  <si>
    <t>верх:100% полиуретан ;подошва:100% термопластичная резина ;подкладка:100% полиур</t>
  </si>
  <si>
    <t>J GHITA B. B</t>
  </si>
  <si>
    <t>J028LB0009FC4218</t>
  </si>
  <si>
    <t>Сандалии для мальчиков Geox J Ghita B. B — это стильная и практичная модель в анатомическом дизайне, идеально подходящая для активного летнего сезона. Они станут незаменимой базой для повседневных прогулок и отдыха, обеспечивая правильную поддержку стопы ребенка в течение всего дня.
Главная особенность модели — запатентованная технология Geox Respira, которая благодаря перфорированной подошве и дышащей мембране поддерживает естественную терморегуляцию и комфорт даже в сильную жару. Верх выполнен из качественной износостойкой искусственной кожи с мягкой анатомической стелькой из натуральной замши, предотвращающей скольжение. Две надежные металлические пряжки позволяют идеально отрегулировать посадку под любой подъем и полноту ноги, а легкая амортизирующая подошва гарантирует свободу движений и легкость каждого шага.</t>
  </si>
  <si>
    <t>ВЕРХ:100% ПОЛИМЕРНЫЙ МАТЕРИАЛ (ПОЛИВИНИЛХЛОРИД) ;ПОДОШВА:100% ЭТИЛЕНВИНИЛАЦЕТАТ ;ПОДКЛАДКА:100% ТЕКС</t>
  </si>
  <si>
    <t>J028LB000BCC4005</t>
  </si>
  <si>
    <t>Верх:100% Полимерный Материал;Подошва:100% Этиленвинилацетат;Подкладка:100% Полимерный Материал (Пол</t>
  </si>
  <si>
    <t>J SANDAL LIGHTFLOPPY</t>
  </si>
  <si>
    <t>J45GQE000CECF44D</t>
  </si>
  <si>
    <t>Lightfloppy — это босоножки для мальчиков, отличающиеся лаконичным спортивным дизайном. Обеспечивают свободу движений для игр и бега. Модель из искусственной кожи регулируется ремешком на липучке и дополнена легкой и амортизирующей анатомической подошвой.</t>
  </si>
  <si>
    <t>сиий/голубой</t>
  </si>
  <si>
    <t>верх:100% полимерный материал (поливинилхлорид);подошва:100% полиуретан;подкладка:100% текстиль (полиэстер);стелька:100% кожа</t>
  </si>
  <si>
    <t>J658LD000BCCF44D</t>
  </si>
  <si>
    <t>D AURELY 50</t>
  </si>
  <si>
    <t>D65RXB0TUMAC1S2L</t>
  </si>
  <si>
    <t>Женские сандалии Geox D Aurely 50 — изысканная модель на устойчивом каблуке, созданная для элегантных летних образов и повседневного комфорта. Они идеально подходят как для работы в офисе, так и для торжественных выходов, обеспечивая уверенность в каждом шаге.
Ключевая особенность — технология Geox Respira: перфорированная подошва с дышащей мембраной поддерживает естественный микроклимат стопы в течение всего дня. Модель выполнена из премиальной натуральной кожи с мягкой анатомической стелькой, которая эффективно поглощает удары при ходьбе. Тонкий ремешок с металлической пряжкой изящно подчеркивает щиколотку и позволяет точно отрегулировать посадку, а устойчивый каблук средней высоты дарит идеальный баланс между стилем и удобством.</t>
  </si>
  <si>
    <t>кожа, полиуретан, резина</t>
  </si>
  <si>
    <t>D NEW ERAKLIA 50 T01</t>
  </si>
  <si>
    <t>D656JC000TUC1122</t>
  </si>
  <si>
    <t>Женские сандалии Geox D New Eraklia 50 — элегантная модель на устойчивом каблуке, созданная для безупречных летних образов и комфорта в течение всего дня. Они идеально подходят как для офисного дресс-кода, так и для торжественных мероприятий, сочетая в себе классический стиль и технологичность.
Главная особенность — запатентованная технология Geox Respira, которая благодаря перфорированной подошве и дышащей мембране обеспечивает естественную вентиляцию стопы. Модель выполнена из премиальной натуральной кожи с мягкой анатомической стелькой, снижающей нагрузку при ходьбе. Изящный ремешок с металлической пряжкой надежно фиксирует пятку и позволяет регулировать посадку, а устойчивый каблук высотой 5 см дарит уверенность в каждом шаге без ущерба для удобства.</t>
  </si>
  <si>
    <t>кожа, полиуретан. резина</t>
  </si>
  <si>
    <t>D656JC000TUC5000</t>
  </si>
  <si>
    <t>D65RXB021MAC4147</t>
  </si>
  <si>
    <t>D VIRNILISA 65 S</t>
  </si>
  <si>
    <t>D65YZB0KYTUC2235</t>
  </si>
  <si>
    <t>Женские босоножки Geox Virnilisa 65 — это воплощение изысканного стиля и инновационного комфорта, созданное для женщин, которые ценят элегантность без ущерба для удобства.
Эта эффектная модель на устойчивом каблуке идеально подходит для активного летнего сезона, торжественных мероприятий и стильных вечерних выходов, становясь роскошным акцентом в любом образе. Главной особенностью босоножек является легендарная запатентованная технология Geox Respira™: перфорированная подошва в сочетании с дышащей мембраной обеспечивает безупречную терморегуляцию. Система эффективно выводит лишнее тепло и влагу изнутри, позволяя стопе «дышать» и предотвращая скольжение даже в самую жаркую погоду. При этом уникальная мембрана надежно защищает саму подошву, обеспечивая водозащиту и не позволяя влаге с земли проникать внутрь через вентиляционные отверстия. Внутри расположена мягкая стелька из натуральной кожи, которая дарит непревзойденное ощущение свежести и комфорта в течение всего дня. Выполненные из премиальной кожи с эффектной фактурной отделкой под «змею» и устойчивым каблуком средней высоты (6,5 см), эти босоножки обеспечивают идеальную поддержку стопы и подчеркивают грацию ваших движений.</t>
  </si>
  <si>
    <t>верх: 100% кожа; подошва: 55% резина 45% термопластичная резина; подкладка: 100% кожа; стелька: 70% кожа 30</t>
  </si>
  <si>
    <t>D65YZC000TUC1122</t>
  </si>
  <si>
    <t>верх: 100% кожа; подошва: 55% термопластичная резина 45% термопластичный полиуретан; подкладка: 100% кожа</t>
  </si>
  <si>
    <t>D BRIONIA K</t>
  </si>
  <si>
    <t>D35LSK00032C6009</t>
  </si>
  <si>
    <t>Женские сандалии Geox D Brionia K — идеальное сочетание актуального дизайна и непревзойденного комфорта для летнего сезона. Эта модель в стиле классических «биркенштоков» станет универсальной базой для повседневных городских образов, прогулок и отдыха.
Главная особенность — запатентованная технология Geox Respira, которая благодаря перфорированной подошве и дышащей мембране обеспечивает естественную терморегуляцию стопы в жару. Сандалии выполнены из качественных материалов с мягкой анатомической стелькой, которая поддерживает свод стопы и снижает усталость при долгой ходьбе. Два широких ремешка с надежными металлическими пряжками позволяют идеально отрегулировать посадку под любой подъем, а легкая износостойкая подошва гарантирует отличную амортизацию и легкость каждого шага.</t>
  </si>
  <si>
    <t>ВЕРХ: 100% КОЖА ;ПОДОШВА: 100% ЭТИЛЕНВИНИЛАЦЕТАТ ;ПОДКЛАДКА: 100% КОЖА ;СТЕЛЬКА: 100% КОЖА</t>
  </si>
  <si>
    <t>D MELICONIA A</t>
  </si>
  <si>
    <t>D550EA000BCC9999</t>
  </si>
  <si>
    <t>Женские босоножки Geox Meliconia — это воплощение изящества и инновационного комфорта, созданное для тех, кто ценит легкость и свежесть в каждом шаге. Эта элегантная модель на устойчивой танкетке идеально подходит для активного летнего сезона, гармонично дополняя как летящие сарафаны, так и строгие офисные образы. Главной особенностью босоножек является легендарная запатентованная технология Geox Respira™: перфорированная подошва в сочетании с дышащей мембраной обеспечивает безупречную терморегуляцию. Система работает как клапан, эффективно выводя лишнее тепло и влагу изнутри, что позволяет стопе «дышать» и предотвращает скольжение даже в самую жаркую погоду. При этом уникальная мембрана надежно защищает саму подошву, не позволяя влаге с земли проникать внутрь через вентиляционные отверстия. Внутри расположена мягкая анатомическая стелька из натуральной кожи, которая дарит непревзойденное ощущение мягкости и чистоты в течение всего дня. Легкая танкетка оптимальной высоты снижает нагрузку на позвоночник, а регулируемый ремешок гарантирует идеальную посадку, превращая каждую летнюю прогулку в истинное удовольствие.</t>
  </si>
  <si>
    <t>ВЕРХ: 100% ПОЛИМЕРНЫЙ МАТЕРИАЛ (ПОЛИУРЕТАН);ПОДОШВА: 100% ПОЛИУРЕТАН;ПОДКЛАДКА: 100% ПОЛИМЕРНЫЙ МАТЕ</t>
  </si>
  <si>
    <t>D550EA000NFC2012</t>
  </si>
  <si>
    <t>D CAMALEI A</t>
  </si>
  <si>
    <t>D550NA0NFBCC1223</t>
  </si>
  <si>
    <t>Женские сандалии Geox D Camalei A — изысканная и комфортная модель для летнего сезона, которая станет идеальным дополнением как повседневного, так и более формального гардероба. Они созданы для активных женщин, ценящих итальянское качество и легкость в каждом движении.
Ключевая особенность — фирменная технология Geox Respira, сочетающая перфорированную подошву и дышащую мембрану для поддержания здорового микроклимата стопы. Модель выполнена из мягких премиальных материалов с анатомической кожаной стелькой, обеспечивающей комфортную поддержку в течение всего дня. Элегантный ремешок с металлической пряжкой на щиколотке гарантирует надежную фиксацию и позволяет точно отрегулировать посадку, а лаконичный дизайн делает эти сандалии универсальной базой для летних образов.</t>
  </si>
  <si>
    <t>верх: 100% полимерный материал (полиуретан);подошва: 100% полиуретан;подкладка: 100% полимерный мате</t>
  </si>
  <si>
    <t>D550NA0NFBCC2235</t>
  </si>
  <si>
    <t>D DANDRA B</t>
  </si>
  <si>
    <t>D55NNB05443C5F2L</t>
  </si>
  <si>
    <t>верх: 50% кожа 50% полимерный материал (полиуретан);подошва: 100% полиуретан;подкладка: 100% полимер</t>
  </si>
  <si>
    <t>D SOZY QC</t>
  </si>
  <si>
    <t>D65YFC0KFKYC5F2L</t>
  </si>
  <si>
    <t>Женские сандалии Geox D Sozy QC — воплощение легкости и утонченного итальянского стиля для жаркого летнего сезона. Эта открытая модель идеально подходит для повседневных городских прогулок и отдыха, гармонично дополняя как летящие платья, так и базовые шорты.
Ключевая особенность — запатентованная технология Geox Respira: перфорированная подошва с дышащей мембраной обеспечивает естественную терморегуляцию стопы в течение всего дня. Сандалии выполнены из высококачественной натуральной кожи с мягкой анатомической стелькой, которая гарантирует комфорт и поддержку при каждом шаге. Тонкий ремешок с металлической пряжкой на щиколотке позволяет точно отрегулировать посадку и надежно фиксирует ногу, превращая эту лаконичную модель в эталон практичной элегантности.</t>
  </si>
  <si>
    <t>ВЕРХ:100% КОЖА;ПОДОШВА:100% ТЕРМОПЛАСТИЧНАЯ РЕЗИНА;ПОДКЛАДКА:100% КОЖА;СТЕЛЬКА:70% КОЖА 30% ПОЛИМЕРН</t>
  </si>
  <si>
    <t>D65YZB00021C7008</t>
  </si>
  <si>
    <t>верх:100% кожа;подошва:55% термопластичная резина 45% термопластичный полиуретан;подкладка:100% кожа</t>
  </si>
  <si>
    <t>J028LB00054C0735</t>
  </si>
  <si>
    <t>ВЕРХ: 100% ПОЛИУРЕТАН;ПОДОШВА: 100% ЭТИЛЕНВИНИЛАЦЕТАТ;ПОДКЛАДКА: 100% ТЕКСТИЛЬ (ПОЛИЭСТЕР);СТЕЛЬКА:</t>
  </si>
  <si>
    <t>J028LB000BCC4380</t>
  </si>
  <si>
    <t>J028LB000EKC0735</t>
  </si>
  <si>
    <t>Верх: 100% Полимерный Материал;Подошва: 100% Этиленвинилацетат;Подкладка: 100% Полимерный Материал (</t>
  </si>
  <si>
    <t>J S.CORALIE G. B</t>
  </si>
  <si>
    <t>J256EB0NFEWC1007</t>
  </si>
  <si>
    <t>Сандалии для девочек Geox J Coralie G. B — это нарядная и практичная модель для летнего сезона, которая идеально подходит как для праздничных мероприятий, так и для повседневных прогулок. Сверкающий дизайн с перламутровым напылением и глиттером сделает их любимой парой в гардеробе каждой маленькой модницы.
Ключевая особенность — запатентованная технология Geox Respira, которая благодаря перфорированной подошве и дышащей мембране обеспечивает естественную терморегуляцию стопы даже в жаркую погоду. Верх выполнен из высококачественных износостойких материалов, а гигиеничная анатомическая стелька из натуральной кожи дарит комфорт в течение всего дня. Удобные застежки на двойных липучках позволяют ребенку легко обуваться самостоятельно и надежно фиксируют ногу, а легкая гибкая подошва гарантирует свободу движений и отличную амортизацию.</t>
  </si>
  <si>
    <t>60% полиэстер, 40% полиуретан</t>
  </si>
  <si>
    <t>J SANDAL FUSBETTO B. A</t>
  </si>
  <si>
    <t>J35HMA000BCC0659</t>
  </si>
  <si>
    <t>Сандалии для мальчиков Geox J Sandal Fusbetto B. A — это практичная и стильная модель в анатомическом дизайне, идеально подходящая для активного летнего сезона. Они станут надежной базой для повседневных прогулок и отдыха, обеспечивая правильную поддержку стопы ребенка в течение всего дня.
Главная особенность — запатентованная технология Geox Respira, которая благодаря перфорированной подошве и дышащей мембране поддерживает естественную терморегуляцию и комфорт даже в сильную жару. Верх выполнен из качественной износостойкой искусственной кожи с мягкой анатомической стелькой из натуральной замши, предотвращающей скольжение. Две надежные металлические пряжки позволяют идеально отрегулировать посадку под любой подъем и полноту ноги, а легкая амортизирующая подошва гарантирует свободу движений и легкость каждого шага.</t>
  </si>
  <si>
    <t>ВЕРХ:100% ПОЛИУРЕТАН ;ПОДОШВА:100% РЕЗИНА ;ПОДКЛАДКА:100% ТЕКСТИЛЬ (ПОЛИЭСТЕР) ;СТЕЛЬКА: 100% ЭТИЛЕН</t>
  </si>
  <si>
    <t>J S.HAITI G. D</t>
  </si>
  <si>
    <t>J458ZD000NFC0459</t>
  </si>
  <si>
    <t>верх:100% полимерный материал (полиуретан) ;подошва:100% термопластичный полиуретан ;подкладка:100%</t>
  </si>
  <si>
    <t>J45GQE00050C4002</t>
  </si>
  <si>
    <t>J5235D000BCC0761</t>
  </si>
  <si>
    <t>иск.кожа, полиуретан, кожа, резина</t>
  </si>
  <si>
    <t>J SANDAL KARLY</t>
  </si>
  <si>
    <t>J5235D000NFC8002</t>
  </si>
  <si>
    <t>Сандалии для девочек Geox J Sandal Karly — это стильная и универсальная модель в римском стиле, созданная для комфортного летнего сезона. Благодаря лаконичному дизайну они идеально подходят как для повседневных прогулок по городу, так и для отдыха, легко сочетаясь с платьями или легкими брюками.
Главная особенность модели — запатентованная технология Geox Respira, которая благодаря перфорированной подошве и дышащей мембране обеспечивает естественную терморегуляцию стопы даже в жаркую погоду. Верх выполнен из качественной износостойкой искусственной кожи с мягкой анатомической стелькой из натуральной кожи, которая дарит комфорт и поддержку в течение всего дня. Ремешок с надежной металлической пряжкой на щиколотке позволяет точно отрегулировать посадку и надежно фиксирует ногу, а гибкая резиновая подошва гарантирует устойчивость и легкость каждого шага.</t>
  </si>
  <si>
    <t>Верх:100% Полимерный Материал (Полиуретан);Подошва:100% Термопластик;Подкладка:100% Полимерный Матер</t>
  </si>
  <si>
    <t>J S.CORALIE G. A</t>
  </si>
  <si>
    <t>J556EA0BCEWC0262</t>
  </si>
  <si>
    <t>Сандалии для девочек Geox J S.Coralie G. A — яркая и комфортная модель для летнего сезона, которая идеально подходит как для повседневных прогулок, так и для праздничных выходов. Сверкающий дизайн с декоративными элементами сделает их любимой парой в гардеробе каждой маленькой модницы.
Главная особенность модели — запатентованная технология Geox Respira, которая благодаря перфорированной подошве и дышащей мембране обеспечивает естественную терморегуляцию стопы даже в жаркую погоду. Верх выполнен из качественных износостойких материалов, а мягкая анатомическая стелька из натуральной кожи гарантирует комфорт и поддержку в течение всего дня. Удобные застежки на двойных липучках позволяют ребенку легко обуваться самостоятельно и надежно фиксируют ногу, а легкая гибкая подошва из ЭВА дарит отличную амортизацию и свободу движений.</t>
  </si>
  <si>
    <t>J SANDAL AIRADYUM BO</t>
  </si>
  <si>
    <t>J55F1G015MEC0700</t>
  </si>
  <si>
    <t>Airadyum — это гибкие амортизирующие сандалии для мальчиков, предназначенные для любителей мультфильма «Маша и медведь». Модель снабжена невероятно легкой подошвой и удобными застежками на липучках. Выполнена из эластана и искусственной вощеной кожи.</t>
  </si>
  <si>
    <t>верх: 50% полимерный материал (полиуретан) 50% текстиль (полиэстер);подошва: 100% резина;подкладка: 100% текстиль (полиэстер);стелька: 100% полимерный материал (полиуретан)</t>
  </si>
  <si>
    <t>GEOX SANDALS U SANDAL GHITA</t>
  </si>
  <si>
    <t>U159VB00032C4002</t>
  </si>
  <si>
    <t>Мужские сандалии Geox U Sandal Ghita — это стильная анатомическая модель, созданная для максимального комфорта в летний сезон. Благодаря лаконичному дизайну в стиле классических «биркенштоков», они станут универсальной базой для повседневных городских образов и отдыха на природе.
Главная особенность модели — запатентованная технология Geox Respira, которая благодаря перфорированной подошве и дышащей мембране обеспечивает естественную терморегуляцию стопы даже в самую жаркую погоду. Верх выполнен из высококачественной износостойкой искусственной кожи с мягкой анатомической стелькой из натуральной замши, которая поддерживает свод стопы и дарит ощущение легкости в течение всего дня. Две регулируемые металлические пряжки позволяют идеально подогнать посадку под любой подъем и полноту ноги, а гибкая амортизирующая подошва гарантирует свободу движений и комфорт при каждом шаге.</t>
  </si>
  <si>
    <t>Верх: 100% Натуральная Кожа;Подошва: 100% Этиленвинилацетат;Подкладка: 100% Натуральная Кожа;Стелька: 100% Натуральная Кожа</t>
  </si>
  <si>
    <t>U ERICE B</t>
  </si>
  <si>
    <t>U36GUB00043C6009</t>
  </si>
  <si>
    <t>верх:100% кожа ;подошва:100% этиленвинилацетат ;подкладка:100% кожа ;стелька:100% кожа</t>
  </si>
  <si>
    <t>U36GUB00043C9999</t>
  </si>
  <si>
    <t>U S.STRADA B</t>
  </si>
  <si>
    <t>U4524B000MEC9999</t>
  </si>
  <si>
    <t>Мужские сандалии Geox U Strada B — это надежная и функциональная модель в спортивном стиле, созданная для максимального комфорта в летний сезон. Благодаря продуманной конструкции и высокой износостойкости, они идеально подходят как для активных городских прогулок, так и для путешествий или отдыха на природе.
Ключевая особенность модели — запатентованная технология Geox Respira, которая благодаря перфорированной подошве и дышащей мембране обеспечивает естественную терморегуляцию стопы даже в самую жаркую погоду. Верх выполнен из комбинации качественной искусственной кожи и текстиля с мягкой подкладкой, предотвращающей натирание. Система из трех ремешков на липучках позволяет идеально отрегулировать посадку под любой подъем и надежно зафиксировать стопу, а гибкая резиновая подошва с отличной амортизацией гарантирует легкость и уверенность в каждом шаге.</t>
  </si>
  <si>
    <t>синтетика, текстиль, резина</t>
  </si>
  <si>
    <t>U S.STRADA D</t>
  </si>
  <si>
    <t>U8224D050AUC0705</t>
  </si>
  <si>
    <t>Мужские сандалии Geox U S.Strada D — это надежная и функциональная модель в спортивном стиле, созданная для максимального комфорта в летний сезон. Благодаря продуманной конструкции и высокой износостойкости, они идеально подходят как для активных городских прогулок, так и для путешествий или отдыха на природе.
Ключевая особенность модели — запатентованная технология Geox Respira: перфорированная подошва с дышащей мембраной обеспечивает естественную терморегуляцию стопы даже в самую жаркую погоду. Верх выполнен из комбинации качественной искусственной кожи и текстиля с мягкой подкладкой, предотвращающей натирание. Система из трех ремешков на липучках позволяет идеально отрегулировать посадку под любой подъем и надежно зафиксировать стопу, а гибкая подошва с отличной амортизацией гарантирует легкость и уверенность в каждом шаге.</t>
  </si>
  <si>
    <t>Верх: 90% Полиуретан 10% Полимерный Материал (Микрофибра) ; Подошва: 100% Резина ; Подкладка: 100% Т</t>
  </si>
  <si>
    <t>D SOZY PLUS</t>
  </si>
  <si>
    <t>D55DQF02JN0C2E2L</t>
  </si>
  <si>
    <t>Geox D Sozy Plus — изысканные женские сандалии на плоском ходу, созданные для жарких летних дней. Модель предназначена для тех, кто ценит минимализм и свободу движений. Сандалии не обладают водозащитой, подчеркивая свою открытость и легкость. Регулируемая застежка на щиколотке обеспечивает надежную фиксацию стопы. Тонкие ремешки из натуральной кожи дополнены кожаной подкладкой, исключающей натирание. Главная особенность — сверхтонкая, но прочная подошва с дышащей мембраной. Несъемная анатомическая стелька из натуральной кожи дарит ощущение мягкости при каждом шаге. Эта модель — идеальный выбор для прогулок по набережным, паркам и городским тротуарам.</t>
  </si>
  <si>
    <t>верх: 50% кожа 50% текстиль (полиэстер); подошва: 100% термопластичная резина; подкладка: 100% кожа; стель</t>
  </si>
  <si>
    <t>Onsala</t>
  </si>
  <si>
    <t>71404401-0100</t>
  </si>
  <si>
    <t>Сандалии рассчитаны на температуру от +20°C до +30°C. Верх изготовлен из вентилируемого и влагоотводящего материала. Подкладка и стелька сделаны из 100% хлопка. Подошва из 100% термопластичной резины обеспечивает надежное сцепление с поверхностью и долговечность. Модель имеет дополнительную стабилизацию пяточной части и защиту носочной части. Стелька Dynamic Fit адаптируется под форму стопы. Есть светоотражающие детали.</t>
  </si>
  <si>
    <t>027</t>
  </si>
  <si>
    <t>71406401-0100</t>
  </si>
  <si>
    <t>71406401-6960</t>
  </si>
  <si>
    <t>Solna</t>
  </si>
  <si>
    <t>72404402-9990</t>
  </si>
  <si>
    <t>Тапочки</t>
  </si>
  <si>
    <t>Аквашузы рассчитаны на температурный диапазон от +20°C до +30°C. Верх выполнен из быстросохнущего и эластичного текстильного материала. Подошва из резины не скользит. Стелька Dynamic Fit адаптируется к анатомическим особенностям стопы. Есть светоотражающие детали.</t>
  </si>
  <si>
    <t>72404402-9991</t>
  </si>
  <si>
    <t>Halmstad</t>
  </si>
  <si>
    <t>72404405-0670</t>
  </si>
  <si>
    <t>Сандалии из экологичных материалов: без ПВХ и фторуглеродов. Влагоотталкивающий верх. Подкладка и стелька из полиэстера. Легкая двухкомпонентная подошва не скользит. Три липучки велькро и карабин для надежной фиксации и быстрого обувания. Добавлены светоотражающие детали. Рассчитаны на температуру от +15 до +25°C.</t>
  </si>
  <si>
    <t>72404405-9370</t>
  </si>
  <si>
    <t>Horten</t>
  </si>
  <si>
    <t>72404406-4650</t>
  </si>
  <si>
    <t>полиэстер, полиуретан</t>
  </si>
  <si>
    <t>72404406-6030</t>
  </si>
  <si>
    <t>72404406-9990</t>
  </si>
  <si>
    <t>Kristiansund</t>
  </si>
  <si>
    <t>72406407-0100</t>
  </si>
  <si>
    <t>Farsund</t>
  </si>
  <si>
    <t>73404401-4650</t>
  </si>
  <si>
    <t>Сандалии из дышащего материала. Экологичны: не содержат ПВХ и фторуглеродов. Влагоотталкивающий верх. Двухкомпонентная подошва с амортизацией и сцеплением. Съемная стелька Dynamic Fit адаптируется под форму стопы. Фиксируются на ноге липучкой велькро и эластичной резинкой. Есть светоотражающие элементы. Рассчитаны на температуру от +20 до +30°C.</t>
  </si>
  <si>
    <t>Stockholm</t>
  </si>
  <si>
    <t>73404407-4650</t>
  </si>
  <si>
    <t>Сандалии рассчитаны на температуру от +20°C до +30°C. Материал верха обеспечивает вентиляцию и отводит влагу. Внутренняя подкладка сделана из 100% полиэстера. Подошва из 100% термопластичной резины не скользит. Стелька из мягкой EVA снижает нагрузку на стопу при ходьбе и беге. Четыре липучки-велькро надежно фиксируют обувь на ноге. Есть светоотражающие детали.</t>
  </si>
  <si>
    <t>Barefoot Avojaloin</t>
  </si>
  <si>
    <t>73406402-4680</t>
  </si>
  <si>
    <t>80% полиуретан, 20% полиэстер</t>
  </si>
  <si>
    <t>73406402-9470</t>
  </si>
  <si>
    <t>Bilcee Men's Tracksuit</t>
  </si>
  <si>
    <t>TB23ML01S0672-1-1091</t>
  </si>
  <si>
    <t>Спортивный костюм</t>
  </si>
  <si>
    <t>Мужской спортивный костюм в стиле колор-блок выполнен из высококачественных материалов.
Толстовка с капюшоном и молнией имеет яркий дизайн в стиле колор-блок, что делает её ярким акцентом вашего спортивного гардероба. Благодаря хлопковому составу, толстовка обеспечивает комфорт и отличную вентиляцию, а полиэстер и эластан придают ей эластичность и сохраняют форму после многократных стирок.
Брюки с боковыми карманами для удобства. Они идеально сочетаются с толстовкой, образуя стильный и практичный комплект для занятий спортом или активного отдыха.
Этот мужской костюм отлично подходит для занятий спортом или повседневной носки, обеспечивая комфорт и стиль в любой ситуации.
Плюсом является возможность комбинировать составляющие костюма с вашими любимыми вещами гардероба.</t>
  </si>
  <si>
    <t>77% хлопок 17% полиэстер 6% эластан</t>
  </si>
  <si>
    <t>Set, Manna</t>
  </si>
  <si>
    <t>7100042A-4741</t>
  </si>
  <si>
    <t>Костюм</t>
  </si>
  <si>
    <t>Set, Jarvi</t>
  </si>
  <si>
    <t>7200085A-0112</t>
  </si>
  <si>
    <t>Муслиновый комплект для девочек состоит из блузки с короткими рукавами и шорт. Сшит из натурального 100% хлопка: через ткань свободно циркулирует воздух, поэтому ребенок не перегреется и не взмокнет на жаре. Идеальный вариант для отдыха на море и летних прогулок в душном городе!  
Костюм не только удобный, но и стильный — его можно надеть в гости и на летний детский праздник. Блузка украшена декоративной сборкой в области горловины. Сзади застегивается на пуговицу.
В пояс шорт вшита эластичная резинка: они не спадают и не давят на талию. По бокам предусмотрены карманы, в которые ребенок сможет сложить свои сокровища — ракушки, найденные на пляже, монеты или конфетки.</t>
  </si>
  <si>
    <t>молочный</t>
  </si>
  <si>
    <t>Set, Joki</t>
  </si>
  <si>
    <t>7200087A-0112</t>
  </si>
  <si>
    <t>Муслиновый костюм для мальчиков состоит из рубашки с короткими рукавами и шорт. Это удобный вариант, когда нужно быстро собрать ребенка на прогулку или в гости — не придется по отдельности подбирать верх и низ.
Комплект сшит из жатого хлопкового муслина. Он не мнется, поэтому вы не будете тратить время на глажку. В составе — 100% хлопок. Ткань пропускает воздух и комфортна для нежной кожи малыша. Пока ребенок бегает на площадке, родители могут быть спокойны: ребенок не взмокнет. 
Рубашка сделана с воротничком и пуговицами по всей длине — стильно, модно и со вкусом. В поясе шорт — эластичная резинка и шнурок, с помощью которых можно регулировать посадку на талии. Ребенку не придется отвлекаться от игры и постоянно поправлять шорты. Предусмотрены боковые карманы для небольших игрушек или конфет.</t>
  </si>
  <si>
    <t>7200087A-6930</t>
  </si>
  <si>
    <t>Costume  Saarni</t>
  </si>
  <si>
    <t>7200002A-6961</t>
  </si>
  <si>
    <t>Верный спутник для любого сезона — флисовый костюм! Ребенок может носить его под верхнюю одежду, когда на улице совсем холодно, или гулять в нем, когда еще недостаточно тепло.
Материал отлично подходит для активных прогулок! Флис отведет лишнюю влагу наружу, и ребенок останется в тепле, если вспотеет, а родители будут спокойны за его комфорт и безопасность.
Костюм мягкий, приятный на ощупь, а еще теплый, легкий, эластичный и быстросохнущий. Уход за ним не требует особых усилий, даже после многократных стирок он не потеряет внешний вид и свойства. Можно беззаботно играть и не переживать, что испачкаешься!
Молния во всю длину с защитой для подбородка позволит ребенку одеться самостоятельно. Эластичные манжеты на рукавах плотно облегают запястья, поэтому не пропускают внутрь холод и ветер. На талии брюк мягкая резинка, которая не будет сдавливать живот.
Костюм не сковывает движений: можно бегать, прыгать, кататься на горках, кувыркаться — никаких ограничений!</t>
  </si>
  <si>
    <t>Costume  Vetta</t>
  </si>
  <si>
    <t>7200071A-4380</t>
  </si>
  <si>
    <t>Этот костюм, надетый под куртку, защитит малыша от холода и ветра. Толстовка с капюшоном изготовлена из 100% хлопка, а брюки — из хлопка с полиэстером. Ткань мягкая и уютная, сохраняет тепло и при этом дает телу «дышать».
У комплекта свободный крой, поэтому костюм не сковывает движения. Ребенку будет удобно бегать, играть на детской площадке и кататься на самокате. Ширину пояса на брюках можно регулировать, чтобы они не спадали и не давили на талию. На манжетах и у горловины капюшона — эластичная резинка, которая плотно прилегает и не дает снегу попасть под одежду.
На штанах есть боковые карманы, а на толстовке — карман-кенгуру. Ребенок может положить туда игрушку или перчатки.</t>
  </si>
  <si>
    <t>7200071A-6930</t>
  </si>
  <si>
    <t>Joki</t>
  </si>
  <si>
    <t>72204414-3320</t>
  </si>
  <si>
    <t>Комплект одежды</t>
  </si>
  <si>
    <t>Комплект из муслина: рубашка и шорты свободного кроя. Рубашка с классическим воротником и застежкой на пять пуговиц. Накладной карман с левой стороны. Короткие рукава. Шорты с высокой посадкой и комфортной резинкой. Карманы для хранения мелочей. Натуральный материал из 100% хлопка. Легкая и мягкая ткань быстро сохнет. Костюм в однотонных цветах и с яркими принтами.</t>
  </si>
  <si>
    <t>72204414-6960</t>
  </si>
  <si>
    <t>Katkarapu</t>
  </si>
  <si>
    <t>72206302-3340</t>
  </si>
  <si>
    <t>72206302-6140</t>
  </si>
  <si>
    <t>72206302-6141</t>
  </si>
  <si>
    <t>72206302-8300</t>
  </si>
  <si>
    <t>Merisiili</t>
  </si>
  <si>
    <t>72206313-0160</t>
  </si>
  <si>
    <t>72206313-4040</t>
  </si>
  <si>
    <t>72206313-6800</t>
  </si>
  <si>
    <t>72206313-8070</t>
  </si>
  <si>
    <t>73206120-0160</t>
  </si>
  <si>
    <t>73206120-6960</t>
  </si>
  <si>
    <t>73206120-9370</t>
  </si>
  <si>
    <t>KELME Tight jacket</t>
  </si>
  <si>
    <t>6128TL2002-203</t>
  </si>
  <si>
    <t>Kelme представляет удобную и элегантную женскую толстовку без капюшона, которая идеально подходит для повседневной носки. Толстовка выполнена из мягкой и легкой ткани, которая приятна на ощупь и позволяет коже дышать. Оригинальный дизайн сочетает в себе минималистичность и элегантность, подчеркивая женственность и индивидуальность. Высококачественный материал не растягивается и не линяет, что обеспечивает стойкость цвета и формы. Такая толстовка будет отлично сочетаться с любыми вещами из вашего гардероба и станет незаменимой частью вашего повседневного образа.</t>
  </si>
  <si>
    <t>75% нейлон 25% спандекс</t>
  </si>
  <si>
    <t>Bilcee Women's Hoodie</t>
  </si>
  <si>
    <t>TB20WL11W8785-1-1672</t>
  </si>
  <si>
    <t>Толстовка утепленная</t>
  </si>
  <si>
    <t>Благодаря своей теплой и мягкой ткани эта худи станет одним из незаменимых предметов одежды. Для свободы движений на рукавах и подоле использована двухслойная ткань (кашорт). 
Идеально подходит для повседневного и спортивного образа. Вы можете использовать его в повседневной жизни. - Вы можете легко использовать его до/после занятий спортом. - Подходит для использования в течение 3 сезонов.  Гигиеничность благодаря хлопковой нити. Так как полиэстер при стирке впитывает очень мало воды, он быстро сохнет. Имеет мягкую текстуру , обладает свойством сохранять тепло. Держит баланс влаги pH вашего тела под контролем. Благодаря быстросохнущей ткани вы будете чувствовать себя комфортно.</t>
  </si>
  <si>
    <t>TB20WL11W8785-1-1359</t>
  </si>
  <si>
    <t>Женская худи с капюшоном - это универсальная одежда для всех случаев жизни. Ее можно носить как в повседневной жизни, так и для занятий спортом. Изготовлена из мягкого материала, который приятен к телу и обеспечивает комфортное ношение в любое время года. Капюшон обеспечивает дополнительную защиту от ветра и дождя. Карман кенгуру поможет сохранить важные мелочи рядом с собой. Эта худи - отличный вариант для активных и стильных женщин, которые стремятся выглядеть привлекательно и удобно в любой ситуации. Для свободы движений на рукавах и подоле использована двухслойная ткань. 
Благодаря быстросохнущей ткани вы будете чувствовать себя комфортно весь день.</t>
  </si>
  <si>
    <t>SWEAT SHIRT</t>
  </si>
  <si>
    <t>TB23ML01W1533-1-1001</t>
  </si>
  <si>
    <t>Джемпер утепленный</t>
  </si>
  <si>
    <t>Представляем мужской утепленный джемпер Bilcee SWEAT SHIRT – идеальное сочетание стиля, тепла и непревзойденного комфорта. Этот джемпер создан для того, чтобы вы чувствовали себя уютно и уверенно в любую прохладную погоду.
### Основные характеристики:
- Материал и утепление: Джемпер изготовлен из высококачественного трикотажа, который обеспечивает оптимальную теплоизоляцию, при этом оставаясь мягким и приятным к телу. Внутренняя подкладка из флиса или другого утепляющего материала добавляет дополнительный слой тепла и комфорта, защищая от холода даже в самые морозные дни.
- Классический дизайн и крой: Джемпер имеет стильный и лаконичный дизайн, который легко впишется как в повседневный, так и в деловой гардероб. Классический крой обеспечивает свободную посадку, позволяя двигаться с абсолютной свободой и комфортом.
- Горловина, манжеты и подол: Эластичные манжеты на рукавах и по нижнему краю джемпера гарантируют плотное прилегание, а круглая горловина выполнена с дополнительной окантовкой для защиты от растягивания и износа. Это обеспечивает надежную фиксацию и долговечность изделия, а также помогает сохранить тепло.
- Функциональные детали: Джемпер может быть оснащен удобными боковыми карманами для хранения мелочей или согревания рук в холодную погоду. Дополнительные детали, такие как вышивка или логотип бренда Bilcee, подчеркивают высокое качество и стиль изделия.
- Воздухопроницаемость: Несмотря на хорошую теплоизоляцию, материал джемпера обеспечивает отличную воздухопроницаемость, предотвращая перегрев и обеспечивая комфорт при длительном ношении.
### Идеальный выбор для:
- Ежедневной носки в холодное время года
- Сочетания с джинсами, брюками или спортивными штанами
- Офисного стиля или неформальных встреч
- Активного отдыха и прогулок на свежем воздухе
Мужской утепленный джемпер Bilcee SWEAT SHIRT – это отличный выбор для тех, кто ценит высокое качество, стиль и комфорт. Он станет незаменимым элементом вашего гардероба, обеспечивая тепло и уют в любую погоду.</t>
  </si>
  <si>
    <t>Bilcee Men's Vest</t>
  </si>
  <si>
    <t>TB19MA17W1268-1-1005</t>
  </si>
  <si>
    <t>Мужской жилет на молнии. Прочная ткань, из которой изготовлен жилет, водонепроницаема и не деформируется благодаря своей прочной структуре. Жилет обеспечивает защиту от ветра, а водоотталкивающие свойства ткани защитят вас от намокания в дождливую погоду. 
Модель пухового жилета с воротником можно комбинировать с различными толстовками на ваш вкус. Набивка сохраняет тепло. Наслаждайтесь элегантностью и комфортом!</t>
  </si>
  <si>
    <t>Anorak, Hallis</t>
  </si>
  <si>
    <t>531447-4460</t>
  </si>
  <si>
    <t>Куртка анорак</t>
  </si>
  <si>
    <t>Жаркий летний день, и вдруг начинается дождик... Эта легкая куртка-анорак от Reima создана для таких моментов. Она сшита из ветронепроницаемого, водо- и грязеотталкивающего материала. Подол можно регулировать, а карман с клапаном на кнопках позволяет хранить деньги на мороженое и ключи от дома в безопасности. Эта куртка-анорак с фактором УФ-защиты 30+ отлично подходит, например, для катания в лодке.</t>
  </si>
  <si>
    <t>100% Полиамид</t>
  </si>
  <si>
    <t>5200004A-4010</t>
  </si>
  <si>
    <t>Этот универсальный и стильный спортивный худи станет незаменимой частью гардероба, обеспечивая комфорт и функциональность в любой ситуации. Изготовленный из инновационного материала, который невероятно эффективно отводит влагу, он гарантирует, что ваша кожа останется сухой даже в самых активных условиях. Использование переработанных волокон с сертификатом качества подчеркивает приверженность к устойчивому развитию и заботе об окружающей среде. Регулируемый капюшон добавляет практичности, позволяя адаптировать худи под любую погоду или стиль. Спереди расположен удобный карман-кенгуру, который идеально подходит для хранения мелких вещей или согрева рук. Завершающий штрих — изящная отделка с логотипом, придающая модели современный, модный вид. Этот худи не только функционален, но и станет стильным акцентом в вашем повседневном гардеробе, идеальным для занятий спортом, прогулок или просто для комфортного проведения времени.</t>
  </si>
  <si>
    <t>Tunic</t>
  </si>
  <si>
    <t>536408-3160</t>
  </si>
  <si>
    <t>Туника</t>
  </si>
  <si>
    <t>Повседневная туника для девочек — это идеальное сочетание стиля, комфорта и экологической ответственности. Изготовленная из уникальной смеси хлопка и материала Tencel®, эта туника дарит вашим детям исключительное ощущение мягкости и легкости. Tencel® — это экологически чистое волокно, получаемое из древесины, обеспечивающее дополнительные преимущества благодаря своим свойствам: материал "дышит", обеспечивает теплоизоляцию в холодные и прохладу в теплые дни, а также известен своей долговечностью и износостойкостью. Резинки на воротнике, манжетах и подоле не только добавляют элегантности и комфорта, но и облегчают одевание, обеспечивая превосходную посадку. Забавные боковые карманы придают модели очаровательный и игривый вид, позволяя носить с собой небольшие сокровища или просто согревать руки в прохладную погоду. Эта туника прекрасно подойдет для ежедневных прогулок, школьных занятий или семейных мероприятий, подчеркивая уникальный стиль вашей девочки.</t>
  </si>
  <si>
    <t>Windbreaker, Medvind</t>
  </si>
  <si>
    <t>531396-3501</t>
  </si>
  <si>
    <t>Эта детская ветровка – лучшее решение для ветреных летних дней. Она изготовлена из очень легкого, водоотталкивающего и дышащего материала с грязеотталкивающей пропиткой. Без подкладки куртка мало весит и не займет дополнительного места в рюкзаке. Так что смело отправляйтесь на пляж, на лодочные прогулки – куда захотите!</t>
  </si>
  <si>
    <t>Anorak, Haddom</t>
  </si>
  <si>
    <t>531446-4460</t>
  </si>
  <si>
    <t>Жаркий летний день, и вдруг начинается дождик... Эта легкая куртка-анорак от Reima создана для таких моментов. Она сшита из ветронепроницаемого, водо- и грязеотталкивающего материала. Подол можно регулировать, а карман с клапаном на кнопках позволяет хранить деньги на мороженое и ключи от дома в безопасности. Эта куртка-анорак с фактором УФ-защиты 30+ отлично подходит, например, для катания в лодке. Замечательный удлиненный и свободный крой.</t>
  </si>
  <si>
    <t>Windbreaker, Parasol</t>
  </si>
  <si>
    <t>531399-4419</t>
  </si>
  <si>
    <t>Reima просто в восторге от этой новой куртки для подростков! Она невероятно легкая и сшита из водоотталкивающего, ветронепроницаемого и дышащего материала без подкладки. Кроме того, эту куртку очень удобно носить с собой, ведь она сворачивается в собственный карман! Обратите внимание: предусматривает фактор УФ-защиты 50+!</t>
  </si>
  <si>
    <t>красный (коралловый)</t>
  </si>
  <si>
    <t>526434-4017</t>
  </si>
  <si>
    <t>Кофта</t>
  </si>
  <si>
    <t>536352-3225</t>
  </si>
  <si>
    <t>Эта кофта также полюбится ребенку, обожающему прыгать и скакать. Детская кофта сшита из материала Xylitol Cool, который тянется в четырех направлениях и обработан пропиткой с охлаждающим эффектом. Отверстия для больших пальцев на манжетах позволяют зафиксировать рукава на своем месте при езде на велосипеде.
Пропитка материала Reima Xylitol Cool обеспечивает охлаждающий эффект для кожи. Кроме того, температура поверхности кожи фактически будет снижаться на 1-3 градуса. Охлаждающий эффект обеспечивается за счет ксилита и эритрита – пищевых подсластителей. Поэтому пропитка безопасна и безвредна.</t>
  </si>
  <si>
    <t>88% Полиэстер, 12% эластан</t>
  </si>
  <si>
    <t>536352-3500</t>
  </si>
  <si>
    <t>Sweater, Winged</t>
  </si>
  <si>
    <t>536534-7860</t>
  </si>
  <si>
    <t>Детский свитер с воротником-стойкой Reima выполнен из нового мягкого материала, в состав которого входит переработанный полиэстер. Использование пищевых пластиковых бутылок в качестве сырья для полиэстера позволяет сокращать количество пластиковых отходов и создавать более экологичный флис.  Материал хорошо тянется, отводит влагу от кожи и очень удобен в носке. Он идеально подходит в качестве промежуточного слоя для школы или игр на улице в прохладные дни. Это идеальный промежуточный слой для занятий спортом: не слишком теплый и отводящий влагу от кожи.</t>
  </si>
  <si>
    <t>91% Полиэстер, 9% Эластан</t>
  </si>
  <si>
    <t>Windbreaker, Kuulto</t>
  </si>
  <si>
    <t>531521-7330</t>
  </si>
  <si>
    <t>Куртка Kuulto от Reima обладает особой силой, удивительной для такой сверхлегкой прозрачной ветровки. Фактор УФ-защиты 40+ означает, что в этой одежде дети могут безопасно провести на солнце в 40 раз больше времени. Материал очень легкий, с отличными ветрозащитными свойствами. Несъемный капюшон, регулируемый подол и передние карманы. Эту куртку можно свернуть и хранить в ее собственном кармане!</t>
  </si>
  <si>
    <t>536534-4560</t>
  </si>
  <si>
    <t>Shirt, Viluton</t>
  </si>
  <si>
    <t>5200011A-915A</t>
  </si>
  <si>
    <t>Секрет этой модели Reima — двусторонняя ткань. Основа из мягкой шелковистой вискозы отводит влагу и комфортна для кожи, а внешний шерстяной слой идеально сохраняет тепло. Бамбуковая вискоза отводит влагу с поверхности кожи и помогает детям сохранять ощущение свежести. Шерсть согревает, даже если ребенок вспотел после активных игр. Эта комбинация идеально подходит для сохранения комфорта и тепла как в помещении, так и на улице. На каждый день.</t>
  </si>
  <si>
    <t>48% шерсть, 43% Вискоза, 9% полиамид</t>
  </si>
  <si>
    <t>KELME Women's Hoodie</t>
  </si>
  <si>
    <t>6136TT2025-000</t>
  </si>
  <si>
    <t>Худи</t>
  </si>
  <si>
    <t>Худи Kelme с капюшоном для занятий спортом и отдыха. Премиальный хлопок, мягкий приятный к телу материал. Эластичные манжеты с полосками в ретро-стиле обеспечивают идеальную посадку. Стильный принт логотипа на груди.</t>
  </si>
  <si>
    <t>TB20WL11W8785-1-1057</t>
  </si>
  <si>
    <t>Женская хлопковая толстовка с капюшоном и карманом кенгуру.  Так как полиэстер при стирке впитывает очень мало воды, он очень быстро сохнет, а так же обладает свойством отталкивания влаги. Имеет мягкую текстуру, обладает свойством сохранять тепло. Благодаря быстросохнущей ткани вы будете чувствовать себя комфортно. Худи можно комфортно использовать в повседневной жизни. 
Для свободы движений на рукавах и подоле использована двухслойная ткань (кашорт). 
Благодаря своей теплой и мягкой ткани толстовка станет одним из незаменимых предметов одежды.</t>
  </si>
  <si>
    <t>6128TL2002-000</t>
  </si>
  <si>
    <t>526396-3880</t>
  </si>
  <si>
    <t>Эта детская толстовка — идеальный выбор для заботливых родителей, желающих подарить своему ребенку комфорт и уют на весь день. Изготовленая из тонкой и легкой мериносовой шерсти, она отличается мягкостью и приятными тактильными ощущениями, обеспечивая комфорт даже для самой нежной и чувствительной кожи. Натуральная шерсть славится своими уникальными свойствами: она обладает отличной терморегуляцией, позволяя сохранять тепло на улице и обеспечивая комфортную температуру в помещении. Кроме того, шерсть имеет натуральные грязеотталкивающие свойства, что делает свитер практичным в уходе и ношении. Шерстяная куртка Reima продумана до мелочей: длинная молния позволяет легко надевать и снимать изделие, а специальная защита для подбородка предотвращает случайные травмы и делает застегивание максимально безопасным для ребенка. Плоские швы искусно разработаны для предотвращения натирания и раздражения кожи, даря дополнительный комфорт и свободу движений. Этот свитер станет незаменимой частью детского гардероба, идеально подходя как для активных игр на свежем воздухе, так и для тихих домашних вечеров. Сочетая в себе высокие технологии и природные материалы, он служит примером надежного и стильного детского трикотажа.</t>
  </si>
  <si>
    <t>100% шерсть</t>
  </si>
  <si>
    <t>SWEATSHIRT</t>
  </si>
  <si>
    <t>214511-BS008</t>
  </si>
  <si>
    <t>Мужская олимпийка позволит вам тренироваться с комфортом.Она создана для тех, кто хочет быть в тренде и чувствовать себя комфортно благодаря ощущению второй кожи и гибкой структуре. Лазерная перфорация, использованная в модели, предотвращает потоотделение, позволяя коже соприкасаться с воздухом. Благодаря своей влагопоглощающей способности, ткань очень быстро сохнет.</t>
  </si>
  <si>
    <t>70% вискоза, 30% хлопок</t>
  </si>
  <si>
    <t>Softshell  Jacket</t>
  </si>
  <si>
    <t>TB21ML06W9343-1-1001</t>
  </si>
  <si>
    <t>Куртка softshell</t>
  </si>
  <si>
    <t>Спортивная мужская ветровка Bilcee на молнии с капюшоном - то, что нужно для бега. Толстовка имеет технологию Softshell. Боковые карманы на молнии, нагрудный карман.</t>
  </si>
  <si>
    <t>95% полиэстер 5% эластан</t>
  </si>
  <si>
    <t>Windbreaker, Kadermo</t>
  </si>
  <si>
    <t>531397-7302</t>
  </si>
  <si>
    <t>Эта детская ветровка с веселым принтом сшита из материала с водо- и грязеотталкивающими свойствами. Подкладка из mesh-сетки – комфортная и дышащая. Резинка на воротнике, манжетах и талии завершает стильный образ.</t>
  </si>
  <si>
    <t>черный, мультиколор</t>
  </si>
  <si>
    <t>Hoodie</t>
  </si>
  <si>
    <t>536601-2720</t>
  </si>
  <si>
    <t>Представляем вашему вниманию детскую толстовку с капюшоном от Reima, изготовленную из нового, невероятно комфортного материала, который сочетает в себе быстросохнущие и эластичные свойства. Эта толстовка не только удобна в носке, но и поддерживает экологическую осознанность, ведь материал содержит переработанные волокна полиэстера, что способствует снижению нагрузки на окружающую среду. 
Толстовка оснащена несъемным капюшоном, обеспечивающим защиту от ветра и легкого дождя, а также классическим карманом «кенгуру», в который ваш ребенок сможет согреть руки или хранить мелочи. Это делает модель практичной и функциональной для повседневной жизни. 
Толстовка идеально подходит в качестве промежуточного слоя для школы и активных игр на улице, обеспечивая свободу движений благодаря своей эластичности. Летом толстовка может быть использована как легкая защитная верхняя одежда, когда погода становится переменчивой. Сочетание передовых технологий и заботы об экологии делает эту модель не только стильной, но и ответственной покупкой для современного родителя, стремящегося к гармонии с природой. 
Эта толстовка станет надежным спутником вашего ребенка, сочетая комфорт, стиль и экологическую заботу в каждом стежке.</t>
  </si>
  <si>
    <t>89% полиэстер, 11% эластан</t>
  </si>
  <si>
    <t>KELME Men's Sweater</t>
  </si>
  <si>
    <t>6134TT1006-000</t>
  </si>
  <si>
    <t>Классический свитшот Kelme в стиле оверсайз. Круглый вырез горловины. Эластичные манжеты и нижний край в рубчик. Выполнен из мягкого приятного к телу материала. Масштабный принт из контурных линий, образующих логотип бренда. Безупречные швы.</t>
  </si>
  <si>
    <t>HOODIE BOX LOGO</t>
  </si>
  <si>
    <t>101510960</t>
  </si>
  <si>
    <t>верх 80% хлопок, 20% полиэстер</t>
  </si>
  <si>
    <t>FUN  TARTAN HOODIE SHIRT</t>
  </si>
  <si>
    <t>101989884</t>
  </si>
  <si>
    <t>CREWNECK BOX LOGO</t>
  </si>
  <si>
    <t>101989942</t>
  </si>
  <si>
    <t>65% хлопок, 31% полиэстер, 4% эластан</t>
  </si>
  <si>
    <t>101989997</t>
  </si>
  <si>
    <t>ACAI TARTAN HOODIE SHIRT</t>
  </si>
  <si>
    <t>101990038</t>
  </si>
  <si>
    <t>123391-5416</t>
  </si>
  <si>
    <t>Трикотажный однотонный кардиган с длинным рукавом — это воплощение уюта и комфорта, идеально подходящее для прохладных летних утренних часов или вечерних прогулок. Изготовленный из органического трикотажа со 100% органического хлопка, он обеспечивает мягкость и комфорт без неприятных ощущений на коже. Натуральный, экологически чистый материал, произведенный без применения химических веществ, делает его безопасным для самой чувствительной кожи, исключая риск раздражений и аллергий.Кардиган спроектирован с двумя практичными карманами, в которые можно положить небольшие предметы, такие как любимая игрушка, стильная заколка или другие необходимые мелочи, что добавляет дополнительное удобство и функциональность. Кардиган застегивается на пуговицы, что позволяет носить его как полностью застегнутым, так и ненавязчиво расстегнутым для создания легкого, непринуждённого образа.</t>
  </si>
  <si>
    <t>123391-9415</t>
  </si>
  <si>
    <t>123420-5314</t>
  </si>
  <si>
    <t>Симпатичный свитшот с длинным рукавом и сплошным рисунком — это идеальный выбор для прохладных летних вечеров или утренних прогулок. Уютный и милый дизайн с нежными розовыми и красными ягодами клубники создает гармоничный и свежий образ, который обязательно понравится маленькой моднице. Свитшот изготовлен из высококачественного органического материала, состоящего на 95% из хлопка и 5% из эластана. Эта комбинация делает ткань мягкой и приятной на ощупь, обеспечивая комфорт и не вызывая раздражений на коже. Дышащая и эластичная ткань не сковывает движений. Широкие резинки на горловине, манжетах и внизу свитшота обеспечивают удобство при надевании и ношении, избавляя от неприятных ощущений, таких как давление или натирание. Особенно удобно, что в размерах 86-92 предусмотрены кнопки на спине.</t>
  </si>
  <si>
    <t>123421-4900</t>
  </si>
  <si>
    <t>Симпатичный свитшот с длинным рукавом от бренда Minymo — это незаменимый элемент гардероба маленькой модницы, объединяющий удобство и стиль. Контрастный принт с надписью "hi" и яркий цвет делают свитшот выразительным и запоминающимся. Материал рисунка отличается особой мягкостью, словно плюш, что непременно понравится маленьким принцессам. Изготовленный на 95% из хлопка и 5% из эластана, он обеспечивает комфорт при носке, приятно прилегает к телу и не сковывает движений, даря полную свободу. 
Свитшот выполнен из органического материала, произведенного без применения химикатов, что гарантирует отсутствие раздражений и аллергических реакций на чувствительной детской коже.  Для самых маленьких модниц, модель размером 86-92 снабжена кнопками на спине, что облегчает процесс одевания и делает его приятным и беззаботным.</t>
  </si>
  <si>
    <t>123421-5523</t>
  </si>
  <si>
    <t>123422-2315</t>
  </si>
  <si>
    <t>Трикотажный свитер нежно-коричневого цвета с длинным рукавом и изящным ажурным рисунком.  Состав материала — 76% акрила и 24% нейлона — делает свитер практичным и долговечным, отлично удерживающим тепло и устойчивым к повреждениям. Мягкий и приятный на ощупь трикотаж гарантирует, что ваша маленькая принцесса будет чувствовать себя комфортно, и возможно даже не захочет с ним расставаться.
Свитер выполнен в свободном фасоне с широкими рукавами, чтобы ребенок мог свободно двигаться и не испытывать стеснения. Удобство ношения обеспечивается продуманными деталями: мягкие резинки на горловине, манжетах и нижнем крае изделия хорошо тянутся, обеспечивая аккуратное и комфортное прилегание к телу без давления.</t>
  </si>
  <si>
    <t>76 % акрил, 24 % нейлон</t>
  </si>
  <si>
    <t>123423-5314</t>
  </si>
  <si>
    <t>Изготовленный из органического трикотажа, свитер не был подвержен химической обработке, что обеспечивает безопасность для чувствительной детской кожи, минимизируя риск возникновения аллергии и раздражений.
Материал состоит из 100% хлопка, благодаря чему он остается невероятно мягким и комфортным к телу. Этот свитер не колется и дарит приятное ощущение при носке, делая его отличным выбором для чувствительной кожи детей. Фасон со свободным кроем и широкими рукавами создан специально для активных детей, обеспечивая полную свободу движений. Мягкие трикотажные резинки на горловине, манжетах и нижнем крае добавляют удобства, гарантируя нежное прилегание, не вызывающее дискомфорта. Этот свитер станет не только согревающей, но и стильной частью гардероба, которую ваша маленькая принцесса с удовольствием будет носить в прохладные дни.</t>
  </si>
  <si>
    <t>123435-7337</t>
  </si>
  <si>
    <t>Куртка тканая</t>
  </si>
  <si>
    <t>Стильная куртка из денима от бренда Minymo станет отличным дополнением к летнему наряду, когда погода становится ветреной или прохладной. Уникальные оборки на плечах, эффект потертости ткани и изысканный сплошной цветочный узор придают этой куртке нотку оригинальности и делают её настоящим модным акцентом в гардеробе маленькой модницы. Изготовленная из смеси хлопка, куртка обеспечивает отличную воздухопроницаемость и комфорт при носке, идеально подходя для активных летних дней. 
Благодаря добавлению 1% эластана, материал слегка тянется, что гарантирует свободу движений. Это особенно важно для девочек, которые любят активные игры: они смогут комфортно висеть на турниках или гоняться с друзьями, не ощущая стеснения. Кроме того, 19% полиэстера в составе ткани делает куртку невероятно прочной и долговечной, обеспечивая ей отличный внешний вид не один сезон.</t>
  </si>
  <si>
    <t>133391-8404</t>
  </si>
  <si>
    <t>Классный свитшот с принтом от Minymo — это стильное и удобное изделие, которое обязательно станет любимой вещью в гардеробе вашего ребенка. Он изготовлен из мягкой хлопковой смеси, которая приятна на ощупь и обеспечивает комфорт при носке в течение всего дня. Ткань легкая и дышащая, поэтому ребенок будет чувствовать себя уютно в любой ситуации, независимо от уровня активности. 
Главная изюминка дизайна — это яркий и забавный принт с изображением обезьяны на передней части свитшота, который непременно понравится детям и добавит игривости и индивидуальности их стилю. Ребристые края на шее, запястьях и внизу придают свитшоту аккуратный вид, обеспечивая хорошее прилегание и удерживая тепло, что особенно приятно в прохладные дни. 
Для удобства родителей и комфорта малышей, свитшоты в размерах 86–92 оснащены кнопками на плече.</t>
  </si>
  <si>
    <t>133392-8404</t>
  </si>
  <si>
    <t>Стильная кофта от бренда Minymo из мягкой узелковой пряжи — идеальный выбор для тех, кто ценит комфорт и модный внешний вид. Она изготовлена из качественного материала, состоящего на 95% из нежного хлопка и на 5% из эластана, что придаёт вещи дополнительную износостойкость и долговечность. Благодаря такому составу кофта обладает отличными впитывающими свойствами и быстро сохнет, обеспечивая ребёнку удобство и сухость независимо от активности. 
Горловина, манжеты и низ кофты собраны на эластичной резинке, что обеспечивает плотное прилегание к телу и защиту от простуды в ветреную погоду. Это особенно важно для сохранения тепла и комфорта на протяжении всего дня. В размерах 86-92 предусмотрены кнопки на плече, что облегчает процесс одевания и снятия, предотвращая возможный дискомфорт для маленьких детей и облегчая жизнь родителям на этапе сборов.</t>
  </si>
  <si>
    <t>133396-9113</t>
  </si>
  <si>
    <t>Полосатый трикотажный свитер от бренда Minymo — идеальное сочетание стиля и комфорта для вашего ребенка. Изготовленный из 100% органического хлопка, этот свитер обладает гипоаллергенными свойствами, что делает его безопасным и приятным для нежной детской кожи. Хлопок обеспечивает отличную воздухопроницаемость, благодаря чему свитер можно носить как зимой под пуховик, так и прохладными летними вечерами в качестве самостоятельной одежды. Эластичные резинки на горловине, манжетах и нижнем крае позволяют свитеру удерживать форму даже после многочисленных стирок, гарантируя долговечность и практичность изделия. Полосатый дизайн прекрасно сочетается с любыми элементами гардероба, что делает свитер универсальным дополнением к любому образу.</t>
  </si>
  <si>
    <t>133420-2055</t>
  </si>
  <si>
    <t>Изготовленый из мягкой и приятной к телу смеси хлопка, эта кофта обеспечивает максимальный комфорт. Натуральный материал обладает отличными дышащими свойствами, что позволяет поддерживать оптимальный микроклимат и отводить влагу даже во время самых активных игр, оставаясь сухой и комфортной. Дизайнеры прекрасно учли интересы детей, выбрав милый принт с изображением строительной техники, который не оставит равнодушным ни одного юного строителя. Элементы, такие как горловина и низ на резинке, делают толстовку практичной и удобной в повседневной носке — ее легко снимать и надевать, что особенно важно для маленьких детей. Эластичные манжеты обеспечивают дополнительное удобство — рукава не растягиваются, даже если их часто закатывать. Для самых маленьких, в размерах 86-92, предусмотрены кнопки на плече, которые значительно облегчают процесс одевания и раздевания малыша.</t>
  </si>
  <si>
    <t>5200106A-6639</t>
  </si>
  <si>
    <t>Модная толстовка Reima, идеально подходящая для прохладных дней. Благодаря большому капюшону и молнии спереди, его можно носить самостоятельно или использовать в качестве слоя</t>
  </si>
  <si>
    <t>531521-8130</t>
  </si>
  <si>
    <t>536348-3160</t>
  </si>
  <si>
    <t>Толстовка с капюшоном для детей - идеальный выбор для активных и заботливых родителей, которые хотят, чтобы их дети были всегда в тепле и комфорте. Изготовленная из нескатывающегося эластичного меланжевого материала jersey с теплым начесом, эта толстовка обеспечивает исключительное удобство и долговечность. Гладкая передняя часть дополняется стильным дизайном. Благодарю оснащенной фактором защиты от ультрафиолета 50+, ваше чадо будет надежно защищено от солнца во время игр на свежем воздухе. Регулируемый капюшон позволяет подгонять посадку для дополнительной защиты от ветра и холода. Полноразмерная молния с защитой подбородка гарантирует комфорт и безопасность, исключая возможность натирания. Практичные передние карманы идеально подходят для согревания рук и хранения мелочей, необходимых ребенку. Этот элемент гардероба станет неотъемлемой частью активной повседневной жизни вашего ребенка.</t>
  </si>
  <si>
    <t>Sweater, Brygge</t>
  </si>
  <si>
    <t>536353X-2370</t>
  </si>
  <si>
    <t>88% Полиэстер, 12% эластан;88% Полиэстер, 12% эластан</t>
  </si>
  <si>
    <t>536458-5810</t>
  </si>
  <si>
    <t>Представляем вашему вниманию уникальный предмет гардероба, который сочетает в себе стиль и практичность — изделие из специального материала, который не мнется и не скатывается. Теперь вы можете забыть о необходимости постоянного ухода за одеждой: материал сохраняет идеально презентабельный вид в течение длительного времени, даже при активном использовании. Одной из ключевых характеристик этого изделия является его способность эффективно выводить влагу. Это позволяет коже дышать, оставаясь сухой даже в интенсивных условиях, будь то занятия спортом или просто активный день. 
Специальный материал делает изделие необычайно комфортным, нежно прилегая к телу и не сковывая движений. Легкость и мягкость ткани обеспечивают дополнительный комфорт и свободу, делая его идеальным выбором для повседневной носки. Благодаря наличию молнии спереди, это изделие легко надевается и снимается, что особенно важно для детей и подростков.</t>
  </si>
  <si>
    <t>94% полиэстер, 6% эластан</t>
  </si>
  <si>
    <t>Vuori</t>
  </si>
  <si>
    <t>71203304-5140</t>
  </si>
  <si>
    <t>Комплект из вязаного флиса</t>
  </si>
  <si>
    <t>Холодная погода больше не станет преградой для увлекательных прогулок! Комплект из мягкого флиса предназначен для самых маленьких исследователей — детей в возрасте от года до 3 лет. Его можно носить как самостоятельный наряд, так и под верхней одеждой, что гарантирует тепло и комфорт даже в мороз. Теперь родители могут не беспокоиться о комфорте малыша во время активных игр на свежем воздухе.
Материал дышащий, поэтому даже при беготне, снежных баталиях или катании на санках, малыш не перегреется и не вспотеет. Комплект мягкий на ощупь и не вызывает раздражения на нежной коже, позволяя ребенку сосредоточиться на играх. Эластичные манжеты на руках и ногах плотно прилегают, не пропуская холодный воздух, а простой крой облегчает процесс надевания и снятия. Износостойкий материал сохраняет свой презентабельный вид даже после многочисленных стирок.
Характеристики:
- Сезон: Демисезон
Преимущества:
- Мягкий меланжевый флисовый трикотаж: выглядит как обычная кофта, но с преимуществами флиса
- Эффективно выводит влагу
- Содержит переработанные волокна с сертификатом качества</t>
  </si>
  <si>
    <t>71203304-6960</t>
  </si>
  <si>
    <t>Metsanhenki</t>
  </si>
  <si>
    <t>71206105-3110</t>
  </si>
  <si>
    <t>jumper  Saarni</t>
  </si>
  <si>
    <t>7200004A-4160</t>
  </si>
  <si>
    <t>Флисовый джемпер на молнии — незаменимая вещь для меняющейся погоды! В прохладные летние дни ребенок может носить его вместо верхней одежды, а весной — в качестве промежуточного слоя.
Материал подходит для активных прогулок: флис отведет лишнюю влагу наружу, и ребенок останется сухим и в тепле, если вспотеет. Родители будут спокойны за комфорт ребенка, а с собой не придется брать запасную одежду на случай энергичных игр!
Джемпер мягкий, приятный на ощупь, а еще теплый, легкий, эластичный и быстросохнущий. Уход за ним не требует особых усилий, даже после многократных стирок он не потеряет внешний вид и свойства. Можно не переживать за случайное пятнышко во время прогулки!
Молния во всю длину джемпера с защитой для подбородка позволит ребенку легко одеться самостоятельно. Эластичные манжеты на рукавах плотно облегают запястья, поэтому не пропускают внутрь холод и ветер. Джемпер не сковывает движений: можно бегать, прыгать, кататься на горках, кувыркаться — никаких ограничений!</t>
  </si>
  <si>
    <t>7200004A-6961</t>
  </si>
  <si>
    <t>Флисовый свитер Saarni на молнии для прохладной погоды. Можно использовать как верхнюю одежду в сухую погоду весной и осенью или поддевать в качестве промежуточного слоя в холода, тогда дышащий материал будет отводить влагу в верхний слой одежды. Высококачественный флис – это очень мягкий, теплый, эластичный, легкий и быстросохнущий материал, он идеально подходит для активных прогулок. Молния на всю длину с защитой для подбородка облегчает одевание. Эластичные манжеты на рукавах плотно облегают запястье, не пропуская внутрь ни холод, ни ветер, а также не позволяют рукавам смещаться при активном движении.</t>
  </si>
  <si>
    <t>Sweatshirt Haave</t>
  </si>
  <si>
    <t>7200024A-4672</t>
  </si>
  <si>
    <t>Подойдет для комфортных прогулок в прохладное время года.
Удобная толстовка не сковывает движений, в ней можно свободно бегать и прыгать. Никаких шансов замерзнуть или перегреться во время подвижных игр! Вязаный флис с мягким начесом защищает от ветра и отводит излишки влаги, когда ребенок потеет.
Сборы будут быстрыми, а прогулки — теплыми и уютными:
Молния проходит по всей длине — легко одеться самостоятельно.
На молнии есть защита — ребенок не поцарапает подбородок.
Регулируемый капюшон защищает от ветра.
Два боковых кармана, чтобы согреть руки или спрятать полезные мелочи.
Можно носить отдельно или надевать под верхнюю одежду для дополнительного утепления.
Легко ухаживать: толстовка сохраняет форму и цвет после многократных стирок.</t>
  </si>
  <si>
    <t>Sweatshirt Mieti</t>
  </si>
  <si>
    <t>7200029A-1920</t>
  </si>
  <si>
    <t>Толстовка разработана специально для активных видов спорта. Мягкий меланжевый трикотаж с начесом сохраняет тепло и комфорт при интенсивных нагрузках. Если ребенок вспотеет, ткань отведет лишнюю влагу наружу, чтобы это не мешало беззаботно кувыркаться, прыгать и играть!
Переработанный полиэстер делает толстовку износостойкой и прочной, а эластан в составе дает полную свободу движениям!
Экологичная и стильная модель с яркими вставками, в которой каждая деталь продумана для комфорта ребенка:
Защита подбородка предотвращает натирание и защемление кожи — ничто не испортит настроения!
Есть два кармана, в которых можно хранить ценные мелочи и прятать руки от холода.
Молния во всю длину, чтобы ребенок самостоятельно быстро снимал и надевал толстовку.</t>
  </si>
  <si>
    <t>92% Полиэстер, 8% эластан</t>
  </si>
  <si>
    <t>7200029A-2151</t>
  </si>
  <si>
    <t>7200029A-5451</t>
  </si>
  <si>
    <t>Elina</t>
  </si>
  <si>
    <t>72103221-2390</t>
  </si>
  <si>
    <t>Комплект дождевой</t>
  </si>
  <si>
    <t>Этот дождевой комплект идеально подходит для маленьких непосед, которые обожают прогулки в дождливую погоду. Специально разработанный водонепроницаемый материал и запаянные швы обеспечивают надежную защиту от влаги, позволяя ребёнку беззаботно прыгать по лужам, кататься с горок и бегать под дождем. Родители могут быть спокойны — ребёнок останется сухим и не замерзнет.
Регулируемые штрипки удерживают брюки на месте, предотвращая их задиры во время активных игр. Встроенные светоотражающие элементы повышают безопасность, делая юного исследователя видимым даже в вечернее время.
Характеристики:
- Сезон: Демисезон
- Водонепроницаемость: 10 000 мм
- Конструкция швов: Все швы запаяны и водонепроницаемы
Преимущества:
- Разработан как дождевой комплект
- Проклеенные швы для дополнительной защиты от влаги
- Регулируемые подтяжки на брюках для идеальной посадки</t>
  </si>
  <si>
    <t>72103221-6590</t>
  </si>
  <si>
    <t>Tihkusade</t>
  </si>
  <si>
    <t>72106107-9000</t>
  </si>
  <si>
    <t>полиэстер, ПУ покрытие</t>
  </si>
  <si>
    <t>Matto</t>
  </si>
  <si>
    <t>72204106-0160</t>
  </si>
  <si>
    <t>бежевый/синий</t>
  </si>
  <si>
    <t>флис шерпа</t>
  </si>
  <si>
    <t>Muste</t>
  </si>
  <si>
    <t>72205203-0100</t>
  </si>
  <si>
    <t>Nunataki</t>
  </si>
  <si>
    <t>72205206-4510</t>
  </si>
  <si>
    <t>100% полиэстер; доп.: 89% полиамид, 11% спандекс</t>
  </si>
  <si>
    <t>72206101-6140</t>
  </si>
  <si>
    <t>72206101-9470</t>
  </si>
  <si>
    <t>Birger</t>
  </si>
  <si>
    <t>72206106-6960</t>
  </si>
  <si>
    <t>72206106-8070</t>
  </si>
  <si>
    <t>73204108-9990</t>
  </si>
  <si>
    <t>Толстовка из ткани френч терри. Модель свободного силуэта без застежки. На горловине круглый вырез. Изготовлена из 100% хлопка. Это натуральный, дышащий и эластичный материал. Рукава и низ изделия обработаны рибом. Благодаря этому они лучше сохраняют форму.</t>
  </si>
  <si>
    <t>Nopeus</t>
  </si>
  <si>
    <t>73205213-5091</t>
  </si>
  <si>
    <t>82% полиэстер, 18% спандекс</t>
  </si>
  <si>
    <t>73205213-6910</t>
  </si>
  <si>
    <t>Perhonen</t>
  </si>
  <si>
    <t>73206111-8070</t>
  </si>
  <si>
    <t>Vaahtera</t>
  </si>
  <si>
    <t>73206116-3110</t>
  </si>
  <si>
    <t>73206116-9340</t>
  </si>
  <si>
    <t>73206116-9370</t>
  </si>
  <si>
    <t>Sweat Hoodie - Solid</t>
  </si>
  <si>
    <t>741400-5005</t>
  </si>
  <si>
    <t>Детская худи с капюшоном и стильным логотипом Color Kids — это превосходный выбор для активных прогулок и спортивных занятий, обеспечивая комфорт и свободу движения.Благодаря своему продуманному дизайну, эта худи не стесняет движений, позволяя ребенку активно бегать и играть, а её ткань почти не мнется, что сохраняет опрятный вид, даже если ребенок редко аккуратно складывает одежду.
Изготовленная из мягкого трикотажного материала, худи приятна к телу и подходит для длительного ношения. Ткань на 75% состоит из полиэстера и на 25% из вискозы, что придает ей эластичность и комфорт. Такое сочетание материалов обеспечивает не только устойчивость к износу и деформации, но и отличную впитываемость влаги. 
Дополнительным преимуществом является капюшон, защищающий ребенка от ветра и непогоды.</t>
  </si>
  <si>
    <t>741400-7850</t>
  </si>
  <si>
    <t>L.HOODIE SLIT</t>
  </si>
  <si>
    <t>DR10217985280013</t>
  </si>
  <si>
    <t>Diadora L.HOODIE SLIT - это стильная и функциональная худи, которая станет идеальным дополнением к спортивному или повседневному образу. 
Худи сделана из высококачественного материала, который обеспечивает непревзойденный комфорт и износостойкость. Ткань обладает хорошими вентиляционными свойствами, позволяя коже дышать и обеспечивая ощущение свежести в течение всего дня.
Дизайн включает в себя капюшон, что делает худи идеальной для защиты от холода или ветра. Кроме того, эластичные манжеты на рукавах и нижнем крае гарантируют снуг фит, оберегают от проникновения холода и сохраняют тепло.
Diadora L.HOODIE SLIT также имеет карман-кенгуру, который придает ей практическую ценность, предоставляя дополнительное пространство для хранения мелочей. 
Стильное оформление с легендарным логотипом Diadora на груди подчеркивает спортивный характер и заявляет о вашей приверженности знаменитому бренду. 
В общем, Diadora L.HOODIE SLIT - это стильная, функциональная и чрезвычайно комфортная худи, идеально подходящая как для тренировок, так и для повседневного ношения.</t>
  </si>
  <si>
    <t>80% хлопок, 20% полиэстер</t>
  </si>
  <si>
    <t>516559-5618</t>
  </si>
  <si>
    <t>Лето и насекомые просто неразделимы, но только не с этой футболкой Reima серии Anti-Bite. Материал — легкий и комфортный хлопковый джерси, изготовленный из 100 % хлопка. Это экологичный вариант, поскольку такой материал можно легко переработать. Кроме того, особая пропитка помогает отгонять насекомых. Зауженный крой.
Материал Reima Anti-Bite обработан пропиткой Si Repel Mosquito — нетоксичной и биоразлагаемой. Она защищает от комаров, мух, ос и даже вшей, но не наносит вред природе или насекомым. Пропитка репеллентом выдерживает до 100 циклов машинной стирки. Важно помнить, что даже несмотря на пропитку Anti-Bite, насекомые могут садиться на незащищенные участки кожи или другую одежду. Пропитка содержит синтетический репеллент, который защищает от укусов комаров. Экологичное и нетоксичное вещество не раздражает кожу.
Мягкий и удобный натуральный хлопок.
Удобный свободный крой.
Принт по всей поверхности.</t>
  </si>
  <si>
    <t>WOMEN KNITTING T-SHIRT</t>
  </si>
  <si>
    <t>TB24WL07S9735-1-1613</t>
  </si>
  <si>
    <t>Женская футболка Bilcee WOMEN KNITTING T-SHIRT с короткими рукавами и открытыми плечами изготовлена из высококачественного материала, состоящего из комбинации натурального хлопка и эластана. Хлопок обеспечивает мягкость и отличную воздухопроницаемость, что делает футболку идеальной для ношения в теплую погоду. Эластан добавляет эластичность и гибкость, что обеспечивает идеальное облегание и комфорт на протяжении всего дня.
Футболка выполнена в современном и элегантном дизайне, сочетающем в себе женственность и нотки кокетства. Открытые плечи придают образу романтичность и утонченность, выделяя вас из толпы. Короткие рукава и свободный крой обеспечивают свободу движений и комфорт, делая футболку подходящей как для повседневной носки, так и для особых случаев. Стильные цветовые решения и аккуратный логотип Bilcee добавляют изделию индивидуальности и премиальности.
Bilcee WOMEN KNITTING T-SHIRT продумана до мелочей для обеспечения максимального удобства. Открытые плечи фиксимируются эластичными вставками, которые предотвращают их сползание и обеспечивают комфортную посадку. Ткань эффективно отводит влагу, позволяя коже дышать и сохранять ощущение свежести на протяжении всего дня. Свободный крой и мягкий материал гарантируют отсутствие натираний и дискомфорта, даже при длительном ношении.
Эта футболка идеально подходит для различных ситуаций: прогулок по городу, встреч с друзьями, пляжных поездок, а также отдыха на природе. Её легко комбинировать с различными элементами гардероба, такими как джинсы, шорты, юбки и леггинсы, создавая стильные и современные образы. Открытые плечи привносят в ваш образ нотку романтики и легкости, акцентируя внимание на изящности и женственности.
Женская футболка Bilcee WOMEN KNITTING T-SHIRT с короткими рукавами и открытыми плечами – это идеальный выбор для тех, кто ценит стиль, комфорт и качество. Благодаря высококачественным материалам и продуманному дизайну, эта футболка станет незаменимым элементом вашего летнего гардероба, создавая неповторимые и привлекательные образы, подчеркивая вашу индивидуальность и вкус.</t>
  </si>
  <si>
    <t>93% хлопок, 7% эластана</t>
  </si>
  <si>
    <t>526425-011B</t>
  </si>
  <si>
    <t>Выбирая детскую футболку Reima из 100% органического хлопка, вы делаете осознанный выбор в пользу комфорта и экологии. Органический хлопок — это не только лучший выбор для нежной кожи вашего ребенка, но и забота о природе и окружающей среде. Этот материал выращивается без использования химических удобрений и пестицидов, что делает его безопасным и гипоаллергенным, идеально подходящим даже для самой чувствительной кожи. Детская футболка удивительно легкая и удобная, обеспечивая максимальный комфорт в течение всего дня, будь то активные игры или спокойный отдых. Кроме того, эта футболка порадует вашего ребенка яркими цветами и забавными рисунками, которые добавят радости и позитива в его гардероб. Футболка легко сочетается с любой другой одеждой, предоставляя множество вариантов для создания стильных образов. Она станет отличным выбором для повседневного ношения, прогулок в парке или встреч с друзьями, подчеркивая индивидуальность вашего ребенка. Помимо эстетики и комфорта, покупая органическую одежду, вы вносите свой вклад в сохранение окружающей среды, поддерживая устойчивое производство. Этот предмет одежды отражает современные тенденции в заботе о здоровье детей и состоянии планеты, показывая, что мода может быть не только красивой, но и ответственной.</t>
  </si>
  <si>
    <t>MONOGRAM AOP STRAP TOP</t>
  </si>
  <si>
    <t>IG0IG01360-0K4</t>
  </si>
  <si>
    <t>Топ</t>
  </si>
  <si>
    <t>Этот детский топ Calvin Klein MONOGRAM AOP STRAP - прекрасное сочетание стиля и комфорта для вашего малыша! С его современным дизайном и узнаваемым логотипом Calvin Klein, этот топ станет главным акцентом в гардеробе вашего ребенка. Яркий принт с монограммами добавляет изысканности и индивидуальности наряду, позволяя вашему ребенку выделиться среди остальных и подчеркнуть свою уникальность. Изготовленный из качественных материалов, этот топ обеспечивает максимальную комфортность для вашего ребенка. Благодаря регулируемым лямкам, он легко подстраивается под индивидуальные потребности, обеспечивая идеальную посадку и поддержку. Этот топ идеально подходит для различных сезонов и мероприятий - от летних прогулок до спортивных тренировок. Он легко сочетается с шортами, джинсами или спортивными брюками, создавая стильный и удобный образ. Долговечный и качественный, этот топ Calvin Klein MONOGRAM AOP STRAP будет радовать вашего ребенка долгое время. Независимо от того, насколько активен ваш малыш, этот топ выдержит любые игры и приключения. Позвольте вашему ребенку ощутить исключительный стиль и комфорт с топом Calvin Klein MONOGRAM AOP STRAP. Незабываемый дизайн, регулируемые лямки и удобство долгих носков - все это делает его незаменимым элементом гардероба вашего малыша.</t>
  </si>
  <si>
    <t>80% вискоза, 20% полиамид</t>
  </si>
  <si>
    <t>L. SS T-SHIRT</t>
  </si>
  <si>
    <t>DR10217911955050</t>
  </si>
  <si>
    <t>Diadora L. SS T-SHIRT представляет собой женскую спортивную футболку с коротким рукавом, предназначенную для занятий спортом и активного отдыха. Эта футболка сочетает в себе комфорт, функциональность и модный дизайн, что делает её подходящей для разнообразной спортивной деятельности. Вот некоторые ключевые характеристики женской футболки Diadora L. SS T-SHIRT:
1. Материал: Обычно изготовлена из легких и дышащих тканей, которые обеспечивают хороший отвод влаги, сохраняя ощущение свежести и сухости даже во время интенсивных тренировок.
2. Крой: Женственный и слегка зауженный крой подчеркивает фигуру, при этом не ограничивая движений, и обеспечивает высокий уровень комфорта при носке.
3. Дизайн: Diadora заботится о том, чтобы спортивная одежда также была стильной, поэтому футболка может иметь современный дизайн с яркими цветами и принтами, а также логотипом бренда, который придает узнаваемость и подчеркивает спортивный стиль.
4. Воротник: Круглый воротник обеспечивает классический внешний вид и удобство при носке.
5. Универсальность: Хоть и предназначена для спорта, благодаря своему дизайну и комфортности, футболку можно носить в повседневной жизни, сочетая с различными элементами одежды.
Для занятий спортом или просто комфортного времяпровождения в теплую погоду, женская футболка Diadora L. SS T-SHIRT является отличным выбором, сочетая в себе качество изготовления и эстетическую привлекательность.</t>
  </si>
  <si>
    <t>сиреневый</t>
  </si>
  <si>
    <t>36-38</t>
  </si>
  <si>
    <t>Kelme T-shirt</t>
  </si>
  <si>
    <t>6227TX2013-100</t>
  </si>
  <si>
    <t>Женская футболка Kelme - это стильная и комфортная футболка, созданная специально для активных женщин. Футболка выполнена из высококачественного материала, который обеспечивает отличную прочность и долговечность. Она также обладает отличной воздухопроницаемостью, что позволяет телу дышать даже во время интенсивных тренировок или активных занятий спортом. 
Футболка Kelme имеет стильный и современный дизайн, который подчеркивает вашу индивидуальность. Она идеально сочетается с различными спортивными и повседневными нарядами, позволяя создавать разнообразные образы. 
Важное преимущество этой футболки - это ее комфортный крой. Она обеспечивает свободу движений и максимальный комфорт во время активных занятий. Благодаря своей универсальности и высокому качеству, футболка Kelme станет незаменимой вещью в вашем гардеробе.</t>
  </si>
  <si>
    <t>72% хлопок 28% полиэстер</t>
  </si>
  <si>
    <t>L. TANK CLAY</t>
  </si>
  <si>
    <t>DR10217411850122</t>
  </si>
  <si>
    <t>Женская теннисная майка. Не следует пренебрегать женственностью и на теннисном корте. Легкая эластичная полиэфирная ткань этой майки обеспечивает максимальный комфорт во время тренировок, не забывая при этом о женственности. Мягкий топ с V-образным вырезом из эластичной сетки с боковыми вставками с принтом и вырезанной лазером вставкой на плечах. Сотовая структура ткани, разработанная компанией Diadora. Эффективно впитывает и отводит влагу и пот. Плоские швы для максимального комфорта.</t>
  </si>
  <si>
    <t>88% полиэстер 12% эластан</t>
  </si>
  <si>
    <t>Race Tank W NN Black</t>
  </si>
  <si>
    <t>N1CWRT2-005</t>
  </si>
  <si>
    <t>Крой: Выберите на размер больше
Улучшенный материал: Наша чёрная майка Race теперь на 90 % состоит из переработанных материалов и обеспечивает непревзойдённую воздухопроницаемость и исключительно лёгкие ощущения при носке.
Экологичность и износостойкость: Этот топ создан с расчётом на долговечность и минимальное воздействие на окружающую среду, сочетая невесомый дизайн с надёжной прочностью.
Воздухопроницаемость и лёгкость: Почувствуйте свободу в нашем самом лёгком топе на сегодняшний день, который благодаря эргономичному крою спины, разработанному для гонок, помогает демонстрировать максимальную производительность.</t>
  </si>
  <si>
    <t>Race T-Shirt W Nature AI Print</t>
  </si>
  <si>
    <t>N1CWTS2-007</t>
  </si>
  <si>
    <t>Футболка Race от NNormal обеспечивает превосходные ощущения во время бега благодаря улучшенному крою. Изготовлена из переработанных материалов, а новый дизайн вдохновлён природными оттенками.
Из переработанных материалов: этот беговой топ на 90 % состоит из переработанных материалов и обеспечивает непревзойдённо лёгкие ощущения при носке.
Инновационный дизайн: мы объединили природные цвета с возможностями искусственного интеллекта, чтобы создать уникальный дизайн с собственной историей.
Исключительная лёгкость: эта модель станет вашим незаменимым спутником на тех пробежках, где вы стремитесь к максимально лёгким ощущениям.</t>
  </si>
  <si>
    <t>серо-голубой</t>
  </si>
  <si>
    <t>SS RLXD ARCHIVE LOGO</t>
  </si>
  <si>
    <t>LV040HM229-UB1</t>
  </si>
  <si>
    <t>T-shirt, Lupaava</t>
  </si>
  <si>
    <t>7200047A-6961</t>
  </si>
  <si>
    <t>Даже жаркая погода не преграда для активных прогулок и спорта. Весь секрет — в правильной футболке! 
Когда ребенок потеет, ткань выводит наружу лишнюю влагу и быстро высыхает. А еще в футболке удобно бегать, прыгать, играть и заниматься спортом: она хорошо тянется и не мешает активно двигаться за счет прямого кроя. 
С ярким и стильным принтом летнее настроение обеспечено!
В составе — переработанные волокна с сертификатом качества. Выбирая эту футболку, вы делаете вклад в заботу об окружающей среде и поддерживаете экологичное производство одежды.</t>
  </si>
  <si>
    <t>Legacy American Classics V-Neck T-Shirt</t>
  </si>
  <si>
    <t>113331-YS094</t>
  </si>
  <si>
    <t>Женская футболка Champion из коллекции Legacy - American Classics. Простой классический крой, V-образный ворот. Логотип маленький с одной стороны, принт. Посадка "R" Regular (регуляр) по фигуре. Ткань Light Cotton Jersey gr.150, хлопок. Футболка подойдет для повседневного и спортивного образа. Базовый элемент гардероба на каждый день. Вид материала: трикотаж. Стирать при температуре 30 градусов, следовать инструкциям на этикетке.</t>
  </si>
  <si>
    <t>хлопок 100%</t>
  </si>
  <si>
    <t>Race T-Shirt NN Black</t>
  </si>
  <si>
    <t>N1CMTS2-004</t>
  </si>
  <si>
    <t>Революционизируй свой забег с обновлённой футболкой Race от Nnormal, которая теперь изготавливается из высококачественного переработанного материала, обеспечивая непревзойдённую воздухопроницаемость и лёгкость. Этот экологичный, точно скроенный дизайн превосходит предыдущие модели и предлагает удобный универсальный размер, который идеально подходит для любых дистанций и целей.</t>
  </si>
  <si>
    <t>Race T-Shirt Nature AI Print</t>
  </si>
  <si>
    <t>N1CMTS2-007</t>
  </si>
  <si>
    <t>123381-4535</t>
  </si>
  <si>
    <t>Красивая футболка с длинными рукавами для девочек от бренда Minymo — модный вариант для прогулок в прохладную погоду!
Футболка изготовлена из приятного к телу гладкого трикотажа на основе 95% хлопка и 5% эластана. Она не будет натирать, даже если поверх надеть куртку или толстовку. Благодаря эластану футболка не вытянется и сохранит форму после десятка стирок — ребенок проносит любимую вещь дольше. А еще хлопок не интересен моли, поэтому с хранением одежды тоже не будет проблем.
На рукавах футболки — эластичные манжеты, что обеспечивает комфорт в носке. Рукава не будут задираться или даже спадать на лицо, если ребенок вдруг решит вскарабкаться по шведской стенке или повисеть на спортивных кольцах на детской площадке.
Складки на плечах и манжетах, а также красивая оборка с объемной надписью Smile придают изделию стильный вид. Футболки в размерах 86-92 застегиваются на потайные кнопки на плече — можно легко и быстро собраться на улицу.</t>
  </si>
  <si>
    <t>123413-5523</t>
  </si>
  <si>
    <t>Нежная футболка с длинным рукавом — это практичный и милый наряд для девочки. Этот лонгслив изготовлен из гладкого органического трикотажа, в состав которого входит 95% хлопка и 5% эластана. Такая комбинация делает ткань мягкой, дышащей и гипоаллергенной, что позволяет избежать раздражений и аллергий, гарантируя комфорт даже для самых активных девочек, которые не сидят на месте. Кроме того, он обладает отличной эластичностью. Надеть лонгслив будет легко даже на малышку ростом 86-92 сантиметра, благодаря потайным кнопкам на плече, которые позволяют расширить горловину и избежать капризов при одевании. Очаровательные оборки на плечах, рукава-фонарики и приглушенный розовый цвет придают наряду особую женственность и привлекательность.</t>
  </si>
  <si>
    <t>516566-6982</t>
  </si>
  <si>
    <t>Футболка купальная</t>
  </si>
  <si>
    <t>Яркая летняя футболка удержит солнце на расстоянии. Футболка для малышей из материала SunProof с УФ-фильтром 50+ обеспечивает эффективную защиту от вредных солнечных лучей вплоть до локтей. Фигурный удлиненный подол защищает нижнюю часть спины. Эластичный материал быстро сохнет и позволяет использовать футболку как для плавания, так и для игр на солнце. Модель разработана для длительного времяпровождения на пляже. Сделайте выбор в пользу экологии: материал содержит волокна полиэстера из вторично переработанных ПЭТ-бутылок. Преимущества:
Содержит переработанные волокна с сертификатом качества.
Плавательная футболка с рукавами до локтя.
Фактор защиты от ультрафиолета 50+.
Reima SunProof.
Удлиненный подол сзади для дополнительной защиты.</t>
  </si>
  <si>
    <t>83% полиэстер, 17% эластан</t>
  </si>
  <si>
    <t>Reima T-shirt</t>
  </si>
  <si>
    <t>536411-3161</t>
  </si>
  <si>
    <t>T-shirt Ajatus</t>
  </si>
  <si>
    <t>7200044A-0110</t>
  </si>
  <si>
    <t>Эта хлопковая и стильная футболка — настоящий мастхэв летнего гардероба для вашего ребенка! Она идеально подходит для активных дней, когда малыши бегают, играют и просто гуляют на свежем воздухе. Футболка выполнена из эластичной ткани, что делает ее свободной и не стесняющей движений, позволяя ребенку чувствовать себя комфортно и свободно в любой ситуации. Изготовлена из органического хлопкового трикотажа, эта футболка особенно приятна к телу, обеспечивая мягкость и уютный контакт с кожей. Использование органического хлопка также означает заботу о здоровье вашего ребенка и окружающей среде. Благодаря высоким воздухопроницаемым свойствам материала, в ней легко поддерживается комфортный микроклимат, что особенно важно в жаркую погоду.</t>
  </si>
  <si>
    <t>7200044A-0920</t>
  </si>
  <si>
    <t>T-shirt W. Print</t>
  </si>
  <si>
    <t>720185-3040</t>
  </si>
  <si>
    <t>Дети часто переключаются с одной активности на другую: сначала катаются с водных горок, а потом играют на детской площадке рядом. Чтобы не переживать за нежную кожу ребенка и не бегать за ним с солнцезащитным кремом, можно взять малышу футболку для плавания! 
В составе трикотажной ткани изделия — 80% полиамида и 20% эластана. Материал прочный, поэтому такая футболка прослужит не один год. Ткань хорошо тянется и не будет сковывать движения ребенка в воде — в футболке можно плавать. К тому же, материал быстро сохнет, поэтому когда малыш выйдет из воды, не успеет замерзнуть. 
Кроме того, ткань не выцветает и не садится после стирки. На отдыхе ребенку будет комфортно, а вам не придется заморачиваться с уходом за футболкой — в гардеробе малыша станет на одну практичную вещь больше! Футболка станет надежным выбором для родителей, ищущих комфорт и стиль в одном изделии.</t>
  </si>
  <si>
    <t>80 % полиамид, 20 % эластан</t>
  </si>
  <si>
    <t>720185-3400</t>
  </si>
  <si>
    <t>720185-4196</t>
  </si>
  <si>
    <t>Tarina</t>
  </si>
  <si>
    <t>72205202-0100</t>
  </si>
  <si>
    <t>72205202-0101</t>
  </si>
  <si>
    <t>72205202-9990</t>
  </si>
  <si>
    <t>Pingviini</t>
  </si>
  <si>
    <t>72206303-0160</t>
  </si>
  <si>
    <t>69% бамбук, 28% полиэстер, 3% эластан</t>
  </si>
  <si>
    <t>72206303-3110</t>
  </si>
  <si>
    <t>72206303-3111</t>
  </si>
  <si>
    <t>72206303-6140</t>
  </si>
  <si>
    <t>72206303-8070</t>
  </si>
  <si>
    <t>Amber</t>
  </si>
  <si>
    <t>72206306-0100</t>
  </si>
  <si>
    <t>95% хлопок, 5% спандекс</t>
  </si>
  <si>
    <t>72206306-6140</t>
  </si>
  <si>
    <t>72206306-6960</t>
  </si>
  <si>
    <t>Uiva</t>
  </si>
  <si>
    <t>72206308-6610</t>
  </si>
  <si>
    <t>72206308-8300</t>
  </si>
  <si>
    <t>Liitu</t>
  </si>
  <si>
    <t>73204405-0100</t>
  </si>
  <si>
    <t>Поло средней длины со свободным силуэтом. Модель имеет рубашечный воротник и застежку на две пуговицы. Изготовлено из 100% полиэстера. Плотность ткани — 150 г/м². Благодаря обработке EASY CARE ткань легко гладится и меньше мнется.</t>
  </si>
  <si>
    <t>73204405-8020</t>
  </si>
  <si>
    <t>Rotu</t>
  </si>
  <si>
    <t>73205214-6520</t>
  </si>
  <si>
    <t>Lisko</t>
  </si>
  <si>
    <t>73206104-6960</t>
  </si>
  <si>
    <t>Karitsa</t>
  </si>
  <si>
    <t>73206118-0100</t>
  </si>
  <si>
    <t>73206118-9470</t>
  </si>
  <si>
    <t>Tammi</t>
  </si>
  <si>
    <t>73206119-0160</t>
  </si>
  <si>
    <t>73206119-6960</t>
  </si>
  <si>
    <t>73206119-9370</t>
  </si>
  <si>
    <t>73206311-0100</t>
  </si>
  <si>
    <t>73206311-4040</t>
  </si>
  <si>
    <t>73206311-6140</t>
  </si>
  <si>
    <t>T-shirt W. Print - S/S</t>
  </si>
  <si>
    <t>741429-7150</t>
  </si>
  <si>
    <t>футболка</t>
  </si>
  <si>
    <t>Эта стильная футболка с модным рисунком станет неотъемлемой частью гардероба любого юного модника, сочетая в себе практичность и выразительный дизайн. Она идеально подходит для повседневного ношения, активных игр и занятий спортом. Благодаря составу, включающему 90% полиэстера и 10% эластана, футболка обладает отличной эластичностью, что позволяет свободно двигаться и чувствовать себя комфортно в любой ситуации. 
Универсальность материала делает футболку идеальной для различных активностей: ваш ребенок сможет без ограничений бегать, прыгать и заниматься спортом, не ощущая сковывающей одежды. Это особенно важно для детей с высоким уровнем энергии и активным образом жизни. Материал, из которого выполнена футболка, быстро сохнет, что весьма удобно для повседневного использования и упрощает уход за изделием.</t>
  </si>
  <si>
    <t>90 % полиэстер, 10 % эластан</t>
  </si>
  <si>
    <t>741429-7850</t>
  </si>
  <si>
    <t>741437-7150</t>
  </si>
  <si>
    <t>Модная футболка для мальчиков с современным рисунком — это идеальный выбор для повседневного гардероба вашего ребенка. Благодаря стильному, но ненавязчивому дизайну, она прекрасно сочетается с любой одеждой, будь то джинсы, шорты или спортивные брюки, добавляя яркий акцент к любому образу. Изготовленная из 100% хлопка, футболка обеспечивает непревзойденный комфорт, так как хлопковая ткань гипоаллергенна и идеально подходит для детей с чувствительной кожей. Натуральное волокно не только защищает кожу от раздражений, но и позволяет ей дышать, что особенно важно в жаркую погоду. Даже после многочисленных стирок хлопок сохраняет свою форму и насыщенность цвета, обеспечивая долговечность изделия. Эта футболка станет вашей любимицей на любое время года, ведь она не только практичная, но и стильная, делая вашего мальчика центром внимания на детской площадке и на прогулке в парке. Соответствует потребностям активных детей, позволяя им исследовать мир с комфортом и уверенностью.</t>
  </si>
  <si>
    <t>RACE TANK NN BLACK</t>
  </si>
  <si>
    <t>N1CMRT2-005</t>
  </si>
  <si>
    <t>Улучшенный материал: Обеспечивает непревзойдённую воздухопроницаемость и исключительно лёгкие ощущения при носке.
Экологичность и износостойкость: Этот топ создан с расчётом на долговечность и минимальное воздействие на окружающую среду, сочетая невесомый дизайн с надёжной прочностью.
Воздухопроницаемость и лёгкость: Почувствуйте свободу в нашем самом лёгком топе на сегодняшний день, который благодаря эргономичному крою спины, разработанному для гонок, помогает демонстрировать максимальную производительность.</t>
  </si>
  <si>
    <t>Beanie</t>
  </si>
  <si>
    <t>528575-9781</t>
  </si>
  <si>
    <t>Представляем вашу внимание легкую трикотажную шапку из хлопка, которая станет незаменимой в прохладные летние вечера и при ветреной погоде. Эта шапка идеально сочетает в себе стиль и функциональность, обеспечивая комфорт и защиту от ветра. Изготовлена из высококачественного хлопкового трикотажа, шапка отличается мягкостью и приятными тактильными ощущениями, позволяя коже дышать и предотвращая перегрев. Отсутствие подкладки делает её особенно лёгкой и удобной для ношения даже в тёплые дни.
Практичные завязки присутствуют в размерах 44/46 и 48/50, что обеспечивает надёжную фиксацию на голове и предотвращает спадание, гарантируя максимальный комфорт и безопасность даже для самых активных детей. Стильный и минималистичный дизайн позволяет легко сочетать шапку с различной одеждой, будь то повседневные наряды или более спортивные образы.
Эта шапка — отличный выбор для родителей, которые ищут универсальный аксессуар для защиты своего ребёнка от непогоды, обеспечивая при этом свободу движений и комфорт. Не забывайте, что хлопковый материал делает шапку лёгкой в уходе и долговечной.</t>
  </si>
  <si>
    <t>518585-1124</t>
  </si>
  <si>
    <t>Шапка-бини</t>
  </si>
  <si>
    <t>Эта двусторонняя модель шапки прекрасно сочетает в себе стиль и комфорт, предлагая вашему ребёнку идеальный аксессуар на каждый день. Изготовленная из эластичного трикотажа из натурального хлопка, она обеспечивает мягкость и приятные ощущения при носке. Материал шапки сертифицирован по стандарту Control Union 1060618, что гарантирует органическое производство и высокое качество. С обеих сторон шапка имеет сплошную подкладку из джерси, сделанную из смеси натурального хлопка, что обеспечивает дополнительное тепло и уют. Яркий принт по всей поверхности добавляет выразительности и индивидуальности, делая эту модель не только практичной, но и стильной. Выбирайте этот аксессуар для защиты и модного акцента в гардеробе вашего ребёнка.</t>
  </si>
  <si>
    <t>кроричневый/розовый</t>
  </si>
  <si>
    <t>528575-4621</t>
  </si>
  <si>
    <t>Beanie, Talvinen</t>
  </si>
  <si>
    <t>5300099A-4500</t>
  </si>
  <si>
    <t>Новая шапка Reima из мериносовой шерсти с восхитительной подкладкой из смеси такой же шерсти и материала Tencel® прекрасно сохраняет тепло в любую зимнюю погоду. Она представлена с забавным помпоном и в красивых сезонных расцветках.</t>
  </si>
  <si>
    <t>100% Шерсть</t>
  </si>
  <si>
    <t>Beanie, Pohjoinen</t>
  </si>
  <si>
    <t>528721-4011</t>
  </si>
  <si>
    <t>Это шапка мечты для маленького любителя зимних прогулок! Внешний слой из натуральной овечьей шерсти в сочетании с флисовой подкладкой и ветронепроницаемым материалом в области ушей позволяют дольше сохранять тепло.</t>
  </si>
  <si>
    <t>HERMAN</t>
  </si>
  <si>
    <t>HERMAN JUSTIN</t>
  </si>
  <si>
    <t>80-317-02-00</t>
  </si>
  <si>
    <t>Вязаная шапка с помпоном. Модель JUSTIN 8100 выполнена в бежевом цвете объемным плетеным узором. Сбоку головной убор украшает небольшой деревянный значок с логотипом бренда HERMAN.</t>
  </si>
  <si>
    <t>30% шерсть - 70% акрил</t>
  </si>
  <si>
    <t>ONE</t>
  </si>
  <si>
    <t>54-61 см</t>
  </si>
  <si>
    <t>Beanie, Tunturissa</t>
  </si>
  <si>
    <t>528718-4011</t>
  </si>
  <si>
    <t>Детская шапка выпускается в модных цветах сезона и не даст замерзнуть даже в самые морозные дни! Мягкая подкладка добавляет тепла и дарит комфорт, так как быстро сохнет и хорошо отводит влагу от кожи. Эластичный трикотаж обеспечивает плотное прилегание к голове, а ветронепроницаемые вставки по бокам защищают уши от холодного ветра.</t>
  </si>
  <si>
    <t>518585-8921</t>
  </si>
  <si>
    <t>Superdry</t>
  </si>
  <si>
    <t>S-DRY SNOW LOGO BEANIE</t>
  </si>
  <si>
    <t>G90002KP-YGI</t>
  </si>
  <si>
    <t>Вязаная шапка с помпоном от Superdry JPN: Уют, тепло и утонченный зимний стиль
Эта шапка — идеальный спутник холодных дней, сочетающий в себе теплоту ручной вязки, современный дизайн и узнаваемый брендовый шарм. Насыщенный горчичный цвет, объемная фактура и пушистый помпон создают образ, полный уюта и стиля — будто вы оделись для прогулки по заснеженному городу или уютного вечера у камина.
Цвет и материал:
Изготовлена из плотной акриловой пряжи — мягкая, теплая, не колется, отлично держит форму и не теряет вид после стирок.
Дизайн и детали:
Объемная аранская вязка — текстурированный узор с переплетающимися косами придает шапке рельефность, объем и визуально согревает даже взглядом.
Плотный резинчатый ободок — хорошо облегает голову, не сползает и не давит, обеспечивая идеальную посадку.
Пушистый помпон из искусственного меха — серо-коричневого оттенка с естественным переходом цветов — добавляет игривости, уюта и завершенности образу.
На ободке — кожаная нашивка с логотипом «Superdry» — тонкий, но важный акцент, подчеркивающий качество и принадлежность к известному бренду.
Стиль и сочетаемость:
Идеально сочетается с джинсовой курткой, пуховиком, шерстяным пальто или паркой — создает цельный, уютный и модный зимний ансамбль.
Подойдет к шарфам, перчаткам и ботинкам в коричневых, бежевых или серых тонах — легко вписывается в любой стиль.
Сочетается с джинсами, брюками, юбками и платьями — универсальна для повседневного, офисного или выходного образа.
Почему стоит выбрать эту шапку?
Она — не просто аксессуар, а настроение зимы: тепло, уют, стиль и легкая ностальгия по детству. Это идеальный выбор для тех, кто ценит качество, продуманный дизайн и вещи, которые служат долго. Подойдет как женщине, так и мужчине — универсальна по стилю и размеру.</t>
  </si>
  <si>
    <t>100% Акрил</t>
  </si>
  <si>
    <t>ONE SIZE</t>
  </si>
  <si>
    <t>SPOT POP COLOUR BEANIE</t>
  </si>
  <si>
    <t>G90003YN-YDA</t>
  </si>
  <si>
    <t>Вязаная шапка Superdry с контрастным дизайном: Смелый стиль, тепло и уличный шик
Эта шапка — настоящий акцент зимнего гардероба. Сочетание монохромной фактуры, яркого неонового обода и пушистого помпона создает образ, полный энергии, индивидуальности и городского стиля. Идеально подойдет тем, кто хочет выглядеть модно — даже в мороз.
Материал:
Изготовлена из плотной акриловой пряжи — мягкая, теплая, не колется и отлично держит форму даже после многократных носок и стирок.
Дизайн и детали:
Объемная фактурная вязка — крупные петли создают рельефную поверхность, которая визуально согревает и добавляет шапке характера.
Плотный резинчатый ободок — хорошо облегает голову, не сползает, не давит и идеально сочетается с любым стилем.
Пушистый помпон из смесовой пряжи — повторяет узор основы шапки, добавляя игривости и завершенности образу.
Стиль и сочетаемость:
Идеально сочетается с джинсовой курткой, паркой, пуховиком или кожаной курткой — создает цельный, современный и модный ансамбль.
Подойдет к шарфам, перчаткам и ботинкам в черном, белом, сером или ярких тонах — легко вписывается в любой стиль.
Сочетается с джинсами, брюками, юбками и платьями — универсальна для повседневного, офисного или выходного образа.
Почему стоит выбрать эту шапку?
Она — воплощение уличного стиля: не кричащая, но запоминающаяся; удобная, но элегантная; практичная, но с характером. Это не просто шапка — это универсальный аксессуар, который подчеркнет вашу индивидуальность и станет вашим любимым выбором на каждый день.
Superdry — когда уют встречается со стилем.
Наденьте эту шапку — и вы почувствуете себя уверенно, стильно и готовой ко всему, что принесет зима.</t>
  </si>
  <si>
    <t>NEBRASKA CABLE BEANIE</t>
  </si>
  <si>
    <t>G90003YP-02A</t>
  </si>
  <si>
    <t>Вязаная шапка с натуральным помпоном: Элегантность, тепло и зимний шик
Эта шапка — идеальный выбор для тех, кто ценит классику, качество и уют. Фактурная аранская вязка и пушистый помпон из натурального меха создают образ, полный элегантности и тепла — будто вы оделись для вечерней прогулки по заснеженному городу или уютного вечера в горах.
Материал:
Изготовлена из плотной акриловой пряжи высокого качества — мягкая, теплая, не колется, отлично держит форму и не теряет вид после стирок.
Дизайн и детали:
Объемная аранская вязка — текстурированный узор с переплетающимися косами придает шапке рельефность, объем и визуально согревает даже взглядом.
Плотный резинчатый ободок — хорошо облегает голову, не сползает и не давит, обеспечивая идеальную посадку.
Пушистый помпон — добавляет игривости, уюта и завершенности образу. Мех выглядит натуральным и качественным.
Стиль и сочетаемость:
Идеально сочетается с джинсовой курткой, пуховиком, шерстяным пальто или паркой — создает цельный, уютный и модный зимний ансамбль.
Подойдет к шарфам, перчаткам и ботинкам в коричневых, бежевых или серых тонах — легко вписывается в любой стиль.
Сочетается с джинсами, брюками, юбками и платьями — универсальна для повседневного, офисного или выходного образа.
Почему стоит выбрать эту шапку?
Она — не просто аксессуар, а настроение зимы: тепло, уют, стиль и легкая ностальгия по детству. Это идеальный выбор для тех, кто ценит качество, продуманный дизайн и вещи, которые служат долго. Подойдет как женщине, так и мужчине — универсальна по стилю и размеру.</t>
  </si>
  <si>
    <t>48 Акрил 33% Модакрил 19% Полиэстер</t>
  </si>
  <si>
    <t>Superdry CHEVRON BEANIE</t>
  </si>
  <si>
    <t>G90012YP-07Q</t>
  </si>
  <si>
    <t>Шапка с принтом «WINTER» и неоновым помпоном: Зимний шик с характером и дозой энергии
Эта шапка — настоящий акцент зимнего гардероба. Графичный узор, контрастные цвета и яркий неоновый помпон создают образ, полный энергии, женственности и современного стиля. Идеально подойдет тем, кто хочет выглядеть модно — даже в мороз.
Материал:
Изготовлена из мягкой и теплой акриловой пряжи — приятна к телу, не колется, отлично держит форму и сохраняет вид даже после многократных носок и стирок.
Дизайн и детали:
Графичный принт «WINTER» — крупные черные буквы по центру шапки — добавляют игривости, современности и сразу задают настроение сезона.
Узор из ромбов и зигзагов — черно-серый с розовыми точками — придает шапке объем, текстуру и визуальный интерес.
Плотный серый ободок с резинкой — хорошо облегает голову, не сползает, не давит и идеально сочетается с любым стилем.
Помпон — пушистый, объемный и очень заметный — завершает образ, добавляя яркости, молодежности и индивидуальности.
Стиль и сочетаемость:
Идеально сочетается с джинсовой курткой, паркой, пуховиком или кожаной курткой — создает цельный, современный и модный ансамбль.
Подойдет к шарфам, перчаткам и ботинкам в сером, черном, белом или розовом — легко вписывается в любой стиль.
Сочетается с джинсами, брюками, юбками и платьями — универсальна для повседневного, офисного или выходного образа.
Почему стоит выбрать эту шапку?
Она — воплощение зимнего шика: не кричащая, но запоминающаяся; удобная, но элегантная; практичная, но с характером. Это не просто шапка — это универсальный аксессуар, который подчеркнет вашу индивидуальность и станет вашим любимым выбором на каждый день.</t>
  </si>
  <si>
    <t>88% Акрил 10% Шерсть 1% Металлизированные волокна 1% Полиэстер</t>
  </si>
  <si>
    <t>Beanie, Nilla</t>
  </si>
  <si>
    <t>7300046A-3631</t>
  </si>
  <si>
    <t>Яркая шапка красно-фиолетового цвета с рисунком цветов — отличный вариант для ранней осени и поздней весны. В шапке нет подкладки, поэтому ее лучше носить, когда на улице установилась плюсовая температура. 
Шапка изготовлена она из хлопкового трикотажа — натуральная ткань не колется и не вызывает раздражения на коже. Ткань эластичная, поэтому ребенок сможет легко надеть и снять шапку. К тому же, головной убор не будет давить на лоб и не оставит на коже красные следы. 
В области ушей трикотажная вязка более плотная, поэтому если на улице вдруг станет холодно, уши будут в тепле. А еще шапка не будет сползать на лоб. Можете быть спокойны: ребенку не захочется снять шапку, когда он будет играть снежки.</t>
  </si>
  <si>
    <t>7300046A-4671</t>
  </si>
  <si>
    <t>Шапка насыщенного розового цвета — отличный вариант для ранней осени и поздней весны. В шапке нет подкладки, поэтому ее лучше носить, когда на улице установилась плюсовая температура. 
Шапка изготовлена она из хлопкового трикотажа — натуральная ткань не колется и не вызывает раздражения на коже. Ткань эластичная, поэтому ребенок сможет легко надеть и снять шапку. К тому же, головной убор не будет давить на лоб и не оставит на коже красные следы. 
В области ушей трикотажная вязка более плотная, поэтому если на улице вдруг станет холодно, уши будут в тепле. А еще шапка не будет сползать на лоб. Можете быть спокойны: ребенку не захочется снять шапку, когда он будет играть в футбол во дворе.</t>
  </si>
  <si>
    <t>7300046A-6961</t>
  </si>
  <si>
    <t>Яркая шапка синего цвета с рисунком цветов — отличный вариант для ранней осени и поздней весны. В шапке нет подкладки, поэтому ее лучше носить, когда на улице установилась плюсовая температура. 
Шапка изготовлена она из хлопкового трикотажа — натуральная ткань не колется и не вызывает раздражения на коже. Ткань эластичная, поэтому ребенок сможет легко надеть и снять шапку. К тому же, головной убор не будет давить на лоб и не оставит на коже красные следы. 
В области ушей трикотажная вязка более плотная, поэтому если на улице вдруг станет холодно, уши будут в тепле. А еще шапка не будет сползать на лоб. Можете быть спокойны: ребенку не захочется снять шапку, когда он будет играть в футбол во дворе.</t>
  </si>
  <si>
    <t>Beanie, Sasa</t>
  </si>
  <si>
    <t>7300048A-6961</t>
  </si>
  <si>
    <t>Шапка-бини из эластичного джерси — идеальный вариант для нестабильной весенней погоды и прохладного лета. 
В составе 95% хлопка и 5% эластана, поэтому модель хорошо тянется и легко надевается: ребенок даже не заметит головного убора и не будет снимать его во время прогулки и активных игр.
Эта модель «2 в 1»: с одной стороны на шапке светло- и темно-синяя контрастная полоска, а с другой — однотонный светло-синий цвет. Такая универсальная комбинация подойдет под любой детский гардероб. А еще шапка с двойным дизайном не надоест ребенку, поэтому родителям не придется покупать новую через год.</t>
  </si>
  <si>
    <t>7300048A-9991</t>
  </si>
  <si>
    <t>Шапка-бини из эластичного джерси — идеальный вариант для нестабильной весенней погоды и прохладного лета. 
В составе 95% хлопка и 5% эластана, поэтому модель хорошо тянется и легко надевается: ребенок даже не заметит головного убора и не будет снимать его во время прогулки и активных игр.
Эта модель «2 в 1»: с одной стороны на шапке черно-белая полоска, а с другой — оранжевый цвет. Такая универсальная комбинация подойдет и мальчикам, и девочкам. А еще шапка с двойным дизайном не надоест ребенку, поэтому родителям не придется покупать новую через год.</t>
  </si>
  <si>
    <t>162231-5416</t>
  </si>
  <si>
    <t>Симпатичная трикотажная шапка от бренда Minymo станет неотъемлемым аксессуаром в гардеробе вашего ребенка, сочетая в себе стиль и практичность. Изготовленная из 97% хлопка, она отличается мягкостью и воздухопроницаемостью, что делает её приятной к телу и предотвращает перегрев и раздражение кожи головы. 3% эластана в составе обеспечивают отличную эластичность, благодаря чему шапка легко растягивается и аккуратно обхватывает голову, не создавая дискомфорта или давления на лоб. Шапка имеет классическую круглую форму, подходящую для головки любого малыша. Эта универсальность позволяет легко комбинировать её с различными элементами гардероба. Минималистичный логотип Minymo, расположенный в нижней части изделия, придает шапке уникальный стильный акцент, способный подчеркнуть индивидуальность вашего ребенка. Подобная шапка станет отличным выбором для прогулок в прохладную погоду, обеспечивая надежную защиту и комфорт.</t>
  </si>
  <si>
    <t>162231-9113</t>
  </si>
  <si>
    <t>518486-9150</t>
  </si>
  <si>
    <t>Изготовленная из мягкой и теплой смеси шерсти, шапочка предлагает превосходное утепление, благодаря чему ваш малыш будет надёжно защищён от холода и ветра. Шерсть известна своими терморегулирующими свойствами, что позволяет поддерживать комфортную температуру, предотвращая перегрев. Внутренняя флисовая подкладка добавляет дополнительный уровень комфорта, мягко обволакивая голову ребёнка и создавая ощущение уюта.
Для удобства и безопасности шапочка оснащена завязками, которые позволяют надёжно зафиксировать её на голове, гарантируя, что она не будет сползать во время активных игр или прогулок на свежем воздухе. Это особенно важно для новорожденных, которые ещё не могут самостоятельно поправить одежду.</t>
  </si>
  <si>
    <t>Верх: 50% Шерсть, 50% полиакрил Подклад: 100% Полиэстер</t>
  </si>
  <si>
    <t>Beanie, Tipla</t>
  </si>
  <si>
    <t>528716-9991</t>
  </si>
  <si>
    <t>Детская шапка из теплого полушерстяного трикотажа. Шерсть – превосходный терморегулятор. Снабжена полной полушерстяной подкладкой, ветронепроницаемыми вставками в области ушей и помпоном на макушке.</t>
  </si>
  <si>
    <t>50% Шерсть, 50% Полиакрил</t>
  </si>
  <si>
    <t>7300004A-6961</t>
  </si>
  <si>
    <t>Теплая шапка-бини Beanie представляет собой превосходный выбор для холодных дней, обеспечивая комфорт и надежную защиту от холода. Изготовленная из высококачественной смесовой шерсти, она сочетает в себе 50% шерсти и 50% акрила, что делает ее мягкой, теплой и долговечной. Ветронепроницаемые вставки в области ушей гарантируют, что уши ребенка останутся в тепле даже при сильном ветре, предотвращая замерзание и создавая дополнительный комфорт.
Сплошная подкладка из мягкого теплого флиса невероятно приятна для нежной кожи головы ребенка. Этот материал не только согревает голову в меру, но и эффективно выводит излишнюю влагу, поддерживая оптимальный микроклимат. Высококачественный флис известен своими превосходными характеристиками: он мягкий, теплый, эластичный, легкий и быстросохнущий, что делает шапку-бини Beanie идеальным выбором для активных детей.
Светоотражающая эмблема Lassie спереди добавляет дополнительный уровень безопасности, обеспечивая видимость ребенка в условиях низкой освещенности. Это особенно важно в зимний период, когда темнеет рано.
Состав верхней части шапки сбалансирован для достижения оптимального уровня тепла и износостойкости: 50% шерсть и 50% акрил. Состав подкладки - 100% полиэстер, что обеспечивает мягкость и комфорт при носке.
Важно помнить, что после стирки возможна усадка до 5%, поэтому рекомендуется соблюдать инструкции по уходу за изделием, чтобы сохранить его первоначальные размеры и внешний вид. Шапка-бини Beanie - это надежная защита и тепло для вашего ребенка в холодное время года, что позволяет ему наслаждаться активными играми на свежем воздухе без риска замерзнуть.</t>
  </si>
  <si>
    <t>50% шерсть, 50% акрил</t>
  </si>
  <si>
    <t>7300004A-9751</t>
  </si>
  <si>
    <t>7300035A-4040</t>
  </si>
  <si>
    <t>Теплая шапка-бини Trina – это идеальный аксессуар для зимнего периода, обеспечивающий комфорт и защиту от холода для вашего ребенка. Шапка имеет утепление 60 грамм, что позволяет достичь оптимального уровня тепла без излишней тяжести. Ветронепроницаемые вставки в области ушей обеспечивают дополнительную защиту, не позволяя ушам замерзнуть даже при сильном ветре и низких температурах. 
Сплошная подкладка из мягкого трикотажа делает шапку невероятно удобной для нежной кожи головы ребенка. Этот материал не только приятно ощущается на коже, но и эффективно согревает голову, поддерживая оптимальный микроклимат и предотвращая перегрев. 
Шапка-бини Trina изготовлена из смеси шерсти, что придает ей мягкость и тепло, которые необходимы в зимнее время. Это делает шапку прочной и долговечной, способной выдержать активное использование на протяжении всего сезона. Светоотражающий логотип спереди – это важный элемент безопасности, который обеспечивает видимость ребенка в условиях недостаточного освещения. Эта функция особенно полезна в зимние месяцы, когда темнеет рано, и важно, чтобы ваш ребенок был заметен на дороге или площадке.
Преимущества шапки-бини Trina включают:
- Мягкая и теплая ткань из смеси шерсти, обеспечивающая высокий уровень комфорта и тепло.
- Сплошная подкладка из мягкого и приятного на ощупь трикотажа, создающая оптимальный уровень тепла и удобства.
- Легкая степень утепления 60 грамм, создающая идеальный баланс между теплом и легкостью.
- Светоотражающий логотип спереди для повышения видимости и безопасности ребенка на улице. 
Шапка-бини Trina – это практичное и стильное решение для защиты вашего ребенка от холода зимой. Она сочетает в себе качество, комфорт и функциональность, обеспечивая тепло и уют на протяжении всего зимнего сезона. Ваш ребенок будет выглядеть модно и чувствовать себя комфортно, находясь в безопасности, благодаря светотражающим элементам.</t>
  </si>
  <si>
    <t>Beanie, Niila</t>
  </si>
  <si>
    <t>7300047A-9091</t>
  </si>
  <si>
    <t>Шапка без подкладки, которая подойдет для прогулок ранней осенью и поздней весной. 
Такую шапку ребенок не захочет снимать, даже когда будет тепло. Ее яркий принт и расцветка будут радовать малыша, а благодаря светоотражающей эмблеме родители не потеряют ребенка из вида на детской площадке.
Облегченный материал приятен к коже — в составе 100% хлопок. Ткань пропускает воздух, что позволяет коже головы «дышать». Это особенно важно в теплую погоду и при активных играх на свежем воздухе.
Ткань тянется, поэтому шапка не будет давить, и у ребенка не останется красных полос на коже.</t>
  </si>
  <si>
    <t>Helly Hansen</t>
  </si>
  <si>
    <t>Headwear OUTLINE BEANIE</t>
  </si>
  <si>
    <t>67147-990</t>
  </si>
  <si>
    <t>Основная ткань: 100% полиэстер</t>
  </si>
  <si>
    <t>STD</t>
  </si>
  <si>
    <t>Pd MONOGRAM LOGO SHORTS</t>
  </si>
  <si>
    <t>IU0IU00342-YAF</t>
  </si>
  <si>
    <t>Все дети любят активные игры и комфортные наряды, и шорты детские Calvin Klein это идеальное сочетание этих двух вещей! Это стильные, яркие шорты с уникальным логотипом Calvin Klein. Изготовленные из легкого и дышащего материала, эти шорты обеспечат непревзойденный комфорт и свободу движения для вашего ребенка  в течение всего дня. Сочетайте их с футболками или свитшотами Calvin Klein, чтобы создавать стильные и современные образы. Позвольте вашему малышу выразить свою индивидуальность, во время ношения этих фантастических шорт. Пусть ваш маленький модник или  модница ходит по жизни с гордостью и стилем!</t>
  </si>
  <si>
    <t>KELME shorts</t>
  </si>
  <si>
    <t>6227DK1009-432</t>
  </si>
  <si>
    <t>Шорты Kelme - это идеальный выбор для тех, кто ищет яркий и стильный наряд для повседневных занятий. Шорты изготовлены из легкой и прочной ткани, которая обеспечивает комфорт и свободу движения. Яркие и стильные узоры позволяют выделиться из толпы и добавить индивидуальность в ваше повседневное общение. Карманы на боковых швах предоставляют удобное место для хранения мелких вещей, таких как мобильный телефон или ключи. Эластичный пояс и удобный крой создают оптимальную посадку и обеспечивают комфорт в течение всего дня. Не упустите возможность приобрести шорты Kelme, которые станут незаменимой вещью в вашем гардеробе.</t>
  </si>
  <si>
    <t>SHORTS</t>
  </si>
  <si>
    <t>114093-WW001</t>
  </si>
  <si>
    <t>Женские шорты на шнурке из дышащей ткани. Эта ткань, имеющая гибкую структуру, благодаря своей влагопоглощающей способности поддерживает баланс влаги в организме и не раздражает тело своей текстурой. Модель идеального кроя чрезвычайно стильная с регулируемой шнуровкой и резинкой на талии.Благодаря удобной и мягкой текстуре вы можете использовать их на спортивных тренировках.Спортивные шорты обеспечат легкость и подвижность во время занятий спортом, так как хорошо тянутся.</t>
  </si>
  <si>
    <t>516348-2442</t>
  </si>
  <si>
    <t>Шорты из махровой ткани разработаны для игр на солнце, с УФ-защитой 50+. Великолепный выбор для пляжа. Эти шорты для малышей до колен сделаны из мягкого, махрового волокна в полоску. Эластичный пояс можно регулировать для удобной подгонки по фигуре. Эти приятные на ощупь шорты сохранят маленьких любителей приключений в тепле после купания.</t>
  </si>
  <si>
    <t>56% Лиоцелл, 24% хлопок, 20% полиэстер</t>
  </si>
  <si>
    <t>062</t>
  </si>
  <si>
    <t>BERMUDA SHORT YELLOW STONE</t>
  </si>
  <si>
    <t>IG0IG01456-1AA</t>
  </si>
  <si>
    <t>Детские шорты Calvin Klein Bermuda Yellow Stone - это стильная и комфортная одежда для маленьких модников! Изготовленные из высококачественного материала, они обеспечивают максимальную свободу движения, что позволяет ребенку активно проводить время на открытом воздухе. Яркий и модный дизайн с желтым оттенком привлечет внимание окружающих и добавит неповторимого стиля в гардероб малыша. Настоящая находка для детей, которые ценят как комфорт, так и стиль!</t>
  </si>
  <si>
    <t>Pd AOP SHORTS</t>
  </si>
  <si>
    <t>IU0IU00344-0LD</t>
  </si>
  <si>
    <t>Готовьтесь к летней волне радости и стиля с детскими шортами Calvin Klein! Эти яркие, модные шорты созданы для детей, которые любят выделяться. Украшенные уникальным принтом в цветах радуги, они не только выглядят модно, но и отправляют мощное послание равенства и поддержки. Изготовленные из легкого и комфортного материала, эти шорты обеспечивают свободу движения и комфорт в жаркие летние дни. Красочные шорты станут идеальным выбором для прогулок, поездок на пляж и разнообразных игр.</t>
  </si>
  <si>
    <t>MONOGRAM AOP SHORTS</t>
  </si>
  <si>
    <t>IG0IG01449-0K4</t>
  </si>
  <si>
    <t>Шорты детские Calvin Klein MONOGRAM AOP - это истинное произведение искусства в мире детской моды. Изготовленные из высококачественных материалов, эти шорты обеспечивают комфорт и свободу движений в течение всего дня. Уникальный дизайн шортов включает в себя красивый монограммный принт Calvin Klein, который делает их по-настоящему особенными и стильными. Шорты Calvin Klein MONOGRAM AOP предлагают идеальную комбинацию между модным видом и практичностью. Они могут быть легко сочетаемы с различными верхней одеждой, создавая разнообразные модные образы. Эти шорты станут прекрасным дополнением летнего гардероба вашего ребенка, гарантируя стиль, комфорт и качество, которые ассоциируются с брендом Calvin Klein.</t>
  </si>
  <si>
    <t>16</t>
  </si>
  <si>
    <t>164-172</t>
  </si>
  <si>
    <t>REFLECTIVE MONOGRAM SHORTS</t>
  </si>
  <si>
    <t>IG0IG01455-ZJD</t>
  </si>
  <si>
    <t>Шорты детские Calvin Klein - это идеальный выбор для активных и стильных маленьких модников. Эти шорты обеспечивают комфорт и свободу движений благодаря своему свободному крою и легкому материалу. На шортах расположен яркий и стильный логотип Calvin Klein, добавляющий юношеского шарма и оригинальности. Шорты Calvin Klein идеально подходят для повседневных приключений и активных игр на открытом воздухе. Они будут прекрасным дополнением к гардеробу вашего ребенка и помогут создать модный и стильный образ. Независимо от того, какой возраст и стиль вашего ребенка, эти шорты Calvin Klein позволят ему выразить свою индивидуальность и чувство стиля.</t>
  </si>
  <si>
    <t>светло-зелёный</t>
  </si>
  <si>
    <t>72% хлопок, 28% перераб. полиэстер</t>
  </si>
  <si>
    <t>TB22WL09S0115-1-1002</t>
  </si>
  <si>
    <t>Велосипедки</t>
  </si>
  <si>
    <t>Эти женские велосипедки изготовлены из мягкого и дышащего хлопка с добавлением эластана, что обеспечивает удобную посадку и свободу движений во время активного отдыха или тренировок. Высокая талия подчеркивает красивые формы тела, а также обеспечивает дополнительную поддержку живота. Сочетание качественных материалов и стильного дизайна делает эти велосипедки идеальным выбором для модных и активных девушек, которые ценят комфорт и красоту. Эти короткие леггинсы в разных цветовых вариациях станут для вас спутником спорта, такого как йога, фитнес, пилатес и танцы.</t>
  </si>
  <si>
    <t>90% хлопок, 10% эластан</t>
  </si>
  <si>
    <t>SOLAR MIX MEDIA SHORTS</t>
  </si>
  <si>
    <t>IB0IB01248-ACF</t>
  </si>
  <si>
    <t>Детские шорты Calvin Klein SOLAR MIX MEDIA - это идеальный выбор для стильного и активного маленького модника. Изготовленные из высококачественных материалов, эти шорты обещают комфорт и прочность даже при интенсивном использовании. Шорты Calvin Klein SOLAR MIX MEDIA легко сочетаются с различными топами, футболками или рубашками, позволяя вашему ребенку создавать разнообразные модные образы. Они идеальны для летних прогулок, активных игр или отдыха на пляже. Комфорт, стиль и высокое качество - вот что предлагают шорты Calvin Klein SOLAR MIX MEDIA вашему ребенку. Позвольте ему выразить свой собственный уникальный стиль и чувство моды, нося эти элегантные и удобные шорты.Шорты Calvin Klein SOLAR MIX MEDIA - это не просто шорты, это стильный выражение личности вашего ребенка. Подарите им уверенность и свободу движений с этими модными и комфортными шортами Calvin Klein.</t>
  </si>
  <si>
    <t>Race Shorts W Black</t>
  </si>
  <si>
    <t>N1CWRS2-001</t>
  </si>
  <si>
    <t>Беги быстро, тренируйся усердно, мечтай о великом. Эти облегающие двухслойные шорты созданы для любого забега и были обновлены: они изготовлены из переработанных материалов, которые гарантируют высокое качество и одновременно бережно относятся к окружающей среде.
Будь то борьба за первое место в 100-мильной гонке или интенсивная одиночная часовая кардиотренировка — вам нужны шорты, которые никогда не будут мешать. Наши лёгкие шорты Race были разработаны совместно с лучшими трейлраннерами мира. И созданы исходя из нашего убеждения, что двигаться вперёд можно только оставляя минимальный след.</t>
  </si>
  <si>
    <t>Race Shorts Black</t>
  </si>
  <si>
    <t>N1CMRS2-001</t>
  </si>
  <si>
    <t>Children's Shorts</t>
  </si>
  <si>
    <t>512104-4410</t>
  </si>
  <si>
    <t>Плавательные шорты</t>
  </si>
  <si>
    <t>Изготовленные из высококачественного материала, шорты быстро сохнут, что позволяет глубже наслаждаться водными приключениями и не бояться внезапных дождей. Особенные водо- и грязеотталкивающие свойства ткани делают их идеальными для активных игр на свежем воздухе и предполагают минимальный уход: просто протрите или постирайте, и они готовы к следующему дню. Наличие УФ-фильтра 50+ обеспечивает надежную защиту чувствительной детской кожи от солнечных лучей, чтобы вы могли быть спокойны даже в самые жаркие дни. Регулируемая талия создает безупречную посадку, позволяя детям свободно двигаться, а практичные карманы спереди и сзади идеально подходят для хранения вещей. Эти шорты сочетают в себе комфорт, стиль и функциональность, удовлетворяя все запросы и родителей, и детей.</t>
  </si>
  <si>
    <t>Swim shorts  Papaija</t>
  </si>
  <si>
    <t>7200057A-6930</t>
  </si>
  <si>
    <t>Шорты для плавания</t>
  </si>
  <si>
    <t>Легкие синие шорты удлиненного кроя для мальчиков, в которых будет удобно играть в пляжные игры и купаться в бассейне или в море.
Ткань выполнена из солнцезащитного переработанного полиэстера с фактором защиты от ультрафиолета 50+. Ребенок сможет купаться под солнцем — плотная ткань не пропустит агрессивные лучи. Благодаря дышащему материалу шорт, лишняя влага будет сама испаряться с кожи — никаких неприятных ощущений! Есть и внутренняя вставка из сетчатого материала, поэтому мокрые шорты не прилипнут к телу.
Чтобы плавать в шортах было комфортно, продумана каждая деталь:
Пояс регулируется с помощью шнурка. Шорты не сползут во время активных действий и не будут давить на живот.
Есть боковые карманы, в которые можно положить очки или шапочку для плавания.
На кармане сзади расположено технологическое отверстие. Благодаря ему вода будет стекать, а не скапливаться в карманах.
На бирке внутри шорт можно написать имя ребенка и свои контакты. Понадобится, если непоседа перепутает шорты с чужими или потеряет.</t>
  </si>
  <si>
    <t>7200057A-6961</t>
  </si>
  <si>
    <t>Легкие шорты удлиненного кроя для мальчиков, в которых будет удобно играть в пляжные игры и купаться в бассейне или в море.
Эти шорты синего цвета с морским принтом — в воде смотрятся необычно и стильно. Ткань выполнена из солнцезащитного переработанного полиэстера с фактором защиты от ультрафиолета 50+. Ребенок сможет купаться под солнцем — плотная ткань не пропустит агрессивные лучи. Благодаря дышащему материалу шорт, лишняя влага будет сама испаряться с кожи — никаких неприятных ощущений! Есть и внутренняя вставка из сетчатого материала, поэтому мокрые шорты не прилипнут к телу.
Чтобы плавать в шортах было комфортно, продумана каждая деталь:
Пояс регулируется с помощью шнурка. Шорты не сползут во время активных действий и не будут давить на живот.
Есть боковые карманы, в которые можно положить очки или шапочку для плавания.
На кармане сзади расположено технологическое отверстие. Благодаря ему вода будет стекать, а не скапливаться в карманах.
На бирке внутри шорт можно написать имя ребенка и свои контакты. Понадобится, если непоседа перепутает шорты с чужими или потеряется на пляже — ребенок сможет посмотреть номер телефона родителей на бирке.</t>
  </si>
  <si>
    <t>7200057A-7850</t>
  </si>
  <si>
    <t>Ampaju</t>
  </si>
  <si>
    <t>72204307-0670</t>
  </si>
  <si>
    <t>Шорты из эластичного мягкого материала. В основе — полиэстер. Свободный силуэт и средняя посадка. Шорты на резинке с пластиковой застежкой для регулировки ширины пояса. Практичные карманы на кнопках. Светоотражающие детали для безопасности. Доступны в нескольких расцветках.</t>
  </si>
  <si>
    <t>90% Полиэстер, 10% Спандекс</t>
  </si>
  <si>
    <t>72204307-9990</t>
  </si>
  <si>
    <t>Simmari</t>
  </si>
  <si>
    <t>72206307-6610</t>
  </si>
  <si>
    <t>72206307-6960</t>
  </si>
  <si>
    <t>Nietos</t>
  </si>
  <si>
    <t>73204310-6960</t>
  </si>
  <si>
    <t>Шорты свободного силуэта. Средняя линия пояса с эластичной резинкой обеспечивает надежную посадку. На брючинах и на задней части расположены карманы на молнии. Шорты изготовлены из полиэстера.</t>
  </si>
  <si>
    <t>Maja</t>
  </si>
  <si>
    <t>73204406-8020</t>
  </si>
  <si>
    <t>Шорты свободного силуэта. Резинка на поясе и шнурки позволяют регулировать ширину. Есть карманы. Изготовлены из 100% полиэстера. Плотность ткани — 150 г/м². Благодаря обработке EASY CARE шорты легко гладятся и меньше мнутся.</t>
  </si>
  <si>
    <t>Nituri</t>
  </si>
  <si>
    <t>73204411-2670</t>
  </si>
  <si>
    <t>Шорты свободного силуэта. Пояс регулируется с помощью шнурка. Эластичная резинка фиксирует посадку. Есть карманы на кнопках. Выполнены из полиэстера. Безопасная пропитка ткани обеспечивает SPF-защиту 50+.</t>
  </si>
  <si>
    <t>73204411-8020</t>
  </si>
  <si>
    <t>Ilmassa</t>
  </si>
  <si>
    <t>73206105-6960</t>
  </si>
  <si>
    <t>73206105-9990</t>
  </si>
  <si>
    <t>Lehmus</t>
  </si>
  <si>
    <t>73206121-0790</t>
  </si>
  <si>
    <t>98% хлопок, 2% спандекс</t>
  </si>
  <si>
    <t>73206121-6960</t>
  </si>
  <si>
    <t>Papaija</t>
  </si>
  <si>
    <t>73206304-6610</t>
  </si>
  <si>
    <t>Vuohi</t>
  </si>
  <si>
    <t>73206312-6140</t>
  </si>
  <si>
    <t>Джинсовые шорты</t>
  </si>
  <si>
    <t>73206312-9370</t>
  </si>
  <si>
    <t>Children's Dress</t>
  </si>
  <si>
    <t>535020-3161</t>
  </si>
  <si>
    <t>Очаровательное детское летнее платье из комфортного и эластичного трикотажного материала Green Line станет отличным выбором для теплых солнечных дней. Этот материал обеспечивает оптимальную посадку и свободу движений, позволяя ребенку чувствовать себя свободно и уверенно во время активных игр или прогулок. Платье украшено красивым принтом, который добавляет яркости и делает его стильным и привлекательным. Эластичный пояс подчеркивает фигуру и обеспечивает дополнительное удобство, а забавные карманы не только функциональны, но и придают платью игривый вид. Это универсальное решение для лета дарит возможность сочетать моду и комфорт, что делает его идеальным как для повседневной носки, так и для особых случаев. Платье легко комбинируется с различными аксессуарами и обувью, создавая разнообразные образы для любого настроения.</t>
  </si>
  <si>
    <t>532146-6980</t>
  </si>
  <si>
    <t>Представляем стильную и функциональную юбку для девочек подросткового возраста, которая станет отличным дополнением к гардеробу в холодное время года. Эта юбка изготовлена из высококачественного материала Thermolite®, который эффективно отводит влагу и удерживает тепло, обеспечивая вашей дочери сухость и комфорт в течение всего дня. Благодаря этим свойствам, кожа остается сухой даже при активном движении. Юбка также имеет водо- и грязеотталкивающую поверхность, что делает её идеальной для прогулок и игр на свежем воздухе в различных погодных условиях. Регулируемый обхват талии позволяет идеально подогнать юбку по фигуре, обеспечивая комфортную посадку. Фронтальная молния придаёт изделию современный вид и обеспечивает лёгкость надевания. Юбка оснащена удобными передними и задними карманами для хранения мелочей, а также потайным карманом для сенсора ReimaGO® в размерах 104-128, что позволяет отслеживать активность и поддерживает интерес детей к движению. Этот технологичный элемент делает юбку особенно привлекательной для современных подростков. Комбинируйте юбку с различными верхами и аксессуарами для создания стильных и практичных образов на каждый день, будь то школа, прогулка или поход в гости. Качественные материалы и продуманный дизайн делают эту юбку долговечной и комфортной в носке, обеспечивая не только стиль, но и защиту от непогоды.</t>
  </si>
  <si>
    <t>70% хлопок, 29% полиэстер THERMOLITE®, 2% эластан</t>
  </si>
  <si>
    <t>535020-6101</t>
  </si>
  <si>
    <t>535024X-9991</t>
  </si>
  <si>
    <t>Прыгать, скакать, бегать – и все-равно не слишком жарко! Детское платье сшито из нового материала Reima Xylitol Cool. Он сверх-эластичен и имеет охлаждающую пропитку, содержащую ксилит. Милый повседневный наряд для летних игр!
Пропитка материала Reima Xylitol Cool обеспечивает охлаждающий эффект для кожи. Кроме того, температура поверхности кожи фактически будет снижаться на 1-3 градуса. Охлаждающий эффект обеспечивается за счет ксилита и эритрита – пищевых подсластителей. Поэтому пропитка – безопасна и безвредна.</t>
  </si>
  <si>
    <t>525018-0112</t>
  </si>
  <si>
    <t>Зачем потеть и бегать в мокрой одежде, если можно всегда чувствовать свежесть и сухость? Хлопок впитывает влагу, а полиэстер COOLMAX® отводит ее от кожи. Это очаровательное платье Reima для детей изготовлено из удобного в уходе материала пике с фактором УФ-защиты 40+. Повседневный образ. Преимущества:
Специальная ткань пике, простая в уходе.
Удобный свободный крой, закрывает плечи.
Принт по всей поверхности. Благодаря прочности и устойчивости ткани, изделия легко переживут множество стирок, сохраняя свою форму и цвет, что особенно важно для активных детей. Платье станет незаменимой вещью в повседневной одежде вашего ребенка, предлагая надежность и долговечность, которые так необходимы в детской одежде.</t>
  </si>
  <si>
    <t>65% хлопок, 35% полиэстер</t>
  </si>
  <si>
    <t>525015-7152</t>
  </si>
  <si>
    <t>Что делает летний день по-настоящему счастливым и запоминающимся для маленькой модницы? Конечно, это солнечное настроение, радость общения с друзьями и, безусловно, красивое и удобное платье, в котором она может чувствовать себя уверенно и комфортно. Прекрасное летнее платье для вашей маленькой принцессы сочетает в себе стиль и функциональность, что делает его идеальным нарядом как для прогулок по парку, так и для игр на пляже. Изготовленное из инновационного материала Play Jersey, это платье обладает быстросохнущими и влагоотводящими свойствами, что позволит ребенку чувствовать себя комфортно даже в самый жаркий день. Нежная к коже ткань подарит ощущение мягкости, а встроенная защита от ультрафиолетовых лучей с фактором 40+ позаботится о безопасности детской кожи, уменьшая риск солнечных ожогов.  Выбор этого платья — это не только стильное решение, но и забота о здоровье и комфорте вашего ребенка.</t>
  </si>
  <si>
    <t>58% Хлопок, 37% Полиэстер, 5% Эластан</t>
  </si>
  <si>
    <t>525010-4412</t>
  </si>
  <si>
    <t>DENIM LOGO TAPE SKIRT</t>
  </si>
  <si>
    <t>IG0IG01448-1A4</t>
  </si>
  <si>
    <t>Юбка-шорты детские Calvin Klein – модный и удобный выбор для вашей маленькой модницы! Эта юбка-шорты сочетает в себе стиль и функциональность, обеспечивая комфорт и свободу движений.Изготовленная из качественного материала, эта юбка-шорты легкая и дышащая. Она идеально подходит для летних приключений и игр на открытом воздухе. Стильный дизайн и узнаваемый логотип Calvin Klein добавляют особый шарм этой модели. Эта модель имеет практичные карманы для хранения мелочей.Эта юбка-шорты Calvin Klein является универсальной и подходит для различных активностей и событий. Будь то поход в парк, прогулка по городу или вечеринка с друзьями, ваша девочка будет всегда выглядеть стильно и ощущать себя комфортно.Доверьте своей маленькой моднице непревзойденное сочетание стиля и комфорта с юбкой-шортами Calvin Klein. Позвольте ей выразить свою индивидуальность и насладиться удобством в этой модной и практичной модели!</t>
  </si>
  <si>
    <t>75% хлопок, 25% перераб. хлопок</t>
  </si>
  <si>
    <t>110-116</t>
  </si>
  <si>
    <t>515004-5618</t>
  </si>
  <si>
    <t>Это платье изготовлено из мягкого и комфортного хлопкового джерси, состоящего на 100% из экологически чистого хлопка, который легко перерабатывается, что делает его выбором ответственного потребителя. Свободный крой обеспечивает свободу движений, позволяя ребенку активно исследовать мир вокруг. Особая пропитка Si Repel Mosquito, использованная в материале Reima Anti-Bite, придает платью уникальные свойства: она эффективно отгоняет комаров, мух, ос и даже вшей, оставаясь при этом нетоксичной и биоразлагаемой. Пропитка не вредит ни окружающей среде, ни самим насекомым и сохраняет свои защитные свойства до 100 циклов стирки. Однако важно помнить, что защита действует только на обрабатываемой ткани, и насекомые все же могут садиться на незащищенные участки кожи или другую одежду. Это делает платье идеальным выбором для пикников, прогулок на природе и любых летних мероприятий, где свобода от укусов насекомых важна для вашего комфорта.</t>
  </si>
  <si>
    <t>SKIRT</t>
  </si>
  <si>
    <t>112194-KK001</t>
  </si>
  <si>
    <t>Стильная юбка из эластичного хлопка идеально дополнит любой образ.</t>
  </si>
  <si>
    <t>Dress, Tuuli</t>
  </si>
  <si>
    <t>7200077A-6310</t>
  </si>
  <si>
    <t>В этом летнем нежно-голубом платье малышка может пойти в гости или на прогулку — девочка точно будет ловить восхищенные взгляды других мамочек. 
Платье не только красивое, но и комфортное. Основной материал (95%) — хлопок, который дает телу «дышать» и отводит влагу. Ребенок не взмокнет, если захочет побегать или попрыгать со скакалкой.
На воротнике-поло есть планка с пуговицами. Их можно расстегнуть, если станет жарко. В воротник и манжеты вшита резинка — она эластичная и не давит на кожу.</t>
  </si>
  <si>
    <t>123399-5107</t>
  </si>
  <si>
    <t>Милое платье с длинным рукавом от бренда Minymo — это идеальный выбор для юной леди, которая хочет выглядеть стильно и элегантно, но при этом чувствовать себя комфортно. Детальный крой, включающий складки на талии и оборки на плечах, придает платью особый шарм и индивидуальность. Нежное кружевное полотно в сочетании со сплошным принтом с изящными цветами создают образ, который подчеркнет изысканность и природную грацию маленькой модницы. Изготовлено из органического полотна на основе 100% хлопка, платье обладает всеми качествами, необходимыми для ежедневного комфорта: мягкой, дышащей и приятной к телу тканью. Благодаря экологически чистому материалу, платье не вызывает раздражений даже на самой чувствительной коже, обеспечивая исключительно приятные тактильные ощущения.</t>
  </si>
  <si>
    <t>5200097A-0116</t>
  </si>
  <si>
    <t>Это очаровательное платье станет любимой вещью в гардеробе вашего ребенка благодаря своему мягкому футеру без начеса, изготовленному из 100% натурального хлопка. Хлопок, использованный для создания этого платья, сертифицирован как органический, что гарантирует его безопасность и экологичность. Удобный свободный крой позволяет маленьким модницам двигаться свободно и комфортно, играя или участвуя в различных активностях. Длина платья до колена добавляет элегантности, а оборка по подолу придаёт образу игривую нотку. Эластичные манжеты обеспечивают удобную посадку, не сковывая движений, и делают платье практичным для повседневного ношения. Принт по всей поверхности добавляет индивидуальность и яркость, позволяя вашему ребенку выделяться среди сверстников. Это платье легко сочетается с различными аксессуарами и обувью, что делает его универсальным выбором для любого случая, от праздников до прогулок в парке. Оно не только прекрасно выглядит, но и обеспечивает комфорт на протяжении всего дня, благодаря качественным материалам и продуманному дизайну.</t>
  </si>
  <si>
    <t>5200097A-4587</t>
  </si>
  <si>
    <t>535013-6642</t>
  </si>
  <si>
    <t>В этой мягкой и суперстильной летней модели будет очень удобно – особенно после купания! Платье из мягкого, эластичного махрового трикотажа с облегающим капюшоном очень удобное и приятное к телу, к тому же защищает от солнца (УФ-защита 50+)! Яркие летние цвета этой модели оживят любой наряд. Невероятно удобное платье с модным украшением в виде рисунка!</t>
  </si>
  <si>
    <t>Rausku</t>
  </si>
  <si>
    <t>72206314-0160</t>
  </si>
  <si>
    <t>72206314-4040</t>
  </si>
  <si>
    <t>Tuuli</t>
  </si>
  <si>
    <t>73204409-0100</t>
  </si>
  <si>
    <t>Платье свободного силуэта. У модели юбка-трапеция и рубашечный воротник. Отрез по линии талии подчеркивает фигуру. Есть застежка на три пуговицы. Короткий рукав обеспечивает свободу движений. Выполнено из пике.</t>
  </si>
  <si>
    <t>73204409-8020</t>
  </si>
  <si>
    <t>Lintu</t>
  </si>
  <si>
    <t>73206122-2050</t>
  </si>
  <si>
    <t>73206122-7060</t>
  </si>
  <si>
    <t>Учитывайте, что ввиду большой скорости продаж товара со склада,  выполнение заказа обычно не превышает 80%</t>
  </si>
  <si>
    <t>Расчет суммы заказа</t>
  </si>
  <si>
    <t>Сумма всего Заказа в Рознчных ценах</t>
  </si>
  <si>
    <t>Сумма всего Заказа в Оптовых ценах</t>
  </si>
  <si>
    <t>Анализ состава заказа по категории</t>
  </si>
  <si>
    <t>Спорт. Инвентарь</t>
  </si>
  <si>
    <t>Всего</t>
  </si>
  <si>
    <t>Сумма. в руб.</t>
  </si>
  <si>
    <t>Кол-во</t>
  </si>
  <si>
    <t>Анализ состава заказа по полу</t>
  </si>
  <si>
    <t>Сумма в руб.</t>
  </si>
  <si>
    <t>Оптовая Цена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</si>
</sst>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164" formatCode="0.0"/>
    <numFmt numFmtId="165" formatCode="0&quot;E&quot;"/>
    <numFmt numFmtId="166" formatCode="0&quot;R&quot;"/>
    <numFmt numFmtId="167" formatCode="0&quot;A&quot;"/>
    <numFmt numFmtId="168" formatCode="0&quot;RS&quot;"/>
    <numFmt numFmtId="169" formatCode="0&quot;L&quot;"/>
    <numFmt numFmtId="170" formatCode="0&quot;C&quot;"/>
    <numFmt numFmtId="171" formatCode="0&quot;S&quot;"/>
    <numFmt numFmtId="172" formatCode="0&quot;B&quot;"/>
    <numFmt numFmtId="173" formatCode="0&quot;M&quot;"/>
    <numFmt numFmtId="174" formatCode="0&quot;P&quot;"/>
    <numFmt numFmtId="175" formatCode="0&quot;U&quot;"/>
    <numFmt numFmtId="176" formatCode="0&quot;%ПОЛИЭСТЕР&quot;"/>
    <numFmt numFmtId="177" formatCode="0&quot;%НЕЙЛОН&quot;"/>
    <numFmt numFmtId="178" formatCode="00"/>
    <numFmt numFmtId="179" formatCode="0&quot;F&quot;"/>
    <numFmt numFmtId="180" formatCode="0&quot;%хлопок&quot;"/>
  </numFmts>
  <fonts count="10" x14ac:knownFonts="1">
    <font>
      <sz val="8"/>
      <name val="Arial"/>
    </font>
    <font>
      <b/>
      <sz val="8"/>
      <name val="Arial"/>
      <family val="2"/>
      <charset val="1"/>
    </font>
    <font>
      <sz val="8"/>
      <name val="Arial"/>
      <family val="2"/>
      <charset val="1"/>
    </font>
    <font>
      <b/>
      <sz val="8"/>
      <color rgb="FFFF0000"/>
      <name val="Arial"/>
      <family val="2"/>
      <charset val="1"/>
    </font>
    <font>
      <b/>
      <sz val="8"/>
      <color rgb="FF008000"/>
      <name val="Arial"/>
      <family val="2"/>
      <charset val="1"/>
    </font>
    <font>
      <u/>
      <sz val="8"/>
      <color theme="10"/>
      <name val="Arial"/>
      <family val="2"/>
      <charset val="204"/>
    </font>
    <font>
      <sz val="11"/>
      <name val="Calibri"/>
      <family val="2"/>
      <charset val="204"/>
    </font>
    <font>
      <b/>
      <sz val="12"/>
      <name val="Arial"/>
      <family val="2"/>
      <charset val="204"/>
    </font>
    <font>
      <sz val="10"/>
      <name val="Arial"/>
      <family val="2"/>
      <charset val="204"/>
    </font>
    <font>
      <b/>
      <sz val="10"/>
      <name val="Arial"/>
      <family val="2"/>
      <charset val="204"/>
    </font>
  </fonts>
  <fills count="9">
    <fill>
      <patternFill patternType="none"/>
    </fill>
    <fill>
      <patternFill patternType="gray125"/>
    </fill>
    <fill>
      <patternFill patternType="solid">
        <fgColor rgb="FFD0CECE"/>
        <bgColor auto="1"/>
      </patternFill>
    </fill>
    <fill>
      <patternFill patternType="solid">
        <fgColor rgb="FFBDD7EE"/>
        <bgColor auto="1"/>
      </patternFill>
    </fill>
    <fill>
      <patternFill patternType="solid">
        <fgColor rgb="FFFFFFCC"/>
        <bgColor auto="1"/>
      </patternFill>
    </fill>
    <fill>
      <patternFill patternType="solid">
        <fgColor rgb="FF000000"/>
        <bgColor indexed="64"/>
      </patternFill>
    </fill>
    <fill>
      <patternFill patternType="solid">
        <fgColor rgb="FFD9D9D9"/>
        <bgColor indexed="64"/>
      </patternFill>
    </fill>
    <fill>
      <patternFill patternType="solid">
        <fgColor rgb="FFC9C9C9"/>
        <bgColor indexed="64"/>
      </patternFill>
    </fill>
    <fill>
      <patternFill patternType="solid">
        <fgColor rgb="FF404040"/>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5" fillId="0" borderId="0" applyNumberFormat="0" applyFill="0" applyBorder="0" applyAlignment="0" applyProtection="0"/>
  </cellStyleXfs>
  <cellXfs count="94">
    <xf numFmtId="0" fontId="0" fillId="0" borderId="0" xfId="0"/>
    <xf numFmtId="0" fontId="0" fillId="0" borderId="0" xfId="0" applyAlignment="1">
      <alignment horizontal="center"/>
    </xf>
    <xf numFmtId="0" fontId="0" fillId="0" borderId="0" xfId="0" applyAlignment="1">
      <alignment horizontal="center"/>
    </xf>
    <xf numFmtId="0" fontId="0" fillId="0" borderId="0" xfId="0" applyAlignment="1">
      <alignment horizontal="center" wrapText="1"/>
    </xf>
    <xf numFmtId="0" fontId="1" fillId="0" borderId="0" xfId="0" applyFont="1" applyAlignment="1">
      <alignment horizontal="center"/>
    </xf>
    <xf numFmtId="0" fontId="2" fillId="2" borderId="1" xfId="0" applyFont="1" applyFill="1" applyBorder="1" applyAlignment="1">
      <alignment horizontal="center" vertical="center"/>
    </xf>
    <xf numFmtId="0" fontId="1"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0" fillId="0" borderId="2" xfId="0" applyBorder="1" applyAlignment="1">
      <alignment horizontal="center" vertical="top" wrapText="1"/>
    </xf>
    <xf numFmtId="0" fontId="1" fillId="0" borderId="1" xfId="0" applyFont="1" applyBorder="1" applyAlignment="1">
      <alignment horizontal="center" vertical="top" wrapText="1"/>
    </xf>
    <xf numFmtId="0" fontId="3" fillId="0" borderId="2" xfId="0" applyFont="1" applyBorder="1" applyAlignment="1">
      <alignment horizontal="center" vertical="top"/>
    </xf>
    <xf numFmtId="0" fontId="0" fillId="0" borderId="1" xfId="0" applyBorder="1" applyAlignment="1">
      <alignment horizontal="center" vertical="top" wrapText="1"/>
    </xf>
    <xf numFmtId="0" fontId="0" fillId="0" borderId="6" xfId="0" applyBorder="1" applyAlignment="1">
      <alignment horizontal="center" vertical="top" wrapText="1"/>
    </xf>
    <xf numFmtId="4" fontId="0" fillId="0" borderId="6" xfId="0" applyNumberFormat="1" applyBorder="1" applyAlignment="1">
      <alignment horizontal="center" vertical="top"/>
    </xf>
    <xf numFmtId="2" fontId="3" fillId="0" borderId="6" xfId="0" applyNumberFormat="1" applyFont="1" applyBorder="1" applyAlignment="1">
      <alignment horizontal="center" vertical="top"/>
    </xf>
    <xf numFmtId="4" fontId="1" fillId="0" borderId="6" xfId="0" applyNumberFormat="1" applyFont="1" applyBorder="1" applyAlignment="1">
      <alignment horizontal="center" vertical="top"/>
    </xf>
    <xf numFmtId="0" fontId="1" fillId="0" borderId="1" xfId="0" applyFont="1" applyBorder="1" applyAlignment="1">
      <alignment horizontal="center" vertical="top"/>
    </xf>
    <xf numFmtId="0" fontId="1" fillId="3" borderId="1" xfId="0" applyFont="1" applyFill="1" applyBorder="1" applyAlignment="1">
      <alignment horizontal="center" vertical="top"/>
    </xf>
    <xf numFmtId="1" fontId="0" fillId="3" borderId="1" xfId="0" applyNumberFormat="1" applyFill="1" applyBorder="1" applyAlignment="1">
      <alignment horizontal="center" vertical="top"/>
    </xf>
    <xf numFmtId="0" fontId="0" fillId="4" borderId="1" xfId="0" applyFill="1" applyBorder="1" applyAlignment="1">
      <alignment horizontal="center" vertical="top"/>
    </xf>
    <xf numFmtId="0" fontId="0" fillId="0" borderId="7" xfId="0" applyBorder="1" applyAlignment="1">
      <alignment horizontal="center" vertical="top" wrapText="1"/>
    </xf>
    <xf numFmtId="0" fontId="0" fillId="0" borderId="1" xfId="0" applyBorder="1" applyAlignment="1">
      <alignment horizontal="center" vertical="top"/>
    </xf>
    <xf numFmtId="0" fontId="0" fillId="3" borderId="1" xfId="0" applyFill="1" applyBorder="1" applyAlignment="1">
      <alignment horizontal="center" vertical="top"/>
    </xf>
    <xf numFmtId="0" fontId="1" fillId="3" borderId="6" xfId="0" applyFont="1" applyFill="1" applyBorder="1" applyAlignment="1">
      <alignment horizontal="center" vertical="top"/>
    </xf>
    <xf numFmtId="0" fontId="1" fillId="0" borderId="2" xfId="0" applyFont="1" applyBorder="1" applyAlignment="1">
      <alignment horizontal="center" vertical="top" wrapText="1"/>
    </xf>
    <xf numFmtId="0" fontId="1" fillId="0" borderId="7" xfId="0" applyFont="1" applyBorder="1" applyAlignment="1">
      <alignment horizontal="center" vertical="top" wrapText="1"/>
    </xf>
    <xf numFmtId="2" fontId="1" fillId="0" borderId="6" xfId="0" applyNumberFormat="1" applyFont="1" applyBorder="1" applyAlignment="1">
      <alignment horizontal="center" vertical="top"/>
    </xf>
    <xf numFmtId="164" fontId="0" fillId="3" borderId="1" xfId="0" applyNumberFormat="1" applyFill="1" applyBorder="1" applyAlignment="1">
      <alignment horizontal="center" vertical="top"/>
    </xf>
    <xf numFmtId="0" fontId="4" fillId="0" borderId="2" xfId="0" applyFont="1" applyBorder="1" applyAlignment="1">
      <alignment horizontal="center" vertical="top"/>
    </xf>
    <xf numFmtId="0" fontId="4" fillId="0" borderId="1" xfId="0" applyFont="1" applyBorder="1" applyAlignment="1">
      <alignment horizontal="center" vertical="top"/>
    </xf>
    <xf numFmtId="4" fontId="0" fillId="0" borderId="1" xfId="0" applyNumberFormat="1" applyBorder="1" applyAlignment="1">
      <alignment horizontal="center" vertical="top"/>
    </xf>
    <xf numFmtId="2" fontId="3" fillId="0" borderId="1" xfId="0" applyNumberFormat="1" applyFont="1" applyBorder="1" applyAlignment="1">
      <alignment horizontal="center" vertical="top"/>
    </xf>
    <xf numFmtId="4" fontId="1" fillId="0" borderId="1" xfId="0" applyNumberFormat="1" applyFont="1" applyBorder="1" applyAlignment="1">
      <alignment horizontal="center" vertical="top"/>
    </xf>
    <xf numFmtId="0" fontId="3" fillId="0" borderId="1" xfId="0" applyFont="1" applyBorder="1" applyAlignment="1">
      <alignment horizontal="center" vertical="top"/>
    </xf>
    <xf numFmtId="1" fontId="0" fillId="0" borderId="2" xfId="0" applyNumberFormat="1" applyBorder="1" applyAlignment="1">
      <alignment horizontal="center" vertical="top" wrapText="1"/>
    </xf>
    <xf numFmtId="165" fontId="0" fillId="0" borderId="2" xfId="0" applyNumberFormat="1" applyBorder="1" applyAlignment="1">
      <alignment horizontal="center" vertical="top" wrapText="1"/>
    </xf>
    <xf numFmtId="166" fontId="0" fillId="0" borderId="2" xfId="0" applyNumberFormat="1" applyBorder="1" applyAlignment="1">
      <alignment horizontal="center" vertical="top" wrapText="1"/>
    </xf>
    <xf numFmtId="166" fontId="0" fillId="0" borderId="7" xfId="0" applyNumberFormat="1" applyBorder="1" applyAlignment="1">
      <alignment horizontal="center" vertical="top" wrapText="1"/>
    </xf>
    <xf numFmtId="167" fontId="0" fillId="0" borderId="2" xfId="0" applyNumberFormat="1" applyBorder="1" applyAlignment="1">
      <alignment horizontal="center" vertical="top" wrapText="1"/>
    </xf>
    <xf numFmtId="167" fontId="0" fillId="0" borderId="7" xfId="0" applyNumberFormat="1" applyBorder="1" applyAlignment="1">
      <alignment horizontal="center" vertical="top" wrapText="1"/>
    </xf>
    <xf numFmtId="168" fontId="0" fillId="0" borderId="2" xfId="0" applyNumberFormat="1" applyBorder="1" applyAlignment="1">
      <alignment horizontal="center" vertical="top" wrapText="1"/>
    </xf>
    <xf numFmtId="168" fontId="0" fillId="0" borderId="7" xfId="0" applyNumberFormat="1" applyBorder="1" applyAlignment="1">
      <alignment horizontal="center" vertical="top" wrapText="1"/>
    </xf>
    <xf numFmtId="169" fontId="0" fillId="0" borderId="2" xfId="0" applyNumberFormat="1" applyBorder="1" applyAlignment="1">
      <alignment horizontal="center" vertical="top" wrapText="1"/>
    </xf>
    <xf numFmtId="169" fontId="0" fillId="0" borderId="7" xfId="0" applyNumberFormat="1" applyBorder="1" applyAlignment="1">
      <alignment horizontal="center" vertical="top" wrapText="1"/>
    </xf>
    <xf numFmtId="170" fontId="0" fillId="0" borderId="2" xfId="0" applyNumberFormat="1" applyBorder="1" applyAlignment="1">
      <alignment horizontal="center" vertical="top" wrapText="1"/>
    </xf>
    <xf numFmtId="171" fontId="0" fillId="0" borderId="2" xfId="0" applyNumberFormat="1" applyBorder="1" applyAlignment="1">
      <alignment horizontal="center" vertical="top" wrapText="1"/>
    </xf>
    <xf numFmtId="172" fontId="0" fillId="0" borderId="2" xfId="0" applyNumberFormat="1" applyBorder="1" applyAlignment="1">
      <alignment horizontal="center" vertical="top" wrapText="1"/>
    </xf>
    <xf numFmtId="172" fontId="0" fillId="0" borderId="7" xfId="0" applyNumberFormat="1" applyBorder="1" applyAlignment="1">
      <alignment horizontal="center" vertical="top" wrapText="1"/>
    </xf>
    <xf numFmtId="173" fontId="0" fillId="0" borderId="2" xfId="0" applyNumberFormat="1" applyBorder="1" applyAlignment="1">
      <alignment horizontal="center" vertical="top" wrapText="1"/>
    </xf>
    <xf numFmtId="174" fontId="0" fillId="0" borderId="2" xfId="0" applyNumberFormat="1" applyBorder="1" applyAlignment="1">
      <alignment horizontal="center" vertical="top" wrapText="1"/>
    </xf>
    <xf numFmtId="174" fontId="0" fillId="0" borderId="7" xfId="0" applyNumberFormat="1" applyBorder="1" applyAlignment="1">
      <alignment horizontal="center" vertical="top" wrapText="1"/>
    </xf>
    <xf numFmtId="175" fontId="0" fillId="0" borderId="2" xfId="0" applyNumberFormat="1" applyBorder="1" applyAlignment="1">
      <alignment horizontal="center" vertical="top" wrapText="1"/>
    </xf>
    <xf numFmtId="175" fontId="0" fillId="0" borderId="7" xfId="0" applyNumberFormat="1" applyBorder="1" applyAlignment="1">
      <alignment horizontal="center" vertical="top" wrapText="1"/>
    </xf>
    <xf numFmtId="1" fontId="0" fillId="0" borderId="7" xfId="0" applyNumberFormat="1" applyBorder="1" applyAlignment="1">
      <alignment horizontal="center" vertical="top" wrapText="1"/>
    </xf>
    <xf numFmtId="176" fontId="0" fillId="0" borderId="6" xfId="0" applyNumberFormat="1" applyBorder="1" applyAlignment="1">
      <alignment horizontal="center" vertical="top" wrapText="1"/>
    </xf>
    <xf numFmtId="177" fontId="0" fillId="0" borderId="6" xfId="0" applyNumberFormat="1" applyBorder="1" applyAlignment="1">
      <alignment horizontal="center" vertical="top" wrapText="1"/>
    </xf>
    <xf numFmtId="2" fontId="0" fillId="0" borderId="6" xfId="0" applyNumberFormat="1" applyBorder="1" applyAlignment="1">
      <alignment horizontal="center" vertical="top"/>
    </xf>
    <xf numFmtId="3" fontId="0" fillId="3" borderId="1" xfId="0" applyNumberFormat="1" applyFill="1" applyBorder="1" applyAlignment="1">
      <alignment horizontal="center" vertical="top"/>
    </xf>
    <xf numFmtId="178" fontId="0" fillId="3" borderId="1" xfId="0" applyNumberFormat="1" applyFill="1" applyBorder="1" applyAlignment="1">
      <alignment horizontal="center" vertical="top"/>
    </xf>
    <xf numFmtId="179" fontId="0" fillId="0" borderId="2" xfId="0" applyNumberFormat="1" applyBorder="1" applyAlignment="1">
      <alignment horizontal="center" vertical="top" wrapText="1"/>
    </xf>
    <xf numFmtId="179" fontId="0" fillId="0" borderId="7" xfId="0" applyNumberFormat="1" applyBorder="1" applyAlignment="1">
      <alignment horizontal="center" vertical="top" wrapText="1"/>
    </xf>
    <xf numFmtId="180" fontId="0" fillId="0" borderId="6" xfId="0" applyNumberFormat="1" applyBorder="1" applyAlignment="1">
      <alignment horizontal="center" vertical="top" wrapText="1"/>
    </xf>
    <xf numFmtId="2" fontId="1" fillId="0" borderId="1" xfId="0" applyNumberFormat="1" applyFont="1" applyBorder="1" applyAlignment="1">
      <alignment horizontal="center" vertical="top"/>
    </xf>
    <xf numFmtId="0" fontId="0" fillId="5" borderId="0" xfId="0" applyFill="1" applyAlignment="1">
      <alignment horizontal="center"/>
    </xf>
    <xf numFmtId="0" fontId="0" fillId="5" borderId="0" xfId="0" applyFill="1" applyAlignment="1">
      <alignment horizontal="center" wrapText="1"/>
    </xf>
    <xf numFmtId="0" fontId="1" fillId="5" borderId="0" xfId="0" applyFont="1" applyFill="1" applyAlignment="1">
      <alignment horizontal="center"/>
    </xf>
    <xf numFmtId="0" fontId="5" fillId="0" borderId="1" xfId="1" applyBorder="1" applyAlignment="1">
      <alignment horizontal="center" vertical="top"/>
    </xf>
    <xf numFmtId="0" fontId="6" fillId="0" borderId="0" xfId="0" applyFont="1"/>
    <xf numFmtId="0" fontId="8" fillId="0" borderId="0" xfId="0" applyFont="1"/>
    <xf numFmtId="0" fontId="9" fillId="6" borderId="0" xfId="0" applyFont="1" applyFill="1"/>
    <xf numFmtId="0" fontId="9" fillId="0" borderId="0" xfId="0" applyFont="1"/>
    <xf numFmtId="0" fontId="8" fillId="0" borderId="8" xfId="0" applyFont="1" applyBorder="1"/>
    <xf numFmtId="0" fontId="9" fillId="6" borderId="8" xfId="0" applyFont="1" applyFill="1" applyBorder="1"/>
    <xf numFmtId="0" fontId="9" fillId="6" borderId="9" xfId="0" applyFont="1" applyFill="1" applyBorder="1"/>
    <xf numFmtId="0" fontId="9" fillId="6" borderId="10" xfId="0" applyFont="1" applyFill="1" applyBorder="1"/>
    <xf numFmtId="4" fontId="9" fillId="0" borderId="8" xfId="0" applyNumberFormat="1" applyFont="1" applyBorder="1"/>
    <xf numFmtId="4" fontId="8" fillId="0" borderId="0" xfId="0" applyNumberFormat="1" applyFont="1"/>
    <xf numFmtId="4" fontId="9" fillId="0" borderId="0" xfId="0" applyNumberFormat="1" applyFont="1"/>
    <xf numFmtId="4" fontId="9" fillId="6" borderId="8" xfId="0" applyNumberFormat="1" applyFont="1" applyFill="1" applyBorder="1"/>
    <xf numFmtId="4" fontId="8" fillId="0" borderId="8" xfId="0" applyNumberFormat="1" applyFont="1" applyBorder="1"/>
    <xf numFmtId="0" fontId="0" fillId="0" borderId="5"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applyAlignment="1">
      <alignment horizontal="center" vertical="top" wrapText="1"/>
    </xf>
    <xf numFmtId="0" fontId="0" fillId="0" borderId="3" xfId="0" applyBorder="1" applyAlignment="1">
      <alignment horizontal="center" vertical="top" wrapText="1"/>
    </xf>
    <xf numFmtId="0" fontId="0" fillId="0" borderId="4" xfId="0" applyBorder="1" applyAlignment="1">
      <alignment horizontal="center" vertical="top" wrapText="1"/>
    </xf>
    <xf numFmtId="0" fontId="0" fillId="0" borderId="5" xfId="0" applyBorder="1" applyAlignment="1">
      <alignment horizontal="center" vertical="top"/>
    </xf>
    <xf numFmtId="0" fontId="0" fillId="0" borderId="4" xfId="0" applyBorder="1" applyAlignment="1">
      <alignment horizontal="center" vertical="top"/>
    </xf>
    <xf numFmtId="0" fontId="7" fillId="7" borderId="0" xfId="0" applyFont="1" applyFill="1" applyAlignment="1">
      <alignment horizontal="center" vertical="center" wrapText="1"/>
    </xf>
    <xf numFmtId="0" fontId="6" fillId="7" borderId="0" xfId="0" applyFont="1" applyFill="1" applyAlignment="1">
      <alignment horizontal="center" vertical="center" wrapText="1"/>
    </xf>
    <xf numFmtId="0" fontId="6" fillId="8" borderId="0" xfId="0" applyFont="1" applyFill="1"/>
  </cellXfs>
  <cellStyles count="2">
    <cellStyle name="Гиперссылка" xfId="1" builtinId="8"/>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barChart>
        <c:barDir val="bar"/>
        <c:grouping val="clustered"/>
        <c:varyColors val="0"/>
        <c:ser>
          <c:idx val="0"/>
          <c:order val="0"/>
          <c:tx>
            <c:strRef>
              <c:f>Расчет!$E$4</c:f>
              <c:strCache>
                <c:ptCount val="1"/>
                <c:pt idx="0">
                  <c:v>Анализ состава заказа по категории</c:v>
                </c:pt>
              </c:strCache>
            </c:strRef>
          </c:tx>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ru-RU"/>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Расчет!$E$5:$E$9</c:f>
              <c:strCache>
                <c:ptCount val="5"/>
                <c:pt idx="0">
                  <c:v>Обувь</c:v>
                </c:pt>
                <c:pt idx="1">
                  <c:v>Одежда</c:v>
                </c:pt>
                <c:pt idx="2">
                  <c:v>Аксессуары</c:v>
                </c:pt>
                <c:pt idx="3">
                  <c:v>Спорт. Инвентарь</c:v>
                </c:pt>
                <c:pt idx="4">
                  <c:v>Сумки и рюкзаки</c:v>
                </c:pt>
              </c:strCache>
            </c:strRef>
          </c:cat>
          <c:val>
            <c:numRef>
              <c:f>Расчет!$F$5:$F$9</c:f>
              <c:numCache>
                <c:formatCode>#,##0.00</c:formatCode>
                <c:ptCount val="5"/>
                <c:pt idx="0">
                  <c:v>0</c:v>
                </c:pt>
                <c:pt idx="1">
                  <c:v>0</c:v>
                </c:pt>
                <c:pt idx="2">
                  <c:v>0</c:v>
                </c:pt>
                <c:pt idx="3">
                  <c:v>0</c:v>
                </c:pt>
                <c:pt idx="4">
                  <c:v>0</c:v>
                </c:pt>
              </c:numCache>
            </c:numRef>
          </c:val>
          <c:extLst>
            <c:ext xmlns:c16="http://schemas.microsoft.com/office/drawing/2014/chart" uri="{C3380CC4-5D6E-409C-BE32-E72D297353CC}">
              <c16:uniqueId val="{00000000-4E51-4EE1-BF4A-F529D1586FC2}"/>
            </c:ext>
          </c:extLst>
        </c:ser>
        <c:dLbls>
          <c:dLblPos val="outEnd"/>
          <c:showLegendKey val="0"/>
          <c:showVal val="1"/>
          <c:showCatName val="0"/>
          <c:showSerName val="0"/>
          <c:showPercent val="0"/>
          <c:showBubbleSize val="0"/>
        </c:dLbls>
        <c:gapWidth val="100"/>
        <c:axId val="1251145272"/>
        <c:axId val="1251146912"/>
      </c:barChart>
      <c:catAx>
        <c:axId val="1251145272"/>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1251146912"/>
        <c:crosses val="autoZero"/>
        <c:auto val="1"/>
        <c:lblAlgn val="ctr"/>
        <c:lblOffset val="100"/>
        <c:noMultiLvlLbl val="0"/>
      </c:catAx>
      <c:valAx>
        <c:axId val="1251146912"/>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1251145272"/>
        <c:crosses val="autoZero"/>
        <c:crossBetween val="between"/>
        <c:majorUnit val="50000"/>
        <c:minorUnit val="50000"/>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doughnutChart>
        <c:varyColors val="1"/>
        <c:ser>
          <c:idx val="0"/>
          <c:order val="0"/>
          <c:tx>
            <c:strRef>
              <c:f>Расчет!$I$4</c:f>
              <c:strCache>
                <c:ptCount val="1"/>
                <c:pt idx="0">
                  <c:v>Анализ состава заказа по полу</c:v>
                </c:pt>
              </c:strCache>
            </c:strRef>
          </c:tx>
          <c:dPt>
            <c:idx val="0"/>
            <c:bubble3D val="0"/>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1-5362-427D-BDD1-A758015AAEDA}"/>
              </c:ext>
            </c:extLst>
          </c:dPt>
          <c:dPt>
            <c:idx val="1"/>
            <c:bubble3D val="0"/>
            <c:spPr>
              <a:gradFill rotWithShape="1">
                <a:gsLst>
                  <a:gs pos="0">
                    <a:schemeClr val="accent2">
                      <a:tint val="50000"/>
                      <a:satMod val="300000"/>
                    </a:schemeClr>
                  </a:gs>
                  <a:gs pos="35000">
                    <a:schemeClr val="accent2">
                      <a:tint val="37000"/>
                      <a:satMod val="300000"/>
                    </a:schemeClr>
                  </a:gs>
                  <a:gs pos="100000">
                    <a:schemeClr val="accent2">
                      <a:tint val="15000"/>
                      <a:satMod val="350000"/>
                    </a:schemeClr>
                  </a:gs>
                </a:gsLst>
                <a:lin ang="16200000" scaled="1"/>
              </a:gradFill>
              <a:ln w="9525" cap="flat" cmpd="sng" algn="ctr">
                <a:solidFill>
                  <a:schemeClr val="accent2">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3-5362-427D-BDD1-A758015AAEDA}"/>
              </c:ext>
            </c:extLst>
          </c:dPt>
          <c:dPt>
            <c:idx val="2"/>
            <c:bubble3D val="0"/>
            <c:spPr>
              <a:gradFill rotWithShape="1">
                <a:gsLst>
                  <a:gs pos="0">
                    <a:schemeClr val="accent3">
                      <a:tint val="50000"/>
                      <a:satMod val="300000"/>
                    </a:schemeClr>
                  </a:gs>
                  <a:gs pos="35000">
                    <a:schemeClr val="accent3">
                      <a:tint val="37000"/>
                      <a:satMod val="300000"/>
                    </a:schemeClr>
                  </a:gs>
                  <a:gs pos="100000">
                    <a:schemeClr val="accent3">
                      <a:tint val="15000"/>
                      <a:satMod val="350000"/>
                    </a:schemeClr>
                  </a:gs>
                </a:gsLst>
                <a:lin ang="16200000" scaled="1"/>
              </a:gradFill>
              <a:ln w="9525" cap="flat" cmpd="sng" algn="ctr">
                <a:solidFill>
                  <a:schemeClr val="accent3">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5-5362-427D-BDD1-A758015AAEDA}"/>
              </c:ext>
            </c:extLst>
          </c:dPt>
          <c:dPt>
            <c:idx val="3"/>
            <c:bubble3D val="0"/>
            <c:spPr>
              <a:gradFill rotWithShape="1">
                <a:gsLst>
                  <a:gs pos="0">
                    <a:schemeClr val="accent4">
                      <a:tint val="50000"/>
                      <a:satMod val="300000"/>
                    </a:schemeClr>
                  </a:gs>
                  <a:gs pos="35000">
                    <a:schemeClr val="accent4">
                      <a:tint val="37000"/>
                      <a:satMod val="300000"/>
                    </a:schemeClr>
                  </a:gs>
                  <a:gs pos="100000">
                    <a:schemeClr val="accent4">
                      <a:tint val="15000"/>
                      <a:satMod val="350000"/>
                    </a:schemeClr>
                  </a:gs>
                </a:gsLst>
                <a:lin ang="16200000" scaled="1"/>
              </a:gradFill>
              <a:ln w="9525" cap="flat" cmpd="sng" algn="ctr">
                <a:solidFill>
                  <a:schemeClr val="accent4">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7-5362-427D-BDD1-A758015AAEDA}"/>
              </c:ext>
            </c:extLst>
          </c:dPt>
          <c:cat>
            <c:strRef>
              <c:f>Расчет!$I$5:$I$8</c:f>
              <c:strCache>
                <c:ptCount val="4"/>
                <c:pt idx="0">
                  <c:v>Мужчины</c:v>
                </c:pt>
                <c:pt idx="1">
                  <c:v>Женщины</c:v>
                </c:pt>
                <c:pt idx="2">
                  <c:v>Дети</c:v>
                </c:pt>
                <c:pt idx="3">
                  <c:v>Унисекс</c:v>
                </c:pt>
              </c:strCache>
            </c:strRef>
          </c:cat>
          <c:val>
            <c:numRef>
              <c:f>Расчет!$J$5:$J$8</c:f>
              <c:numCache>
                <c:formatCode>#,##0.00</c:formatCode>
                <c:ptCount val="4"/>
                <c:pt idx="0">
                  <c:v>0</c:v>
                </c:pt>
                <c:pt idx="1">
                  <c:v>0</c:v>
                </c:pt>
                <c:pt idx="2">
                  <c:v>0</c:v>
                </c:pt>
                <c:pt idx="3">
                  <c:v>0</c:v>
                </c:pt>
              </c:numCache>
            </c:numRef>
          </c:val>
          <c:extLst>
            <c:ext xmlns:c16="http://schemas.microsoft.com/office/drawing/2014/chart" uri="{C3380CC4-5D6E-409C-BE32-E72D297353CC}">
              <c16:uniqueId val="{00000000-E51B-40E3-B757-475493DEBF27}"/>
            </c:ext>
          </c:extLst>
        </c:ser>
        <c:dLbls>
          <c:showLegendKey val="0"/>
          <c:showVal val="0"/>
          <c:showCatName val="0"/>
          <c:showSerName val="0"/>
          <c:showPercent val="0"/>
          <c:showBubbleSize val="0"/>
          <c:showLeaderLines val="1"/>
        </c:dLbls>
        <c:firstSliceAng val="0"/>
        <c:holeSize val="75"/>
      </c:doughnut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1">
  <a:schemeClr val="accent1"/>
  <a:schemeClr val="accent3"/>
  <a:schemeClr val="accent5"/>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9">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54">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65000"/>
        <a:lumOff val="3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fillRef idx="2">
      <cs:styleClr val="auto"/>
    </cs:fillRef>
    <cs:effectRef idx="1"/>
    <cs:fontRef idx="minor">
      <a:schemeClr val="dk1"/>
    </cs:fontRef>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522" Type="http://schemas.openxmlformats.org/officeDocument/2006/relationships/image" Target="../media/image1522.png"/><Relationship Id="rId21" Type="http://schemas.openxmlformats.org/officeDocument/2006/relationships/image" Target="../media/image21.png"/><Relationship Id="rId170" Type="http://schemas.openxmlformats.org/officeDocument/2006/relationships/image" Target="../media/image170.png"/><Relationship Id="rId268" Type="http://schemas.openxmlformats.org/officeDocument/2006/relationships/image" Target="../media/image268.png"/><Relationship Id="rId475" Type="http://schemas.openxmlformats.org/officeDocument/2006/relationships/image" Target="../media/image475.png"/><Relationship Id="rId682" Type="http://schemas.openxmlformats.org/officeDocument/2006/relationships/image" Target="../media/image682.png"/><Relationship Id="rId128" Type="http://schemas.openxmlformats.org/officeDocument/2006/relationships/image" Target="../media/image128.png"/><Relationship Id="rId335" Type="http://schemas.openxmlformats.org/officeDocument/2006/relationships/image" Target="../media/image335.png"/><Relationship Id="rId542" Type="http://schemas.openxmlformats.org/officeDocument/2006/relationships/image" Target="../media/image542.png"/><Relationship Id="rId987" Type="http://schemas.openxmlformats.org/officeDocument/2006/relationships/image" Target="../media/image987.png"/><Relationship Id="rId1172" Type="http://schemas.openxmlformats.org/officeDocument/2006/relationships/image" Target="../media/image1172.png"/><Relationship Id="rId402" Type="http://schemas.openxmlformats.org/officeDocument/2006/relationships/image" Target="../media/image402.png"/><Relationship Id="rId847" Type="http://schemas.openxmlformats.org/officeDocument/2006/relationships/image" Target="../media/image847.png"/><Relationship Id="rId1032" Type="http://schemas.openxmlformats.org/officeDocument/2006/relationships/image" Target="../media/image1032.png"/><Relationship Id="rId1477" Type="http://schemas.openxmlformats.org/officeDocument/2006/relationships/image" Target="../media/image1477.png"/><Relationship Id="rId1684" Type="http://schemas.openxmlformats.org/officeDocument/2006/relationships/image" Target="../media/image1684.png"/><Relationship Id="rId707" Type="http://schemas.openxmlformats.org/officeDocument/2006/relationships/image" Target="../media/image707.png"/><Relationship Id="rId914" Type="http://schemas.openxmlformats.org/officeDocument/2006/relationships/image" Target="../media/image914.png"/><Relationship Id="rId1337" Type="http://schemas.openxmlformats.org/officeDocument/2006/relationships/image" Target="../media/image1337.png"/><Relationship Id="rId1544" Type="http://schemas.openxmlformats.org/officeDocument/2006/relationships/image" Target="../media/image1544.png"/><Relationship Id="rId43" Type="http://schemas.openxmlformats.org/officeDocument/2006/relationships/image" Target="../media/image43.png"/><Relationship Id="rId1404" Type="http://schemas.openxmlformats.org/officeDocument/2006/relationships/image" Target="../media/image1404.png"/><Relationship Id="rId1611" Type="http://schemas.openxmlformats.org/officeDocument/2006/relationships/image" Target="../media/image1611.png"/><Relationship Id="rId192" Type="http://schemas.openxmlformats.org/officeDocument/2006/relationships/image" Target="../media/image192.png"/><Relationship Id="rId1709" Type="http://schemas.openxmlformats.org/officeDocument/2006/relationships/image" Target="../media/image1709.png"/><Relationship Id="rId497" Type="http://schemas.openxmlformats.org/officeDocument/2006/relationships/image" Target="../media/image497.png"/><Relationship Id="rId357" Type="http://schemas.openxmlformats.org/officeDocument/2006/relationships/image" Target="../media/image357.png"/><Relationship Id="rId1194" Type="http://schemas.openxmlformats.org/officeDocument/2006/relationships/image" Target="../media/image1194.png"/><Relationship Id="rId217" Type="http://schemas.openxmlformats.org/officeDocument/2006/relationships/image" Target="../media/image217.png"/><Relationship Id="rId564" Type="http://schemas.openxmlformats.org/officeDocument/2006/relationships/image" Target="../media/image564.png"/><Relationship Id="rId771" Type="http://schemas.openxmlformats.org/officeDocument/2006/relationships/image" Target="../media/image771.png"/><Relationship Id="rId869" Type="http://schemas.openxmlformats.org/officeDocument/2006/relationships/image" Target="../media/image869.png"/><Relationship Id="rId1499" Type="http://schemas.openxmlformats.org/officeDocument/2006/relationships/image" Target="../media/image1499.png"/><Relationship Id="rId424" Type="http://schemas.openxmlformats.org/officeDocument/2006/relationships/image" Target="../media/image424.png"/><Relationship Id="rId631" Type="http://schemas.openxmlformats.org/officeDocument/2006/relationships/image" Target="../media/image631.png"/><Relationship Id="rId729" Type="http://schemas.openxmlformats.org/officeDocument/2006/relationships/image" Target="../media/image729.png"/><Relationship Id="rId1054" Type="http://schemas.openxmlformats.org/officeDocument/2006/relationships/image" Target="../media/image1054.png"/><Relationship Id="rId1261" Type="http://schemas.openxmlformats.org/officeDocument/2006/relationships/image" Target="../media/image1261.png"/><Relationship Id="rId1359" Type="http://schemas.openxmlformats.org/officeDocument/2006/relationships/image" Target="../media/image1359.png"/><Relationship Id="rId936" Type="http://schemas.openxmlformats.org/officeDocument/2006/relationships/image" Target="../media/image936.png"/><Relationship Id="rId1121" Type="http://schemas.openxmlformats.org/officeDocument/2006/relationships/image" Target="../media/image1121.png"/><Relationship Id="rId1219" Type="http://schemas.openxmlformats.org/officeDocument/2006/relationships/image" Target="../media/image1219.png"/><Relationship Id="rId1566" Type="http://schemas.openxmlformats.org/officeDocument/2006/relationships/image" Target="../media/image1566.png"/><Relationship Id="rId65" Type="http://schemas.openxmlformats.org/officeDocument/2006/relationships/image" Target="../media/image65.png"/><Relationship Id="rId1426" Type="http://schemas.openxmlformats.org/officeDocument/2006/relationships/image" Target="../media/image1426.png"/><Relationship Id="rId1633" Type="http://schemas.openxmlformats.org/officeDocument/2006/relationships/image" Target="../media/image1633.png"/><Relationship Id="rId1700" Type="http://schemas.openxmlformats.org/officeDocument/2006/relationships/image" Target="../media/image1700.png"/><Relationship Id="rId281" Type="http://schemas.openxmlformats.org/officeDocument/2006/relationships/image" Target="../media/image281.png"/><Relationship Id="rId141" Type="http://schemas.openxmlformats.org/officeDocument/2006/relationships/image" Target="../media/image141.png"/><Relationship Id="rId379" Type="http://schemas.openxmlformats.org/officeDocument/2006/relationships/image" Target="../media/image379.png"/><Relationship Id="rId586" Type="http://schemas.openxmlformats.org/officeDocument/2006/relationships/image" Target="../media/image586.png"/><Relationship Id="rId793" Type="http://schemas.openxmlformats.org/officeDocument/2006/relationships/image" Target="../media/image793.png"/><Relationship Id="rId7" Type="http://schemas.openxmlformats.org/officeDocument/2006/relationships/image" Target="../media/image7.png"/><Relationship Id="rId239" Type="http://schemas.openxmlformats.org/officeDocument/2006/relationships/image" Target="../media/image239.png"/><Relationship Id="rId446" Type="http://schemas.openxmlformats.org/officeDocument/2006/relationships/image" Target="../media/image446.png"/><Relationship Id="rId653" Type="http://schemas.openxmlformats.org/officeDocument/2006/relationships/image" Target="../media/image653.png"/><Relationship Id="rId1076" Type="http://schemas.openxmlformats.org/officeDocument/2006/relationships/image" Target="../media/image1076.png"/><Relationship Id="rId1283" Type="http://schemas.openxmlformats.org/officeDocument/2006/relationships/image" Target="../media/image1283.png"/><Relationship Id="rId1490" Type="http://schemas.openxmlformats.org/officeDocument/2006/relationships/image" Target="../media/image1490.png"/><Relationship Id="rId306" Type="http://schemas.openxmlformats.org/officeDocument/2006/relationships/image" Target="../media/image306.png"/><Relationship Id="rId860" Type="http://schemas.openxmlformats.org/officeDocument/2006/relationships/image" Target="../media/image860.png"/><Relationship Id="rId958" Type="http://schemas.openxmlformats.org/officeDocument/2006/relationships/image" Target="../media/image958.png"/><Relationship Id="rId1143" Type="http://schemas.openxmlformats.org/officeDocument/2006/relationships/image" Target="../media/image1143.png"/><Relationship Id="rId1588" Type="http://schemas.openxmlformats.org/officeDocument/2006/relationships/image" Target="../media/image1588.png"/><Relationship Id="rId87" Type="http://schemas.openxmlformats.org/officeDocument/2006/relationships/image" Target="../media/image87.png"/><Relationship Id="rId513" Type="http://schemas.openxmlformats.org/officeDocument/2006/relationships/image" Target="../media/image513.png"/><Relationship Id="rId720" Type="http://schemas.openxmlformats.org/officeDocument/2006/relationships/image" Target="../media/image720.png"/><Relationship Id="rId818" Type="http://schemas.openxmlformats.org/officeDocument/2006/relationships/image" Target="../media/image818.png"/><Relationship Id="rId1350" Type="http://schemas.openxmlformats.org/officeDocument/2006/relationships/image" Target="../media/image1350.png"/><Relationship Id="rId1448" Type="http://schemas.openxmlformats.org/officeDocument/2006/relationships/image" Target="../media/image1448.png"/><Relationship Id="rId1655" Type="http://schemas.openxmlformats.org/officeDocument/2006/relationships/image" Target="../media/image1655.png"/><Relationship Id="rId1003" Type="http://schemas.openxmlformats.org/officeDocument/2006/relationships/image" Target="../media/image1003.png"/><Relationship Id="rId1210" Type="http://schemas.openxmlformats.org/officeDocument/2006/relationships/image" Target="../media/image1210.png"/><Relationship Id="rId1308" Type="http://schemas.openxmlformats.org/officeDocument/2006/relationships/image" Target="../media/image1308.png"/><Relationship Id="rId1515" Type="http://schemas.openxmlformats.org/officeDocument/2006/relationships/image" Target="../media/image1515.png"/><Relationship Id="rId1722" Type="http://schemas.openxmlformats.org/officeDocument/2006/relationships/image" Target="../media/image1722.png"/><Relationship Id="rId14" Type="http://schemas.openxmlformats.org/officeDocument/2006/relationships/image" Target="../media/image14.png"/><Relationship Id="rId163" Type="http://schemas.openxmlformats.org/officeDocument/2006/relationships/image" Target="../media/image163.png"/><Relationship Id="rId370" Type="http://schemas.openxmlformats.org/officeDocument/2006/relationships/image" Target="../media/image370.png"/><Relationship Id="rId230" Type="http://schemas.openxmlformats.org/officeDocument/2006/relationships/image" Target="../media/image230.png"/><Relationship Id="rId468" Type="http://schemas.openxmlformats.org/officeDocument/2006/relationships/image" Target="../media/image468.png"/><Relationship Id="rId675" Type="http://schemas.openxmlformats.org/officeDocument/2006/relationships/image" Target="../media/image675.png"/><Relationship Id="rId882" Type="http://schemas.openxmlformats.org/officeDocument/2006/relationships/image" Target="../media/image882.png"/><Relationship Id="rId1098" Type="http://schemas.openxmlformats.org/officeDocument/2006/relationships/image" Target="../media/image1098.png"/><Relationship Id="rId328" Type="http://schemas.openxmlformats.org/officeDocument/2006/relationships/image" Target="../media/image328.png"/><Relationship Id="rId535" Type="http://schemas.openxmlformats.org/officeDocument/2006/relationships/image" Target="../media/image535.png"/><Relationship Id="rId742" Type="http://schemas.openxmlformats.org/officeDocument/2006/relationships/image" Target="../media/image742.png"/><Relationship Id="rId1165" Type="http://schemas.openxmlformats.org/officeDocument/2006/relationships/image" Target="../media/image1165.png"/><Relationship Id="rId1372" Type="http://schemas.openxmlformats.org/officeDocument/2006/relationships/image" Target="../media/image1372.png"/><Relationship Id="rId602" Type="http://schemas.openxmlformats.org/officeDocument/2006/relationships/image" Target="../media/image602.png"/><Relationship Id="rId1025" Type="http://schemas.openxmlformats.org/officeDocument/2006/relationships/image" Target="../media/image1025.png"/><Relationship Id="rId1232" Type="http://schemas.openxmlformats.org/officeDocument/2006/relationships/image" Target="../media/image1232.png"/><Relationship Id="rId1677" Type="http://schemas.openxmlformats.org/officeDocument/2006/relationships/image" Target="../media/image1677.png"/><Relationship Id="rId907" Type="http://schemas.openxmlformats.org/officeDocument/2006/relationships/image" Target="../media/image907.png"/><Relationship Id="rId1537" Type="http://schemas.openxmlformats.org/officeDocument/2006/relationships/image" Target="../media/image1537.png"/><Relationship Id="rId36" Type="http://schemas.openxmlformats.org/officeDocument/2006/relationships/image" Target="../media/image36.png"/><Relationship Id="rId1604" Type="http://schemas.openxmlformats.org/officeDocument/2006/relationships/image" Target="../media/image1604.png"/><Relationship Id="rId185" Type="http://schemas.openxmlformats.org/officeDocument/2006/relationships/image" Target="../media/image185.png"/><Relationship Id="rId392" Type="http://schemas.openxmlformats.org/officeDocument/2006/relationships/image" Target="../media/image392.png"/><Relationship Id="rId697" Type="http://schemas.openxmlformats.org/officeDocument/2006/relationships/image" Target="../media/image697.png"/><Relationship Id="rId252" Type="http://schemas.openxmlformats.org/officeDocument/2006/relationships/image" Target="../media/image252.png"/><Relationship Id="rId1187" Type="http://schemas.openxmlformats.org/officeDocument/2006/relationships/image" Target="../media/image1187.png"/><Relationship Id="rId112" Type="http://schemas.openxmlformats.org/officeDocument/2006/relationships/image" Target="../media/image112.png"/><Relationship Id="rId557" Type="http://schemas.openxmlformats.org/officeDocument/2006/relationships/image" Target="../media/image557.png"/><Relationship Id="rId764" Type="http://schemas.openxmlformats.org/officeDocument/2006/relationships/image" Target="../media/image764.png"/><Relationship Id="rId971" Type="http://schemas.openxmlformats.org/officeDocument/2006/relationships/image" Target="../media/image971.png"/><Relationship Id="rId1394" Type="http://schemas.openxmlformats.org/officeDocument/2006/relationships/image" Target="../media/image1394.png"/><Relationship Id="rId1699" Type="http://schemas.openxmlformats.org/officeDocument/2006/relationships/image" Target="../media/image1699.png"/><Relationship Id="rId417" Type="http://schemas.openxmlformats.org/officeDocument/2006/relationships/image" Target="../media/image417.png"/><Relationship Id="rId624" Type="http://schemas.openxmlformats.org/officeDocument/2006/relationships/image" Target="../media/image624.png"/><Relationship Id="rId831" Type="http://schemas.openxmlformats.org/officeDocument/2006/relationships/image" Target="../media/image831.png"/><Relationship Id="rId1047" Type="http://schemas.openxmlformats.org/officeDocument/2006/relationships/image" Target="../media/image1047.png"/><Relationship Id="rId1254" Type="http://schemas.openxmlformats.org/officeDocument/2006/relationships/image" Target="../media/image1254.png"/><Relationship Id="rId1461" Type="http://schemas.openxmlformats.org/officeDocument/2006/relationships/image" Target="../media/image1461.png"/><Relationship Id="rId929" Type="http://schemas.openxmlformats.org/officeDocument/2006/relationships/image" Target="../media/image929.png"/><Relationship Id="rId1114" Type="http://schemas.openxmlformats.org/officeDocument/2006/relationships/image" Target="../media/image1114.png"/><Relationship Id="rId1321" Type="http://schemas.openxmlformats.org/officeDocument/2006/relationships/image" Target="../media/image1321.png"/><Relationship Id="rId1559" Type="http://schemas.openxmlformats.org/officeDocument/2006/relationships/image" Target="../media/image1559.png"/><Relationship Id="rId58" Type="http://schemas.openxmlformats.org/officeDocument/2006/relationships/image" Target="../media/image58.png"/><Relationship Id="rId1419" Type="http://schemas.openxmlformats.org/officeDocument/2006/relationships/image" Target="../media/image1419.png"/><Relationship Id="rId1626" Type="http://schemas.openxmlformats.org/officeDocument/2006/relationships/image" Target="../media/image1626.png"/><Relationship Id="rId274" Type="http://schemas.openxmlformats.org/officeDocument/2006/relationships/image" Target="../media/image274.png"/><Relationship Id="rId481" Type="http://schemas.openxmlformats.org/officeDocument/2006/relationships/image" Target="../media/image481.png"/><Relationship Id="rId134" Type="http://schemas.openxmlformats.org/officeDocument/2006/relationships/image" Target="../media/image134.png"/><Relationship Id="rId579" Type="http://schemas.openxmlformats.org/officeDocument/2006/relationships/image" Target="../media/image579.png"/><Relationship Id="rId786" Type="http://schemas.openxmlformats.org/officeDocument/2006/relationships/image" Target="../media/image786.png"/><Relationship Id="rId993" Type="http://schemas.openxmlformats.org/officeDocument/2006/relationships/image" Target="../media/image993.png"/><Relationship Id="rId341" Type="http://schemas.openxmlformats.org/officeDocument/2006/relationships/image" Target="../media/image341.png"/><Relationship Id="rId439" Type="http://schemas.openxmlformats.org/officeDocument/2006/relationships/image" Target="../media/image439.png"/><Relationship Id="rId646" Type="http://schemas.openxmlformats.org/officeDocument/2006/relationships/image" Target="../media/image646.png"/><Relationship Id="rId1069" Type="http://schemas.openxmlformats.org/officeDocument/2006/relationships/image" Target="../media/image1069.png"/><Relationship Id="rId1276" Type="http://schemas.openxmlformats.org/officeDocument/2006/relationships/image" Target="../media/image1276.png"/><Relationship Id="rId1483" Type="http://schemas.openxmlformats.org/officeDocument/2006/relationships/image" Target="../media/image1483.png"/><Relationship Id="rId201" Type="http://schemas.openxmlformats.org/officeDocument/2006/relationships/image" Target="../media/image201.png"/><Relationship Id="rId506" Type="http://schemas.openxmlformats.org/officeDocument/2006/relationships/image" Target="../media/image506.png"/><Relationship Id="rId853" Type="http://schemas.openxmlformats.org/officeDocument/2006/relationships/image" Target="../media/image853.png"/><Relationship Id="rId1136" Type="http://schemas.openxmlformats.org/officeDocument/2006/relationships/image" Target="../media/image1136.png"/><Relationship Id="rId1690" Type="http://schemas.openxmlformats.org/officeDocument/2006/relationships/image" Target="../media/image1690.png"/><Relationship Id="rId713" Type="http://schemas.openxmlformats.org/officeDocument/2006/relationships/image" Target="../media/image713.png"/><Relationship Id="rId920" Type="http://schemas.openxmlformats.org/officeDocument/2006/relationships/image" Target="../media/image920.png"/><Relationship Id="rId1343" Type="http://schemas.openxmlformats.org/officeDocument/2006/relationships/image" Target="../media/image1343.png"/><Relationship Id="rId1550" Type="http://schemas.openxmlformats.org/officeDocument/2006/relationships/image" Target="../media/image1550.png"/><Relationship Id="rId1648" Type="http://schemas.openxmlformats.org/officeDocument/2006/relationships/image" Target="../media/image1648.png"/><Relationship Id="rId1203" Type="http://schemas.openxmlformats.org/officeDocument/2006/relationships/image" Target="../media/image1203.png"/><Relationship Id="rId1410" Type="http://schemas.openxmlformats.org/officeDocument/2006/relationships/image" Target="../media/image1410.png"/><Relationship Id="rId1508" Type="http://schemas.openxmlformats.org/officeDocument/2006/relationships/image" Target="../media/image1508.png"/><Relationship Id="rId1715" Type="http://schemas.openxmlformats.org/officeDocument/2006/relationships/image" Target="../media/image1715.png"/><Relationship Id="rId296" Type="http://schemas.openxmlformats.org/officeDocument/2006/relationships/image" Target="../media/image296.png"/><Relationship Id="rId156" Type="http://schemas.openxmlformats.org/officeDocument/2006/relationships/image" Target="../media/image156.png"/><Relationship Id="rId363" Type="http://schemas.openxmlformats.org/officeDocument/2006/relationships/image" Target="../media/image363.png"/><Relationship Id="rId570" Type="http://schemas.openxmlformats.org/officeDocument/2006/relationships/image" Target="../media/image570.png"/><Relationship Id="rId223" Type="http://schemas.openxmlformats.org/officeDocument/2006/relationships/image" Target="../media/image223.png"/><Relationship Id="rId430" Type="http://schemas.openxmlformats.org/officeDocument/2006/relationships/image" Target="../media/image430.png"/><Relationship Id="rId668" Type="http://schemas.openxmlformats.org/officeDocument/2006/relationships/image" Target="../media/image668.png"/><Relationship Id="rId875" Type="http://schemas.openxmlformats.org/officeDocument/2006/relationships/image" Target="../media/image875.png"/><Relationship Id="rId1060" Type="http://schemas.openxmlformats.org/officeDocument/2006/relationships/image" Target="../media/image1060.png"/><Relationship Id="rId1298" Type="http://schemas.openxmlformats.org/officeDocument/2006/relationships/image" Target="../media/image1298.png"/><Relationship Id="rId528" Type="http://schemas.openxmlformats.org/officeDocument/2006/relationships/image" Target="../media/image528.png"/><Relationship Id="rId735" Type="http://schemas.openxmlformats.org/officeDocument/2006/relationships/image" Target="../media/image735.png"/><Relationship Id="rId942" Type="http://schemas.openxmlformats.org/officeDocument/2006/relationships/image" Target="../media/image942.png"/><Relationship Id="rId1158" Type="http://schemas.openxmlformats.org/officeDocument/2006/relationships/image" Target="../media/image1158.png"/><Relationship Id="rId1365" Type="http://schemas.openxmlformats.org/officeDocument/2006/relationships/image" Target="../media/image1365.png"/><Relationship Id="rId1572" Type="http://schemas.openxmlformats.org/officeDocument/2006/relationships/image" Target="../media/image1572.png"/><Relationship Id="rId1018" Type="http://schemas.openxmlformats.org/officeDocument/2006/relationships/image" Target="../media/image1018.png"/><Relationship Id="rId1225" Type="http://schemas.openxmlformats.org/officeDocument/2006/relationships/image" Target="../media/image1225.png"/><Relationship Id="rId1432" Type="http://schemas.openxmlformats.org/officeDocument/2006/relationships/image" Target="../media/image1432.png"/><Relationship Id="rId71" Type="http://schemas.openxmlformats.org/officeDocument/2006/relationships/image" Target="../media/image71.png"/><Relationship Id="rId802" Type="http://schemas.openxmlformats.org/officeDocument/2006/relationships/image" Target="../media/image802.png"/><Relationship Id="rId29" Type="http://schemas.openxmlformats.org/officeDocument/2006/relationships/image" Target="../media/image29.png"/><Relationship Id="rId178" Type="http://schemas.openxmlformats.org/officeDocument/2006/relationships/image" Target="../media/image178.png"/><Relationship Id="rId385" Type="http://schemas.openxmlformats.org/officeDocument/2006/relationships/image" Target="../media/image385.png"/><Relationship Id="rId592" Type="http://schemas.openxmlformats.org/officeDocument/2006/relationships/image" Target="../media/image592.png"/><Relationship Id="rId245" Type="http://schemas.openxmlformats.org/officeDocument/2006/relationships/image" Target="../media/image245.png"/><Relationship Id="rId452" Type="http://schemas.openxmlformats.org/officeDocument/2006/relationships/image" Target="../media/image452.png"/><Relationship Id="rId897" Type="http://schemas.openxmlformats.org/officeDocument/2006/relationships/image" Target="../media/image897.png"/><Relationship Id="rId1082" Type="http://schemas.openxmlformats.org/officeDocument/2006/relationships/image" Target="../media/image1082.png"/><Relationship Id="rId105" Type="http://schemas.openxmlformats.org/officeDocument/2006/relationships/image" Target="../media/image105.png"/><Relationship Id="rId312" Type="http://schemas.openxmlformats.org/officeDocument/2006/relationships/image" Target="../media/image312.png"/><Relationship Id="rId757" Type="http://schemas.openxmlformats.org/officeDocument/2006/relationships/image" Target="../media/image757.png"/><Relationship Id="rId964" Type="http://schemas.openxmlformats.org/officeDocument/2006/relationships/image" Target="../media/image964.png"/><Relationship Id="rId1387" Type="http://schemas.openxmlformats.org/officeDocument/2006/relationships/image" Target="../media/image1387.png"/><Relationship Id="rId1594" Type="http://schemas.openxmlformats.org/officeDocument/2006/relationships/image" Target="../media/image1594.png"/><Relationship Id="rId93" Type="http://schemas.openxmlformats.org/officeDocument/2006/relationships/image" Target="../media/image93.png"/><Relationship Id="rId617" Type="http://schemas.openxmlformats.org/officeDocument/2006/relationships/image" Target="../media/image617.png"/><Relationship Id="rId824" Type="http://schemas.openxmlformats.org/officeDocument/2006/relationships/image" Target="../media/image824.png"/><Relationship Id="rId1247" Type="http://schemas.openxmlformats.org/officeDocument/2006/relationships/image" Target="../media/image1247.png"/><Relationship Id="rId1454" Type="http://schemas.openxmlformats.org/officeDocument/2006/relationships/image" Target="../media/image1454.png"/><Relationship Id="rId1661" Type="http://schemas.openxmlformats.org/officeDocument/2006/relationships/image" Target="../media/image1661.png"/><Relationship Id="rId1107" Type="http://schemas.openxmlformats.org/officeDocument/2006/relationships/image" Target="../media/image1107.png"/><Relationship Id="rId1314" Type="http://schemas.openxmlformats.org/officeDocument/2006/relationships/image" Target="../media/image1314.png"/><Relationship Id="rId1521" Type="http://schemas.openxmlformats.org/officeDocument/2006/relationships/image" Target="../media/image1521.png"/><Relationship Id="rId1619" Type="http://schemas.openxmlformats.org/officeDocument/2006/relationships/image" Target="../media/image1619.png"/><Relationship Id="rId20" Type="http://schemas.openxmlformats.org/officeDocument/2006/relationships/image" Target="../media/image20.png"/><Relationship Id="rId267" Type="http://schemas.openxmlformats.org/officeDocument/2006/relationships/image" Target="../media/image267.png"/><Relationship Id="rId474" Type="http://schemas.openxmlformats.org/officeDocument/2006/relationships/image" Target="../media/image474.png"/><Relationship Id="rId127" Type="http://schemas.openxmlformats.org/officeDocument/2006/relationships/image" Target="../media/image127.png"/><Relationship Id="rId681" Type="http://schemas.openxmlformats.org/officeDocument/2006/relationships/image" Target="../media/image681.png"/><Relationship Id="rId779" Type="http://schemas.openxmlformats.org/officeDocument/2006/relationships/image" Target="../media/image779.png"/><Relationship Id="rId986" Type="http://schemas.openxmlformats.org/officeDocument/2006/relationships/image" Target="../media/image986.png"/><Relationship Id="rId334" Type="http://schemas.openxmlformats.org/officeDocument/2006/relationships/image" Target="../media/image334.png"/><Relationship Id="rId541" Type="http://schemas.openxmlformats.org/officeDocument/2006/relationships/image" Target="../media/image541.png"/><Relationship Id="rId639" Type="http://schemas.openxmlformats.org/officeDocument/2006/relationships/image" Target="../media/image639.png"/><Relationship Id="rId1171" Type="http://schemas.openxmlformats.org/officeDocument/2006/relationships/image" Target="../media/image1171.png"/><Relationship Id="rId1269" Type="http://schemas.openxmlformats.org/officeDocument/2006/relationships/image" Target="../media/image1269.png"/><Relationship Id="rId1476" Type="http://schemas.openxmlformats.org/officeDocument/2006/relationships/image" Target="../media/image1476.png"/><Relationship Id="rId401" Type="http://schemas.openxmlformats.org/officeDocument/2006/relationships/image" Target="../media/image401.png"/><Relationship Id="rId846" Type="http://schemas.openxmlformats.org/officeDocument/2006/relationships/image" Target="../media/image846.png"/><Relationship Id="rId1031" Type="http://schemas.openxmlformats.org/officeDocument/2006/relationships/image" Target="../media/image1031.png"/><Relationship Id="rId1129" Type="http://schemas.openxmlformats.org/officeDocument/2006/relationships/image" Target="../media/image1129.png"/><Relationship Id="rId1683" Type="http://schemas.openxmlformats.org/officeDocument/2006/relationships/image" Target="../media/image1683.png"/><Relationship Id="rId706" Type="http://schemas.openxmlformats.org/officeDocument/2006/relationships/image" Target="../media/image706.png"/><Relationship Id="rId913" Type="http://schemas.openxmlformats.org/officeDocument/2006/relationships/image" Target="../media/image913.png"/><Relationship Id="rId1336" Type="http://schemas.openxmlformats.org/officeDocument/2006/relationships/image" Target="../media/image1336.png"/><Relationship Id="rId1543" Type="http://schemas.openxmlformats.org/officeDocument/2006/relationships/image" Target="../media/image1543.png"/><Relationship Id="rId42" Type="http://schemas.openxmlformats.org/officeDocument/2006/relationships/image" Target="../media/image42.png"/><Relationship Id="rId1403" Type="http://schemas.openxmlformats.org/officeDocument/2006/relationships/image" Target="../media/image1403.png"/><Relationship Id="rId1610" Type="http://schemas.openxmlformats.org/officeDocument/2006/relationships/image" Target="../media/image1610.png"/><Relationship Id="rId191" Type="http://schemas.openxmlformats.org/officeDocument/2006/relationships/image" Target="../media/image191.png"/><Relationship Id="rId1708" Type="http://schemas.openxmlformats.org/officeDocument/2006/relationships/image" Target="../media/image1708.png"/><Relationship Id="rId289" Type="http://schemas.openxmlformats.org/officeDocument/2006/relationships/image" Target="../media/image289.png"/><Relationship Id="rId496" Type="http://schemas.openxmlformats.org/officeDocument/2006/relationships/image" Target="../media/image496.png"/><Relationship Id="rId149" Type="http://schemas.openxmlformats.org/officeDocument/2006/relationships/image" Target="../media/image149.png"/><Relationship Id="rId356" Type="http://schemas.openxmlformats.org/officeDocument/2006/relationships/image" Target="../media/image356.png"/><Relationship Id="rId563" Type="http://schemas.openxmlformats.org/officeDocument/2006/relationships/image" Target="../media/image563.png"/><Relationship Id="rId770" Type="http://schemas.openxmlformats.org/officeDocument/2006/relationships/image" Target="../media/image770.png"/><Relationship Id="rId1193" Type="http://schemas.openxmlformats.org/officeDocument/2006/relationships/image" Target="../media/image1193.png"/><Relationship Id="rId216" Type="http://schemas.openxmlformats.org/officeDocument/2006/relationships/image" Target="../media/image216.png"/><Relationship Id="rId423" Type="http://schemas.openxmlformats.org/officeDocument/2006/relationships/image" Target="../media/image423.png"/><Relationship Id="rId868" Type="http://schemas.openxmlformats.org/officeDocument/2006/relationships/image" Target="../media/image868.png"/><Relationship Id="rId1053" Type="http://schemas.openxmlformats.org/officeDocument/2006/relationships/image" Target="../media/image1053.png"/><Relationship Id="rId1260" Type="http://schemas.openxmlformats.org/officeDocument/2006/relationships/image" Target="../media/image1260.png"/><Relationship Id="rId1498" Type="http://schemas.openxmlformats.org/officeDocument/2006/relationships/image" Target="../media/image1498.png"/><Relationship Id="rId630" Type="http://schemas.openxmlformats.org/officeDocument/2006/relationships/image" Target="../media/image630.png"/><Relationship Id="rId728" Type="http://schemas.openxmlformats.org/officeDocument/2006/relationships/image" Target="../media/image728.png"/><Relationship Id="rId935" Type="http://schemas.openxmlformats.org/officeDocument/2006/relationships/image" Target="../media/image935.png"/><Relationship Id="rId1358" Type="http://schemas.openxmlformats.org/officeDocument/2006/relationships/image" Target="../media/image1358.png"/><Relationship Id="rId1565" Type="http://schemas.openxmlformats.org/officeDocument/2006/relationships/image" Target="../media/image1565.png"/><Relationship Id="rId64" Type="http://schemas.openxmlformats.org/officeDocument/2006/relationships/image" Target="../media/image64.png"/><Relationship Id="rId1120" Type="http://schemas.openxmlformats.org/officeDocument/2006/relationships/image" Target="../media/image1120.png"/><Relationship Id="rId1218" Type="http://schemas.openxmlformats.org/officeDocument/2006/relationships/image" Target="../media/image1218.png"/><Relationship Id="rId1425" Type="http://schemas.openxmlformats.org/officeDocument/2006/relationships/image" Target="../media/image1425.png"/><Relationship Id="rId1632" Type="http://schemas.openxmlformats.org/officeDocument/2006/relationships/image" Target="../media/image1632.png"/><Relationship Id="rId280" Type="http://schemas.openxmlformats.org/officeDocument/2006/relationships/image" Target="../media/image280.png"/><Relationship Id="rId140" Type="http://schemas.openxmlformats.org/officeDocument/2006/relationships/image" Target="../media/image140.png"/><Relationship Id="rId378" Type="http://schemas.openxmlformats.org/officeDocument/2006/relationships/image" Target="../media/image378.png"/><Relationship Id="rId585" Type="http://schemas.openxmlformats.org/officeDocument/2006/relationships/image" Target="../media/image585.png"/><Relationship Id="rId792" Type="http://schemas.openxmlformats.org/officeDocument/2006/relationships/image" Target="../media/image792.png"/><Relationship Id="rId6" Type="http://schemas.openxmlformats.org/officeDocument/2006/relationships/image" Target="../media/image6.png"/><Relationship Id="rId238" Type="http://schemas.openxmlformats.org/officeDocument/2006/relationships/image" Target="../media/image238.png"/><Relationship Id="rId445" Type="http://schemas.openxmlformats.org/officeDocument/2006/relationships/image" Target="../media/image445.png"/><Relationship Id="rId652" Type="http://schemas.openxmlformats.org/officeDocument/2006/relationships/image" Target="../media/image652.png"/><Relationship Id="rId1075" Type="http://schemas.openxmlformats.org/officeDocument/2006/relationships/image" Target="../media/image1075.png"/><Relationship Id="rId1282" Type="http://schemas.openxmlformats.org/officeDocument/2006/relationships/image" Target="../media/image1282.png"/><Relationship Id="rId305" Type="http://schemas.openxmlformats.org/officeDocument/2006/relationships/image" Target="../media/image305.png"/><Relationship Id="rId512" Type="http://schemas.openxmlformats.org/officeDocument/2006/relationships/image" Target="../media/image512.png"/><Relationship Id="rId957" Type="http://schemas.openxmlformats.org/officeDocument/2006/relationships/image" Target="../media/image957.png"/><Relationship Id="rId1142" Type="http://schemas.openxmlformats.org/officeDocument/2006/relationships/image" Target="../media/image1142.png"/><Relationship Id="rId1587" Type="http://schemas.openxmlformats.org/officeDocument/2006/relationships/image" Target="../media/image1587.png"/><Relationship Id="rId86" Type="http://schemas.openxmlformats.org/officeDocument/2006/relationships/image" Target="../media/image86.png"/><Relationship Id="rId817" Type="http://schemas.openxmlformats.org/officeDocument/2006/relationships/image" Target="../media/image817.png"/><Relationship Id="rId1002" Type="http://schemas.openxmlformats.org/officeDocument/2006/relationships/image" Target="../media/image1002.png"/><Relationship Id="rId1447" Type="http://schemas.openxmlformats.org/officeDocument/2006/relationships/image" Target="../media/image1447.png"/><Relationship Id="rId1654" Type="http://schemas.openxmlformats.org/officeDocument/2006/relationships/image" Target="../media/image1654.png"/><Relationship Id="rId1307" Type="http://schemas.openxmlformats.org/officeDocument/2006/relationships/image" Target="../media/image1307.png"/><Relationship Id="rId1514" Type="http://schemas.openxmlformats.org/officeDocument/2006/relationships/image" Target="../media/image1514.png"/><Relationship Id="rId1721" Type="http://schemas.openxmlformats.org/officeDocument/2006/relationships/image" Target="../media/image1721.png"/><Relationship Id="rId13" Type="http://schemas.openxmlformats.org/officeDocument/2006/relationships/image" Target="../media/image13.png"/><Relationship Id="rId162" Type="http://schemas.openxmlformats.org/officeDocument/2006/relationships/image" Target="../media/image162.png"/><Relationship Id="rId467" Type="http://schemas.openxmlformats.org/officeDocument/2006/relationships/image" Target="../media/image467.png"/><Relationship Id="rId1097" Type="http://schemas.openxmlformats.org/officeDocument/2006/relationships/image" Target="../media/image1097.png"/><Relationship Id="rId674" Type="http://schemas.openxmlformats.org/officeDocument/2006/relationships/image" Target="../media/image674.png"/><Relationship Id="rId881" Type="http://schemas.openxmlformats.org/officeDocument/2006/relationships/image" Target="../media/image881.png"/><Relationship Id="rId979" Type="http://schemas.openxmlformats.org/officeDocument/2006/relationships/image" Target="../media/image979.png"/><Relationship Id="rId327" Type="http://schemas.openxmlformats.org/officeDocument/2006/relationships/image" Target="../media/image327.png"/><Relationship Id="rId534" Type="http://schemas.openxmlformats.org/officeDocument/2006/relationships/image" Target="../media/image534.png"/><Relationship Id="rId741" Type="http://schemas.openxmlformats.org/officeDocument/2006/relationships/image" Target="../media/image741.png"/><Relationship Id="rId839" Type="http://schemas.openxmlformats.org/officeDocument/2006/relationships/image" Target="../media/image839.png"/><Relationship Id="rId1164" Type="http://schemas.openxmlformats.org/officeDocument/2006/relationships/image" Target="../media/image1164.png"/><Relationship Id="rId1371" Type="http://schemas.openxmlformats.org/officeDocument/2006/relationships/image" Target="../media/image1371.png"/><Relationship Id="rId1469" Type="http://schemas.openxmlformats.org/officeDocument/2006/relationships/image" Target="../media/image1469.png"/><Relationship Id="rId601" Type="http://schemas.openxmlformats.org/officeDocument/2006/relationships/image" Target="../media/image601.png"/><Relationship Id="rId1024" Type="http://schemas.openxmlformats.org/officeDocument/2006/relationships/image" Target="../media/image1024.png"/><Relationship Id="rId1231" Type="http://schemas.openxmlformats.org/officeDocument/2006/relationships/image" Target="../media/image1231.png"/><Relationship Id="rId1676" Type="http://schemas.openxmlformats.org/officeDocument/2006/relationships/image" Target="../media/image1676.png"/><Relationship Id="rId906" Type="http://schemas.openxmlformats.org/officeDocument/2006/relationships/image" Target="../media/image906.png"/><Relationship Id="rId1329" Type="http://schemas.openxmlformats.org/officeDocument/2006/relationships/image" Target="../media/image1329.png"/><Relationship Id="rId1536" Type="http://schemas.openxmlformats.org/officeDocument/2006/relationships/image" Target="../media/image1536.png"/><Relationship Id="rId35" Type="http://schemas.openxmlformats.org/officeDocument/2006/relationships/image" Target="../media/image35.png"/><Relationship Id="rId1603" Type="http://schemas.openxmlformats.org/officeDocument/2006/relationships/image" Target="../media/image1603.png"/><Relationship Id="rId184" Type="http://schemas.openxmlformats.org/officeDocument/2006/relationships/image" Target="../media/image184.png"/><Relationship Id="rId391" Type="http://schemas.openxmlformats.org/officeDocument/2006/relationships/image" Target="../media/image391.png"/><Relationship Id="rId251" Type="http://schemas.openxmlformats.org/officeDocument/2006/relationships/image" Target="../media/image251.png"/><Relationship Id="rId489" Type="http://schemas.openxmlformats.org/officeDocument/2006/relationships/image" Target="../media/image489.png"/><Relationship Id="rId696" Type="http://schemas.openxmlformats.org/officeDocument/2006/relationships/image" Target="../media/image696.png"/><Relationship Id="rId349" Type="http://schemas.openxmlformats.org/officeDocument/2006/relationships/image" Target="../media/image349.png"/><Relationship Id="rId556" Type="http://schemas.openxmlformats.org/officeDocument/2006/relationships/image" Target="../media/image556.png"/><Relationship Id="rId763" Type="http://schemas.openxmlformats.org/officeDocument/2006/relationships/image" Target="../media/image763.png"/><Relationship Id="rId1186" Type="http://schemas.openxmlformats.org/officeDocument/2006/relationships/image" Target="../media/image1186.png"/><Relationship Id="rId1393" Type="http://schemas.openxmlformats.org/officeDocument/2006/relationships/image" Target="../media/image1393.png"/><Relationship Id="rId111" Type="http://schemas.openxmlformats.org/officeDocument/2006/relationships/image" Target="../media/image111.png"/><Relationship Id="rId209" Type="http://schemas.openxmlformats.org/officeDocument/2006/relationships/image" Target="../media/image209.png"/><Relationship Id="rId416" Type="http://schemas.openxmlformats.org/officeDocument/2006/relationships/image" Target="../media/image416.png"/><Relationship Id="rId970" Type="http://schemas.openxmlformats.org/officeDocument/2006/relationships/image" Target="../media/image970.png"/><Relationship Id="rId1046" Type="http://schemas.openxmlformats.org/officeDocument/2006/relationships/image" Target="../media/image1046.png"/><Relationship Id="rId1253" Type="http://schemas.openxmlformats.org/officeDocument/2006/relationships/image" Target="../media/image1253.png"/><Relationship Id="rId1698" Type="http://schemas.openxmlformats.org/officeDocument/2006/relationships/image" Target="../media/image1698.png"/><Relationship Id="rId623" Type="http://schemas.openxmlformats.org/officeDocument/2006/relationships/image" Target="../media/image623.png"/><Relationship Id="rId830" Type="http://schemas.openxmlformats.org/officeDocument/2006/relationships/image" Target="../media/image830.png"/><Relationship Id="rId928" Type="http://schemas.openxmlformats.org/officeDocument/2006/relationships/image" Target="../media/image928.png"/><Relationship Id="rId1460" Type="http://schemas.openxmlformats.org/officeDocument/2006/relationships/image" Target="../media/image1460.png"/><Relationship Id="rId1558" Type="http://schemas.openxmlformats.org/officeDocument/2006/relationships/image" Target="../media/image1558.png"/><Relationship Id="rId57" Type="http://schemas.openxmlformats.org/officeDocument/2006/relationships/image" Target="../media/image57.png"/><Relationship Id="rId1113" Type="http://schemas.openxmlformats.org/officeDocument/2006/relationships/image" Target="../media/image1113.png"/><Relationship Id="rId1320" Type="http://schemas.openxmlformats.org/officeDocument/2006/relationships/image" Target="../media/image1320.png"/><Relationship Id="rId1418" Type="http://schemas.openxmlformats.org/officeDocument/2006/relationships/image" Target="../media/image1418.png"/><Relationship Id="rId1625" Type="http://schemas.openxmlformats.org/officeDocument/2006/relationships/image" Target="../media/image1625.png"/><Relationship Id="rId273" Type="http://schemas.openxmlformats.org/officeDocument/2006/relationships/image" Target="../media/image273.png"/><Relationship Id="rId480" Type="http://schemas.openxmlformats.org/officeDocument/2006/relationships/image" Target="../media/image480.png"/><Relationship Id="rId133" Type="http://schemas.openxmlformats.org/officeDocument/2006/relationships/image" Target="../media/image133.png"/><Relationship Id="rId340" Type="http://schemas.openxmlformats.org/officeDocument/2006/relationships/image" Target="../media/image340.png"/><Relationship Id="rId578" Type="http://schemas.openxmlformats.org/officeDocument/2006/relationships/image" Target="../media/image578.png"/><Relationship Id="rId785" Type="http://schemas.openxmlformats.org/officeDocument/2006/relationships/image" Target="../media/image785.png"/><Relationship Id="rId992" Type="http://schemas.openxmlformats.org/officeDocument/2006/relationships/image" Target="../media/image992.png"/><Relationship Id="rId200" Type="http://schemas.openxmlformats.org/officeDocument/2006/relationships/image" Target="../media/image200.png"/><Relationship Id="rId438" Type="http://schemas.openxmlformats.org/officeDocument/2006/relationships/image" Target="../media/image438.png"/><Relationship Id="rId645" Type="http://schemas.openxmlformats.org/officeDocument/2006/relationships/image" Target="../media/image645.png"/><Relationship Id="rId852" Type="http://schemas.openxmlformats.org/officeDocument/2006/relationships/image" Target="../media/image852.png"/><Relationship Id="rId1068" Type="http://schemas.openxmlformats.org/officeDocument/2006/relationships/image" Target="../media/image1068.png"/><Relationship Id="rId1275" Type="http://schemas.openxmlformats.org/officeDocument/2006/relationships/image" Target="../media/image1275.png"/><Relationship Id="rId1482" Type="http://schemas.openxmlformats.org/officeDocument/2006/relationships/image" Target="../media/image1482.png"/><Relationship Id="rId505" Type="http://schemas.openxmlformats.org/officeDocument/2006/relationships/image" Target="../media/image505.png"/><Relationship Id="rId712" Type="http://schemas.openxmlformats.org/officeDocument/2006/relationships/image" Target="../media/image712.png"/><Relationship Id="rId1135" Type="http://schemas.openxmlformats.org/officeDocument/2006/relationships/image" Target="../media/image1135.png"/><Relationship Id="rId1342" Type="http://schemas.openxmlformats.org/officeDocument/2006/relationships/image" Target="../media/image1342.png"/><Relationship Id="rId79" Type="http://schemas.openxmlformats.org/officeDocument/2006/relationships/image" Target="../media/image79.png"/><Relationship Id="rId1202" Type="http://schemas.openxmlformats.org/officeDocument/2006/relationships/image" Target="../media/image1202.png"/><Relationship Id="rId1647" Type="http://schemas.openxmlformats.org/officeDocument/2006/relationships/image" Target="../media/image1647.png"/><Relationship Id="rId1507" Type="http://schemas.openxmlformats.org/officeDocument/2006/relationships/image" Target="../media/image1507.png"/><Relationship Id="rId1714" Type="http://schemas.openxmlformats.org/officeDocument/2006/relationships/image" Target="../media/image1714.png"/><Relationship Id="rId295" Type="http://schemas.openxmlformats.org/officeDocument/2006/relationships/image" Target="../media/image295.png"/><Relationship Id="rId155" Type="http://schemas.openxmlformats.org/officeDocument/2006/relationships/image" Target="../media/image155.png"/><Relationship Id="rId362" Type="http://schemas.openxmlformats.org/officeDocument/2006/relationships/image" Target="../media/image362.png"/><Relationship Id="rId1297" Type="http://schemas.openxmlformats.org/officeDocument/2006/relationships/image" Target="../media/image1297.png"/><Relationship Id="rId222" Type="http://schemas.openxmlformats.org/officeDocument/2006/relationships/image" Target="../media/image222.png"/><Relationship Id="rId667" Type="http://schemas.openxmlformats.org/officeDocument/2006/relationships/image" Target="../media/image667.png"/><Relationship Id="rId874" Type="http://schemas.openxmlformats.org/officeDocument/2006/relationships/image" Target="../media/image874.png"/><Relationship Id="rId527" Type="http://schemas.openxmlformats.org/officeDocument/2006/relationships/image" Target="../media/image527.png"/><Relationship Id="rId734" Type="http://schemas.openxmlformats.org/officeDocument/2006/relationships/image" Target="../media/image734.png"/><Relationship Id="rId941" Type="http://schemas.openxmlformats.org/officeDocument/2006/relationships/image" Target="../media/image941.png"/><Relationship Id="rId1157" Type="http://schemas.openxmlformats.org/officeDocument/2006/relationships/image" Target="../media/image1157.png"/><Relationship Id="rId1364" Type="http://schemas.openxmlformats.org/officeDocument/2006/relationships/image" Target="../media/image1364.png"/><Relationship Id="rId1571" Type="http://schemas.openxmlformats.org/officeDocument/2006/relationships/image" Target="../media/image1571.png"/><Relationship Id="rId70" Type="http://schemas.openxmlformats.org/officeDocument/2006/relationships/image" Target="../media/image70.png"/><Relationship Id="rId801" Type="http://schemas.openxmlformats.org/officeDocument/2006/relationships/image" Target="../media/image801.png"/><Relationship Id="rId1017" Type="http://schemas.openxmlformats.org/officeDocument/2006/relationships/image" Target="../media/image1017.png"/><Relationship Id="rId1224" Type="http://schemas.openxmlformats.org/officeDocument/2006/relationships/image" Target="../media/image1224.png"/><Relationship Id="rId1431" Type="http://schemas.openxmlformats.org/officeDocument/2006/relationships/image" Target="../media/image1431.png"/><Relationship Id="rId1669" Type="http://schemas.openxmlformats.org/officeDocument/2006/relationships/image" Target="../media/image1669.png"/><Relationship Id="rId1529" Type="http://schemas.openxmlformats.org/officeDocument/2006/relationships/image" Target="../media/image1529.png"/><Relationship Id="rId28" Type="http://schemas.openxmlformats.org/officeDocument/2006/relationships/image" Target="../media/image28.png"/><Relationship Id="rId177" Type="http://schemas.openxmlformats.org/officeDocument/2006/relationships/image" Target="../media/image177.png"/><Relationship Id="rId384" Type="http://schemas.openxmlformats.org/officeDocument/2006/relationships/image" Target="../media/image384.png"/><Relationship Id="rId591" Type="http://schemas.openxmlformats.org/officeDocument/2006/relationships/image" Target="../media/image591.png"/><Relationship Id="rId244" Type="http://schemas.openxmlformats.org/officeDocument/2006/relationships/image" Target="../media/image244.png"/><Relationship Id="rId689" Type="http://schemas.openxmlformats.org/officeDocument/2006/relationships/image" Target="../media/image689.png"/><Relationship Id="rId896" Type="http://schemas.openxmlformats.org/officeDocument/2006/relationships/image" Target="../media/image896.png"/><Relationship Id="rId1081" Type="http://schemas.openxmlformats.org/officeDocument/2006/relationships/image" Target="../media/image1081.png"/><Relationship Id="rId451" Type="http://schemas.openxmlformats.org/officeDocument/2006/relationships/image" Target="../media/image451.png"/><Relationship Id="rId549" Type="http://schemas.openxmlformats.org/officeDocument/2006/relationships/image" Target="../media/image549.png"/><Relationship Id="rId756" Type="http://schemas.openxmlformats.org/officeDocument/2006/relationships/image" Target="../media/image756.png"/><Relationship Id="rId1179" Type="http://schemas.openxmlformats.org/officeDocument/2006/relationships/image" Target="../media/image1179.png"/><Relationship Id="rId1386" Type="http://schemas.openxmlformats.org/officeDocument/2006/relationships/image" Target="../media/image1386.png"/><Relationship Id="rId1593" Type="http://schemas.openxmlformats.org/officeDocument/2006/relationships/image" Target="../media/image1593.png"/><Relationship Id="rId104" Type="http://schemas.openxmlformats.org/officeDocument/2006/relationships/image" Target="../media/image104.png"/><Relationship Id="rId311" Type="http://schemas.openxmlformats.org/officeDocument/2006/relationships/image" Target="../media/image311.png"/><Relationship Id="rId409" Type="http://schemas.openxmlformats.org/officeDocument/2006/relationships/image" Target="../media/image409.png"/><Relationship Id="rId963" Type="http://schemas.openxmlformats.org/officeDocument/2006/relationships/image" Target="../media/image963.png"/><Relationship Id="rId1039" Type="http://schemas.openxmlformats.org/officeDocument/2006/relationships/image" Target="../media/image1039.png"/><Relationship Id="rId1246" Type="http://schemas.openxmlformats.org/officeDocument/2006/relationships/image" Target="../media/image1246.png"/><Relationship Id="rId92" Type="http://schemas.openxmlformats.org/officeDocument/2006/relationships/image" Target="../media/image92.png"/><Relationship Id="rId616" Type="http://schemas.openxmlformats.org/officeDocument/2006/relationships/image" Target="../media/image616.png"/><Relationship Id="rId823" Type="http://schemas.openxmlformats.org/officeDocument/2006/relationships/image" Target="../media/image823.png"/><Relationship Id="rId1453" Type="http://schemas.openxmlformats.org/officeDocument/2006/relationships/image" Target="../media/image1453.png"/><Relationship Id="rId1660" Type="http://schemas.openxmlformats.org/officeDocument/2006/relationships/image" Target="../media/image1660.png"/><Relationship Id="rId1106" Type="http://schemas.openxmlformats.org/officeDocument/2006/relationships/image" Target="../media/image1106.png"/><Relationship Id="rId1313" Type="http://schemas.openxmlformats.org/officeDocument/2006/relationships/image" Target="../media/image1313.png"/><Relationship Id="rId1520" Type="http://schemas.openxmlformats.org/officeDocument/2006/relationships/image" Target="../media/image1520.png"/><Relationship Id="rId1618" Type="http://schemas.openxmlformats.org/officeDocument/2006/relationships/image" Target="../media/image1618.png"/><Relationship Id="rId199" Type="http://schemas.openxmlformats.org/officeDocument/2006/relationships/image" Target="../media/image199.png"/><Relationship Id="rId266" Type="http://schemas.openxmlformats.org/officeDocument/2006/relationships/image" Target="../media/image266.png"/><Relationship Id="rId473" Type="http://schemas.openxmlformats.org/officeDocument/2006/relationships/image" Target="../media/image473.png"/><Relationship Id="rId680" Type="http://schemas.openxmlformats.org/officeDocument/2006/relationships/image" Target="../media/image680.png"/><Relationship Id="rId126" Type="http://schemas.openxmlformats.org/officeDocument/2006/relationships/image" Target="../media/image126.png"/><Relationship Id="rId333" Type="http://schemas.openxmlformats.org/officeDocument/2006/relationships/image" Target="../media/image333.png"/><Relationship Id="rId540" Type="http://schemas.openxmlformats.org/officeDocument/2006/relationships/image" Target="../media/image540.png"/><Relationship Id="rId778" Type="http://schemas.openxmlformats.org/officeDocument/2006/relationships/image" Target="../media/image778.png"/><Relationship Id="rId985" Type="http://schemas.openxmlformats.org/officeDocument/2006/relationships/image" Target="../media/image985.png"/><Relationship Id="rId1170" Type="http://schemas.openxmlformats.org/officeDocument/2006/relationships/image" Target="../media/image1170.png"/><Relationship Id="rId638" Type="http://schemas.openxmlformats.org/officeDocument/2006/relationships/image" Target="../media/image638.png"/><Relationship Id="rId845" Type="http://schemas.openxmlformats.org/officeDocument/2006/relationships/image" Target="../media/image845.png"/><Relationship Id="rId1030" Type="http://schemas.openxmlformats.org/officeDocument/2006/relationships/image" Target="../media/image1030.png"/><Relationship Id="rId1268" Type="http://schemas.openxmlformats.org/officeDocument/2006/relationships/image" Target="../media/image1268.png"/><Relationship Id="rId1475" Type="http://schemas.openxmlformats.org/officeDocument/2006/relationships/image" Target="../media/image1475.png"/><Relationship Id="rId1682" Type="http://schemas.openxmlformats.org/officeDocument/2006/relationships/image" Target="../media/image1682.png"/><Relationship Id="rId400" Type="http://schemas.openxmlformats.org/officeDocument/2006/relationships/image" Target="../media/image400.png"/><Relationship Id="rId705" Type="http://schemas.openxmlformats.org/officeDocument/2006/relationships/image" Target="../media/image705.png"/><Relationship Id="rId1128" Type="http://schemas.openxmlformats.org/officeDocument/2006/relationships/image" Target="../media/image1128.png"/><Relationship Id="rId1335" Type="http://schemas.openxmlformats.org/officeDocument/2006/relationships/image" Target="../media/image1335.png"/><Relationship Id="rId1542" Type="http://schemas.openxmlformats.org/officeDocument/2006/relationships/image" Target="../media/image1542.png"/><Relationship Id="rId912" Type="http://schemas.openxmlformats.org/officeDocument/2006/relationships/image" Target="../media/image912.png"/><Relationship Id="rId41" Type="http://schemas.openxmlformats.org/officeDocument/2006/relationships/image" Target="../media/image41.png"/><Relationship Id="rId1402" Type="http://schemas.openxmlformats.org/officeDocument/2006/relationships/image" Target="../media/image1402.png"/><Relationship Id="rId1707" Type="http://schemas.openxmlformats.org/officeDocument/2006/relationships/image" Target="../media/image1707.png"/><Relationship Id="rId190" Type="http://schemas.openxmlformats.org/officeDocument/2006/relationships/image" Target="../media/image190.png"/><Relationship Id="rId288" Type="http://schemas.openxmlformats.org/officeDocument/2006/relationships/image" Target="../media/image288.png"/><Relationship Id="rId495" Type="http://schemas.openxmlformats.org/officeDocument/2006/relationships/image" Target="../media/image495.png"/><Relationship Id="rId148" Type="http://schemas.openxmlformats.org/officeDocument/2006/relationships/image" Target="../media/image148.png"/><Relationship Id="rId355" Type="http://schemas.openxmlformats.org/officeDocument/2006/relationships/image" Target="../media/image355.png"/><Relationship Id="rId562" Type="http://schemas.openxmlformats.org/officeDocument/2006/relationships/image" Target="../media/image562.png"/><Relationship Id="rId1192" Type="http://schemas.openxmlformats.org/officeDocument/2006/relationships/image" Target="../media/image1192.png"/><Relationship Id="rId215" Type="http://schemas.openxmlformats.org/officeDocument/2006/relationships/image" Target="../media/image215.png"/><Relationship Id="rId422" Type="http://schemas.openxmlformats.org/officeDocument/2006/relationships/image" Target="../media/image422.png"/><Relationship Id="rId867" Type="http://schemas.openxmlformats.org/officeDocument/2006/relationships/image" Target="../media/image867.png"/><Relationship Id="rId1052" Type="http://schemas.openxmlformats.org/officeDocument/2006/relationships/image" Target="../media/image1052.png"/><Relationship Id="rId1497" Type="http://schemas.openxmlformats.org/officeDocument/2006/relationships/image" Target="../media/image1497.png"/><Relationship Id="rId727" Type="http://schemas.openxmlformats.org/officeDocument/2006/relationships/image" Target="../media/image727.png"/><Relationship Id="rId934" Type="http://schemas.openxmlformats.org/officeDocument/2006/relationships/image" Target="../media/image934.png"/><Relationship Id="rId1357" Type="http://schemas.openxmlformats.org/officeDocument/2006/relationships/image" Target="../media/image1357.png"/><Relationship Id="rId1564" Type="http://schemas.openxmlformats.org/officeDocument/2006/relationships/image" Target="../media/image1564.png"/><Relationship Id="rId63" Type="http://schemas.openxmlformats.org/officeDocument/2006/relationships/image" Target="../media/image63.png"/><Relationship Id="rId1217" Type="http://schemas.openxmlformats.org/officeDocument/2006/relationships/image" Target="../media/image1217.png"/><Relationship Id="rId1424" Type="http://schemas.openxmlformats.org/officeDocument/2006/relationships/image" Target="../media/image1424.png"/><Relationship Id="rId1631" Type="http://schemas.openxmlformats.org/officeDocument/2006/relationships/image" Target="../media/image1631.png"/><Relationship Id="rId377" Type="http://schemas.openxmlformats.org/officeDocument/2006/relationships/image" Target="../media/image377.png"/><Relationship Id="rId584" Type="http://schemas.openxmlformats.org/officeDocument/2006/relationships/image" Target="../media/image584.png"/><Relationship Id="rId5" Type="http://schemas.openxmlformats.org/officeDocument/2006/relationships/image" Target="../media/image5.png"/><Relationship Id="rId237" Type="http://schemas.openxmlformats.org/officeDocument/2006/relationships/image" Target="../media/image237.png"/><Relationship Id="rId791" Type="http://schemas.openxmlformats.org/officeDocument/2006/relationships/image" Target="../media/image791.png"/><Relationship Id="rId889" Type="http://schemas.openxmlformats.org/officeDocument/2006/relationships/image" Target="../media/image889.png"/><Relationship Id="rId1074" Type="http://schemas.openxmlformats.org/officeDocument/2006/relationships/image" Target="../media/image1074.png"/><Relationship Id="rId444" Type="http://schemas.openxmlformats.org/officeDocument/2006/relationships/image" Target="../media/image444.png"/><Relationship Id="rId651" Type="http://schemas.openxmlformats.org/officeDocument/2006/relationships/image" Target="../media/image651.png"/><Relationship Id="rId749" Type="http://schemas.openxmlformats.org/officeDocument/2006/relationships/image" Target="../media/image749.png"/><Relationship Id="rId1281" Type="http://schemas.openxmlformats.org/officeDocument/2006/relationships/image" Target="../media/image1281.png"/><Relationship Id="rId1379" Type="http://schemas.openxmlformats.org/officeDocument/2006/relationships/image" Target="../media/image1379.png"/><Relationship Id="rId1586" Type="http://schemas.openxmlformats.org/officeDocument/2006/relationships/image" Target="../media/image1586.png"/><Relationship Id="rId304" Type="http://schemas.openxmlformats.org/officeDocument/2006/relationships/image" Target="../media/image304.png"/><Relationship Id="rId511" Type="http://schemas.openxmlformats.org/officeDocument/2006/relationships/image" Target="../media/image511.png"/><Relationship Id="rId609" Type="http://schemas.openxmlformats.org/officeDocument/2006/relationships/image" Target="../media/image609.png"/><Relationship Id="rId956" Type="http://schemas.openxmlformats.org/officeDocument/2006/relationships/image" Target="../media/image956.png"/><Relationship Id="rId1141" Type="http://schemas.openxmlformats.org/officeDocument/2006/relationships/image" Target="../media/image1141.png"/><Relationship Id="rId1239" Type="http://schemas.openxmlformats.org/officeDocument/2006/relationships/image" Target="../media/image1239.png"/><Relationship Id="rId85" Type="http://schemas.openxmlformats.org/officeDocument/2006/relationships/image" Target="../media/image85.png"/><Relationship Id="rId816" Type="http://schemas.openxmlformats.org/officeDocument/2006/relationships/image" Target="../media/image816.png"/><Relationship Id="rId1001" Type="http://schemas.openxmlformats.org/officeDocument/2006/relationships/image" Target="../media/image1001.png"/><Relationship Id="rId1446" Type="http://schemas.openxmlformats.org/officeDocument/2006/relationships/image" Target="../media/image1446.png"/><Relationship Id="rId1653" Type="http://schemas.openxmlformats.org/officeDocument/2006/relationships/image" Target="../media/image1653.png"/><Relationship Id="rId1306" Type="http://schemas.openxmlformats.org/officeDocument/2006/relationships/image" Target="../media/image1306.png"/><Relationship Id="rId1513" Type="http://schemas.openxmlformats.org/officeDocument/2006/relationships/image" Target="../media/image1513.png"/><Relationship Id="rId1720" Type="http://schemas.openxmlformats.org/officeDocument/2006/relationships/image" Target="../media/image1720.png"/><Relationship Id="rId12" Type="http://schemas.openxmlformats.org/officeDocument/2006/relationships/image" Target="../media/image12.png"/><Relationship Id="rId161" Type="http://schemas.openxmlformats.org/officeDocument/2006/relationships/image" Target="../media/image161.png"/><Relationship Id="rId399" Type="http://schemas.openxmlformats.org/officeDocument/2006/relationships/image" Target="../media/image399.png"/><Relationship Id="rId259" Type="http://schemas.openxmlformats.org/officeDocument/2006/relationships/image" Target="../media/image259.png"/><Relationship Id="rId466" Type="http://schemas.openxmlformats.org/officeDocument/2006/relationships/image" Target="../media/image466.png"/><Relationship Id="rId673" Type="http://schemas.openxmlformats.org/officeDocument/2006/relationships/image" Target="../media/image673.png"/><Relationship Id="rId880" Type="http://schemas.openxmlformats.org/officeDocument/2006/relationships/image" Target="../media/image880.png"/><Relationship Id="rId1096" Type="http://schemas.openxmlformats.org/officeDocument/2006/relationships/image" Target="../media/image1096.png"/><Relationship Id="rId119" Type="http://schemas.openxmlformats.org/officeDocument/2006/relationships/image" Target="../media/image119.png"/><Relationship Id="rId326" Type="http://schemas.openxmlformats.org/officeDocument/2006/relationships/image" Target="../media/image326.png"/><Relationship Id="rId533" Type="http://schemas.openxmlformats.org/officeDocument/2006/relationships/image" Target="../media/image533.png"/><Relationship Id="rId978" Type="http://schemas.openxmlformats.org/officeDocument/2006/relationships/image" Target="../media/image978.png"/><Relationship Id="rId1163" Type="http://schemas.openxmlformats.org/officeDocument/2006/relationships/image" Target="../media/image1163.png"/><Relationship Id="rId1370" Type="http://schemas.openxmlformats.org/officeDocument/2006/relationships/image" Target="../media/image1370.png"/><Relationship Id="rId740" Type="http://schemas.openxmlformats.org/officeDocument/2006/relationships/image" Target="../media/image740.png"/><Relationship Id="rId838" Type="http://schemas.openxmlformats.org/officeDocument/2006/relationships/image" Target="../media/image838.png"/><Relationship Id="rId1023" Type="http://schemas.openxmlformats.org/officeDocument/2006/relationships/image" Target="../media/image1023.png"/><Relationship Id="rId1468" Type="http://schemas.openxmlformats.org/officeDocument/2006/relationships/image" Target="../media/image1468.png"/><Relationship Id="rId1675" Type="http://schemas.openxmlformats.org/officeDocument/2006/relationships/image" Target="../media/image1675.png"/><Relationship Id="rId600" Type="http://schemas.openxmlformats.org/officeDocument/2006/relationships/image" Target="../media/image600.png"/><Relationship Id="rId1230" Type="http://schemas.openxmlformats.org/officeDocument/2006/relationships/image" Target="../media/image1230.png"/><Relationship Id="rId1328" Type="http://schemas.openxmlformats.org/officeDocument/2006/relationships/image" Target="../media/image1328.png"/><Relationship Id="rId1535" Type="http://schemas.openxmlformats.org/officeDocument/2006/relationships/image" Target="../media/image1535.png"/><Relationship Id="rId905" Type="http://schemas.openxmlformats.org/officeDocument/2006/relationships/image" Target="../media/image905.png"/><Relationship Id="rId34" Type="http://schemas.openxmlformats.org/officeDocument/2006/relationships/image" Target="../media/image34.png"/><Relationship Id="rId1602" Type="http://schemas.openxmlformats.org/officeDocument/2006/relationships/image" Target="../media/image1602.png"/><Relationship Id="rId183" Type="http://schemas.openxmlformats.org/officeDocument/2006/relationships/image" Target="../media/image183.png"/><Relationship Id="rId390" Type="http://schemas.openxmlformats.org/officeDocument/2006/relationships/image" Target="../media/image390.png"/><Relationship Id="rId250" Type="http://schemas.openxmlformats.org/officeDocument/2006/relationships/image" Target="../media/image250.png"/><Relationship Id="rId488" Type="http://schemas.openxmlformats.org/officeDocument/2006/relationships/image" Target="../media/image488.png"/><Relationship Id="rId695" Type="http://schemas.openxmlformats.org/officeDocument/2006/relationships/image" Target="../media/image695.png"/><Relationship Id="rId110" Type="http://schemas.openxmlformats.org/officeDocument/2006/relationships/image" Target="../media/image110.png"/><Relationship Id="rId348" Type="http://schemas.openxmlformats.org/officeDocument/2006/relationships/image" Target="../media/image348.png"/><Relationship Id="rId555" Type="http://schemas.openxmlformats.org/officeDocument/2006/relationships/image" Target="../media/image555.png"/><Relationship Id="rId762" Type="http://schemas.openxmlformats.org/officeDocument/2006/relationships/image" Target="../media/image762.png"/><Relationship Id="rId1185" Type="http://schemas.openxmlformats.org/officeDocument/2006/relationships/image" Target="../media/image1185.png"/><Relationship Id="rId1392" Type="http://schemas.openxmlformats.org/officeDocument/2006/relationships/image" Target="../media/image1392.png"/><Relationship Id="rId208" Type="http://schemas.openxmlformats.org/officeDocument/2006/relationships/image" Target="../media/image208.png"/><Relationship Id="rId415" Type="http://schemas.openxmlformats.org/officeDocument/2006/relationships/image" Target="../media/image415.png"/><Relationship Id="rId622" Type="http://schemas.openxmlformats.org/officeDocument/2006/relationships/image" Target="../media/image622.png"/><Relationship Id="rId1045" Type="http://schemas.openxmlformats.org/officeDocument/2006/relationships/image" Target="../media/image1045.png"/><Relationship Id="rId1252" Type="http://schemas.openxmlformats.org/officeDocument/2006/relationships/image" Target="../media/image1252.png"/><Relationship Id="rId1697" Type="http://schemas.openxmlformats.org/officeDocument/2006/relationships/image" Target="../media/image1697.png"/><Relationship Id="rId927" Type="http://schemas.openxmlformats.org/officeDocument/2006/relationships/image" Target="../media/image927.png"/><Relationship Id="rId1112" Type="http://schemas.openxmlformats.org/officeDocument/2006/relationships/image" Target="../media/image1112.png"/><Relationship Id="rId1557" Type="http://schemas.openxmlformats.org/officeDocument/2006/relationships/image" Target="../media/image1557.png"/><Relationship Id="rId56" Type="http://schemas.openxmlformats.org/officeDocument/2006/relationships/image" Target="../media/image56.png"/><Relationship Id="rId1417" Type="http://schemas.openxmlformats.org/officeDocument/2006/relationships/image" Target="../media/image1417.png"/><Relationship Id="rId1624" Type="http://schemas.openxmlformats.org/officeDocument/2006/relationships/image" Target="../media/image1624.png"/><Relationship Id="rId272" Type="http://schemas.openxmlformats.org/officeDocument/2006/relationships/image" Target="../media/image272.png"/><Relationship Id="rId577" Type="http://schemas.openxmlformats.org/officeDocument/2006/relationships/image" Target="../media/image577.png"/><Relationship Id="rId132" Type="http://schemas.openxmlformats.org/officeDocument/2006/relationships/image" Target="../media/image132.png"/><Relationship Id="rId784" Type="http://schemas.openxmlformats.org/officeDocument/2006/relationships/image" Target="../media/image784.png"/><Relationship Id="rId991" Type="http://schemas.openxmlformats.org/officeDocument/2006/relationships/image" Target="../media/image991.png"/><Relationship Id="rId1067" Type="http://schemas.openxmlformats.org/officeDocument/2006/relationships/image" Target="../media/image1067.png"/><Relationship Id="rId437" Type="http://schemas.openxmlformats.org/officeDocument/2006/relationships/image" Target="../media/image437.png"/><Relationship Id="rId644" Type="http://schemas.openxmlformats.org/officeDocument/2006/relationships/image" Target="../media/image644.png"/><Relationship Id="rId851" Type="http://schemas.openxmlformats.org/officeDocument/2006/relationships/image" Target="../media/image851.png"/><Relationship Id="rId1274" Type="http://schemas.openxmlformats.org/officeDocument/2006/relationships/image" Target="../media/image1274.png"/><Relationship Id="rId1481" Type="http://schemas.openxmlformats.org/officeDocument/2006/relationships/image" Target="../media/image1481.png"/><Relationship Id="rId1579" Type="http://schemas.openxmlformats.org/officeDocument/2006/relationships/image" Target="../media/image1579.png"/><Relationship Id="rId504" Type="http://schemas.openxmlformats.org/officeDocument/2006/relationships/image" Target="../media/image504.png"/><Relationship Id="rId711" Type="http://schemas.openxmlformats.org/officeDocument/2006/relationships/image" Target="../media/image711.png"/><Relationship Id="rId949" Type="http://schemas.openxmlformats.org/officeDocument/2006/relationships/image" Target="../media/image949.png"/><Relationship Id="rId1134" Type="http://schemas.openxmlformats.org/officeDocument/2006/relationships/image" Target="../media/image1134.png"/><Relationship Id="rId1341" Type="http://schemas.openxmlformats.org/officeDocument/2006/relationships/image" Target="../media/image1341.png"/><Relationship Id="rId78" Type="http://schemas.openxmlformats.org/officeDocument/2006/relationships/image" Target="../media/image78.png"/><Relationship Id="rId809" Type="http://schemas.openxmlformats.org/officeDocument/2006/relationships/image" Target="../media/image809.png"/><Relationship Id="rId1201" Type="http://schemas.openxmlformats.org/officeDocument/2006/relationships/image" Target="../media/image1201.png"/><Relationship Id="rId1439" Type="http://schemas.openxmlformats.org/officeDocument/2006/relationships/image" Target="../media/image1439.png"/><Relationship Id="rId1646" Type="http://schemas.openxmlformats.org/officeDocument/2006/relationships/image" Target="../media/image1646.png"/><Relationship Id="rId1506" Type="http://schemas.openxmlformats.org/officeDocument/2006/relationships/image" Target="../media/image1506.png"/><Relationship Id="rId1713" Type="http://schemas.openxmlformats.org/officeDocument/2006/relationships/image" Target="../media/image1713.png"/><Relationship Id="rId294" Type="http://schemas.openxmlformats.org/officeDocument/2006/relationships/image" Target="../media/image294.png"/><Relationship Id="rId154" Type="http://schemas.openxmlformats.org/officeDocument/2006/relationships/image" Target="../media/image154.png"/><Relationship Id="rId361" Type="http://schemas.openxmlformats.org/officeDocument/2006/relationships/image" Target="../media/image361.png"/><Relationship Id="rId599" Type="http://schemas.openxmlformats.org/officeDocument/2006/relationships/image" Target="../media/image599.png"/><Relationship Id="rId459" Type="http://schemas.openxmlformats.org/officeDocument/2006/relationships/image" Target="../media/image459.png"/><Relationship Id="rId666" Type="http://schemas.openxmlformats.org/officeDocument/2006/relationships/image" Target="../media/image666.png"/><Relationship Id="rId873" Type="http://schemas.openxmlformats.org/officeDocument/2006/relationships/image" Target="../media/image873.png"/><Relationship Id="rId1089" Type="http://schemas.openxmlformats.org/officeDocument/2006/relationships/image" Target="../media/image1089.png"/><Relationship Id="rId1296" Type="http://schemas.openxmlformats.org/officeDocument/2006/relationships/image" Target="../media/image1296.png"/><Relationship Id="rId221" Type="http://schemas.openxmlformats.org/officeDocument/2006/relationships/image" Target="../media/image221.png"/><Relationship Id="rId319" Type="http://schemas.openxmlformats.org/officeDocument/2006/relationships/image" Target="../media/image319.png"/><Relationship Id="rId526" Type="http://schemas.openxmlformats.org/officeDocument/2006/relationships/image" Target="../media/image526.png"/><Relationship Id="rId1156" Type="http://schemas.openxmlformats.org/officeDocument/2006/relationships/image" Target="../media/image1156.png"/><Relationship Id="rId1363" Type="http://schemas.openxmlformats.org/officeDocument/2006/relationships/image" Target="../media/image1363.png"/><Relationship Id="rId733" Type="http://schemas.openxmlformats.org/officeDocument/2006/relationships/image" Target="../media/image733.png"/><Relationship Id="rId940" Type="http://schemas.openxmlformats.org/officeDocument/2006/relationships/image" Target="../media/image940.png"/><Relationship Id="rId1016" Type="http://schemas.openxmlformats.org/officeDocument/2006/relationships/image" Target="../media/image1016.png"/><Relationship Id="rId1570" Type="http://schemas.openxmlformats.org/officeDocument/2006/relationships/image" Target="../media/image1570.png"/><Relationship Id="rId1668" Type="http://schemas.openxmlformats.org/officeDocument/2006/relationships/image" Target="../media/image1668.png"/><Relationship Id="rId800" Type="http://schemas.openxmlformats.org/officeDocument/2006/relationships/image" Target="../media/image800.png"/><Relationship Id="rId1223" Type="http://schemas.openxmlformats.org/officeDocument/2006/relationships/image" Target="../media/image1223.png"/><Relationship Id="rId1430" Type="http://schemas.openxmlformats.org/officeDocument/2006/relationships/image" Target="../media/image1430.png"/><Relationship Id="rId1528" Type="http://schemas.openxmlformats.org/officeDocument/2006/relationships/image" Target="../media/image1528.png"/><Relationship Id="rId27" Type="http://schemas.openxmlformats.org/officeDocument/2006/relationships/image" Target="../media/image27.png"/><Relationship Id="rId176" Type="http://schemas.openxmlformats.org/officeDocument/2006/relationships/image" Target="../media/image176.png"/><Relationship Id="rId383" Type="http://schemas.openxmlformats.org/officeDocument/2006/relationships/image" Target="../media/image383.png"/><Relationship Id="rId590" Type="http://schemas.openxmlformats.org/officeDocument/2006/relationships/image" Target="../media/image590.png"/><Relationship Id="rId243" Type="http://schemas.openxmlformats.org/officeDocument/2006/relationships/image" Target="../media/image243.png"/><Relationship Id="rId450" Type="http://schemas.openxmlformats.org/officeDocument/2006/relationships/image" Target="../media/image450.png"/><Relationship Id="rId688" Type="http://schemas.openxmlformats.org/officeDocument/2006/relationships/image" Target="../media/image688.png"/><Relationship Id="rId895" Type="http://schemas.openxmlformats.org/officeDocument/2006/relationships/image" Target="../media/image895.png"/><Relationship Id="rId1080" Type="http://schemas.openxmlformats.org/officeDocument/2006/relationships/image" Target="../media/image1080.png"/><Relationship Id="rId103" Type="http://schemas.openxmlformats.org/officeDocument/2006/relationships/image" Target="../media/image103.png"/><Relationship Id="rId310" Type="http://schemas.openxmlformats.org/officeDocument/2006/relationships/image" Target="../media/image310.png"/><Relationship Id="rId548" Type="http://schemas.openxmlformats.org/officeDocument/2006/relationships/image" Target="../media/image548.png"/><Relationship Id="rId755" Type="http://schemas.openxmlformats.org/officeDocument/2006/relationships/image" Target="../media/image755.png"/><Relationship Id="rId962" Type="http://schemas.openxmlformats.org/officeDocument/2006/relationships/image" Target="../media/image962.png"/><Relationship Id="rId1178" Type="http://schemas.openxmlformats.org/officeDocument/2006/relationships/image" Target="../media/image1178.png"/><Relationship Id="rId1385" Type="http://schemas.openxmlformats.org/officeDocument/2006/relationships/image" Target="../media/image1385.png"/><Relationship Id="rId1592" Type="http://schemas.openxmlformats.org/officeDocument/2006/relationships/image" Target="../media/image1592.png"/><Relationship Id="rId91" Type="http://schemas.openxmlformats.org/officeDocument/2006/relationships/image" Target="../media/image91.png"/><Relationship Id="rId408" Type="http://schemas.openxmlformats.org/officeDocument/2006/relationships/image" Target="../media/image408.png"/><Relationship Id="rId615" Type="http://schemas.openxmlformats.org/officeDocument/2006/relationships/image" Target="../media/image615.png"/><Relationship Id="rId822" Type="http://schemas.openxmlformats.org/officeDocument/2006/relationships/image" Target="../media/image822.png"/><Relationship Id="rId1038" Type="http://schemas.openxmlformats.org/officeDocument/2006/relationships/image" Target="../media/image1038.png"/><Relationship Id="rId1245" Type="http://schemas.openxmlformats.org/officeDocument/2006/relationships/image" Target="../media/image1245.png"/><Relationship Id="rId1452" Type="http://schemas.openxmlformats.org/officeDocument/2006/relationships/image" Target="../media/image1452.png"/><Relationship Id="rId1105" Type="http://schemas.openxmlformats.org/officeDocument/2006/relationships/image" Target="../media/image1105.png"/><Relationship Id="rId1312" Type="http://schemas.openxmlformats.org/officeDocument/2006/relationships/image" Target="../media/image1312.png"/><Relationship Id="rId49" Type="http://schemas.openxmlformats.org/officeDocument/2006/relationships/image" Target="../media/image49.png"/><Relationship Id="rId1617" Type="http://schemas.openxmlformats.org/officeDocument/2006/relationships/image" Target="../media/image1617.png"/><Relationship Id="rId198" Type="http://schemas.openxmlformats.org/officeDocument/2006/relationships/image" Target="../media/image198.png"/><Relationship Id="rId833" Type="http://schemas.openxmlformats.org/officeDocument/2006/relationships/image" Target="../media/image833.png"/><Relationship Id="rId1116" Type="http://schemas.openxmlformats.org/officeDocument/2006/relationships/image" Target="../media/image1116.png"/><Relationship Id="rId1463" Type="http://schemas.openxmlformats.org/officeDocument/2006/relationships/image" Target="../media/image1463.png"/><Relationship Id="rId1670" Type="http://schemas.openxmlformats.org/officeDocument/2006/relationships/image" Target="../media/image1670.png"/><Relationship Id="rId265" Type="http://schemas.openxmlformats.org/officeDocument/2006/relationships/image" Target="../media/image265.png"/><Relationship Id="rId472" Type="http://schemas.openxmlformats.org/officeDocument/2006/relationships/image" Target="../media/image472.png"/><Relationship Id="rId900" Type="http://schemas.openxmlformats.org/officeDocument/2006/relationships/image" Target="../media/image900.png"/><Relationship Id="rId1323" Type="http://schemas.openxmlformats.org/officeDocument/2006/relationships/image" Target="../media/image1323.png"/><Relationship Id="rId1530" Type="http://schemas.openxmlformats.org/officeDocument/2006/relationships/image" Target="../media/image1530.png"/><Relationship Id="rId1628" Type="http://schemas.openxmlformats.org/officeDocument/2006/relationships/image" Target="../media/image1628.png"/><Relationship Id="rId125" Type="http://schemas.openxmlformats.org/officeDocument/2006/relationships/image" Target="../media/image125.png"/><Relationship Id="rId332" Type="http://schemas.openxmlformats.org/officeDocument/2006/relationships/image" Target="../media/image332.png"/><Relationship Id="rId777" Type="http://schemas.openxmlformats.org/officeDocument/2006/relationships/image" Target="../media/image777.png"/><Relationship Id="rId984" Type="http://schemas.openxmlformats.org/officeDocument/2006/relationships/image" Target="../media/image984.png"/><Relationship Id="rId637" Type="http://schemas.openxmlformats.org/officeDocument/2006/relationships/image" Target="../media/image637.png"/><Relationship Id="rId844" Type="http://schemas.openxmlformats.org/officeDocument/2006/relationships/image" Target="../media/image844.png"/><Relationship Id="rId1267" Type="http://schemas.openxmlformats.org/officeDocument/2006/relationships/image" Target="../media/image1267.png"/><Relationship Id="rId1474" Type="http://schemas.openxmlformats.org/officeDocument/2006/relationships/image" Target="../media/image1474.png"/><Relationship Id="rId1681" Type="http://schemas.openxmlformats.org/officeDocument/2006/relationships/image" Target="../media/image1681.png"/><Relationship Id="rId276" Type="http://schemas.openxmlformats.org/officeDocument/2006/relationships/image" Target="../media/image276.png"/><Relationship Id="rId483" Type="http://schemas.openxmlformats.org/officeDocument/2006/relationships/image" Target="../media/image483.png"/><Relationship Id="rId690" Type="http://schemas.openxmlformats.org/officeDocument/2006/relationships/image" Target="../media/image690.png"/><Relationship Id="rId704" Type="http://schemas.openxmlformats.org/officeDocument/2006/relationships/image" Target="../media/image704.png"/><Relationship Id="rId911" Type="http://schemas.openxmlformats.org/officeDocument/2006/relationships/image" Target="../media/image911.png"/><Relationship Id="rId1127" Type="http://schemas.openxmlformats.org/officeDocument/2006/relationships/image" Target="../media/image1127.png"/><Relationship Id="rId1334" Type="http://schemas.openxmlformats.org/officeDocument/2006/relationships/image" Target="../media/image1334.png"/><Relationship Id="rId1541" Type="http://schemas.openxmlformats.org/officeDocument/2006/relationships/image" Target="../media/image1541.png"/><Relationship Id="rId40" Type="http://schemas.openxmlformats.org/officeDocument/2006/relationships/image" Target="../media/image40.png"/><Relationship Id="rId136" Type="http://schemas.openxmlformats.org/officeDocument/2006/relationships/image" Target="../media/image136.png"/><Relationship Id="rId343" Type="http://schemas.openxmlformats.org/officeDocument/2006/relationships/image" Target="../media/image343.png"/><Relationship Id="rId550" Type="http://schemas.openxmlformats.org/officeDocument/2006/relationships/image" Target="../media/image550.png"/><Relationship Id="rId788" Type="http://schemas.openxmlformats.org/officeDocument/2006/relationships/image" Target="../media/image788.png"/><Relationship Id="rId995" Type="http://schemas.openxmlformats.org/officeDocument/2006/relationships/image" Target="../media/image995.png"/><Relationship Id="rId1180" Type="http://schemas.openxmlformats.org/officeDocument/2006/relationships/image" Target="../media/image1180.png"/><Relationship Id="rId1401" Type="http://schemas.openxmlformats.org/officeDocument/2006/relationships/image" Target="../media/image1401.png"/><Relationship Id="rId1639" Type="http://schemas.openxmlformats.org/officeDocument/2006/relationships/image" Target="../media/image1639.png"/><Relationship Id="rId203" Type="http://schemas.openxmlformats.org/officeDocument/2006/relationships/image" Target="../media/image203.png"/><Relationship Id="rId648" Type="http://schemas.openxmlformats.org/officeDocument/2006/relationships/image" Target="../media/image648.png"/><Relationship Id="rId855" Type="http://schemas.openxmlformats.org/officeDocument/2006/relationships/image" Target="../media/image855.png"/><Relationship Id="rId1040" Type="http://schemas.openxmlformats.org/officeDocument/2006/relationships/image" Target="../media/image1040.png"/><Relationship Id="rId1278" Type="http://schemas.openxmlformats.org/officeDocument/2006/relationships/image" Target="../media/image1278.png"/><Relationship Id="rId1485" Type="http://schemas.openxmlformats.org/officeDocument/2006/relationships/image" Target="../media/image1485.png"/><Relationship Id="rId1692" Type="http://schemas.openxmlformats.org/officeDocument/2006/relationships/image" Target="../media/image1692.png"/><Relationship Id="rId1706" Type="http://schemas.openxmlformats.org/officeDocument/2006/relationships/image" Target="../media/image1706.png"/><Relationship Id="rId287" Type="http://schemas.openxmlformats.org/officeDocument/2006/relationships/image" Target="../media/image287.png"/><Relationship Id="rId410" Type="http://schemas.openxmlformats.org/officeDocument/2006/relationships/image" Target="../media/image410.png"/><Relationship Id="rId494" Type="http://schemas.openxmlformats.org/officeDocument/2006/relationships/image" Target="../media/image494.png"/><Relationship Id="rId508" Type="http://schemas.openxmlformats.org/officeDocument/2006/relationships/image" Target="../media/image508.png"/><Relationship Id="rId715" Type="http://schemas.openxmlformats.org/officeDocument/2006/relationships/image" Target="../media/image715.png"/><Relationship Id="rId922" Type="http://schemas.openxmlformats.org/officeDocument/2006/relationships/image" Target="../media/image922.png"/><Relationship Id="rId1138" Type="http://schemas.openxmlformats.org/officeDocument/2006/relationships/image" Target="../media/image1138.png"/><Relationship Id="rId1345" Type="http://schemas.openxmlformats.org/officeDocument/2006/relationships/image" Target="../media/image1345.png"/><Relationship Id="rId1552" Type="http://schemas.openxmlformats.org/officeDocument/2006/relationships/image" Target="../media/image1552.png"/><Relationship Id="rId147" Type="http://schemas.openxmlformats.org/officeDocument/2006/relationships/image" Target="../media/image147.png"/><Relationship Id="rId354" Type="http://schemas.openxmlformats.org/officeDocument/2006/relationships/image" Target="../media/image354.png"/><Relationship Id="rId799" Type="http://schemas.openxmlformats.org/officeDocument/2006/relationships/image" Target="../media/image799.png"/><Relationship Id="rId1191" Type="http://schemas.openxmlformats.org/officeDocument/2006/relationships/image" Target="../media/image1191.png"/><Relationship Id="rId1205" Type="http://schemas.openxmlformats.org/officeDocument/2006/relationships/image" Target="../media/image1205.png"/><Relationship Id="rId51" Type="http://schemas.openxmlformats.org/officeDocument/2006/relationships/image" Target="../media/image51.png"/><Relationship Id="rId561" Type="http://schemas.openxmlformats.org/officeDocument/2006/relationships/image" Target="../media/image561.png"/><Relationship Id="rId659" Type="http://schemas.openxmlformats.org/officeDocument/2006/relationships/image" Target="../media/image659.png"/><Relationship Id="rId866" Type="http://schemas.openxmlformats.org/officeDocument/2006/relationships/image" Target="../media/image866.png"/><Relationship Id="rId1289" Type="http://schemas.openxmlformats.org/officeDocument/2006/relationships/image" Target="../media/image1289.png"/><Relationship Id="rId1412" Type="http://schemas.openxmlformats.org/officeDocument/2006/relationships/image" Target="../media/image1412.png"/><Relationship Id="rId1496" Type="http://schemas.openxmlformats.org/officeDocument/2006/relationships/image" Target="../media/image1496.png"/><Relationship Id="rId1717" Type="http://schemas.openxmlformats.org/officeDocument/2006/relationships/image" Target="../media/image1717.png"/><Relationship Id="rId214" Type="http://schemas.openxmlformats.org/officeDocument/2006/relationships/image" Target="../media/image214.png"/><Relationship Id="rId298" Type="http://schemas.openxmlformats.org/officeDocument/2006/relationships/image" Target="../media/image298.png"/><Relationship Id="rId421" Type="http://schemas.openxmlformats.org/officeDocument/2006/relationships/image" Target="../media/image421.png"/><Relationship Id="rId519" Type="http://schemas.openxmlformats.org/officeDocument/2006/relationships/image" Target="../media/image519.png"/><Relationship Id="rId1051" Type="http://schemas.openxmlformats.org/officeDocument/2006/relationships/image" Target="../media/image1051.png"/><Relationship Id="rId1149" Type="http://schemas.openxmlformats.org/officeDocument/2006/relationships/image" Target="../media/image1149.png"/><Relationship Id="rId1356" Type="http://schemas.openxmlformats.org/officeDocument/2006/relationships/image" Target="../media/image1356.png"/><Relationship Id="rId158" Type="http://schemas.openxmlformats.org/officeDocument/2006/relationships/image" Target="../media/image158.png"/><Relationship Id="rId726" Type="http://schemas.openxmlformats.org/officeDocument/2006/relationships/image" Target="../media/image726.png"/><Relationship Id="rId933" Type="http://schemas.openxmlformats.org/officeDocument/2006/relationships/image" Target="../media/image933.png"/><Relationship Id="rId1009" Type="http://schemas.openxmlformats.org/officeDocument/2006/relationships/image" Target="../media/image1009.png"/><Relationship Id="rId1563" Type="http://schemas.openxmlformats.org/officeDocument/2006/relationships/image" Target="../media/image1563.png"/><Relationship Id="rId62" Type="http://schemas.openxmlformats.org/officeDocument/2006/relationships/image" Target="../media/image62.png"/><Relationship Id="rId365" Type="http://schemas.openxmlformats.org/officeDocument/2006/relationships/image" Target="../media/image365.png"/><Relationship Id="rId572" Type="http://schemas.openxmlformats.org/officeDocument/2006/relationships/image" Target="../media/image572.png"/><Relationship Id="rId1216" Type="http://schemas.openxmlformats.org/officeDocument/2006/relationships/image" Target="../media/image1216.png"/><Relationship Id="rId1423" Type="http://schemas.openxmlformats.org/officeDocument/2006/relationships/image" Target="../media/image1423.png"/><Relationship Id="rId1630" Type="http://schemas.openxmlformats.org/officeDocument/2006/relationships/image" Target="../media/image1630.png"/><Relationship Id="rId225" Type="http://schemas.openxmlformats.org/officeDocument/2006/relationships/image" Target="../media/image225.png"/><Relationship Id="rId432" Type="http://schemas.openxmlformats.org/officeDocument/2006/relationships/image" Target="../media/image432.png"/><Relationship Id="rId877" Type="http://schemas.openxmlformats.org/officeDocument/2006/relationships/image" Target="../media/image877.png"/><Relationship Id="rId1062" Type="http://schemas.openxmlformats.org/officeDocument/2006/relationships/image" Target="../media/image1062.png"/><Relationship Id="rId737" Type="http://schemas.openxmlformats.org/officeDocument/2006/relationships/image" Target="../media/image737.png"/><Relationship Id="rId944" Type="http://schemas.openxmlformats.org/officeDocument/2006/relationships/image" Target="../media/image944.png"/><Relationship Id="rId1367" Type="http://schemas.openxmlformats.org/officeDocument/2006/relationships/image" Target="../media/image1367.png"/><Relationship Id="rId1574" Type="http://schemas.openxmlformats.org/officeDocument/2006/relationships/image" Target="../media/image1574.png"/><Relationship Id="rId73" Type="http://schemas.openxmlformats.org/officeDocument/2006/relationships/image" Target="../media/image73.png"/><Relationship Id="rId169" Type="http://schemas.openxmlformats.org/officeDocument/2006/relationships/image" Target="../media/image169.png"/><Relationship Id="rId376" Type="http://schemas.openxmlformats.org/officeDocument/2006/relationships/image" Target="../media/image376.png"/><Relationship Id="rId583" Type="http://schemas.openxmlformats.org/officeDocument/2006/relationships/image" Target="../media/image583.png"/><Relationship Id="rId790" Type="http://schemas.openxmlformats.org/officeDocument/2006/relationships/image" Target="../media/image790.png"/><Relationship Id="rId804" Type="http://schemas.openxmlformats.org/officeDocument/2006/relationships/image" Target="../media/image804.png"/><Relationship Id="rId1227" Type="http://schemas.openxmlformats.org/officeDocument/2006/relationships/image" Target="../media/image1227.png"/><Relationship Id="rId1434" Type="http://schemas.openxmlformats.org/officeDocument/2006/relationships/image" Target="../media/image1434.png"/><Relationship Id="rId1641" Type="http://schemas.openxmlformats.org/officeDocument/2006/relationships/image" Target="../media/image1641.png"/><Relationship Id="rId4" Type="http://schemas.openxmlformats.org/officeDocument/2006/relationships/image" Target="../media/image4.png"/><Relationship Id="rId236" Type="http://schemas.openxmlformats.org/officeDocument/2006/relationships/image" Target="../media/image236.png"/><Relationship Id="rId443" Type="http://schemas.openxmlformats.org/officeDocument/2006/relationships/image" Target="../media/image443.png"/><Relationship Id="rId650" Type="http://schemas.openxmlformats.org/officeDocument/2006/relationships/image" Target="../media/image650.png"/><Relationship Id="rId888" Type="http://schemas.openxmlformats.org/officeDocument/2006/relationships/image" Target="../media/image888.png"/><Relationship Id="rId1073" Type="http://schemas.openxmlformats.org/officeDocument/2006/relationships/image" Target="../media/image1073.png"/><Relationship Id="rId1280" Type="http://schemas.openxmlformats.org/officeDocument/2006/relationships/image" Target="../media/image1280.png"/><Relationship Id="rId1501" Type="http://schemas.openxmlformats.org/officeDocument/2006/relationships/image" Target="../media/image1501.png"/><Relationship Id="rId303" Type="http://schemas.openxmlformats.org/officeDocument/2006/relationships/image" Target="../media/image303.png"/><Relationship Id="rId748" Type="http://schemas.openxmlformats.org/officeDocument/2006/relationships/image" Target="../media/image748.png"/><Relationship Id="rId955" Type="http://schemas.openxmlformats.org/officeDocument/2006/relationships/image" Target="../media/image955.png"/><Relationship Id="rId1140" Type="http://schemas.openxmlformats.org/officeDocument/2006/relationships/image" Target="../media/image1140.png"/><Relationship Id="rId1378" Type="http://schemas.openxmlformats.org/officeDocument/2006/relationships/image" Target="../media/image1378.png"/><Relationship Id="rId1585" Type="http://schemas.openxmlformats.org/officeDocument/2006/relationships/image" Target="../media/image1585.png"/><Relationship Id="rId84" Type="http://schemas.openxmlformats.org/officeDocument/2006/relationships/image" Target="../media/image84.png"/><Relationship Id="rId387" Type="http://schemas.openxmlformats.org/officeDocument/2006/relationships/image" Target="../media/image387.png"/><Relationship Id="rId510" Type="http://schemas.openxmlformats.org/officeDocument/2006/relationships/image" Target="../media/image510.png"/><Relationship Id="rId594" Type="http://schemas.openxmlformats.org/officeDocument/2006/relationships/image" Target="../media/image594.png"/><Relationship Id="rId608" Type="http://schemas.openxmlformats.org/officeDocument/2006/relationships/image" Target="../media/image608.png"/><Relationship Id="rId815" Type="http://schemas.openxmlformats.org/officeDocument/2006/relationships/image" Target="../media/image815.png"/><Relationship Id="rId1238" Type="http://schemas.openxmlformats.org/officeDocument/2006/relationships/image" Target="../media/image1238.png"/><Relationship Id="rId1445" Type="http://schemas.openxmlformats.org/officeDocument/2006/relationships/image" Target="../media/image1445.png"/><Relationship Id="rId1652" Type="http://schemas.openxmlformats.org/officeDocument/2006/relationships/image" Target="../media/image1652.png"/><Relationship Id="rId247" Type="http://schemas.openxmlformats.org/officeDocument/2006/relationships/image" Target="../media/image247.png"/><Relationship Id="rId899" Type="http://schemas.openxmlformats.org/officeDocument/2006/relationships/image" Target="../media/image899.png"/><Relationship Id="rId1000" Type="http://schemas.openxmlformats.org/officeDocument/2006/relationships/image" Target="../media/image1000.png"/><Relationship Id="rId1084" Type="http://schemas.openxmlformats.org/officeDocument/2006/relationships/image" Target="../media/image1084.png"/><Relationship Id="rId1305" Type="http://schemas.openxmlformats.org/officeDocument/2006/relationships/image" Target="../media/image1305.png"/><Relationship Id="rId107" Type="http://schemas.openxmlformats.org/officeDocument/2006/relationships/image" Target="../media/image107.png"/><Relationship Id="rId454" Type="http://schemas.openxmlformats.org/officeDocument/2006/relationships/image" Target="../media/image454.png"/><Relationship Id="rId661" Type="http://schemas.openxmlformats.org/officeDocument/2006/relationships/image" Target="../media/image661.png"/><Relationship Id="rId759" Type="http://schemas.openxmlformats.org/officeDocument/2006/relationships/image" Target="../media/image759.png"/><Relationship Id="rId966" Type="http://schemas.openxmlformats.org/officeDocument/2006/relationships/image" Target="../media/image966.png"/><Relationship Id="rId1291" Type="http://schemas.openxmlformats.org/officeDocument/2006/relationships/image" Target="../media/image1291.png"/><Relationship Id="rId1389" Type="http://schemas.openxmlformats.org/officeDocument/2006/relationships/image" Target="../media/image1389.png"/><Relationship Id="rId1512" Type="http://schemas.openxmlformats.org/officeDocument/2006/relationships/image" Target="../media/image1512.png"/><Relationship Id="rId1596" Type="http://schemas.openxmlformats.org/officeDocument/2006/relationships/image" Target="../media/image1596.png"/><Relationship Id="rId11" Type="http://schemas.openxmlformats.org/officeDocument/2006/relationships/image" Target="../media/image11.png"/><Relationship Id="rId314" Type="http://schemas.openxmlformats.org/officeDocument/2006/relationships/image" Target="../media/image314.png"/><Relationship Id="rId398" Type="http://schemas.openxmlformats.org/officeDocument/2006/relationships/image" Target="../media/image398.png"/><Relationship Id="rId521" Type="http://schemas.openxmlformats.org/officeDocument/2006/relationships/image" Target="../media/image521.png"/><Relationship Id="rId619" Type="http://schemas.openxmlformats.org/officeDocument/2006/relationships/image" Target="../media/image619.png"/><Relationship Id="rId1151" Type="http://schemas.openxmlformats.org/officeDocument/2006/relationships/image" Target="../media/image1151.png"/><Relationship Id="rId1249" Type="http://schemas.openxmlformats.org/officeDocument/2006/relationships/image" Target="../media/image1249.png"/><Relationship Id="rId95" Type="http://schemas.openxmlformats.org/officeDocument/2006/relationships/image" Target="../media/image95.png"/><Relationship Id="rId160" Type="http://schemas.openxmlformats.org/officeDocument/2006/relationships/image" Target="../media/image160.png"/><Relationship Id="rId826" Type="http://schemas.openxmlformats.org/officeDocument/2006/relationships/image" Target="../media/image826.png"/><Relationship Id="rId1011" Type="http://schemas.openxmlformats.org/officeDocument/2006/relationships/image" Target="../media/image1011.png"/><Relationship Id="rId1109" Type="http://schemas.openxmlformats.org/officeDocument/2006/relationships/image" Target="../media/image1109.png"/><Relationship Id="rId1456" Type="http://schemas.openxmlformats.org/officeDocument/2006/relationships/image" Target="../media/image1456.png"/><Relationship Id="rId1663" Type="http://schemas.openxmlformats.org/officeDocument/2006/relationships/image" Target="../media/image1663.png"/><Relationship Id="rId258" Type="http://schemas.openxmlformats.org/officeDocument/2006/relationships/image" Target="../media/image258.png"/><Relationship Id="rId465" Type="http://schemas.openxmlformats.org/officeDocument/2006/relationships/image" Target="../media/image465.png"/><Relationship Id="rId672" Type="http://schemas.openxmlformats.org/officeDocument/2006/relationships/image" Target="../media/image672.png"/><Relationship Id="rId1095" Type="http://schemas.openxmlformats.org/officeDocument/2006/relationships/image" Target="../media/image1095.png"/><Relationship Id="rId1316" Type="http://schemas.openxmlformats.org/officeDocument/2006/relationships/image" Target="../media/image1316.png"/><Relationship Id="rId1523" Type="http://schemas.openxmlformats.org/officeDocument/2006/relationships/image" Target="../media/image1523.png"/><Relationship Id="rId22" Type="http://schemas.openxmlformats.org/officeDocument/2006/relationships/image" Target="../media/image22.png"/><Relationship Id="rId118" Type="http://schemas.openxmlformats.org/officeDocument/2006/relationships/image" Target="../media/image118.png"/><Relationship Id="rId325" Type="http://schemas.openxmlformats.org/officeDocument/2006/relationships/image" Target="../media/image325.png"/><Relationship Id="rId532" Type="http://schemas.openxmlformats.org/officeDocument/2006/relationships/image" Target="../media/image532.png"/><Relationship Id="rId977" Type="http://schemas.openxmlformats.org/officeDocument/2006/relationships/image" Target="../media/image977.png"/><Relationship Id="rId1162" Type="http://schemas.openxmlformats.org/officeDocument/2006/relationships/image" Target="../media/image1162.png"/><Relationship Id="rId171" Type="http://schemas.openxmlformats.org/officeDocument/2006/relationships/image" Target="../media/image171.png"/><Relationship Id="rId837" Type="http://schemas.openxmlformats.org/officeDocument/2006/relationships/image" Target="../media/image837.png"/><Relationship Id="rId1022" Type="http://schemas.openxmlformats.org/officeDocument/2006/relationships/image" Target="../media/image1022.png"/><Relationship Id="rId1467" Type="http://schemas.openxmlformats.org/officeDocument/2006/relationships/image" Target="../media/image1467.png"/><Relationship Id="rId1674" Type="http://schemas.openxmlformats.org/officeDocument/2006/relationships/image" Target="../media/image1674.png"/><Relationship Id="rId269" Type="http://schemas.openxmlformats.org/officeDocument/2006/relationships/image" Target="../media/image269.png"/><Relationship Id="rId476" Type="http://schemas.openxmlformats.org/officeDocument/2006/relationships/image" Target="../media/image476.png"/><Relationship Id="rId683" Type="http://schemas.openxmlformats.org/officeDocument/2006/relationships/image" Target="../media/image683.png"/><Relationship Id="rId890" Type="http://schemas.openxmlformats.org/officeDocument/2006/relationships/image" Target="../media/image890.png"/><Relationship Id="rId904" Type="http://schemas.openxmlformats.org/officeDocument/2006/relationships/image" Target="../media/image904.png"/><Relationship Id="rId1327" Type="http://schemas.openxmlformats.org/officeDocument/2006/relationships/image" Target="../media/image1327.png"/><Relationship Id="rId1534" Type="http://schemas.openxmlformats.org/officeDocument/2006/relationships/image" Target="../media/image1534.png"/><Relationship Id="rId33" Type="http://schemas.openxmlformats.org/officeDocument/2006/relationships/image" Target="../media/image33.png"/><Relationship Id="rId129" Type="http://schemas.openxmlformats.org/officeDocument/2006/relationships/image" Target="../media/image129.png"/><Relationship Id="rId336" Type="http://schemas.openxmlformats.org/officeDocument/2006/relationships/image" Target="../media/image336.png"/><Relationship Id="rId543" Type="http://schemas.openxmlformats.org/officeDocument/2006/relationships/image" Target="../media/image543.png"/><Relationship Id="rId988" Type="http://schemas.openxmlformats.org/officeDocument/2006/relationships/image" Target="../media/image988.png"/><Relationship Id="rId1173" Type="http://schemas.openxmlformats.org/officeDocument/2006/relationships/image" Target="../media/image1173.png"/><Relationship Id="rId1380" Type="http://schemas.openxmlformats.org/officeDocument/2006/relationships/image" Target="../media/image1380.png"/><Relationship Id="rId1601" Type="http://schemas.openxmlformats.org/officeDocument/2006/relationships/image" Target="../media/image1601.png"/><Relationship Id="rId182" Type="http://schemas.openxmlformats.org/officeDocument/2006/relationships/image" Target="../media/image182.png"/><Relationship Id="rId403" Type="http://schemas.openxmlformats.org/officeDocument/2006/relationships/image" Target="../media/image403.png"/><Relationship Id="rId750" Type="http://schemas.openxmlformats.org/officeDocument/2006/relationships/image" Target="../media/image750.png"/><Relationship Id="rId848" Type="http://schemas.openxmlformats.org/officeDocument/2006/relationships/image" Target="../media/image848.png"/><Relationship Id="rId1033" Type="http://schemas.openxmlformats.org/officeDocument/2006/relationships/image" Target="../media/image1033.png"/><Relationship Id="rId1478" Type="http://schemas.openxmlformats.org/officeDocument/2006/relationships/image" Target="../media/image1478.png"/><Relationship Id="rId1685" Type="http://schemas.openxmlformats.org/officeDocument/2006/relationships/image" Target="../media/image1685.png"/><Relationship Id="rId487" Type="http://schemas.openxmlformats.org/officeDocument/2006/relationships/image" Target="../media/image487.png"/><Relationship Id="rId610" Type="http://schemas.openxmlformats.org/officeDocument/2006/relationships/image" Target="../media/image610.png"/><Relationship Id="rId694" Type="http://schemas.openxmlformats.org/officeDocument/2006/relationships/image" Target="../media/image694.png"/><Relationship Id="rId708" Type="http://schemas.openxmlformats.org/officeDocument/2006/relationships/image" Target="../media/image708.png"/><Relationship Id="rId915" Type="http://schemas.openxmlformats.org/officeDocument/2006/relationships/image" Target="../media/image915.png"/><Relationship Id="rId1240" Type="http://schemas.openxmlformats.org/officeDocument/2006/relationships/image" Target="../media/image1240.png"/><Relationship Id="rId1338" Type="http://schemas.openxmlformats.org/officeDocument/2006/relationships/image" Target="../media/image1338.png"/><Relationship Id="rId1545" Type="http://schemas.openxmlformats.org/officeDocument/2006/relationships/image" Target="../media/image1545.png"/><Relationship Id="rId347" Type="http://schemas.openxmlformats.org/officeDocument/2006/relationships/image" Target="../media/image347.png"/><Relationship Id="rId999" Type="http://schemas.openxmlformats.org/officeDocument/2006/relationships/image" Target="../media/image999.png"/><Relationship Id="rId1100" Type="http://schemas.openxmlformats.org/officeDocument/2006/relationships/image" Target="../media/image1100.png"/><Relationship Id="rId1184" Type="http://schemas.openxmlformats.org/officeDocument/2006/relationships/image" Target="../media/image1184.png"/><Relationship Id="rId1405" Type="http://schemas.openxmlformats.org/officeDocument/2006/relationships/image" Target="../media/image1405.png"/><Relationship Id="rId44" Type="http://schemas.openxmlformats.org/officeDocument/2006/relationships/image" Target="../media/image44.png"/><Relationship Id="rId554" Type="http://schemas.openxmlformats.org/officeDocument/2006/relationships/image" Target="../media/image554.png"/><Relationship Id="rId761" Type="http://schemas.openxmlformats.org/officeDocument/2006/relationships/image" Target="../media/image761.png"/><Relationship Id="rId859" Type="http://schemas.openxmlformats.org/officeDocument/2006/relationships/image" Target="../media/image859.png"/><Relationship Id="rId1391" Type="http://schemas.openxmlformats.org/officeDocument/2006/relationships/image" Target="../media/image1391.png"/><Relationship Id="rId1489" Type="http://schemas.openxmlformats.org/officeDocument/2006/relationships/image" Target="../media/image1489.png"/><Relationship Id="rId1612" Type="http://schemas.openxmlformats.org/officeDocument/2006/relationships/image" Target="../media/image1612.png"/><Relationship Id="rId1696" Type="http://schemas.openxmlformats.org/officeDocument/2006/relationships/image" Target="../media/image1696.png"/><Relationship Id="rId193" Type="http://schemas.openxmlformats.org/officeDocument/2006/relationships/image" Target="../media/image193.png"/><Relationship Id="rId207" Type="http://schemas.openxmlformats.org/officeDocument/2006/relationships/image" Target="../media/image207.png"/><Relationship Id="rId414" Type="http://schemas.openxmlformats.org/officeDocument/2006/relationships/image" Target="../media/image414.png"/><Relationship Id="rId498" Type="http://schemas.openxmlformats.org/officeDocument/2006/relationships/image" Target="../media/image498.png"/><Relationship Id="rId621" Type="http://schemas.openxmlformats.org/officeDocument/2006/relationships/image" Target="../media/image621.png"/><Relationship Id="rId1044" Type="http://schemas.openxmlformats.org/officeDocument/2006/relationships/image" Target="../media/image1044.png"/><Relationship Id="rId1251" Type="http://schemas.openxmlformats.org/officeDocument/2006/relationships/image" Target="../media/image1251.png"/><Relationship Id="rId1349" Type="http://schemas.openxmlformats.org/officeDocument/2006/relationships/image" Target="../media/image1349.png"/><Relationship Id="rId260" Type="http://schemas.openxmlformats.org/officeDocument/2006/relationships/image" Target="../media/image260.png"/><Relationship Id="rId719" Type="http://schemas.openxmlformats.org/officeDocument/2006/relationships/image" Target="../media/image719.png"/><Relationship Id="rId926" Type="http://schemas.openxmlformats.org/officeDocument/2006/relationships/image" Target="../media/image926.png"/><Relationship Id="rId1111" Type="http://schemas.openxmlformats.org/officeDocument/2006/relationships/image" Target="../media/image1111.png"/><Relationship Id="rId1556" Type="http://schemas.openxmlformats.org/officeDocument/2006/relationships/image" Target="../media/image1556.png"/><Relationship Id="rId55" Type="http://schemas.openxmlformats.org/officeDocument/2006/relationships/image" Target="../media/image55.png"/><Relationship Id="rId120" Type="http://schemas.openxmlformats.org/officeDocument/2006/relationships/image" Target="../media/image120.png"/><Relationship Id="rId358" Type="http://schemas.openxmlformats.org/officeDocument/2006/relationships/image" Target="../media/image358.png"/><Relationship Id="rId565" Type="http://schemas.openxmlformats.org/officeDocument/2006/relationships/image" Target="../media/image565.png"/><Relationship Id="rId772" Type="http://schemas.openxmlformats.org/officeDocument/2006/relationships/image" Target="../media/image772.png"/><Relationship Id="rId1195" Type="http://schemas.openxmlformats.org/officeDocument/2006/relationships/image" Target="../media/image1195.png"/><Relationship Id="rId1209" Type="http://schemas.openxmlformats.org/officeDocument/2006/relationships/image" Target="../media/image1209.png"/><Relationship Id="rId1416" Type="http://schemas.openxmlformats.org/officeDocument/2006/relationships/image" Target="../media/image1416.png"/><Relationship Id="rId1623" Type="http://schemas.openxmlformats.org/officeDocument/2006/relationships/image" Target="../media/image1623.png"/><Relationship Id="rId218" Type="http://schemas.openxmlformats.org/officeDocument/2006/relationships/image" Target="../media/image218.png"/><Relationship Id="rId425" Type="http://schemas.openxmlformats.org/officeDocument/2006/relationships/image" Target="../media/image425.png"/><Relationship Id="rId632" Type="http://schemas.openxmlformats.org/officeDocument/2006/relationships/image" Target="../media/image632.png"/><Relationship Id="rId1055" Type="http://schemas.openxmlformats.org/officeDocument/2006/relationships/image" Target="../media/image1055.png"/><Relationship Id="rId1262" Type="http://schemas.openxmlformats.org/officeDocument/2006/relationships/image" Target="../media/image1262.png"/><Relationship Id="rId271" Type="http://schemas.openxmlformats.org/officeDocument/2006/relationships/image" Target="../media/image271.png"/><Relationship Id="rId937" Type="http://schemas.openxmlformats.org/officeDocument/2006/relationships/image" Target="../media/image937.png"/><Relationship Id="rId1122" Type="http://schemas.openxmlformats.org/officeDocument/2006/relationships/image" Target="../media/image1122.png"/><Relationship Id="rId1567" Type="http://schemas.openxmlformats.org/officeDocument/2006/relationships/image" Target="../media/image1567.png"/><Relationship Id="rId66" Type="http://schemas.openxmlformats.org/officeDocument/2006/relationships/image" Target="../media/image66.png"/><Relationship Id="rId131" Type="http://schemas.openxmlformats.org/officeDocument/2006/relationships/image" Target="../media/image131.png"/><Relationship Id="rId369" Type="http://schemas.openxmlformats.org/officeDocument/2006/relationships/image" Target="../media/image369.png"/><Relationship Id="rId576" Type="http://schemas.openxmlformats.org/officeDocument/2006/relationships/image" Target="../media/image576.png"/><Relationship Id="rId783" Type="http://schemas.openxmlformats.org/officeDocument/2006/relationships/image" Target="../media/image783.png"/><Relationship Id="rId990" Type="http://schemas.openxmlformats.org/officeDocument/2006/relationships/image" Target="../media/image990.png"/><Relationship Id="rId1427" Type="http://schemas.openxmlformats.org/officeDocument/2006/relationships/image" Target="../media/image1427.png"/><Relationship Id="rId1634" Type="http://schemas.openxmlformats.org/officeDocument/2006/relationships/image" Target="../media/image1634.png"/><Relationship Id="rId229" Type="http://schemas.openxmlformats.org/officeDocument/2006/relationships/image" Target="../media/image229.png"/><Relationship Id="rId436" Type="http://schemas.openxmlformats.org/officeDocument/2006/relationships/image" Target="../media/image436.png"/><Relationship Id="rId643" Type="http://schemas.openxmlformats.org/officeDocument/2006/relationships/image" Target="../media/image643.png"/><Relationship Id="rId1066" Type="http://schemas.openxmlformats.org/officeDocument/2006/relationships/image" Target="../media/image1066.png"/><Relationship Id="rId1273" Type="http://schemas.openxmlformats.org/officeDocument/2006/relationships/image" Target="../media/image1273.png"/><Relationship Id="rId1480" Type="http://schemas.openxmlformats.org/officeDocument/2006/relationships/image" Target="../media/image1480.png"/><Relationship Id="rId850" Type="http://schemas.openxmlformats.org/officeDocument/2006/relationships/image" Target="../media/image850.png"/><Relationship Id="rId948" Type="http://schemas.openxmlformats.org/officeDocument/2006/relationships/image" Target="../media/image948.png"/><Relationship Id="rId1133" Type="http://schemas.openxmlformats.org/officeDocument/2006/relationships/image" Target="../media/image1133.png"/><Relationship Id="rId1578" Type="http://schemas.openxmlformats.org/officeDocument/2006/relationships/image" Target="../media/image1578.png"/><Relationship Id="rId1701" Type="http://schemas.openxmlformats.org/officeDocument/2006/relationships/image" Target="../media/image1701.png"/><Relationship Id="rId77" Type="http://schemas.openxmlformats.org/officeDocument/2006/relationships/image" Target="../media/image77.png"/><Relationship Id="rId282" Type="http://schemas.openxmlformats.org/officeDocument/2006/relationships/image" Target="../media/image282.png"/><Relationship Id="rId503" Type="http://schemas.openxmlformats.org/officeDocument/2006/relationships/image" Target="../media/image503.png"/><Relationship Id="rId587" Type="http://schemas.openxmlformats.org/officeDocument/2006/relationships/image" Target="../media/image587.png"/><Relationship Id="rId710" Type="http://schemas.openxmlformats.org/officeDocument/2006/relationships/image" Target="../media/image710.png"/><Relationship Id="rId808" Type="http://schemas.openxmlformats.org/officeDocument/2006/relationships/image" Target="../media/image808.png"/><Relationship Id="rId1340" Type="http://schemas.openxmlformats.org/officeDocument/2006/relationships/image" Target="../media/image1340.png"/><Relationship Id="rId1438" Type="http://schemas.openxmlformats.org/officeDocument/2006/relationships/image" Target="../media/image1438.png"/><Relationship Id="rId1645" Type="http://schemas.openxmlformats.org/officeDocument/2006/relationships/image" Target="../media/image1645.png"/><Relationship Id="rId8" Type="http://schemas.openxmlformats.org/officeDocument/2006/relationships/image" Target="../media/image8.png"/><Relationship Id="rId142" Type="http://schemas.openxmlformats.org/officeDocument/2006/relationships/image" Target="../media/image142.png"/><Relationship Id="rId447" Type="http://schemas.openxmlformats.org/officeDocument/2006/relationships/image" Target="../media/image447.png"/><Relationship Id="rId794" Type="http://schemas.openxmlformats.org/officeDocument/2006/relationships/image" Target="../media/image794.png"/><Relationship Id="rId1077" Type="http://schemas.openxmlformats.org/officeDocument/2006/relationships/image" Target="../media/image1077.png"/><Relationship Id="rId1200" Type="http://schemas.openxmlformats.org/officeDocument/2006/relationships/image" Target="../media/image1200.png"/><Relationship Id="rId654" Type="http://schemas.openxmlformats.org/officeDocument/2006/relationships/image" Target="../media/image654.png"/><Relationship Id="rId861" Type="http://schemas.openxmlformats.org/officeDocument/2006/relationships/image" Target="../media/image861.png"/><Relationship Id="rId959" Type="http://schemas.openxmlformats.org/officeDocument/2006/relationships/image" Target="../media/image959.png"/><Relationship Id="rId1284" Type="http://schemas.openxmlformats.org/officeDocument/2006/relationships/image" Target="../media/image1284.png"/><Relationship Id="rId1491" Type="http://schemas.openxmlformats.org/officeDocument/2006/relationships/image" Target="../media/image1491.png"/><Relationship Id="rId1505" Type="http://schemas.openxmlformats.org/officeDocument/2006/relationships/image" Target="../media/image1505.png"/><Relationship Id="rId1589" Type="http://schemas.openxmlformats.org/officeDocument/2006/relationships/image" Target="../media/image1589.png"/><Relationship Id="rId1712" Type="http://schemas.openxmlformats.org/officeDocument/2006/relationships/image" Target="../media/image1712.png"/><Relationship Id="rId293" Type="http://schemas.openxmlformats.org/officeDocument/2006/relationships/image" Target="../media/image293.png"/><Relationship Id="rId307" Type="http://schemas.openxmlformats.org/officeDocument/2006/relationships/image" Target="../media/image307.png"/><Relationship Id="rId514" Type="http://schemas.openxmlformats.org/officeDocument/2006/relationships/image" Target="../media/image514.png"/><Relationship Id="rId721" Type="http://schemas.openxmlformats.org/officeDocument/2006/relationships/image" Target="../media/image721.png"/><Relationship Id="rId1144" Type="http://schemas.openxmlformats.org/officeDocument/2006/relationships/image" Target="../media/image1144.png"/><Relationship Id="rId1351" Type="http://schemas.openxmlformats.org/officeDocument/2006/relationships/image" Target="../media/image1351.png"/><Relationship Id="rId1449" Type="http://schemas.openxmlformats.org/officeDocument/2006/relationships/image" Target="../media/image1449.png"/><Relationship Id="rId88" Type="http://schemas.openxmlformats.org/officeDocument/2006/relationships/image" Target="../media/image88.png"/><Relationship Id="rId153" Type="http://schemas.openxmlformats.org/officeDocument/2006/relationships/image" Target="../media/image153.png"/><Relationship Id="rId360" Type="http://schemas.openxmlformats.org/officeDocument/2006/relationships/image" Target="../media/image360.png"/><Relationship Id="rId598" Type="http://schemas.openxmlformats.org/officeDocument/2006/relationships/image" Target="../media/image598.png"/><Relationship Id="rId819" Type="http://schemas.openxmlformats.org/officeDocument/2006/relationships/image" Target="../media/image819.png"/><Relationship Id="rId1004" Type="http://schemas.openxmlformats.org/officeDocument/2006/relationships/image" Target="../media/image1004.png"/><Relationship Id="rId1211" Type="http://schemas.openxmlformats.org/officeDocument/2006/relationships/image" Target="../media/image1211.png"/><Relationship Id="rId1656" Type="http://schemas.openxmlformats.org/officeDocument/2006/relationships/image" Target="../media/image1656.png"/><Relationship Id="rId220" Type="http://schemas.openxmlformats.org/officeDocument/2006/relationships/image" Target="../media/image220.png"/><Relationship Id="rId458" Type="http://schemas.openxmlformats.org/officeDocument/2006/relationships/image" Target="../media/image458.png"/><Relationship Id="rId665" Type="http://schemas.openxmlformats.org/officeDocument/2006/relationships/image" Target="../media/image665.png"/><Relationship Id="rId872" Type="http://schemas.openxmlformats.org/officeDocument/2006/relationships/image" Target="../media/image872.png"/><Relationship Id="rId1088" Type="http://schemas.openxmlformats.org/officeDocument/2006/relationships/image" Target="../media/image1088.png"/><Relationship Id="rId1295" Type="http://schemas.openxmlformats.org/officeDocument/2006/relationships/image" Target="../media/image1295.png"/><Relationship Id="rId1309" Type="http://schemas.openxmlformats.org/officeDocument/2006/relationships/image" Target="../media/image1309.png"/><Relationship Id="rId1516" Type="http://schemas.openxmlformats.org/officeDocument/2006/relationships/image" Target="../media/image1516.png"/><Relationship Id="rId15" Type="http://schemas.openxmlformats.org/officeDocument/2006/relationships/image" Target="../media/image15.png"/><Relationship Id="rId318" Type="http://schemas.openxmlformats.org/officeDocument/2006/relationships/image" Target="../media/image318.png"/><Relationship Id="rId525" Type="http://schemas.openxmlformats.org/officeDocument/2006/relationships/image" Target="../media/image525.png"/><Relationship Id="rId732" Type="http://schemas.openxmlformats.org/officeDocument/2006/relationships/image" Target="../media/image732.png"/><Relationship Id="rId1155" Type="http://schemas.openxmlformats.org/officeDocument/2006/relationships/image" Target="../media/image1155.png"/><Relationship Id="rId1362" Type="http://schemas.openxmlformats.org/officeDocument/2006/relationships/image" Target="../media/image1362.png"/><Relationship Id="rId99" Type="http://schemas.openxmlformats.org/officeDocument/2006/relationships/image" Target="../media/image99.png"/><Relationship Id="rId164" Type="http://schemas.openxmlformats.org/officeDocument/2006/relationships/image" Target="../media/image164.png"/><Relationship Id="rId371" Type="http://schemas.openxmlformats.org/officeDocument/2006/relationships/image" Target="../media/image371.png"/><Relationship Id="rId1015" Type="http://schemas.openxmlformats.org/officeDocument/2006/relationships/image" Target="../media/image1015.png"/><Relationship Id="rId1222" Type="http://schemas.openxmlformats.org/officeDocument/2006/relationships/image" Target="../media/image1222.png"/><Relationship Id="rId1667" Type="http://schemas.openxmlformats.org/officeDocument/2006/relationships/image" Target="../media/image1667.png"/><Relationship Id="rId469" Type="http://schemas.openxmlformats.org/officeDocument/2006/relationships/image" Target="../media/image469.png"/><Relationship Id="rId676" Type="http://schemas.openxmlformats.org/officeDocument/2006/relationships/image" Target="../media/image676.png"/><Relationship Id="rId883" Type="http://schemas.openxmlformats.org/officeDocument/2006/relationships/image" Target="../media/image883.png"/><Relationship Id="rId1099" Type="http://schemas.openxmlformats.org/officeDocument/2006/relationships/image" Target="../media/image1099.png"/><Relationship Id="rId1527" Type="http://schemas.openxmlformats.org/officeDocument/2006/relationships/image" Target="../media/image1527.png"/><Relationship Id="rId26" Type="http://schemas.openxmlformats.org/officeDocument/2006/relationships/image" Target="../media/image26.png"/><Relationship Id="rId231" Type="http://schemas.openxmlformats.org/officeDocument/2006/relationships/image" Target="../media/image231.png"/><Relationship Id="rId329" Type="http://schemas.openxmlformats.org/officeDocument/2006/relationships/image" Target="../media/image329.png"/><Relationship Id="rId536" Type="http://schemas.openxmlformats.org/officeDocument/2006/relationships/image" Target="../media/image536.png"/><Relationship Id="rId1166" Type="http://schemas.openxmlformats.org/officeDocument/2006/relationships/image" Target="../media/image1166.png"/><Relationship Id="rId1373" Type="http://schemas.openxmlformats.org/officeDocument/2006/relationships/image" Target="../media/image1373.png"/><Relationship Id="rId175" Type="http://schemas.openxmlformats.org/officeDocument/2006/relationships/image" Target="../media/image175.png"/><Relationship Id="rId743" Type="http://schemas.openxmlformats.org/officeDocument/2006/relationships/image" Target="../media/image743.png"/><Relationship Id="rId950" Type="http://schemas.openxmlformats.org/officeDocument/2006/relationships/image" Target="../media/image950.png"/><Relationship Id="rId1026" Type="http://schemas.openxmlformats.org/officeDocument/2006/relationships/image" Target="../media/image1026.png"/><Relationship Id="rId1580" Type="http://schemas.openxmlformats.org/officeDocument/2006/relationships/image" Target="../media/image1580.png"/><Relationship Id="rId1678" Type="http://schemas.openxmlformats.org/officeDocument/2006/relationships/image" Target="../media/image1678.png"/><Relationship Id="rId382" Type="http://schemas.openxmlformats.org/officeDocument/2006/relationships/image" Target="../media/image382.png"/><Relationship Id="rId603" Type="http://schemas.openxmlformats.org/officeDocument/2006/relationships/image" Target="../media/image603.png"/><Relationship Id="rId687" Type="http://schemas.openxmlformats.org/officeDocument/2006/relationships/image" Target="../media/image687.png"/><Relationship Id="rId810" Type="http://schemas.openxmlformats.org/officeDocument/2006/relationships/image" Target="../media/image810.png"/><Relationship Id="rId908" Type="http://schemas.openxmlformats.org/officeDocument/2006/relationships/image" Target="../media/image908.png"/><Relationship Id="rId1233" Type="http://schemas.openxmlformats.org/officeDocument/2006/relationships/image" Target="../media/image1233.png"/><Relationship Id="rId1440" Type="http://schemas.openxmlformats.org/officeDocument/2006/relationships/image" Target="../media/image1440.png"/><Relationship Id="rId1538" Type="http://schemas.openxmlformats.org/officeDocument/2006/relationships/image" Target="../media/image1538.png"/><Relationship Id="rId242" Type="http://schemas.openxmlformats.org/officeDocument/2006/relationships/image" Target="../media/image242.png"/><Relationship Id="rId894" Type="http://schemas.openxmlformats.org/officeDocument/2006/relationships/image" Target="../media/image894.png"/><Relationship Id="rId1177" Type="http://schemas.openxmlformats.org/officeDocument/2006/relationships/image" Target="../media/image1177.png"/><Relationship Id="rId1300" Type="http://schemas.openxmlformats.org/officeDocument/2006/relationships/image" Target="../media/image1300.png"/><Relationship Id="rId37" Type="http://schemas.openxmlformats.org/officeDocument/2006/relationships/image" Target="../media/image37.png"/><Relationship Id="rId102" Type="http://schemas.openxmlformats.org/officeDocument/2006/relationships/image" Target="../media/image102.png"/><Relationship Id="rId547" Type="http://schemas.openxmlformats.org/officeDocument/2006/relationships/image" Target="../media/image547.png"/><Relationship Id="rId754" Type="http://schemas.openxmlformats.org/officeDocument/2006/relationships/image" Target="../media/image754.png"/><Relationship Id="rId961" Type="http://schemas.openxmlformats.org/officeDocument/2006/relationships/image" Target="../media/image961.png"/><Relationship Id="rId1384" Type="http://schemas.openxmlformats.org/officeDocument/2006/relationships/image" Target="../media/image1384.png"/><Relationship Id="rId1591" Type="http://schemas.openxmlformats.org/officeDocument/2006/relationships/image" Target="../media/image1591.png"/><Relationship Id="rId1605" Type="http://schemas.openxmlformats.org/officeDocument/2006/relationships/image" Target="../media/image1605.png"/><Relationship Id="rId1689" Type="http://schemas.openxmlformats.org/officeDocument/2006/relationships/image" Target="../media/image1689.png"/><Relationship Id="rId90" Type="http://schemas.openxmlformats.org/officeDocument/2006/relationships/image" Target="../media/image90.png"/><Relationship Id="rId186" Type="http://schemas.openxmlformats.org/officeDocument/2006/relationships/image" Target="../media/image186.png"/><Relationship Id="rId393" Type="http://schemas.openxmlformats.org/officeDocument/2006/relationships/image" Target="../media/image393.png"/><Relationship Id="rId407" Type="http://schemas.openxmlformats.org/officeDocument/2006/relationships/image" Target="../media/image407.png"/><Relationship Id="rId614" Type="http://schemas.openxmlformats.org/officeDocument/2006/relationships/image" Target="../media/image614.png"/><Relationship Id="rId821" Type="http://schemas.openxmlformats.org/officeDocument/2006/relationships/image" Target="../media/image821.png"/><Relationship Id="rId1037" Type="http://schemas.openxmlformats.org/officeDocument/2006/relationships/image" Target="../media/image1037.png"/><Relationship Id="rId1244" Type="http://schemas.openxmlformats.org/officeDocument/2006/relationships/image" Target="../media/image1244.png"/><Relationship Id="rId1451" Type="http://schemas.openxmlformats.org/officeDocument/2006/relationships/image" Target="../media/image1451.png"/><Relationship Id="rId253" Type="http://schemas.openxmlformats.org/officeDocument/2006/relationships/image" Target="../media/image253.png"/><Relationship Id="rId460" Type="http://schemas.openxmlformats.org/officeDocument/2006/relationships/image" Target="../media/image460.png"/><Relationship Id="rId698" Type="http://schemas.openxmlformats.org/officeDocument/2006/relationships/image" Target="../media/image698.png"/><Relationship Id="rId919" Type="http://schemas.openxmlformats.org/officeDocument/2006/relationships/image" Target="../media/image919.png"/><Relationship Id="rId1090" Type="http://schemas.openxmlformats.org/officeDocument/2006/relationships/image" Target="../media/image1090.png"/><Relationship Id="rId1104" Type="http://schemas.openxmlformats.org/officeDocument/2006/relationships/image" Target="../media/image1104.png"/><Relationship Id="rId1311" Type="http://schemas.openxmlformats.org/officeDocument/2006/relationships/image" Target="../media/image1311.png"/><Relationship Id="rId1549" Type="http://schemas.openxmlformats.org/officeDocument/2006/relationships/image" Target="../media/image1549.png"/><Relationship Id="rId48" Type="http://schemas.openxmlformats.org/officeDocument/2006/relationships/image" Target="../media/image48.png"/><Relationship Id="rId113" Type="http://schemas.openxmlformats.org/officeDocument/2006/relationships/image" Target="../media/image113.png"/><Relationship Id="rId320" Type="http://schemas.openxmlformats.org/officeDocument/2006/relationships/image" Target="../media/image320.png"/><Relationship Id="rId558" Type="http://schemas.openxmlformats.org/officeDocument/2006/relationships/image" Target="../media/image558.png"/><Relationship Id="rId765" Type="http://schemas.openxmlformats.org/officeDocument/2006/relationships/image" Target="../media/image765.png"/><Relationship Id="rId972" Type="http://schemas.openxmlformats.org/officeDocument/2006/relationships/image" Target="../media/image972.png"/><Relationship Id="rId1188" Type="http://schemas.openxmlformats.org/officeDocument/2006/relationships/image" Target="../media/image1188.png"/><Relationship Id="rId1395" Type="http://schemas.openxmlformats.org/officeDocument/2006/relationships/image" Target="../media/image1395.png"/><Relationship Id="rId1409" Type="http://schemas.openxmlformats.org/officeDocument/2006/relationships/image" Target="../media/image1409.png"/><Relationship Id="rId1616" Type="http://schemas.openxmlformats.org/officeDocument/2006/relationships/image" Target="../media/image1616.png"/><Relationship Id="rId197" Type="http://schemas.openxmlformats.org/officeDocument/2006/relationships/image" Target="../media/image197.png"/><Relationship Id="rId418" Type="http://schemas.openxmlformats.org/officeDocument/2006/relationships/image" Target="../media/image418.png"/><Relationship Id="rId625" Type="http://schemas.openxmlformats.org/officeDocument/2006/relationships/image" Target="../media/image625.png"/><Relationship Id="rId832" Type="http://schemas.openxmlformats.org/officeDocument/2006/relationships/image" Target="../media/image832.png"/><Relationship Id="rId1048" Type="http://schemas.openxmlformats.org/officeDocument/2006/relationships/image" Target="../media/image1048.png"/><Relationship Id="rId1255" Type="http://schemas.openxmlformats.org/officeDocument/2006/relationships/image" Target="../media/image1255.png"/><Relationship Id="rId1462" Type="http://schemas.openxmlformats.org/officeDocument/2006/relationships/image" Target="../media/image1462.png"/><Relationship Id="rId264" Type="http://schemas.openxmlformats.org/officeDocument/2006/relationships/image" Target="../media/image264.png"/><Relationship Id="rId471" Type="http://schemas.openxmlformats.org/officeDocument/2006/relationships/image" Target="../media/image471.png"/><Relationship Id="rId1115" Type="http://schemas.openxmlformats.org/officeDocument/2006/relationships/image" Target="../media/image1115.png"/><Relationship Id="rId1322" Type="http://schemas.openxmlformats.org/officeDocument/2006/relationships/image" Target="../media/image1322.png"/><Relationship Id="rId59" Type="http://schemas.openxmlformats.org/officeDocument/2006/relationships/image" Target="../media/image59.png"/><Relationship Id="rId124" Type="http://schemas.openxmlformats.org/officeDocument/2006/relationships/image" Target="../media/image124.png"/><Relationship Id="rId569" Type="http://schemas.openxmlformats.org/officeDocument/2006/relationships/image" Target="../media/image569.png"/><Relationship Id="rId776" Type="http://schemas.openxmlformats.org/officeDocument/2006/relationships/image" Target="../media/image776.png"/><Relationship Id="rId983" Type="http://schemas.openxmlformats.org/officeDocument/2006/relationships/image" Target="../media/image983.png"/><Relationship Id="rId1199" Type="http://schemas.openxmlformats.org/officeDocument/2006/relationships/image" Target="../media/image1199.png"/><Relationship Id="rId1627" Type="http://schemas.openxmlformats.org/officeDocument/2006/relationships/image" Target="../media/image1627.png"/><Relationship Id="rId331" Type="http://schemas.openxmlformats.org/officeDocument/2006/relationships/image" Target="../media/image331.png"/><Relationship Id="rId429" Type="http://schemas.openxmlformats.org/officeDocument/2006/relationships/image" Target="../media/image429.png"/><Relationship Id="rId636" Type="http://schemas.openxmlformats.org/officeDocument/2006/relationships/image" Target="../media/image636.png"/><Relationship Id="rId1059" Type="http://schemas.openxmlformats.org/officeDocument/2006/relationships/image" Target="../media/image1059.png"/><Relationship Id="rId1266" Type="http://schemas.openxmlformats.org/officeDocument/2006/relationships/image" Target="../media/image1266.png"/><Relationship Id="rId1473" Type="http://schemas.openxmlformats.org/officeDocument/2006/relationships/image" Target="../media/image1473.png"/><Relationship Id="rId843" Type="http://schemas.openxmlformats.org/officeDocument/2006/relationships/image" Target="../media/image843.png"/><Relationship Id="rId1126" Type="http://schemas.openxmlformats.org/officeDocument/2006/relationships/image" Target="../media/image1126.png"/><Relationship Id="rId1680" Type="http://schemas.openxmlformats.org/officeDocument/2006/relationships/image" Target="../media/image1680.png"/><Relationship Id="rId275" Type="http://schemas.openxmlformats.org/officeDocument/2006/relationships/image" Target="../media/image275.png"/><Relationship Id="rId482" Type="http://schemas.openxmlformats.org/officeDocument/2006/relationships/image" Target="../media/image482.png"/><Relationship Id="rId703" Type="http://schemas.openxmlformats.org/officeDocument/2006/relationships/image" Target="../media/image703.png"/><Relationship Id="rId910" Type="http://schemas.openxmlformats.org/officeDocument/2006/relationships/image" Target="../media/image910.png"/><Relationship Id="rId1333" Type="http://schemas.openxmlformats.org/officeDocument/2006/relationships/image" Target="../media/image1333.png"/><Relationship Id="rId1540" Type="http://schemas.openxmlformats.org/officeDocument/2006/relationships/image" Target="../media/image1540.png"/><Relationship Id="rId1638" Type="http://schemas.openxmlformats.org/officeDocument/2006/relationships/image" Target="../media/image1638.png"/><Relationship Id="rId135" Type="http://schemas.openxmlformats.org/officeDocument/2006/relationships/image" Target="../media/image135.png"/><Relationship Id="rId342" Type="http://schemas.openxmlformats.org/officeDocument/2006/relationships/image" Target="../media/image342.png"/><Relationship Id="rId787" Type="http://schemas.openxmlformats.org/officeDocument/2006/relationships/image" Target="../media/image787.png"/><Relationship Id="rId994" Type="http://schemas.openxmlformats.org/officeDocument/2006/relationships/image" Target="../media/image994.png"/><Relationship Id="rId1400" Type="http://schemas.openxmlformats.org/officeDocument/2006/relationships/image" Target="../media/image1400.png"/><Relationship Id="rId202" Type="http://schemas.openxmlformats.org/officeDocument/2006/relationships/image" Target="../media/image202.png"/><Relationship Id="rId647" Type="http://schemas.openxmlformats.org/officeDocument/2006/relationships/image" Target="../media/image647.png"/><Relationship Id="rId854" Type="http://schemas.openxmlformats.org/officeDocument/2006/relationships/image" Target="../media/image854.png"/><Relationship Id="rId1277" Type="http://schemas.openxmlformats.org/officeDocument/2006/relationships/image" Target="../media/image1277.png"/><Relationship Id="rId1484" Type="http://schemas.openxmlformats.org/officeDocument/2006/relationships/image" Target="../media/image1484.png"/><Relationship Id="rId1691" Type="http://schemas.openxmlformats.org/officeDocument/2006/relationships/image" Target="../media/image1691.png"/><Relationship Id="rId1705" Type="http://schemas.openxmlformats.org/officeDocument/2006/relationships/image" Target="../media/image1705.png"/><Relationship Id="rId286" Type="http://schemas.openxmlformats.org/officeDocument/2006/relationships/image" Target="../media/image286.png"/><Relationship Id="rId493" Type="http://schemas.openxmlformats.org/officeDocument/2006/relationships/image" Target="../media/image493.png"/><Relationship Id="rId507" Type="http://schemas.openxmlformats.org/officeDocument/2006/relationships/image" Target="../media/image507.png"/><Relationship Id="rId714" Type="http://schemas.openxmlformats.org/officeDocument/2006/relationships/image" Target="../media/image714.png"/><Relationship Id="rId921" Type="http://schemas.openxmlformats.org/officeDocument/2006/relationships/image" Target="../media/image921.png"/><Relationship Id="rId1137" Type="http://schemas.openxmlformats.org/officeDocument/2006/relationships/image" Target="../media/image1137.png"/><Relationship Id="rId1344" Type="http://schemas.openxmlformats.org/officeDocument/2006/relationships/image" Target="../media/image1344.png"/><Relationship Id="rId1551" Type="http://schemas.openxmlformats.org/officeDocument/2006/relationships/image" Target="../media/image1551.png"/><Relationship Id="rId50" Type="http://schemas.openxmlformats.org/officeDocument/2006/relationships/image" Target="../media/image50.png"/><Relationship Id="rId146" Type="http://schemas.openxmlformats.org/officeDocument/2006/relationships/image" Target="../media/image146.png"/><Relationship Id="rId353" Type="http://schemas.openxmlformats.org/officeDocument/2006/relationships/image" Target="../media/image353.png"/><Relationship Id="rId560" Type="http://schemas.openxmlformats.org/officeDocument/2006/relationships/image" Target="../media/image560.png"/><Relationship Id="rId798" Type="http://schemas.openxmlformats.org/officeDocument/2006/relationships/image" Target="../media/image798.png"/><Relationship Id="rId1190" Type="http://schemas.openxmlformats.org/officeDocument/2006/relationships/image" Target="../media/image1190.png"/><Relationship Id="rId1204" Type="http://schemas.openxmlformats.org/officeDocument/2006/relationships/image" Target="../media/image1204.png"/><Relationship Id="rId1411" Type="http://schemas.openxmlformats.org/officeDocument/2006/relationships/image" Target="../media/image1411.png"/><Relationship Id="rId1649" Type="http://schemas.openxmlformats.org/officeDocument/2006/relationships/image" Target="../media/image1649.png"/><Relationship Id="rId213" Type="http://schemas.openxmlformats.org/officeDocument/2006/relationships/image" Target="../media/image213.png"/><Relationship Id="rId420" Type="http://schemas.openxmlformats.org/officeDocument/2006/relationships/image" Target="../media/image420.png"/><Relationship Id="rId658" Type="http://schemas.openxmlformats.org/officeDocument/2006/relationships/image" Target="../media/image658.png"/><Relationship Id="rId865" Type="http://schemas.openxmlformats.org/officeDocument/2006/relationships/image" Target="../media/image865.png"/><Relationship Id="rId1050" Type="http://schemas.openxmlformats.org/officeDocument/2006/relationships/image" Target="../media/image1050.png"/><Relationship Id="rId1288" Type="http://schemas.openxmlformats.org/officeDocument/2006/relationships/image" Target="../media/image1288.png"/><Relationship Id="rId1495" Type="http://schemas.openxmlformats.org/officeDocument/2006/relationships/image" Target="../media/image1495.png"/><Relationship Id="rId1509" Type="http://schemas.openxmlformats.org/officeDocument/2006/relationships/image" Target="../media/image1509.png"/><Relationship Id="rId1716" Type="http://schemas.openxmlformats.org/officeDocument/2006/relationships/image" Target="../media/image1716.png"/><Relationship Id="rId297" Type="http://schemas.openxmlformats.org/officeDocument/2006/relationships/image" Target="../media/image297.png"/><Relationship Id="rId518" Type="http://schemas.openxmlformats.org/officeDocument/2006/relationships/image" Target="../media/image518.png"/><Relationship Id="rId725" Type="http://schemas.openxmlformats.org/officeDocument/2006/relationships/image" Target="../media/image725.png"/><Relationship Id="rId932" Type="http://schemas.openxmlformats.org/officeDocument/2006/relationships/image" Target="../media/image932.png"/><Relationship Id="rId1148" Type="http://schemas.openxmlformats.org/officeDocument/2006/relationships/image" Target="../media/image1148.png"/><Relationship Id="rId1355" Type="http://schemas.openxmlformats.org/officeDocument/2006/relationships/image" Target="../media/image1355.png"/><Relationship Id="rId1562" Type="http://schemas.openxmlformats.org/officeDocument/2006/relationships/image" Target="../media/image1562.png"/><Relationship Id="rId157" Type="http://schemas.openxmlformats.org/officeDocument/2006/relationships/image" Target="../media/image157.png"/><Relationship Id="rId364" Type="http://schemas.openxmlformats.org/officeDocument/2006/relationships/image" Target="../media/image364.png"/><Relationship Id="rId1008" Type="http://schemas.openxmlformats.org/officeDocument/2006/relationships/image" Target="../media/image1008.png"/><Relationship Id="rId1215" Type="http://schemas.openxmlformats.org/officeDocument/2006/relationships/image" Target="../media/image1215.png"/><Relationship Id="rId1422" Type="http://schemas.openxmlformats.org/officeDocument/2006/relationships/image" Target="../media/image1422.png"/><Relationship Id="rId61" Type="http://schemas.openxmlformats.org/officeDocument/2006/relationships/image" Target="../media/image61.png"/><Relationship Id="rId571" Type="http://schemas.openxmlformats.org/officeDocument/2006/relationships/image" Target="../media/image571.png"/><Relationship Id="rId669" Type="http://schemas.openxmlformats.org/officeDocument/2006/relationships/image" Target="../media/image669.png"/><Relationship Id="rId876" Type="http://schemas.openxmlformats.org/officeDocument/2006/relationships/image" Target="../media/image876.png"/><Relationship Id="rId1299" Type="http://schemas.openxmlformats.org/officeDocument/2006/relationships/image" Target="../media/image1299.png"/><Relationship Id="rId19" Type="http://schemas.openxmlformats.org/officeDocument/2006/relationships/image" Target="../media/image19.png"/><Relationship Id="rId224" Type="http://schemas.openxmlformats.org/officeDocument/2006/relationships/image" Target="../media/image224.png"/><Relationship Id="rId431" Type="http://schemas.openxmlformats.org/officeDocument/2006/relationships/image" Target="../media/image431.png"/><Relationship Id="rId529" Type="http://schemas.openxmlformats.org/officeDocument/2006/relationships/image" Target="../media/image529.png"/><Relationship Id="rId736" Type="http://schemas.openxmlformats.org/officeDocument/2006/relationships/image" Target="../media/image736.png"/><Relationship Id="rId1061" Type="http://schemas.openxmlformats.org/officeDocument/2006/relationships/image" Target="../media/image1061.png"/><Relationship Id="rId1159" Type="http://schemas.openxmlformats.org/officeDocument/2006/relationships/image" Target="../media/image1159.png"/><Relationship Id="rId1366" Type="http://schemas.openxmlformats.org/officeDocument/2006/relationships/image" Target="../media/image1366.png"/><Relationship Id="rId168" Type="http://schemas.openxmlformats.org/officeDocument/2006/relationships/image" Target="../media/image168.png"/><Relationship Id="rId943" Type="http://schemas.openxmlformats.org/officeDocument/2006/relationships/image" Target="../media/image943.png"/><Relationship Id="rId1019" Type="http://schemas.openxmlformats.org/officeDocument/2006/relationships/image" Target="../media/image1019.png"/><Relationship Id="rId1573" Type="http://schemas.openxmlformats.org/officeDocument/2006/relationships/image" Target="../media/image1573.png"/><Relationship Id="rId72" Type="http://schemas.openxmlformats.org/officeDocument/2006/relationships/image" Target="../media/image72.png"/><Relationship Id="rId375" Type="http://schemas.openxmlformats.org/officeDocument/2006/relationships/image" Target="../media/image375.png"/><Relationship Id="rId582" Type="http://schemas.openxmlformats.org/officeDocument/2006/relationships/image" Target="../media/image582.png"/><Relationship Id="rId803" Type="http://schemas.openxmlformats.org/officeDocument/2006/relationships/image" Target="../media/image803.png"/><Relationship Id="rId1226" Type="http://schemas.openxmlformats.org/officeDocument/2006/relationships/image" Target="../media/image1226.png"/><Relationship Id="rId1433" Type="http://schemas.openxmlformats.org/officeDocument/2006/relationships/image" Target="../media/image1433.png"/><Relationship Id="rId1640" Type="http://schemas.openxmlformats.org/officeDocument/2006/relationships/image" Target="../media/image1640.png"/><Relationship Id="rId3" Type="http://schemas.openxmlformats.org/officeDocument/2006/relationships/image" Target="../media/image3.png"/><Relationship Id="rId235" Type="http://schemas.openxmlformats.org/officeDocument/2006/relationships/image" Target="../media/image235.png"/><Relationship Id="rId442" Type="http://schemas.openxmlformats.org/officeDocument/2006/relationships/image" Target="../media/image442.png"/><Relationship Id="rId887" Type="http://schemas.openxmlformats.org/officeDocument/2006/relationships/image" Target="../media/image887.png"/><Relationship Id="rId1072" Type="http://schemas.openxmlformats.org/officeDocument/2006/relationships/image" Target="../media/image1072.png"/><Relationship Id="rId1500" Type="http://schemas.openxmlformats.org/officeDocument/2006/relationships/image" Target="../media/image1500.png"/><Relationship Id="rId302" Type="http://schemas.openxmlformats.org/officeDocument/2006/relationships/image" Target="../media/image302.png"/><Relationship Id="rId747" Type="http://schemas.openxmlformats.org/officeDocument/2006/relationships/image" Target="../media/image747.png"/><Relationship Id="rId954" Type="http://schemas.openxmlformats.org/officeDocument/2006/relationships/image" Target="../media/image954.png"/><Relationship Id="rId1377" Type="http://schemas.openxmlformats.org/officeDocument/2006/relationships/image" Target="../media/image1377.png"/><Relationship Id="rId1584" Type="http://schemas.openxmlformats.org/officeDocument/2006/relationships/image" Target="../media/image1584.png"/><Relationship Id="rId83" Type="http://schemas.openxmlformats.org/officeDocument/2006/relationships/image" Target="../media/image83.png"/><Relationship Id="rId179" Type="http://schemas.openxmlformats.org/officeDocument/2006/relationships/image" Target="../media/image179.png"/><Relationship Id="rId386" Type="http://schemas.openxmlformats.org/officeDocument/2006/relationships/image" Target="../media/image386.png"/><Relationship Id="rId593" Type="http://schemas.openxmlformats.org/officeDocument/2006/relationships/image" Target="../media/image593.png"/><Relationship Id="rId607" Type="http://schemas.openxmlformats.org/officeDocument/2006/relationships/image" Target="../media/image607.png"/><Relationship Id="rId814" Type="http://schemas.openxmlformats.org/officeDocument/2006/relationships/image" Target="../media/image814.png"/><Relationship Id="rId1237" Type="http://schemas.openxmlformats.org/officeDocument/2006/relationships/image" Target="../media/image1237.png"/><Relationship Id="rId1444" Type="http://schemas.openxmlformats.org/officeDocument/2006/relationships/image" Target="../media/image1444.png"/><Relationship Id="rId1651" Type="http://schemas.openxmlformats.org/officeDocument/2006/relationships/image" Target="../media/image1651.png"/><Relationship Id="rId246" Type="http://schemas.openxmlformats.org/officeDocument/2006/relationships/image" Target="../media/image246.png"/><Relationship Id="rId453" Type="http://schemas.openxmlformats.org/officeDocument/2006/relationships/image" Target="../media/image453.png"/><Relationship Id="rId660" Type="http://schemas.openxmlformats.org/officeDocument/2006/relationships/image" Target="../media/image660.png"/><Relationship Id="rId898" Type="http://schemas.openxmlformats.org/officeDocument/2006/relationships/image" Target="../media/image898.png"/><Relationship Id="rId1083" Type="http://schemas.openxmlformats.org/officeDocument/2006/relationships/image" Target="../media/image1083.png"/><Relationship Id="rId1290" Type="http://schemas.openxmlformats.org/officeDocument/2006/relationships/image" Target="../media/image1290.png"/><Relationship Id="rId1304" Type="http://schemas.openxmlformats.org/officeDocument/2006/relationships/image" Target="../media/image1304.png"/><Relationship Id="rId1511" Type="http://schemas.openxmlformats.org/officeDocument/2006/relationships/image" Target="../media/image1511.png"/><Relationship Id="rId106" Type="http://schemas.openxmlformats.org/officeDocument/2006/relationships/image" Target="../media/image106.png"/><Relationship Id="rId313" Type="http://schemas.openxmlformats.org/officeDocument/2006/relationships/image" Target="../media/image313.png"/><Relationship Id="rId758" Type="http://schemas.openxmlformats.org/officeDocument/2006/relationships/image" Target="../media/image758.png"/><Relationship Id="rId965" Type="http://schemas.openxmlformats.org/officeDocument/2006/relationships/image" Target="../media/image965.png"/><Relationship Id="rId1150" Type="http://schemas.openxmlformats.org/officeDocument/2006/relationships/image" Target="../media/image1150.png"/><Relationship Id="rId1388" Type="http://schemas.openxmlformats.org/officeDocument/2006/relationships/image" Target="../media/image1388.png"/><Relationship Id="rId1595" Type="http://schemas.openxmlformats.org/officeDocument/2006/relationships/image" Target="../media/image1595.png"/><Relationship Id="rId1609" Type="http://schemas.openxmlformats.org/officeDocument/2006/relationships/image" Target="../media/image1609.png"/><Relationship Id="rId10" Type="http://schemas.openxmlformats.org/officeDocument/2006/relationships/image" Target="../media/image10.png"/><Relationship Id="rId94" Type="http://schemas.openxmlformats.org/officeDocument/2006/relationships/image" Target="../media/image94.png"/><Relationship Id="rId397" Type="http://schemas.openxmlformats.org/officeDocument/2006/relationships/image" Target="../media/image397.png"/><Relationship Id="rId520" Type="http://schemas.openxmlformats.org/officeDocument/2006/relationships/image" Target="../media/image520.png"/><Relationship Id="rId618" Type="http://schemas.openxmlformats.org/officeDocument/2006/relationships/image" Target="../media/image618.png"/><Relationship Id="rId825" Type="http://schemas.openxmlformats.org/officeDocument/2006/relationships/image" Target="../media/image825.png"/><Relationship Id="rId1248" Type="http://schemas.openxmlformats.org/officeDocument/2006/relationships/image" Target="../media/image1248.png"/><Relationship Id="rId1455" Type="http://schemas.openxmlformats.org/officeDocument/2006/relationships/image" Target="../media/image1455.png"/><Relationship Id="rId1662" Type="http://schemas.openxmlformats.org/officeDocument/2006/relationships/image" Target="../media/image1662.png"/><Relationship Id="rId257" Type="http://schemas.openxmlformats.org/officeDocument/2006/relationships/image" Target="../media/image257.png"/><Relationship Id="rId464" Type="http://schemas.openxmlformats.org/officeDocument/2006/relationships/image" Target="../media/image464.png"/><Relationship Id="rId1010" Type="http://schemas.openxmlformats.org/officeDocument/2006/relationships/image" Target="../media/image1010.png"/><Relationship Id="rId1094" Type="http://schemas.openxmlformats.org/officeDocument/2006/relationships/image" Target="../media/image1094.png"/><Relationship Id="rId1108" Type="http://schemas.openxmlformats.org/officeDocument/2006/relationships/image" Target="../media/image1108.png"/><Relationship Id="rId1315" Type="http://schemas.openxmlformats.org/officeDocument/2006/relationships/image" Target="../media/image1315.png"/><Relationship Id="rId117" Type="http://schemas.openxmlformats.org/officeDocument/2006/relationships/image" Target="../media/image117.png"/><Relationship Id="rId671" Type="http://schemas.openxmlformats.org/officeDocument/2006/relationships/image" Target="../media/image671.png"/><Relationship Id="rId769" Type="http://schemas.openxmlformats.org/officeDocument/2006/relationships/image" Target="../media/image769.png"/><Relationship Id="rId976" Type="http://schemas.openxmlformats.org/officeDocument/2006/relationships/image" Target="../media/image976.png"/><Relationship Id="rId1399" Type="http://schemas.openxmlformats.org/officeDocument/2006/relationships/image" Target="../media/image1399.png"/><Relationship Id="rId324" Type="http://schemas.openxmlformats.org/officeDocument/2006/relationships/image" Target="../media/image324.png"/><Relationship Id="rId531" Type="http://schemas.openxmlformats.org/officeDocument/2006/relationships/image" Target="../media/image531.png"/><Relationship Id="rId629" Type="http://schemas.openxmlformats.org/officeDocument/2006/relationships/image" Target="../media/image629.png"/><Relationship Id="rId1161" Type="http://schemas.openxmlformats.org/officeDocument/2006/relationships/image" Target="../media/image1161.png"/><Relationship Id="rId1259" Type="http://schemas.openxmlformats.org/officeDocument/2006/relationships/image" Target="../media/image1259.png"/><Relationship Id="rId1466" Type="http://schemas.openxmlformats.org/officeDocument/2006/relationships/image" Target="../media/image1466.png"/><Relationship Id="rId836" Type="http://schemas.openxmlformats.org/officeDocument/2006/relationships/image" Target="../media/image836.png"/><Relationship Id="rId1021" Type="http://schemas.openxmlformats.org/officeDocument/2006/relationships/image" Target="../media/image1021.png"/><Relationship Id="rId1119" Type="http://schemas.openxmlformats.org/officeDocument/2006/relationships/image" Target="../media/image1119.png"/><Relationship Id="rId1673" Type="http://schemas.openxmlformats.org/officeDocument/2006/relationships/image" Target="../media/image1673.png"/><Relationship Id="rId903" Type="http://schemas.openxmlformats.org/officeDocument/2006/relationships/image" Target="../media/image903.png"/><Relationship Id="rId1326" Type="http://schemas.openxmlformats.org/officeDocument/2006/relationships/image" Target="../media/image1326.png"/><Relationship Id="rId1533" Type="http://schemas.openxmlformats.org/officeDocument/2006/relationships/image" Target="../media/image1533.png"/><Relationship Id="rId32" Type="http://schemas.openxmlformats.org/officeDocument/2006/relationships/image" Target="../media/image32.png"/><Relationship Id="rId1600" Type="http://schemas.openxmlformats.org/officeDocument/2006/relationships/image" Target="../media/image1600.png"/><Relationship Id="rId181" Type="http://schemas.openxmlformats.org/officeDocument/2006/relationships/image" Target="../media/image181.png"/><Relationship Id="rId279" Type="http://schemas.openxmlformats.org/officeDocument/2006/relationships/image" Target="../media/image279.png"/><Relationship Id="rId486" Type="http://schemas.openxmlformats.org/officeDocument/2006/relationships/image" Target="../media/image486.png"/><Relationship Id="rId693" Type="http://schemas.openxmlformats.org/officeDocument/2006/relationships/image" Target="../media/image693.png"/><Relationship Id="rId139" Type="http://schemas.openxmlformats.org/officeDocument/2006/relationships/image" Target="../media/image139.png"/><Relationship Id="rId346" Type="http://schemas.openxmlformats.org/officeDocument/2006/relationships/image" Target="../media/image346.png"/><Relationship Id="rId553" Type="http://schemas.openxmlformats.org/officeDocument/2006/relationships/image" Target="../media/image553.png"/><Relationship Id="rId760" Type="http://schemas.openxmlformats.org/officeDocument/2006/relationships/image" Target="../media/image760.png"/><Relationship Id="rId998" Type="http://schemas.openxmlformats.org/officeDocument/2006/relationships/image" Target="../media/image998.png"/><Relationship Id="rId1183" Type="http://schemas.openxmlformats.org/officeDocument/2006/relationships/image" Target="../media/image1183.png"/><Relationship Id="rId1390" Type="http://schemas.openxmlformats.org/officeDocument/2006/relationships/image" Target="../media/image1390.png"/><Relationship Id="rId206" Type="http://schemas.openxmlformats.org/officeDocument/2006/relationships/image" Target="../media/image206.png"/><Relationship Id="rId413" Type="http://schemas.openxmlformats.org/officeDocument/2006/relationships/image" Target="../media/image413.png"/><Relationship Id="rId858" Type="http://schemas.openxmlformats.org/officeDocument/2006/relationships/image" Target="../media/image858.png"/><Relationship Id="rId1043" Type="http://schemas.openxmlformats.org/officeDocument/2006/relationships/image" Target="../media/image1043.png"/><Relationship Id="rId1488" Type="http://schemas.openxmlformats.org/officeDocument/2006/relationships/image" Target="../media/image1488.png"/><Relationship Id="rId1695" Type="http://schemas.openxmlformats.org/officeDocument/2006/relationships/image" Target="../media/image1695.png"/><Relationship Id="rId620" Type="http://schemas.openxmlformats.org/officeDocument/2006/relationships/image" Target="../media/image620.png"/><Relationship Id="rId718" Type="http://schemas.openxmlformats.org/officeDocument/2006/relationships/image" Target="../media/image718.png"/><Relationship Id="rId925" Type="http://schemas.openxmlformats.org/officeDocument/2006/relationships/image" Target="../media/image925.png"/><Relationship Id="rId1250" Type="http://schemas.openxmlformats.org/officeDocument/2006/relationships/image" Target="../media/image1250.png"/><Relationship Id="rId1348" Type="http://schemas.openxmlformats.org/officeDocument/2006/relationships/image" Target="../media/image1348.png"/><Relationship Id="rId1555" Type="http://schemas.openxmlformats.org/officeDocument/2006/relationships/image" Target="../media/image1555.png"/><Relationship Id="rId1110" Type="http://schemas.openxmlformats.org/officeDocument/2006/relationships/image" Target="../media/image1110.png"/><Relationship Id="rId1208" Type="http://schemas.openxmlformats.org/officeDocument/2006/relationships/image" Target="../media/image1208.png"/><Relationship Id="rId1415" Type="http://schemas.openxmlformats.org/officeDocument/2006/relationships/image" Target="../media/image1415.png"/><Relationship Id="rId54" Type="http://schemas.openxmlformats.org/officeDocument/2006/relationships/image" Target="../media/image54.png"/><Relationship Id="rId1622" Type="http://schemas.openxmlformats.org/officeDocument/2006/relationships/image" Target="../media/image1622.png"/><Relationship Id="rId270" Type="http://schemas.openxmlformats.org/officeDocument/2006/relationships/image" Target="../media/image270.png"/><Relationship Id="rId130" Type="http://schemas.openxmlformats.org/officeDocument/2006/relationships/image" Target="../media/image130.png"/><Relationship Id="rId368" Type="http://schemas.openxmlformats.org/officeDocument/2006/relationships/image" Target="../media/image368.png"/><Relationship Id="rId575" Type="http://schemas.openxmlformats.org/officeDocument/2006/relationships/image" Target="../media/image575.png"/><Relationship Id="rId782" Type="http://schemas.openxmlformats.org/officeDocument/2006/relationships/image" Target="../media/image782.png"/><Relationship Id="rId228" Type="http://schemas.openxmlformats.org/officeDocument/2006/relationships/image" Target="../media/image228.png"/><Relationship Id="rId435" Type="http://schemas.openxmlformats.org/officeDocument/2006/relationships/image" Target="../media/image435.png"/><Relationship Id="rId642" Type="http://schemas.openxmlformats.org/officeDocument/2006/relationships/image" Target="../media/image642.png"/><Relationship Id="rId1065" Type="http://schemas.openxmlformats.org/officeDocument/2006/relationships/image" Target="../media/image1065.png"/><Relationship Id="rId1272" Type="http://schemas.openxmlformats.org/officeDocument/2006/relationships/image" Target="../media/image1272.png"/><Relationship Id="rId502" Type="http://schemas.openxmlformats.org/officeDocument/2006/relationships/image" Target="../media/image502.png"/><Relationship Id="rId947" Type="http://schemas.openxmlformats.org/officeDocument/2006/relationships/image" Target="../media/image947.png"/><Relationship Id="rId1132" Type="http://schemas.openxmlformats.org/officeDocument/2006/relationships/image" Target="../media/image1132.png"/><Relationship Id="rId1577" Type="http://schemas.openxmlformats.org/officeDocument/2006/relationships/image" Target="../media/image1577.png"/><Relationship Id="rId76" Type="http://schemas.openxmlformats.org/officeDocument/2006/relationships/image" Target="../media/image76.png"/><Relationship Id="rId807" Type="http://schemas.openxmlformats.org/officeDocument/2006/relationships/image" Target="../media/image807.png"/><Relationship Id="rId1437" Type="http://schemas.openxmlformats.org/officeDocument/2006/relationships/image" Target="../media/image1437.png"/><Relationship Id="rId1644" Type="http://schemas.openxmlformats.org/officeDocument/2006/relationships/image" Target="../media/image1644.png"/><Relationship Id="rId1504" Type="http://schemas.openxmlformats.org/officeDocument/2006/relationships/image" Target="../media/image1504.png"/><Relationship Id="rId1711" Type="http://schemas.openxmlformats.org/officeDocument/2006/relationships/image" Target="../media/image1711.png"/><Relationship Id="rId292" Type="http://schemas.openxmlformats.org/officeDocument/2006/relationships/image" Target="../media/image292.png"/><Relationship Id="rId597" Type="http://schemas.openxmlformats.org/officeDocument/2006/relationships/image" Target="../media/image597.png"/><Relationship Id="rId152" Type="http://schemas.openxmlformats.org/officeDocument/2006/relationships/image" Target="../media/image152.png"/><Relationship Id="rId457" Type="http://schemas.openxmlformats.org/officeDocument/2006/relationships/image" Target="../media/image457.png"/><Relationship Id="rId1087" Type="http://schemas.openxmlformats.org/officeDocument/2006/relationships/image" Target="../media/image1087.png"/><Relationship Id="rId1294" Type="http://schemas.openxmlformats.org/officeDocument/2006/relationships/image" Target="../media/image1294.png"/><Relationship Id="rId664" Type="http://schemas.openxmlformats.org/officeDocument/2006/relationships/image" Target="../media/image664.png"/><Relationship Id="rId871" Type="http://schemas.openxmlformats.org/officeDocument/2006/relationships/image" Target="../media/image871.png"/><Relationship Id="rId969" Type="http://schemas.openxmlformats.org/officeDocument/2006/relationships/image" Target="../media/image969.png"/><Relationship Id="rId1599" Type="http://schemas.openxmlformats.org/officeDocument/2006/relationships/image" Target="../media/image1599.png"/><Relationship Id="rId317" Type="http://schemas.openxmlformats.org/officeDocument/2006/relationships/image" Target="../media/image317.png"/><Relationship Id="rId524" Type="http://schemas.openxmlformats.org/officeDocument/2006/relationships/image" Target="../media/image524.png"/><Relationship Id="rId731" Type="http://schemas.openxmlformats.org/officeDocument/2006/relationships/image" Target="../media/image731.png"/><Relationship Id="rId1154" Type="http://schemas.openxmlformats.org/officeDocument/2006/relationships/image" Target="../media/image1154.png"/><Relationship Id="rId1361" Type="http://schemas.openxmlformats.org/officeDocument/2006/relationships/image" Target="../media/image1361.png"/><Relationship Id="rId1459" Type="http://schemas.openxmlformats.org/officeDocument/2006/relationships/image" Target="../media/image1459.png"/><Relationship Id="rId98" Type="http://schemas.openxmlformats.org/officeDocument/2006/relationships/image" Target="../media/image98.png"/><Relationship Id="rId829" Type="http://schemas.openxmlformats.org/officeDocument/2006/relationships/image" Target="../media/image829.png"/><Relationship Id="rId1014" Type="http://schemas.openxmlformats.org/officeDocument/2006/relationships/image" Target="../media/image1014.png"/><Relationship Id="rId1221" Type="http://schemas.openxmlformats.org/officeDocument/2006/relationships/image" Target="../media/image1221.png"/><Relationship Id="rId1666" Type="http://schemas.openxmlformats.org/officeDocument/2006/relationships/image" Target="../media/image1666.png"/><Relationship Id="rId1319" Type="http://schemas.openxmlformats.org/officeDocument/2006/relationships/image" Target="../media/image1319.png"/><Relationship Id="rId1526" Type="http://schemas.openxmlformats.org/officeDocument/2006/relationships/image" Target="../media/image1526.png"/><Relationship Id="rId25" Type="http://schemas.openxmlformats.org/officeDocument/2006/relationships/image" Target="../media/image25.png"/><Relationship Id="rId174" Type="http://schemas.openxmlformats.org/officeDocument/2006/relationships/image" Target="../media/image174.png"/><Relationship Id="rId381" Type="http://schemas.openxmlformats.org/officeDocument/2006/relationships/image" Target="../media/image381.png"/><Relationship Id="rId241" Type="http://schemas.openxmlformats.org/officeDocument/2006/relationships/image" Target="../media/image241.png"/><Relationship Id="rId479" Type="http://schemas.openxmlformats.org/officeDocument/2006/relationships/image" Target="../media/image479.png"/><Relationship Id="rId686" Type="http://schemas.openxmlformats.org/officeDocument/2006/relationships/image" Target="../media/image686.png"/><Relationship Id="rId893" Type="http://schemas.openxmlformats.org/officeDocument/2006/relationships/image" Target="../media/image893.png"/><Relationship Id="rId339" Type="http://schemas.openxmlformats.org/officeDocument/2006/relationships/image" Target="../media/image339.png"/><Relationship Id="rId546" Type="http://schemas.openxmlformats.org/officeDocument/2006/relationships/image" Target="../media/image546.png"/><Relationship Id="rId753" Type="http://schemas.openxmlformats.org/officeDocument/2006/relationships/image" Target="../media/image753.png"/><Relationship Id="rId1176" Type="http://schemas.openxmlformats.org/officeDocument/2006/relationships/image" Target="../media/image1176.png"/><Relationship Id="rId1383" Type="http://schemas.openxmlformats.org/officeDocument/2006/relationships/image" Target="../media/image1383.png"/><Relationship Id="rId101" Type="http://schemas.openxmlformats.org/officeDocument/2006/relationships/image" Target="../media/image101.png"/><Relationship Id="rId406" Type="http://schemas.openxmlformats.org/officeDocument/2006/relationships/image" Target="../media/image406.png"/><Relationship Id="rId960" Type="http://schemas.openxmlformats.org/officeDocument/2006/relationships/image" Target="../media/image960.png"/><Relationship Id="rId1036" Type="http://schemas.openxmlformats.org/officeDocument/2006/relationships/image" Target="../media/image1036.png"/><Relationship Id="rId1243" Type="http://schemas.openxmlformats.org/officeDocument/2006/relationships/image" Target="../media/image1243.png"/><Relationship Id="rId1590" Type="http://schemas.openxmlformats.org/officeDocument/2006/relationships/image" Target="../media/image1590.png"/><Relationship Id="rId1688" Type="http://schemas.openxmlformats.org/officeDocument/2006/relationships/image" Target="../media/image1688.png"/><Relationship Id="rId613" Type="http://schemas.openxmlformats.org/officeDocument/2006/relationships/image" Target="../media/image613.png"/><Relationship Id="rId820" Type="http://schemas.openxmlformats.org/officeDocument/2006/relationships/image" Target="../media/image820.png"/><Relationship Id="rId918" Type="http://schemas.openxmlformats.org/officeDocument/2006/relationships/image" Target="../media/image918.png"/><Relationship Id="rId1450" Type="http://schemas.openxmlformats.org/officeDocument/2006/relationships/image" Target="../media/image1450.png"/><Relationship Id="rId1548" Type="http://schemas.openxmlformats.org/officeDocument/2006/relationships/image" Target="../media/image1548.png"/><Relationship Id="rId1103" Type="http://schemas.openxmlformats.org/officeDocument/2006/relationships/image" Target="../media/image1103.png"/><Relationship Id="rId1310" Type="http://schemas.openxmlformats.org/officeDocument/2006/relationships/image" Target="../media/image1310.png"/><Relationship Id="rId1408" Type="http://schemas.openxmlformats.org/officeDocument/2006/relationships/image" Target="../media/image1408.png"/><Relationship Id="rId47" Type="http://schemas.openxmlformats.org/officeDocument/2006/relationships/image" Target="../media/image47.png"/><Relationship Id="rId1615" Type="http://schemas.openxmlformats.org/officeDocument/2006/relationships/image" Target="../media/image1615.png"/><Relationship Id="rId196" Type="http://schemas.openxmlformats.org/officeDocument/2006/relationships/image" Target="../media/image196.png"/><Relationship Id="rId263" Type="http://schemas.openxmlformats.org/officeDocument/2006/relationships/image" Target="../media/image263.png"/><Relationship Id="rId470" Type="http://schemas.openxmlformats.org/officeDocument/2006/relationships/image" Target="../media/image470.png"/><Relationship Id="rId123" Type="http://schemas.openxmlformats.org/officeDocument/2006/relationships/image" Target="../media/image123.png"/><Relationship Id="rId330" Type="http://schemas.openxmlformats.org/officeDocument/2006/relationships/image" Target="../media/image330.png"/><Relationship Id="rId568" Type="http://schemas.openxmlformats.org/officeDocument/2006/relationships/image" Target="../media/image568.png"/><Relationship Id="rId775" Type="http://schemas.openxmlformats.org/officeDocument/2006/relationships/image" Target="../media/image775.png"/><Relationship Id="rId982" Type="http://schemas.openxmlformats.org/officeDocument/2006/relationships/image" Target="../media/image982.png"/><Relationship Id="rId1198" Type="http://schemas.openxmlformats.org/officeDocument/2006/relationships/image" Target="../media/image1198.png"/><Relationship Id="rId428" Type="http://schemas.openxmlformats.org/officeDocument/2006/relationships/image" Target="../media/image428.png"/><Relationship Id="rId635" Type="http://schemas.openxmlformats.org/officeDocument/2006/relationships/image" Target="../media/image635.png"/><Relationship Id="rId842" Type="http://schemas.openxmlformats.org/officeDocument/2006/relationships/image" Target="../media/image842.png"/><Relationship Id="rId1058" Type="http://schemas.openxmlformats.org/officeDocument/2006/relationships/image" Target="../media/image1058.png"/><Relationship Id="rId1265" Type="http://schemas.openxmlformats.org/officeDocument/2006/relationships/image" Target="../media/image1265.png"/><Relationship Id="rId1472" Type="http://schemas.openxmlformats.org/officeDocument/2006/relationships/image" Target="../media/image1472.png"/><Relationship Id="rId702" Type="http://schemas.openxmlformats.org/officeDocument/2006/relationships/image" Target="../media/image702.png"/><Relationship Id="rId1125" Type="http://schemas.openxmlformats.org/officeDocument/2006/relationships/image" Target="../media/image1125.png"/><Relationship Id="rId1332" Type="http://schemas.openxmlformats.org/officeDocument/2006/relationships/image" Target="../media/image1332.png"/><Relationship Id="rId69" Type="http://schemas.openxmlformats.org/officeDocument/2006/relationships/image" Target="../media/image69.png"/><Relationship Id="rId1637" Type="http://schemas.openxmlformats.org/officeDocument/2006/relationships/image" Target="../media/image1637.png"/><Relationship Id="rId1704" Type="http://schemas.openxmlformats.org/officeDocument/2006/relationships/image" Target="../media/image1704.png"/><Relationship Id="rId285" Type="http://schemas.openxmlformats.org/officeDocument/2006/relationships/image" Target="../media/image285.png"/><Relationship Id="rId492" Type="http://schemas.openxmlformats.org/officeDocument/2006/relationships/image" Target="../media/image492.png"/><Relationship Id="rId797" Type="http://schemas.openxmlformats.org/officeDocument/2006/relationships/image" Target="../media/image797.png"/><Relationship Id="rId145" Type="http://schemas.openxmlformats.org/officeDocument/2006/relationships/image" Target="../media/image145.png"/><Relationship Id="rId352" Type="http://schemas.openxmlformats.org/officeDocument/2006/relationships/image" Target="../media/image352.png"/><Relationship Id="rId1287" Type="http://schemas.openxmlformats.org/officeDocument/2006/relationships/image" Target="../media/image1287.png"/><Relationship Id="rId212" Type="http://schemas.openxmlformats.org/officeDocument/2006/relationships/image" Target="../media/image212.png"/><Relationship Id="rId657" Type="http://schemas.openxmlformats.org/officeDocument/2006/relationships/image" Target="../media/image657.png"/><Relationship Id="rId864" Type="http://schemas.openxmlformats.org/officeDocument/2006/relationships/image" Target="../media/image864.png"/><Relationship Id="rId1494" Type="http://schemas.openxmlformats.org/officeDocument/2006/relationships/image" Target="../media/image1494.png"/><Relationship Id="rId517" Type="http://schemas.openxmlformats.org/officeDocument/2006/relationships/image" Target="../media/image517.png"/><Relationship Id="rId724" Type="http://schemas.openxmlformats.org/officeDocument/2006/relationships/image" Target="../media/image724.png"/><Relationship Id="rId931" Type="http://schemas.openxmlformats.org/officeDocument/2006/relationships/image" Target="../media/image931.png"/><Relationship Id="rId1147" Type="http://schemas.openxmlformats.org/officeDocument/2006/relationships/image" Target="../media/image1147.png"/><Relationship Id="rId1354" Type="http://schemas.openxmlformats.org/officeDocument/2006/relationships/image" Target="../media/image1354.png"/><Relationship Id="rId1561" Type="http://schemas.openxmlformats.org/officeDocument/2006/relationships/image" Target="../media/image1561.png"/><Relationship Id="rId60" Type="http://schemas.openxmlformats.org/officeDocument/2006/relationships/image" Target="../media/image60.png"/><Relationship Id="rId1007" Type="http://schemas.openxmlformats.org/officeDocument/2006/relationships/image" Target="../media/image1007.png"/><Relationship Id="rId1214" Type="http://schemas.openxmlformats.org/officeDocument/2006/relationships/image" Target="../media/image1214.png"/><Relationship Id="rId1421" Type="http://schemas.openxmlformats.org/officeDocument/2006/relationships/image" Target="../media/image1421.png"/><Relationship Id="rId1659" Type="http://schemas.openxmlformats.org/officeDocument/2006/relationships/image" Target="../media/image1659.png"/><Relationship Id="rId1519" Type="http://schemas.openxmlformats.org/officeDocument/2006/relationships/image" Target="../media/image1519.png"/><Relationship Id="rId18" Type="http://schemas.openxmlformats.org/officeDocument/2006/relationships/image" Target="../media/image18.png"/><Relationship Id="rId167" Type="http://schemas.openxmlformats.org/officeDocument/2006/relationships/image" Target="../media/image167.png"/><Relationship Id="rId374" Type="http://schemas.openxmlformats.org/officeDocument/2006/relationships/image" Target="../media/image374.png"/><Relationship Id="rId581" Type="http://schemas.openxmlformats.org/officeDocument/2006/relationships/image" Target="../media/image581.png"/><Relationship Id="rId234" Type="http://schemas.openxmlformats.org/officeDocument/2006/relationships/image" Target="../media/image234.png"/><Relationship Id="rId679" Type="http://schemas.openxmlformats.org/officeDocument/2006/relationships/image" Target="../media/image679.png"/><Relationship Id="rId886" Type="http://schemas.openxmlformats.org/officeDocument/2006/relationships/image" Target="../media/image886.png"/><Relationship Id="rId2" Type="http://schemas.openxmlformats.org/officeDocument/2006/relationships/image" Target="../media/image2.png"/><Relationship Id="rId441" Type="http://schemas.openxmlformats.org/officeDocument/2006/relationships/image" Target="../media/image441.png"/><Relationship Id="rId539" Type="http://schemas.openxmlformats.org/officeDocument/2006/relationships/image" Target="../media/image539.png"/><Relationship Id="rId746" Type="http://schemas.openxmlformats.org/officeDocument/2006/relationships/image" Target="../media/image746.png"/><Relationship Id="rId1071" Type="http://schemas.openxmlformats.org/officeDocument/2006/relationships/image" Target="../media/image1071.png"/><Relationship Id="rId1169" Type="http://schemas.openxmlformats.org/officeDocument/2006/relationships/image" Target="../media/image1169.png"/><Relationship Id="rId1376" Type="http://schemas.openxmlformats.org/officeDocument/2006/relationships/image" Target="../media/image1376.png"/><Relationship Id="rId1583" Type="http://schemas.openxmlformats.org/officeDocument/2006/relationships/image" Target="../media/image1583.png"/><Relationship Id="rId301" Type="http://schemas.openxmlformats.org/officeDocument/2006/relationships/image" Target="../media/image301.png"/><Relationship Id="rId953" Type="http://schemas.openxmlformats.org/officeDocument/2006/relationships/image" Target="../media/image953.png"/><Relationship Id="rId1029" Type="http://schemas.openxmlformats.org/officeDocument/2006/relationships/image" Target="../media/image1029.png"/><Relationship Id="rId1236" Type="http://schemas.openxmlformats.org/officeDocument/2006/relationships/image" Target="../media/image1236.png"/><Relationship Id="rId82" Type="http://schemas.openxmlformats.org/officeDocument/2006/relationships/image" Target="../media/image82.png"/><Relationship Id="rId606" Type="http://schemas.openxmlformats.org/officeDocument/2006/relationships/image" Target="../media/image606.png"/><Relationship Id="rId813" Type="http://schemas.openxmlformats.org/officeDocument/2006/relationships/image" Target="../media/image813.png"/><Relationship Id="rId1443" Type="http://schemas.openxmlformats.org/officeDocument/2006/relationships/image" Target="../media/image1443.png"/><Relationship Id="rId1650" Type="http://schemas.openxmlformats.org/officeDocument/2006/relationships/image" Target="../media/image1650.png"/><Relationship Id="rId1303" Type="http://schemas.openxmlformats.org/officeDocument/2006/relationships/image" Target="../media/image1303.png"/><Relationship Id="rId1510" Type="http://schemas.openxmlformats.org/officeDocument/2006/relationships/image" Target="../media/image1510.png"/><Relationship Id="rId1608" Type="http://schemas.openxmlformats.org/officeDocument/2006/relationships/image" Target="../media/image1608.png"/><Relationship Id="rId189" Type="http://schemas.openxmlformats.org/officeDocument/2006/relationships/image" Target="../media/image189.png"/><Relationship Id="rId396" Type="http://schemas.openxmlformats.org/officeDocument/2006/relationships/image" Target="../media/image396.png"/><Relationship Id="rId256" Type="http://schemas.openxmlformats.org/officeDocument/2006/relationships/image" Target="../media/image256.png"/><Relationship Id="rId463" Type="http://schemas.openxmlformats.org/officeDocument/2006/relationships/image" Target="../media/image463.png"/><Relationship Id="rId670" Type="http://schemas.openxmlformats.org/officeDocument/2006/relationships/image" Target="../media/image670.png"/><Relationship Id="rId1093" Type="http://schemas.openxmlformats.org/officeDocument/2006/relationships/image" Target="../media/image1093.png"/><Relationship Id="rId116" Type="http://schemas.openxmlformats.org/officeDocument/2006/relationships/image" Target="../media/image116.png"/><Relationship Id="rId323" Type="http://schemas.openxmlformats.org/officeDocument/2006/relationships/image" Target="../media/image323.png"/><Relationship Id="rId530" Type="http://schemas.openxmlformats.org/officeDocument/2006/relationships/image" Target="../media/image530.png"/><Relationship Id="rId768" Type="http://schemas.openxmlformats.org/officeDocument/2006/relationships/image" Target="../media/image768.png"/><Relationship Id="rId975" Type="http://schemas.openxmlformats.org/officeDocument/2006/relationships/image" Target="../media/image975.png"/><Relationship Id="rId1160" Type="http://schemas.openxmlformats.org/officeDocument/2006/relationships/image" Target="../media/image1160.png"/><Relationship Id="rId1398" Type="http://schemas.openxmlformats.org/officeDocument/2006/relationships/image" Target="../media/image1398.png"/><Relationship Id="rId628" Type="http://schemas.openxmlformats.org/officeDocument/2006/relationships/image" Target="../media/image628.png"/><Relationship Id="rId835" Type="http://schemas.openxmlformats.org/officeDocument/2006/relationships/image" Target="../media/image835.png"/><Relationship Id="rId1258" Type="http://schemas.openxmlformats.org/officeDocument/2006/relationships/image" Target="../media/image1258.png"/><Relationship Id="rId1465" Type="http://schemas.openxmlformats.org/officeDocument/2006/relationships/image" Target="../media/image1465.png"/><Relationship Id="rId1672" Type="http://schemas.openxmlformats.org/officeDocument/2006/relationships/image" Target="../media/image1672.png"/><Relationship Id="rId1020" Type="http://schemas.openxmlformats.org/officeDocument/2006/relationships/image" Target="../media/image1020.png"/><Relationship Id="rId1118" Type="http://schemas.openxmlformats.org/officeDocument/2006/relationships/image" Target="../media/image1118.png"/><Relationship Id="rId1325" Type="http://schemas.openxmlformats.org/officeDocument/2006/relationships/image" Target="../media/image1325.png"/><Relationship Id="rId1532" Type="http://schemas.openxmlformats.org/officeDocument/2006/relationships/image" Target="../media/image1532.png"/><Relationship Id="rId902" Type="http://schemas.openxmlformats.org/officeDocument/2006/relationships/image" Target="../media/image902.png"/><Relationship Id="rId31" Type="http://schemas.openxmlformats.org/officeDocument/2006/relationships/image" Target="../media/image31.png"/><Relationship Id="rId180" Type="http://schemas.openxmlformats.org/officeDocument/2006/relationships/image" Target="../media/image180.png"/><Relationship Id="rId278" Type="http://schemas.openxmlformats.org/officeDocument/2006/relationships/image" Target="../media/image278.png"/><Relationship Id="rId485" Type="http://schemas.openxmlformats.org/officeDocument/2006/relationships/image" Target="../media/image485.png"/><Relationship Id="rId692" Type="http://schemas.openxmlformats.org/officeDocument/2006/relationships/image" Target="../media/image692.png"/><Relationship Id="rId138" Type="http://schemas.openxmlformats.org/officeDocument/2006/relationships/image" Target="../media/image138.png"/><Relationship Id="rId345" Type="http://schemas.openxmlformats.org/officeDocument/2006/relationships/image" Target="../media/image345.png"/><Relationship Id="rId552" Type="http://schemas.openxmlformats.org/officeDocument/2006/relationships/image" Target="../media/image552.png"/><Relationship Id="rId997" Type="http://schemas.openxmlformats.org/officeDocument/2006/relationships/image" Target="../media/image997.png"/><Relationship Id="rId1182" Type="http://schemas.openxmlformats.org/officeDocument/2006/relationships/image" Target="../media/image1182.png"/><Relationship Id="rId205" Type="http://schemas.openxmlformats.org/officeDocument/2006/relationships/image" Target="../media/image205.png"/><Relationship Id="rId412" Type="http://schemas.openxmlformats.org/officeDocument/2006/relationships/image" Target="../media/image412.png"/><Relationship Id="rId857" Type="http://schemas.openxmlformats.org/officeDocument/2006/relationships/image" Target="../media/image857.png"/><Relationship Id="rId1042" Type="http://schemas.openxmlformats.org/officeDocument/2006/relationships/image" Target="../media/image1042.png"/><Relationship Id="rId1487" Type="http://schemas.openxmlformats.org/officeDocument/2006/relationships/image" Target="../media/image1487.png"/><Relationship Id="rId1694" Type="http://schemas.openxmlformats.org/officeDocument/2006/relationships/image" Target="../media/image1694.png"/><Relationship Id="rId717" Type="http://schemas.openxmlformats.org/officeDocument/2006/relationships/image" Target="../media/image717.png"/><Relationship Id="rId924" Type="http://schemas.openxmlformats.org/officeDocument/2006/relationships/image" Target="../media/image924.png"/><Relationship Id="rId1347" Type="http://schemas.openxmlformats.org/officeDocument/2006/relationships/image" Target="../media/image1347.png"/><Relationship Id="rId1554" Type="http://schemas.openxmlformats.org/officeDocument/2006/relationships/image" Target="../media/image1554.png"/><Relationship Id="rId53" Type="http://schemas.openxmlformats.org/officeDocument/2006/relationships/image" Target="../media/image53.png"/><Relationship Id="rId1207" Type="http://schemas.openxmlformats.org/officeDocument/2006/relationships/image" Target="../media/image1207.png"/><Relationship Id="rId1414" Type="http://schemas.openxmlformats.org/officeDocument/2006/relationships/image" Target="../media/image1414.png"/><Relationship Id="rId1621" Type="http://schemas.openxmlformats.org/officeDocument/2006/relationships/image" Target="../media/image1621.png"/><Relationship Id="rId1719" Type="http://schemas.openxmlformats.org/officeDocument/2006/relationships/image" Target="../media/image1719.png"/><Relationship Id="rId367" Type="http://schemas.openxmlformats.org/officeDocument/2006/relationships/image" Target="../media/image367.png"/><Relationship Id="rId574" Type="http://schemas.openxmlformats.org/officeDocument/2006/relationships/image" Target="../media/image574.png"/><Relationship Id="rId227" Type="http://schemas.openxmlformats.org/officeDocument/2006/relationships/image" Target="../media/image227.png"/><Relationship Id="rId781" Type="http://schemas.openxmlformats.org/officeDocument/2006/relationships/image" Target="../media/image781.png"/><Relationship Id="rId879" Type="http://schemas.openxmlformats.org/officeDocument/2006/relationships/image" Target="../media/image879.png"/><Relationship Id="rId434" Type="http://schemas.openxmlformats.org/officeDocument/2006/relationships/image" Target="../media/image434.png"/><Relationship Id="rId641" Type="http://schemas.openxmlformats.org/officeDocument/2006/relationships/image" Target="../media/image641.png"/><Relationship Id="rId739" Type="http://schemas.openxmlformats.org/officeDocument/2006/relationships/image" Target="../media/image739.png"/><Relationship Id="rId1064" Type="http://schemas.openxmlformats.org/officeDocument/2006/relationships/image" Target="../media/image1064.png"/><Relationship Id="rId1271" Type="http://schemas.openxmlformats.org/officeDocument/2006/relationships/image" Target="../media/image1271.png"/><Relationship Id="rId1369" Type="http://schemas.openxmlformats.org/officeDocument/2006/relationships/image" Target="../media/image1369.png"/><Relationship Id="rId1576" Type="http://schemas.openxmlformats.org/officeDocument/2006/relationships/image" Target="../media/image1576.png"/><Relationship Id="rId501" Type="http://schemas.openxmlformats.org/officeDocument/2006/relationships/image" Target="../media/image501.png"/><Relationship Id="rId946" Type="http://schemas.openxmlformats.org/officeDocument/2006/relationships/image" Target="../media/image946.png"/><Relationship Id="rId1131" Type="http://schemas.openxmlformats.org/officeDocument/2006/relationships/image" Target="../media/image1131.png"/><Relationship Id="rId1229" Type="http://schemas.openxmlformats.org/officeDocument/2006/relationships/image" Target="../media/image1229.png"/><Relationship Id="rId75" Type="http://schemas.openxmlformats.org/officeDocument/2006/relationships/image" Target="../media/image75.png"/><Relationship Id="rId806" Type="http://schemas.openxmlformats.org/officeDocument/2006/relationships/image" Target="../media/image806.png"/><Relationship Id="rId1436" Type="http://schemas.openxmlformats.org/officeDocument/2006/relationships/image" Target="../media/image1436.png"/><Relationship Id="rId1643" Type="http://schemas.openxmlformats.org/officeDocument/2006/relationships/image" Target="../media/image1643.png"/><Relationship Id="rId1503" Type="http://schemas.openxmlformats.org/officeDocument/2006/relationships/image" Target="../media/image1503.png"/><Relationship Id="rId1710" Type="http://schemas.openxmlformats.org/officeDocument/2006/relationships/image" Target="../media/image1710.png"/><Relationship Id="rId291" Type="http://schemas.openxmlformats.org/officeDocument/2006/relationships/image" Target="../media/image291.png"/><Relationship Id="rId151" Type="http://schemas.openxmlformats.org/officeDocument/2006/relationships/image" Target="../media/image151.png"/><Relationship Id="rId389" Type="http://schemas.openxmlformats.org/officeDocument/2006/relationships/image" Target="../media/image389.png"/><Relationship Id="rId596" Type="http://schemas.openxmlformats.org/officeDocument/2006/relationships/image" Target="../media/image596.png"/><Relationship Id="rId249" Type="http://schemas.openxmlformats.org/officeDocument/2006/relationships/image" Target="../media/image249.png"/><Relationship Id="rId456" Type="http://schemas.openxmlformats.org/officeDocument/2006/relationships/image" Target="../media/image456.png"/><Relationship Id="rId663" Type="http://schemas.openxmlformats.org/officeDocument/2006/relationships/image" Target="../media/image663.png"/><Relationship Id="rId870" Type="http://schemas.openxmlformats.org/officeDocument/2006/relationships/image" Target="../media/image870.png"/><Relationship Id="rId1086" Type="http://schemas.openxmlformats.org/officeDocument/2006/relationships/image" Target="../media/image1086.png"/><Relationship Id="rId1293" Type="http://schemas.openxmlformats.org/officeDocument/2006/relationships/image" Target="../media/image1293.png"/><Relationship Id="rId109" Type="http://schemas.openxmlformats.org/officeDocument/2006/relationships/image" Target="../media/image109.png"/><Relationship Id="rId316" Type="http://schemas.openxmlformats.org/officeDocument/2006/relationships/image" Target="../media/image316.png"/><Relationship Id="rId523" Type="http://schemas.openxmlformats.org/officeDocument/2006/relationships/image" Target="../media/image523.png"/><Relationship Id="rId968" Type="http://schemas.openxmlformats.org/officeDocument/2006/relationships/image" Target="../media/image968.png"/><Relationship Id="rId1153" Type="http://schemas.openxmlformats.org/officeDocument/2006/relationships/image" Target="../media/image1153.png"/><Relationship Id="rId1598" Type="http://schemas.openxmlformats.org/officeDocument/2006/relationships/image" Target="../media/image1598.png"/><Relationship Id="rId97" Type="http://schemas.openxmlformats.org/officeDocument/2006/relationships/image" Target="../media/image97.png"/><Relationship Id="rId730" Type="http://schemas.openxmlformats.org/officeDocument/2006/relationships/image" Target="../media/image730.png"/><Relationship Id="rId828" Type="http://schemas.openxmlformats.org/officeDocument/2006/relationships/image" Target="../media/image828.png"/><Relationship Id="rId1013" Type="http://schemas.openxmlformats.org/officeDocument/2006/relationships/image" Target="../media/image1013.png"/><Relationship Id="rId1360" Type="http://schemas.openxmlformats.org/officeDocument/2006/relationships/image" Target="../media/image1360.png"/><Relationship Id="rId1458" Type="http://schemas.openxmlformats.org/officeDocument/2006/relationships/image" Target="../media/image1458.png"/><Relationship Id="rId1665" Type="http://schemas.openxmlformats.org/officeDocument/2006/relationships/image" Target="../media/image1665.png"/><Relationship Id="rId1220" Type="http://schemas.openxmlformats.org/officeDocument/2006/relationships/image" Target="../media/image1220.png"/><Relationship Id="rId1318" Type="http://schemas.openxmlformats.org/officeDocument/2006/relationships/image" Target="../media/image1318.png"/><Relationship Id="rId1525" Type="http://schemas.openxmlformats.org/officeDocument/2006/relationships/image" Target="../media/image1525.png"/><Relationship Id="rId24" Type="http://schemas.openxmlformats.org/officeDocument/2006/relationships/image" Target="../media/image24.png"/><Relationship Id="rId173" Type="http://schemas.openxmlformats.org/officeDocument/2006/relationships/image" Target="../media/image173.png"/><Relationship Id="rId380" Type="http://schemas.openxmlformats.org/officeDocument/2006/relationships/image" Target="../media/image380.png"/><Relationship Id="rId240" Type="http://schemas.openxmlformats.org/officeDocument/2006/relationships/image" Target="../media/image240.png"/><Relationship Id="rId478" Type="http://schemas.openxmlformats.org/officeDocument/2006/relationships/image" Target="../media/image478.png"/><Relationship Id="rId685" Type="http://schemas.openxmlformats.org/officeDocument/2006/relationships/image" Target="../media/image685.png"/><Relationship Id="rId892" Type="http://schemas.openxmlformats.org/officeDocument/2006/relationships/image" Target="../media/image892.png"/><Relationship Id="rId100" Type="http://schemas.openxmlformats.org/officeDocument/2006/relationships/image" Target="../media/image100.png"/><Relationship Id="rId338" Type="http://schemas.openxmlformats.org/officeDocument/2006/relationships/image" Target="../media/image338.png"/><Relationship Id="rId545" Type="http://schemas.openxmlformats.org/officeDocument/2006/relationships/image" Target="../media/image545.png"/><Relationship Id="rId752" Type="http://schemas.openxmlformats.org/officeDocument/2006/relationships/image" Target="../media/image752.png"/><Relationship Id="rId1175" Type="http://schemas.openxmlformats.org/officeDocument/2006/relationships/image" Target="../media/image1175.png"/><Relationship Id="rId1382" Type="http://schemas.openxmlformats.org/officeDocument/2006/relationships/image" Target="../media/image1382.png"/><Relationship Id="rId405" Type="http://schemas.openxmlformats.org/officeDocument/2006/relationships/image" Target="../media/image405.png"/><Relationship Id="rId612" Type="http://schemas.openxmlformats.org/officeDocument/2006/relationships/image" Target="../media/image612.png"/><Relationship Id="rId1035" Type="http://schemas.openxmlformats.org/officeDocument/2006/relationships/image" Target="../media/image1035.png"/><Relationship Id="rId1242" Type="http://schemas.openxmlformats.org/officeDocument/2006/relationships/image" Target="../media/image1242.png"/><Relationship Id="rId1687" Type="http://schemas.openxmlformats.org/officeDocument/2006/relationships/image" Target="../media/image1687.png"/><Relationship Id="rId917" Type="http://schemas.openxmlformats.org/officeDocument/2006/relationships/image" Target="../media/image917.png"/><Relationship Id="rId1102" Type="http://schemas.openxmlformats.org/officeDocument/2006/relationships/image" Target="../media/image1102.png"/><Relationship Id="rId1547" Type="http://schemas.openxmlformats.org/officeDocument/2006/relationships/image" Target="../media/image1547.png"/><Relationship Id="rId46" Type="http://schemas.openxmlformats.org/officeDocument/2006/relationships/image" Target="../media/image46.png"/><Relationship Id="rId1407" Type="http://schemas.openxmlformats.org/officeDocument/2006/relationships/image" Target="../media/image1407.png"/><Relationship Id="rId1614" Type="http://schemas.openxmlformats.org/officeDocument/2006/relationships/image" Target="../media/image1614.png"/><Relationship Id="rId195" Type="http://schemas.openxmlformats.org/officeDocument/2006/relationships/image" Target="../media/image195.png"/><Relationship Id="rId262" Type="http://schemas.openxmlformats.org/officeDocument/2006/relationships/image" Target="../media/image262.png"/><Relationship Id="rId567" Type="http://schemas.openxmlformats.org/officeDocument/2006/relationships/image" Target="../media/image567.png"/><Relationship Id="rId1197" Type="http://schemas.openxmlformats.org/officeDocument/2006/relationships/image" Target="../media/image1197.png"/><Relationship Id="rId122" Type="http://schemas.openxmlformats.org/officeDocument/2006/relationships/image" Target="../media/image122.png"/><Relationship Id="rId774" Type="http://schemas.openxmlformats.org/officeDocument/2006/relationships/image" Target="../media/image774.png"/><Relationship Id="rId981" Type="http://schemas.openxmlformats.org/officeDocument/2006/relationships/image" Target="../media/image981.png"/><Relationship Id="rId1057" Type="http://schemas.openxmlformats.org/officeDocument/2006/relationships/image" Target="../media/image1057.png"/><Relationship Id="rId427" Type="http://schemas.openxmlformats.org/officeDocument/2006/relationships/image" Target="../media/image427.png"/><Relationship Id="rId634" Type="http://schemas.openxmlformats.org/officeDocument/2006/relationships/image" Target="../media/image634.png"/><Relationship Id="rId841" Type="http://schemas.openxmlformats.org/officeDocument/2006/relationships/image" Target="../media/image841.png"/><Relationship Id="rId1264" Type="http://schemas.openxmlformats.org/officeDocument/2006/relationships/image" Target="../media/image1264.png"/><Relationship Id="rId1471" Type="http://schemas.openxmlformats.org/officeDocument/2006/relationships/image" Target="../media/image1471.png"/><Relationship Id="rId1569" Type="http://schemas.openxmlformats.org/officeDocument/2006/relationships/image" Target="../media/image1569.png"/><Relationship Id="rId701" Type="http://schemas.openxmlformats.org/officeDocument/2006/relationships/image" Target="../media/image701.png"/><Relationship Id="rId939" Type="http://schemas.openxmlformats.org/officeDocument/2006/relationships/image" Target="../media/image939.png"/><Relationship Id="rId1124" Type="http://schemas.openxmlformats.org/officeDocument/2006/relationships/image" Target="../media/image1124.png"/><Relationship Id="rId1331" Type="http://schemas.openxmlformats.org/officeDocument/2006/relationships/image" Target="../media/image1331.png"/><Relationship Id="rId68" Type="http://schemas.openxmlformats.org/officeDocument/2006/relationships/image" Target="../media/image68.png"/><Relationship Id="rId1429" Type="http://schemas.openxmlformats.org/officeDocument/2006/relationships/image" Target="../media/image1429.png"/><Relationship Id="rId1636" Type="http://schemas.openxmlformats.org/officeDocument/2006/relationships/image" Target="../media/image1636.png"/><Relationship Id="rId1703" Type="http://schemas.openxmlformats.org/officeDocument/2006/relationships/image" Target="../media/image1703.png"/><Relationship Id="rId284" Type="http://schemas.openxmlformats.org/officeDocument/2006/relationships/image" Target="../media/image284.png"/><Relationship Id="rId491" Type="http://schemas.openxmlformats.org/officeDocument/2006/relationships/image" Target="../media/image491.png"/><Relationship Id="rId144" Type="http://schemas.openxmlformats.org/officeDocument/2006/relationships/image" Target="../media/image144.png"/><Relationship Id="rId589" Type="http://schemas.openxmlformats.org/officeDocument/2006/relationships/image" Target="../media/image589.png"/><Relationship Id="rId796" Type="http://schemas.openxmlformats.org/officeDocument/2006/relationships/image" Target="../media/image796.png"/><Relationship Id="rId351" Type="http://schemas.openxmlformats.org/officeDocument/2006/relationships/image" Target="../media/image351.png"/><Relationship Id="rId449" Type="http://schemas.openxmlformats.org/officeDocument/2006/relationships/image" Target="../media/image449.png"/><Relationship Id="rId656" Type="http://schemas.openxmlformats.org/officeDocument/2006/relationships/image" Target="../media/image656.png"/><Relationship Id="rId863" Type="http://schemas.openxmlformats.org/officeDocument/2006/relationships/image" Target="../media/image863.png"/><Relationship Id="rId1079" Type="http://schemas.openxmlformats.org/officeDocument/2006/relationships/image" Target="../media/image1079.png"/><Relationship Id="rId1286" Type="http://schemas.openxmlformats.org/officeDocument/2006/relationships/image" Target="../media/image1286.png"/><Relationship Id="rId1493" Type="http://schemas.openxmlformats.org/officeDocument/2006/relationships/image" Target="../media/image1493.png"/><Relationship Id="rId211" Type="http://schemas.openxmlformats.org/officeDocument/2006/relationships/image" Target="../media/image211.png"/><Relationship Id="rId309" Type="http://schemas.openxmlformats.org/officeDocument/2006/relationships/image" Target="../media/image309.png"/><Relationship Id="rId516" Type="http://schemas.openxmlformats.org/officeDocument/2006/relationships/image" Target="../media/image516.png"/><Relationship Id="rId1146" Type="http://schemas.openxmlformats.org/officeDocument/2006/relationships/image" Target="../media/image1146.png"/><Relationship Id="rId723" Type="http://schemas.openxmlformats.org/officeDocument/2006/relationships/image" Target="../media/image723.png"/><Relationship Id="rId930" Type="http://schemas.openxmlformats.org/officeDocument/2006/relationships/image" Target="../media/image930.png"/><Relationship Id="rId1006" Type="http://schemas.openxmlformats.org/officeDocument/2006/relationships/image" Target="../media/image1006.png"/><Relationship Id="rId1353" Type="http://schemas.openxmlformats.org/officeDocument/2006/relationships/image" Target="../media/image1353.png"/><Relationship Id="rId1560" Type="http://schemas.openxmlformats.org/officeDocument/2006/relationships/image" Target="../media/image1560.png"/><Relationship Id="rId1658" Type="http://schemas.openxmlformats.org/officeDocument/2006/relationships/image" Target="../media/image1658.png"/><Relationship Id="rId1213" Type="http://schemas.openxmlformats.org/officeDocument/2006/relationships/image" Target="../media/image1213.png"/><Relationship Id="rId1420" Type="http://schemas.openxmlformats.org/officeDocument/2006/relationships/image" Target="../media/image1420.png"/><Relationship Id="rId1518" Type="http://schemas.openxmlformats.org/officeDocument/2006/relationships/image" Target="../media/image1518.png"/><Relationship Id="rId17" Type="http://schemas.openxmlformats.org/officeDocument/2006/relationships/image" Target="../media/image17.png"/><Relationship Id="rId166" Type="http://schemas.openxmlformats.org/officeDocument/2006/relationships/image" Target="../media/image166.png"/><Relationship Id="rId373" Type="http://schemas.openxmlformats.org/officeDocument/2006/relationships/image" Target="../media/image373.png"/><Relationship Id="rId580" Type="http://schemas.openxmlformats.org/officeDocument/2006/relationships/image" Target="../media/image580.png"/><Relationship Id="rId1" Type="http://schemas.openxmlformats.org/officeDocument/2006/relationships/image" Target="../media/image1.png"/><Relationship Id="rId233" Type="http://schemas.openxmlformats.org/officeDocument/2006/relationships/image" Target="../media/image233.png"/><Relationship Id="rId440" Type="http://schemas.openxmlformats.org/officeDocument/2006/relationships/image" Target="../media/image440.png"/><Relationship Id="rId678" Type="http://schemas.openxmlformats.org/officeDocument/2006/relationships/image" Target="../media/image678.png"/><Relationship Id="rId885" Type="http://schemas.openxmlformats.org/officeDocument/2006/relationships/image" Target="../media/image885.png"/><Relationship Id="rId1070" Type="http://schemas.openxmlformats.org/officeDocument/2006/relationships/image" Target="../media/image1070.png"/><Relationship Id="rId300" Type="http://schemas.openxmlformats.org/officeDocument/2006/relationships/image" Target="../media/image300.png"/><Relationship Id="rId538" Type="http://schemas.openxmlformats.org/officeDocument/2006/relationships/image" Target="../media/image538.png"/><Relationship Id="rId745" Type="http://schemas.openxmlformats.org/officeDocument/2006/relationships/image" Target="../media/image745.png"/><Relationship Id="rId952" Type="http://schemas.openxmlformats.org/officeDocument/2006/relationships/image" Target="../media/image952.png"/><Relationship Id="rId1168" Type="http://schemas.openxmlformats.org/officeDocument/2006/relationships/image" Target="../media/image1168.png"/><Relationship Id="rId1375" Type="http://schemas.openxmlformats.org/officeDocument/2006/relationships/image" Target="../media/image1375.png"/><Relationship Id="rId1582" Type="http://schemas.openxmlformats.org/officeDocument/2006/relationships/image" Target="../media/image1582.png"/><Relationship Id="rId81" Type="http://schemas.openxmlformats.org/officeDocument/2006/relationships/image" Target="../media/image81.png"/><Relationship Id="rId605" Type="http://schemas.openxmlformats.org/officeDocument/2006/relationships/image" Target="../media/image605.png"/><Relationship Id="rId812" Type="http://schemas.openxmlformats.org/officeDocument/2006/relationships/image" Target="../media/image812.png"/><Relationship Id="rId1028" Type="http://schemas.openxmlformats.org/officeDocument/2006/relationships/image" Target="../media/image1028.png"/><Relationship Id="rId1235" Type="http://schemas.openxmlformats.org/officeDocument/2006/relationships/image" Target="../media/image1235.png"/><Relationship Id="rId1442" Type="http://schemas.openxmlformats.org/officeDocument/2006/relationships/image" Target="../media/image1442.png"/><Relationship Id="rId1302" Type="http://schemas.openxmlformats.org/officeDocument/2006/relationships/image" Target="../media/image1302.png"/><Relationship Id="rId39" Type="http://schemas.openxmlformats.org/officeDocument/2006/relationships/image" Target="../media/image39.png"/><Relationship Id="rId1607" Type="http://schemas.openxmlformats.org/officeDocument/2006/relationships/image" Target="../media/image1607.png"/><Relationship Id="rId188" Type="http://schemas.openxmlformats.org/officeDocument/2006/relationships/image" Target="../media/image188.png"/><Relationship Id="rId395" Type="http://schemas.openxmlformats.org/officeDocument/2006/relationships/image" Target="../media/image395.png"/><Relationship Id="rId255" Type="http://schemas.openxmlformats.org/officeDocument/2006/relationships/image" Target="../media/image255.png"/><Relationship Id="rId462" Type="http://schemas.openxmlformats.org/officeDocument/2006/relationships/image" Target="../media/image462.png"/><Relationship Id="rId1092" Type="http://schemas.openxmlformats.org/officeDocument/2006/relationships/image" Target="../media/image1092.png"/><Relationship Id="rId1397" Type="http://schemas.openxmlformats.org/officeDocument/2006/relationships/image" Target="../media/image1397.png"/><Relationship Id="rId115" Type="http://schemas.openxmlformats.org/officeDocument/2006/relationships/image" Target="../media/image115.png"/><Relationship Id="rId322" Type="http://schemas.openxmlformats.org/officeDocument/2006/relationships/image" Target="../media/image322.png"/><Relationship Id="rId767" Type="http://schemas.openxmlformats.org/officeDocument/2006/relationships/image" Target="../media/image767.png"/><Relationship Id="rId974" Type="http://schemas.openxmlformats.org/officeDocument/2006/relationships/image" Target="../media/image974.png"/><Relationship Id="rId627" Type="http://schemas.openxmlformats.org/officeDocument/2006/relationships/image" Target="../media/image627.png"/><Relationship Id="rId834" Type="http://schemas.openxmlformats.org/officeDocument/2006/relationships/image" Target="../media/image834.png"/><Relationship Id="rId1257" Type="http://schemas.openxmlformats.org/officeDocument/2006/relationships/image" Target="../media/image1257.png"/><Relationship Id="rId1464" Type="http://schemas.openxmlformats.org/officeDocument/2006/relationships/image" Target="../media/image1464.png"/><Relationship Id="rId1671" Type="http://schemas.openxmlformats.org/officeDocument/2006/relationships/image" Target="../media/image1671.png"/><Relationship Id="rId901" Type="http://schemas.openxmlformats.org/officeDocument/2006/relationships/image" Target="../media/image901.png"/><Relationship Id="rId1117" Type="http://schemas.openxmlformats.org/officeDocument/2006/relationships/image" Target="../media/image1117.png"/><Relationship Id="rId1324" Type="http://schemas.openxmlformats.org/officeDocument/2006/relationships/image" Target="../media/image1324.png"/><Relationship Id="rId1531" Type="http://schemas.openxmlformats.org/officeDocument/2006/relationships/image" Target="../media/image1531.png"/><Relationship Id="rId30" Type="http://schemas.openxmlformats.org/officeDocument/2006/relationships/image" Target="../media/image30.png"/><Relationship Id="rId1629" Type="http://schemas.openxmlformats.org/officeDocument/2006/relationships/image" Target="../media/image1629.png"/><Relationship Id="rId277" Type="http://schemas.openxmlformats.org/officeDocument/2006/relationships/image" Target="../media/image277.png"/><Relationship Id="rId484" Type="http://schemas.openxmlformats.org/officeDocument/2006/relationships/image" Target="../media/image484.png"/><Relationship Id="rId137" Type="http://schemas.openxmlformats.org/officeDocument/2006/relationships/image" Target="../media/image137.png"/><Relationship Id="rId344" Type="http://schemas.openxmlformats.org/officeDocument/2006/relationships/image" Target="../media/image344.png"/><Relationship Id="rId691" Type="http://schemas.openxmlformats.org/officeDocument/2006/relationships/image" Target="../media/image691.png"/><Relationship Id="rId789" Type="http://schemas.openxmlformats.org/officeDocument/2006/relationships/image" Target="../media/image789.png"/><Relationship Id="rId996" Type="http://schemas.openxmlformats.org/officeDocument/2006/relationships/image" Target="../media/image996.png"/><Relationship Id="rId551" Type="http://schemas.openxmlformats.org/officeDocument/2006/relationships/image" Target="../media/image551.png"/><Relationship Id="rId649" Type="http://schemas.openxmlformats.org/officeDocument/2006/relationships/image" Target="../media/image649.png"/><Relationship Id="rId856" Type="http://schemas.openxmlformats.org/officeDocument/2006/relationships/image" Target="../media/image856.png"/><Relationship Id="rId1181" Type="http://schemas.openxmlformats.org/officeDocument/2006/relationships/image" Target="../media/image1181.png"/><Relationship Id="rId1279" Type="http://schemas.openxmlformats.org/officeDocument/2006/relationships/image" Target="../media/image1279.png"/><Relationship Id="rId1486" Type="http://schemas.openxmlformats.org/officeDocument/2006/relationships/image" Target="../media/image1486.png"/><Relationship Id="rId204" Type="http://schemas.openxmlformats.org/officeDocument/2006/relationships/image" Target="../media/image204.png"/><Relationship Id="rId411" Type="http://schemas.openxmlformats.org/officeDocument/2006/relationships/image" Target="../media/image411.png"/><Relationship Id="rId509" Type="http://schemas.openxmlformats.org/officeDocument/2006/relationships/image" Target="../media/image509.png"/><Relationship Id="rId1041" Type="http://schemas.openxmlformats.org/officeDocument/2006/relationships/image" Target="../media/image1041.png"/><Relationship Id="rId1139" Type="http://schemas.openxmlformats.org/officeDocument/2006/relationships/image" Target="../media/image1139.png"/><Relationship Id="rId1346" Type="http://schemas.openxmlformats.org/officeDocument/2006/relationships/image" Target="../media/image1346.png"/><Relationship Id="rId1693" Type="http://schemas.openxmlformats.org/officeDocument/2006/relationships/image" Target="../media/image1693.png"/><Relationship Id="rId716" Type="http://schemas.openxmlformats.org/officeDocument/2006/relationships/image" Target="../media/image716.png"/><Relationship Id="rId923" Type="http://schemas.openxmlformats.org/officeDocument/2006/relationships/image" Target="../media/image923.png"/><Relationship Id="rId1553" Type="http://schemas.openxmlformats.org/officeDocument/2006/relationships/image" Target="../media/image1553.png"/><Relationship Id="rId52" Type="http://schemas.openxmlformats.org/officeDocument/2006/relationships/image" Target="../media/image52.png"/><Relationship Id="rId1206" Type="http://schemas.openxmlformats.org/officeDocument/2006/relationships/image" Target="../media/image1206.png"/><Relationship Id="rId1413" Type="http://schemas.openxmlformats.org/officeDocument/2006/relationships/image" Target="../media/image1413.png"/><Relationship Id="rId1620" Type="http://schemas.openxmlformats.org/officeDocument/2006/relationships/image" Target="../media/image1620.png"/><Relationship Id="rId1718" Type="http://schemas.openxmlformats.org/officeDocument/2006/relationships/image" Target="../media/image1718.png"/><Relationship Id="rId299" Type="http://schemas.openxmlformats.org/officeDocument/2006/relationships/image" Target="../media/image299.png"/><Relationship Id="rId159" Type="http://schemas.openxmlformats.org/officeDocument/2006/relationships/image" Target="../media/image159.png"/><Relationship Id="rId366" Type="http://schemas.openxmlformats.org/officeDocument/2006/relationships/image" Target="../media/image366.png"/><Relationship Id="rId573" Type="http://schemas.openxmlformats.org/officeDocument/2006/relationships/image" Target="../media/image573.png"/><Relationship Id="rId780" Type="http://schemas.openxmlformats.org/officeDocument/2006/relationships/image" Target="../media/image780.png"/><Relationship Id="rId226" Type="http://schemas.openxmlformats.org/officeDocument/2006/relationships/image" Target="../media/image226.png"/><Relationship Id="rId433" Type="http://schemas.openxmlformats.org/officeDocument/2006/relationships/image" Target="../media/image433.png"/><Relationship Id="rId878" Type="http://schemas.openxmlformats.org/officeDocument/2006/relationships/image" Target="../media/image878.png"/><Relationship Id="rId1063" Type="http://schemas.openxmlformats.org/officeDocument/2006/relationships/image" Target="../media/image1063.png"/><Relationship Id="rId1270" Type="http://schemas.openxmlformats.org/officeDocument/2006/relationships/image" Target="../media/image1270.png"/><Relationship Id="rId640" Type="http://schemas.openxmlformats.org/officeDocument/2006/relationships/image" Target="../media/image640.png"/><Relationship Id="rId738" Type="http://schemas.openxmlformats.org/officeDocument/2006/relationships/image" Target="../media/image738.png"/><Relationship Id="rId945" Type="http://schemas.openxmlformats.org/officeDocument/2006/relationships/image" Target="../media/image945.png"/><Relationship Id="rId1368" Type="http://schemas.openxmlformats.org/officeDocument/2006/relationships/image" Target="../media/image1368.png"/><Relationship Id="rId1575" Type="http://schemas.openxmlformats.org/officeDocument/2006/relationships/image" Target="../media/image1575.png"/><Relationship Id="rId74" Type="http://schemas.openxmlformats.org/officeDocument/2006/relationships/image" Target="../media/image74.png"/><Relationship Id="rId500" Type="http://schemas.openxmlformats.org/officeDocument/2006/relationships/image" Target="../media/image500.png"/><Relationship Id="rId805" Type="http://schemas.openxmlformats.org/officeDocument/2006/relationships/image" Target="../media/image805.png"/><Relationship Id="rId1130" Type="http://schemas.openxmlformats.org/officeDocument/2006/relationships/image" Target="../media/image1130.png"/><Relationship Id="rId1228" Type="http://schemas.openxmlformats.org/officeDocument/2006/relationships/image" Target="../media/image1228.png"/><Relationship Id="rId1435" Type="http://schemas.openxmlformats.org/officeDocument/2006/relationships/image" Target="../media/image1435.png"/><Relationship Id="rId1642" Type="http://schemas.openxmlformats.org/officeDocument/2006/relationships/image" Target="../media/image1642.png"/><Relationship Id="rId1502" Type="http://schemas.openxmlformats.org/officeDocument/2006/relationships/image" Target="../media/image1502.png"/><Relationship Id="rId290" Type="http://schemas.openxmlformats.org/officeDocument/2006/relationships/image" Target="../media/image290.png"/><Relationship Id="rId388" Type="http://schemas.openxmlformats.org/officeDocument/2006/relationships/image" Target="../media/image388.png"/><Relationship Id="rId150" Type="http://schemas.openxmlformats.org/officeDocument/2006/relationships/image" Target="../media/image150.png"/><Relationship Id="rId595" Type="http://schemas.openxmlformats.org/officeDocument/2006/relationships/image" Target="../media/image595.png"/><Relationship Id="rId248" Type="http://schemas.openxmlformats.org/officeDocument/2006/relationships/image" Target="../media/image248.png"/><Relationship Id="rId455" Type="http://schemas.openxmlformats.org/officeDocument/2006/relationships/image" Target="../media/image455.png"/><Relationship Id="rId662" Type="http://schemas.openxmlformats.org/officeDocument/2006/relationships/image" Target="../media/image662.png"/><Relationship Id="rId1085" Type="http://schemas.openxmlformats.org/officeDocument/2006/relationships/image" Target="../media/image1085.png"/><Relationship Id="rId1292" Type="http://schemas.openxmlformats.org/officeDocument/2006/relationships/image" Target="../media/image1292.png"/><Relationship Id="rId108" Type="http://schemas.openxmlformats.org/officeDocument/2006/relationships/image" Target="../media/image108.png"/><Relationship Id="rId315" Type="http://schemas.openxmlformats.org/officeDocument/2006/relationships/image" Target="../media/image315.png"/><Relationship Id="rId522" Type="http://schemas.openxmlformats.org/officeDocument/2006/relationships/image" Target="../media/image522.png"/><Relationship Id="rId967" Type="http://schemas.openxmlformats.org/officeDocument/2006/relationships/image" Target="../media/image967.png"/><Relationship Id="rId1152" Type="http://schemas.openxmlformats.org/officeDocument/2006/relationships/image" Target="../media/image1152.png"/><Relationship Id="rId1597" Type="http://schemas.openxmlformats.org/officeDocument/2006/relationships/image" Target="../media/image1597.png"/><Relationship Id="rId96" Type="http://schemas.openxmlformats.org/officeDocument/2006/relationships/image" Target="../media/image96.png"/><Relationship Id="rId827" Type="http://schemas.openxmlformats.org/officeDocument/2006/relationships/image" Target="../media/image827.png"/><Relationship Id="rId1012" Type="http://schemas.openxmlformats.org/officeDocument/2006/relationships/image" Target="../media/image1012.png"/><Relationship Id="rId1457" Type="http://schemas.openxmlformats.org/officeDocument/2006/relationships/image" Target="../media/image1457.png"/><Relationship Id="rId1664" Type="http://schemas.openxmlformats.org/officeDocument/2006/relationships/image" Target="../media/image1664.png"/><Relationship Id="rId1317" Type="http://schemas.openxmlformats.org/officeDocument/2006/relationships/image" Target="../media/image1317.png"/><Relationship Id="rId1524" Type="http://schemas.openxmlformats.org/officeDocument/2006/relationships/image" Target="../media/image1524.png"/><Relationship Id="rId23" Type="http://schemas.openxmlformats.org/officeDocument/2006/relationships/image" Target="../media/image23.png"/><Relationship Id="rId172" Type="http://schemas.openxmlformats.org/officeDocument/2006/relationships/image" Target="../media/image172.png"/><Relationship Id="rId477" Type="http://schemas.openxmlformats.org/officeDocument/2006/relationships/image" Target="../media/image477.png"/><Relationship Id="rId684" Type="http://schemas.openxmlformats.org/officeDocument/2006/relationships/image" Target="../media/image684.png"/><Relationship Id="rId337" Type="http://schemas.openxmlformats.org/officeDocument/2006/relationships/image" Target="../media/image337.png"/><Relationship Id="rId891" Type="http://schemas.openxmlformats.org/officeDocument/2006/relationships/image" Target="../media/image891.png"/><Relationship Id="rId989" Type="http://schemas.openxmlformats.org/officeDocument/2006/relationships/image" Target="../media/image989.png"/><Relationship Id="rId544" Type="http://schemas.openxmlformats.org/officeDocument/2006/relationships/image" Target="../media/image544.png"/><Relationship Id="rId751" Type="http://schemas.openxmlformats.org/officeDocument/2006/relationships/image" Target="../media/image751.png"/><Relationship Id="rId849" Type="http://schemas.openxmlformats.org/officeDocument/2006/relationships/image" Target="../media/image849.png"/><Relationship Id="rId1174" Type="http://schemas.openxmlformats.org/officeDocument/2006/relationships/image" Target="../media/image1174.png"/><Relationship Id="rId1381" Type="http://schemas.openxmlformats.org/officeDocument/2006/relationships/image" Target="../media/image1381.png"/><Relationship Id="rId1479" Type="http://schemas.openxmlformats.org/officeDocument/2006/relationships/image" Target="../media/image1479.png"/><Relationship Id="rId1686" Type="http://schemas.openxmlformats.org/officeDocument/2006/relationships/image" Target="../media/image1686.png"/><Relationship Id="rId404" Type="http://schemas.openxmlformats.org/officeDocument/2006/relationships/image" Target="../media/image404.png"/><Relationship Id="rId611" Type="http://schemas.openxmlformats.org/officeDocument/2006/relationships/image" Target="../media/image611.png"/><Relationship Id="rId1034" Type="http://schemas.openxmlformats.org/officeDocument/2006/relationships/image" Target="../media/image1034.png"/><Relationship Id="rId1241" Type="http://schemas.openxmlformats.org/officeDocument/2006/relationships/image" Target="../media/image1241.png"/><Relationship Id="rId1339" Type="http://schemas.openxmlformats.org/officeDocument/2006/relationships/image" Target="../media/image1339.png"/><Relationship Id="rId709" Type="http://schemas.openxmlformats.org/officeDocument/2006/relationships/image" Target="../media/image709.png"/><Relationship Id="rId916" Type="http://schemas.openxmlformats.org/officeDocument/2006/relationships/image" Target="../media/image916.png"/><Relationship Id="rId1101" Type="http://schemas.openxmlformats.org/officeDocument/2006/relationships/image" Target="../media/image1101.png"/><Relationship Id="rId1546" Type="http://schemas.openxmlformats.org/officeDocument/2006/relationships/image" Target="../media/image1546.png"/><Relationship Id="rId45" Type="http://schemas.openxmlformats.org/officeDocument/2006/relationships/image" Target="../media/image45.png"/><Relationship Id="rId1406" Type="http://schemas.openxmlformats.org/officeDocument/2006/relationships/image" Target="../media/image1406.png"/><Relationship Id="rId1613" Type="http://schemas.openxmlformats.org/officeDocument/2006/relationships/image" Target="../media/image1613.png"/><Relationship Id="rId194" Type="http://schemas.openxmlformats.org/officeDocument/2006/relationships/image" Target="../media/image194.png"/><Relationship Id="rId261" Type="http://schemas.openxmlformats.org/officeDocument/2006/relationships/image" Target="../media/image261.png"/><Relationship Id="rId499" Type="http://schemas.openxmlformats.org/officeDocument/2006/relationships/image" Target="../media/image499.png"/><Relationship Id="rId359" Type="http://schemas.openxmlformats.org/officeDocument/2006/relationships/image" Target="../media/image359.png"/><Relationship Id="rId566" Type="http://schemas.openxmlformats.org/officeDocument/2006/relationships/image" Target="../media/image566.png"/><Relationship Id="rId773" Type="http://schemas.openxmlformats.org/officeDocument/2006/relationships/image" Target="../media/image773.png"/><Relationship Id="rId1196" Type="http://schemas.openxmlformats.org/officeDocument/2006/relationships/image" Target="../media/image1196.png"/><Relationship Id="rId121" Type="http://schemas.openxmlformats.org/officeDocument/2006/relationships/image" Target="../media/image121.png"/><Relationship Id="rId219" Type="http://schemas.openxmlformats.org/officeDocument/2006/relationships/image" Target="../media/image219.png"/><Relationship Id="rId426" Type="http://schemas.openxmlformats.org/officeDocument/2006/relationships/image" Target="../media/image426.png"/><Relationship Id="rId633" Type="http://schemas.openxmlformats.org/officeDocument/2006/relationships/image" Target="../media/image633.png"/><Relationship Id="rId980" Type="http://schemas.openxmlformats.org/officeDocument/2006/relationships/image" Target="../media/image980.png"/><Relationship Id="rId1056" Type="http://schemas.openxmlformats.org/officeDocument/2006/relationships/image" Target="../media/image1056.png"/><Relationship Id="rId1263" Type="http://schemas.openxmlformats.org/officeDocument/2006/relationships/image" Target="../media/image1263.png"/><Relationship Id="rId840" Type="http://schemas.openxmlformats.org/officeDocument/2006/relationships/image" Target="../media/image840.png"/><Relationship Id="rId938" Type="http://schemas.openxmlformats.org/officeDocument/2006/relationships/image" Target="../media/image938.png"/><Relationship Id="rId1470" Type="http://schemas.openxmlformats.org/officeDocument/2006/relationships/image" Target="../media/image1470.png"/><Relationship Id="rId1568" Type="http://schemas.openxmlformats.org/officeDocument/2006/relationships/image" Target="../media/image1568.png"/><Relationship Id="rId67" Type="http://schemas.openxmlformats.org/officeDocument/2006/relationships/image" Target="../media/image67.png"/><Relationship Id="rId700" Type="http://schemas.openxmlformats.org/officeDocument/2006/relationships/image" Target="../media/image700.png"/><Relationship Id="rId1123" Type="http://schemas.openxmlformats.org/officeDocument/2006/relationships/image" Target="../media/image1123.png"/><Relationship Id="rId1330" Type="http://schemas.openxmlformats.org/officeDocument/2006/relationships/image" Target="../media/image1330.png"/><Relationship Id="rId1428" Type="http://schemas.openxmlformats.org/officeDocument/2006/relationships/image" Target="../media/image1428.png"/><Relationship Id="rId1635" Type="http://schemas.openxmlformats.org/officeDocument/2006/relationships/image" Target="../media/image1635.png"/><Relationship Id="rId1702" Type="http://schemas.openxmlformats.org/officeDocument/2006/relationships/image" Target="../media/image1702.png"/><Relationship Id="rId283" Type="http://schemas.openxmlformats.org/officeDocument/2006/relationships/image" Target="../media/image283.png"/><Relationship Id="rId490" Type="http://schemas.openxmlformats.org/officeDocument/2006/relationships/image" Target="../media/image490.png"/><Relationship Id="rId143" Type="http://schemas.openxmlformats.org/officeDocument/2006/relationships/image" Target="../media/image143.png"/><Relationship Id="rId350" Type="http://schemas.openxmlformats.org/officeDocument/2006/relationships/image" Target="../media/image350.png"/><Relationship Id="rId588" Type="http://schemas.openxmlformats.org/officeDocument/2006/relationships/image" Target="../media/image588.png"/><Relationship Id="rId795" Type="http://schemas.openxmlformats.org/officeDocument/2006/relationships/image" Target="../media/image795.png"/><Relationship Id="rId9" Type="http://schemas.openxmlformats.org/officeDocument/2006/relationships/image" Target="../media/image9.png"/><Relationship Id="rId210" Type="http://schemas.openxmlformats.org/officeDocument/2006/relationships/image" Target="../media/image210.png"/><Relationship Id="rId448" Type="http://schemas.openxmlformats.org/officeDocument/2006/relationships/image" Target="../media/image448.png"/><Relationship Id="rId655" Type="http://schemas.openxmlformats.org/officeDocument/2006/relationships/image" Target="../media/image655.png"/><Relationship Id="rId862" Type="http://schemas.openxmlformats.org/officeDocument/2006/relationships/image" Target="../media/image862.png"/><Relationship Id="rId1078" Type="http://schemas.openxmlformats.org/officeDocument/2006/relationships/image" Target="../media/image1078.png"/><Relationship Id="rId1285" Type="http://schemas.openxmlformats.org/officeDocument/2006/relationships/image" Target="../media/image1285.png"/><Relationship Id="rId1492" Type="http://schemas.openxmlformats.org/officeDocument/2006/relationships/image" Target="../media/image1492.png"/><Relationship Id="rId308" Type="http://schemas.openxmlformats.org/officeDocument/2006/relationships/image" Target="../media/image308.png"/><Relationship Id="rId515" Type="http://schemas.openxmlformats.org/officeDocument/2006/relationships/image" Target="../media/image515.png"/><Relationship Id="rId722" Type="http://schemas.openxmlformats.org/officeDocument/2006/relationships/image" Target="../media/image722.png"/><Relationship Id="rId1145" Type="http://schemas.openxmlformats.org/officeDocument/2006/relationships/image" Target="../media/image1145.png"/><Relationship Id="rId1352" Type="http://schemas.openxmlformats.org/officeDocument/2006/relationships/image" Target="../media/image1352.png"/><Relationship Id="rId89" Type="http://schemas.openxmlformats.org/officeDocument/2006/relationships/image" Target="../media/image89.png"/><Relationship Id="rId1005" Type="http://schemas.openxmlformats.org/officeDocument/2006/relationships/image" Target="../media/image1005.png"/><Relationship Id="rId1212" Type="http://schemas.openxmlformats.org/officeDocument/2006/relationships/image" Target="../media/image1212.png"/><Relationship Id="rId1657" Type="http://schemas.openxmlformats.org/officeDocument/2006/relationships/image" Target="../media/image1657.png"/><Relationship Id="rId1517" Type="http://schemas.openxmlformats.org/officeDocument/2006/relationships/image" Target="../media/image1517.png"/><Relationship Id="rId16" Type="http://schemas.openxmlformats.org/officeDocument/2006/relationships/image" Target="../media/image16.png"/><Relationship Id="rId165" Type="http://schemas.openxmlformats.org/officeDocument/2006/relationships/image" Target="../media/image165.png"/><Relationship Id="rId372" Type="http://schemas.openxmlformats.org/officeDocument/2006/relationships/image" Target="../media/image372.png"/><Relationship Id="rId677" Type="http://schemas.openxmlformats.org/officeDocument/2006/relationships/image" Target="../media/image677.png"/><Relationship Id="rId232" Type="http://schemas.openxmlformats.org/officeDocument/2006/relationships/image" Target="../media/image232.png"/><Relationship Id="rId884" Type="http://schemas.openxmlformats.org/officeDocument/2006/relationships/image" Target="../media/image884.png"/><Relationship Id="rId537" Type="http://schemas.openxmlformats.org/officeDocument/2006/relationships/image" Target="../media/image537.png"/><Relationship Id="rId744" Type="http://schemas.openxmlformats.org/officeDocument/2006/relationships/image" Target="../media/image744.png"/><Relationship Id="rId951" Type="http://schemas.openxmlformats.org/officeDocument/2006/relationships/image" Target="../media/image951.png"/><Relationship Id="rId1167" Type="http://schemas.openxmlformats.org/officeDocument/2006/relationships/image" Target="../media/image1167.png"/><Relationship Id="rId1374" Type="http://schemas.openxmlformats.org/officeDocument/2006/relationships/image" Target="../media/image1374.png"/><Relationship Id="rId1581" Type="http://schemas.openxmlformats.org/officeDocument/2006/relationships/image" Target="../media/image1581.png"/><Relationship Id="rId1679" Type="http://schemas.openxmlformats.org/officeDocument/2006/relationships/image" Target="../media/image1679.png"/><Relationship Id="rId80" Type="http://schemas.openxmlformats.org/officeDocument/2006/relationships/image" Target="../media/image80.png"/><Relationship Id="rId604" Type="http://schemas.openxmlformats.org/officeDocument/2006/relationships/image" Target="../media/image604.png"/><Relationship Id="rId811" Type="http://schemas.openxmlformats.org/officeDocument/2006/relationships/image" Target="../media/image811.png"/><Relationship Id="rId1027" Type="http://schemas.openxmlformats.org/officeDocument/2006/relationships/image" Target="../media/image1027.png"/><Relationship Id="rId1234" Type="http://schemas.openxmlformats.org/officeDocument/2006/relationships/image" Target="../media/image1234.png"/><Relationship Id="rId1441" Type="http://schemas.openxmlformats.org/officeDocument/2006/relationships/image" Target="../media/image1441.png"/><Relationship Id="rId909" Type="http://schemas.openxmlformats.org/officeDocument/2006/relationships/image" Target="../media/image909.png"/><Relationship Id="rId1301" Type="http://schemas.openxmlformats.org/officeDocument/2006/relationships/image" Target="../media/image1301.png"/><Relationship Id="rId1539" Type="http://schemas.openxmlformats.org/officeDocument/2006/relationships/image" Target="../media/image1539.png"/><Relationship Id="rId38" Type="http://schemas.openxmlformats.org/officeDocument/2006/relationships/image" Target="../media/image38.png"/><Relationship Id="rId1606" Type="http://schemas.openxmlformats.org/officeDocument/2006/relationships/image" Target="../media/image1606.png"/><Relationship Id="rId187" Type="http://schemas.openxmlformats.org/officeDocument/2006/relationships/image" Target="../media/image187.png"/><Relationship Id="rId394" Type="http://schemas.openxmlformats.org/officeDocument/2006/relationships/image" Target="../media/image394.png"/><Relationship Id="rId254" Type="http://schemas.openxmlformats.org/officeDocument/2006/relationships/image" Target="../media/image254.png"/><Relationship Id="rId699" Type="http://schemas.openxmlformats.org/officeDocument/2006/relationships/image" Target="../media/image699.png"/><Relationship Id="rId1091" Type="http://schemas.openxmlformats.org/officeDocument/2006/relationships/image" Target="../media/image1091.png"/><Relationship Id="rId114" Type="http://schemas.openxmlformats.org/officeDocument/2006/relationships/image" Target="../media/image114.png"/><Relationship Id="rId461" Type="http://schemas.openxmlformats.org/officeDocument/2006/relationships/image" Target="../media/image461.png"/><Relationship Id="rId559" Type="http://schemas.openxmlformats.org/officeDocument/2006/relationships/image" Target="../media/image559.png"/><Relationship Id="rId766" Type="http://schemas.openxmlformats.org/officeDocument/2006/relationships/image" Target="../media/image766.png"/><Relationship Id="rId1189" Type="http://schemas.openxmlformats.org/officeDocument/2006/relationships/image" Target="../media/image1189.png"/><Relationship Id="rId1396" Type="http://schemas.openxmlformats.org/officeDocument/2006/relationships/image" Target="../media/image1396.png"/><Relationship Id="rId321" Type="http://schemas.openxmlformats.org/officeDocument/2006/relationships/image" Target="../media/image321.png"/><Relationship Id="rId419" Type="http://schemas.openxmlformats.org/officeDocument/2006/relationships/image" Target="../media/image419.png"/><Relationship Id="rId626" Type="http://schemas.openxmlformats.org/officeDocument/2006/relationships/image" Target="../media/image626.png"/><Relationship Id="rId973" Type="http://schemas.openxmlformats.org/officeDocument/2006/relationships/image" Target="../media/image973.png"/><Relationship Id="rId1049" Type="http://schemas.openxmlformats.org/officeDocument/2006/relationships/image" Target="../media/image1049.png"/><Relationship Id="rId1256" Type="http://schemas.openxmlformats.org/officeDocument/2006/relationships/image" Target="../media/image1256.png"/></Relationships>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3</xdr:col>
      <xdr:colOff>114300</xdr:colOff>
      <xdr:row>3</xdr:row>
      <xdr:rowOff>28575</xdr:rowOff>
    </xdr:from>
    <xdr:to>
      <xdr:col>3</xdr:col>
      <xdr:colOff>1552575</xdr:colOff>
      <xdr:row>5</xdr:row>
      <xdr:rowOff>419100</xdr:rowOff>
    </xdr:to>
    <xdr:pic>
      <xdr:nvPicPr>
        <xdr:cNvPr id="3" name="Имя " descr="Descr ">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prstGeom prst="rect">
          <a:avLst/>
        </a:prstGeom>
        <a:ln w="9525">
          <a:solidFill>
            <a:srgbClr val="000000"/>
          </a:solidFill>
          <a:prstDash val="solid"/>
        </a:ln>
      </xdr:spPr>
    </xdr:pic>
    <xdr:clientData/>
  </xdr:twoCellAnchor>
  <xdr:twoCellAnchor>
    <xdr:from>
      <xdr:col>3</xdr:col>
      <xdr:colOff>114300</xdr:colOff>
      <xdr:row>6</xdr:row>
      <xdr:rowOff>28575</xdr:rowOff>
    </xdr:from>
    <xdr:to>
      <xdr:col>3</xdr:col>
      <xdr:colOff>1552575</xdr:colOff>
      <xdr:row>9</xdr:row>
      <xdr:rowOff>209550</xdr:rowOff>
    </xdr:to>
    <xdr:pic>
      <xdr:nvPicPr>
        <xdr:cNvPr id="2" name="Имя " descr="Descr ">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stretch>
          <a:fillRect/>
        </a:stretch>
      </xdr:blipFill>
      <xdr:spPr>
        <a:prstGeom prst="rect">
          <a:avLst/>
        </a:prstGeom>
        <a:ln w="9525">
          <a:solidFill>
            <a:srgbClr val="000000"/>
          </a:solidFill>
          <a:prstDash val="solid"/>
        </a:ln>
      </xdr:spPr>
    </xdr:pic>
    <xdr:clientData/>
  </xdr:twoCellAnchor>
  <xdr:twoCellAnchor>
    <xdr:from>
      <xdr:col>3</xdr:col>
      <xdr:colOff>114300</xdr:colOff>
      <xdr:row>10</xdr:row>
      <xdr:rowOff>28575</xdr:rowOff>
    </xdr:from>
    <xdr:to>
      <xdr:col>3</xdr:col>
      <xdr:colOff>1552575</xdr:colOff>
      <xdr:row>10</xdr:row>
      <xdr:rowOff>1266825</xdr:rowOff>
    </xdr:to>
    <xdr:pic>
      <xdr:nvPicPr>
        <xdr:cNvPr id="4" name="Имя " descr="Descr ">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a:stretch>
          <a:fillRect/>
        </a:stretch>
      </xdr:blipFill>
      <xdr:spPr>
        <a:prstGeom prst="rect">
          <a:avLst/>
        </a:prstGeom>
        <a:ln w="9525">
          <a:solidFill>
            <a:srgbClr val="000000"/>
          </a:solidFill>
          <a:prstDash val="solid"/>
        </a:ln>
      </xdr:spPr>
    </xdr:pic>
    <xdr:clientData/>
  </xdr:twoCellAnchor>
  <xdr:twoCellAnchor>
    <xdr:from>
      <xdr:col>3</xdr:col>
      <xdr:colOff>114300</xdr:colOff>
      <xdr:row>11</xdr:row>
      <xdr:rowOff>38100</xdr:rowOff>
    </xdr:from>
    <xdr:to>
      <xdr:col>3</xdr:col>
      <xdr:colOff>1552575</xdr:colOff>
      <xdr:row>12</xdr:row>
      <xdr:rowOff>638175</xdr:rowOff>
    </xdr:to>
    <xdr:pic>
      <xdr:nvPicPr>
        <xdr:cNvPr id="5" name="Имя " descr="Descr ">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4"/>
        <a:stretch>
          <a:fillRect/>
        </a:stretch>
      </xdr:blipFill>
      <xdr:spPr>
        <a:prstGeom prst="rect">
          <a:avLst/>
        </a:prstGeom>
        <a:ln w="9525">
          <a:solidFill>
            <a:srgbClr val="000000"/>
          </a:solidFill>
          <a:prstDash val="solid"/>
        </a:ln>
      </xdr:spPr>
    </xdr:pic>
    <xdr:clientData/>
  </xdr:twoCellAnchor>
  <xdr:twoCellAnchor>
    <xdr:from>
      <xdr:col>3</xdr:col>
      <xdr:colOff>114300</xdr:colOff>
      <xdr:row>13</xdr:row>
      <xdr:rowOff>28575</xdr:rowOff>
    </xdr:from>
    <xdr:to>
      <xdr:col>3</xdr:col>
      <xdr:colOff>1552575</xdr:colOff>
      <xdr:row>16</xdr:row>
      <xdr:rowOff>209550</xdr:rowOff>
    </xdr:to>
    <xdr:pic>
      <xdr:nvPicPr>
        <xdr:cNvPr id="6" name="Имя " descr="Descr ">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5"/>
        <a:stretch>
          <a:fillRect/>
        </a:stretch>
      </xdr:blipFill>
      <xdr:spPr>
        <a:prstGeom prst="rect">
          <a:avLst/>
        </a:prstGeom>
        <a:ln w="9525">
          <a:solidFill>
            <a:srgbClr val="000000"/>
          </a:solidFill>
          <a:prstDash val="solid"/>
        </a:ln>
      </xdr:spPr>
    </xdr:pic>
    <xdr:clientData/>
  </xdr:twoCellAnchor>
  <xdr:twoCellAnchor>
    <xdr:from>
      <xdr:col>3</xdr:col>
      <xdr:colOff>114300</xdr:colOff>
      <xdr:row>17</xdr:row>
      <xdr:rowOff>28575</xdr:rowOff>
    </xdr:from>
    <xdr:to>
      <xdr:col>3</xdr:col>
      <xdr:colOff>1552575</xdr:colOff>
      <xdr:row>17</xdr:row>
      <xdr:rowOff>1266825</xdr:rowOff>
    </xdr:to>
    <xdr:pic>
      <xdr:nvPicPr>
        <xdr:cNvPr id="7" name="Имя " descr="Descr ">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6"/>
        <a:stretch>
          <a:fillRect/>
        </a:stretch>
      </xdr:blipFill>
      <xdr:spPr>
        <a:prstGeom prst="rect">
          <a:avLst/>
        </a:prstGeom>
        <a:ln w="9525">
          <a:solidFill>
            <a:srgbClr val="000000"/>
          </a:solidFill>
          <a:prstDash val="solid"/>
        </a:ln>
      </xdr:spPr>
    </xdr:pic>
    <xdr:clientData/>
  </xdr:twoCellAnchor>
  <xdr:twoCellAnchor>
    <xdr:from>
      <xdr:col>3</xdr:col>
      <xdr:colOff>114300</xdr:colOff>
      <xdr:row>18</xdr:row>
      <xdr:rowOff>28575</xdr:rowOff>
    </xdr:from>
    <xdr:to>
      <xdr:col>3</xdr:col>
      <xdr:colOff>1552575</xdr:colOff>
      <xdr:row>18</xdr:row>
      <xdr:rowOff>1266825</xdr:rowOff>
    </xdr:to>
    <xdr:pic>
      <xdr:nvPicPr>
        <xdr:cNvPr id="8" name="Имя " descr="Descr ">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7"/>
        <a:stretch>
          <a:fillRect/>
        </a:stretch>
      </xdr:blipFill>
      <xdr:spPr>
        <a:prstGeom prst="rect">
          <a:avLst/>
        </a:prstGeom>
        <a:ln w="9525">
          <a:solidFill>
            <a:srgbClr val="000000"/>
          </a:solidFill>
          <a:prstDash val="solid"/>
        </a:ln>
      </xdr:spPr>
    </xdr:pic>
    <xdr:clientData/>
  </xdr:twoCellAnchor>
  <xdr:twoCellAnchor>
    <xdr:from>
      <xdr:col>3</xdr:col>
      <xdr:colOff>114300</xdr:colOff>
      <xdr:row>19</xdr:row>
      <xdr:rowOff>38100</xdr:rowOff>
    </xdr:from>
    <xdr:to>
      <xdr:col>3</xdr:col>
      <xdr:colOff>1552575</xdr:colOff>
      <xdr:row>20</xdr:row>
      <xdr:rowOff>638175</xdr:rowOff>
    </xdr:to>
    <xdr:pic>
      <xdr:nvPicPr>
        <xdr:cNvPr id="9" name="Имя " descr="Descr ">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8"/>
        <a:stretch>
          <a:fillRect/>
        </a:stretch>
      </xdr:blipFill>
      <xdr:spPr>
        <a:prstGeom prst="rect">
          <a:avLst/>
        </a:prstGeom>
        <a:ln w="9525">
          <a:solidFill>
            <a:srgbClr val="000000"/>
          </a:solidFill>
          <a:prstDash val="solid"/>
        </a:ln>
      </xdr:spPr>
    </xdr:pic>
    <xdr:clientData/>
  </xdr:twoCellAnchor>
  <xdr:twoCellAnchor>
    <xdr:from>
      <xdr:col>3</xdr:col>
      <xdr:colOff>114300</xdr:colOff>
      <xdr:row>21</xdr:row>
      <xdr:rowOff>28575</xdr:rowOff>
    </xdr:from>
    <xdr:to>
      <xdr:col>3</xdr:col>
      <xdr:colOff>1552575</xdr:colOff>
      <xdr:row>21</xdr:row>
      <xdr:rowOff>1266825</xdr:rowOff>
    </xdr:to>
    <xdr:pic>
      <xdr:nvPicPr>
        <xdr:cNvPr id="10" name="Имя " descr="Descr ">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9"/>
        <a:stretch>
          <a:fillRect/>
        </a:stretch>
      </xdr:blipFill>
      <xdr:spPr>
        <a:prstGeom prst="rect">
          <a:avLst/>
        </a:prstGeom>
        <a:ln w="9525">
          <a:solidFill>
            <a:srgbClr val="000000"/>
          </a:solidFill>
          <a:prstDash val="solid"/>
        </a:ln>
      </xdr:spPr>
    </xdr:pic>
    <xdr:clientData/>
  </xdr:twoCellAnchor>
  <xdr:twoCellAnchor>
    <xdr:from>
      <xdr:col>3</xdr:col>
      <xdr:colOff>114300</xdr:colOff>
      <xdr:row>22</xdr:row>
      <xdr:rowOff>28575</xdr:rowOff>
    </xdr:from>
    <xdr:to>
      <xdr:col>3</xdr:col>
      <xdr:colOff>1552575</xdr:colOff>
      <xdr:row>22</xdr:row>
      <xdr:rowOff>1266825</xdr:rowOff>
    </xdr:to>
    <xdr:pic>
      <xdr:nvPicPr>
        <xdr:cNvPr id="11" name="Имя " descr="Descr ">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10"/>
        <a:stretch>
          <a:fillRect/>
        </a:stretch>
      </xdr:blipFill>
      <xdr:spPr>
        <a:prstGeom prst="rect">
          <a:avLst/>
        </a:prstGeom>
        <a:ln w="9525">
          <a:solidFill>
            <a:srgbClr val="000000"/>
          </a:solidFill>
          <a:prstDash val="solid"/>
        </a:ln>
      </xdr:spPr>
    </xdr:pic>
    <xdr:clientData/>
  </xdr:twoCellAnchor>
  <xdr:twoCellAnchor>
    <xdr:from>
      <xdr:col>3</xdr:col>
      <xdr:colOff>114300</xdr:colOff>
      <xdr:row>23</xdr:row>
      <xdr:rowOff>28575</xdr:rowOff>
    </xdr:from>
    <xdr:to>
      <xdr:col>3</xdr:col>
      <xdr:colOff>1552575</xdr:colOff>
      <xdr:row>30</xdr:row>
      <xdr:rowOff>152400</xdr:rowOff>
    </xdr:to>
    <xdr:pic>
      <xdr:nvPicPr>
        <xdr:cNvPr id="12" name="Имя " descr="Descr ">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11"/>
        <a:stretch>
          <a:fillRect/>
        </a:stretch>
      </xdr:blipFill>
      <xdr:spPr>
        <a:prstGeom prst="rect">
          <a:avLst/>
        </a:prstGeom>
        <a:ln w="9525">
          <a:solidFill>
            <a:srgbClr val="000000"/>
          </a:solidFill>
          <a:prstDash val="solid"/>
        </a:ln>
      </xdr:spPr>
    </xdr:pic>
    <xdr:clientData/>
  </xdr:twoCellAnchor>
  <xdr:twoCellAnchor>
    <xdr:from>
      <xdr:col>3</xdr:col>
      <xdr:colOff>114300</xdr:colOff>
      <xdr:row>31</xdr:row>
      <xdr:rowOff>28575</xdr:rowOff>
    </xdr:from>
    <xdr:to>
      <xdr:col>3</xdr:col>
      <xdr:colOff>1552575</xdr:colOff>
      <xdr:row>31</xdr:row>
      <xdr:rowOff>1266825</xdr:rowOff>
    </xdr:to>
    <xdr:pic>
      <xdr:nvPicPr>
        <xdr:cNvPr id="13" name="Имя " descr="Descr ">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12"/>
        <a:stretch>
          <a:fillRect/>
        </a:stretch>
      </xdr:blipFill>
      <xdr:spPr>
        <a:prstGeom prst="rect">
          <a:avLst/>
        </a:prstGeom>
        <a:ln w="9525">
          <a:solidFill>
            <a:srgbClr val="000000"/>
          </a:solidFill>
          <a:prstDash val="solid"/>
        </a:ln>
      </xdr:spPr>
    </xdr:pic>
    <xdr:clientData/>
  </xdr:twoCellAnchor>
  <xdr:twoCellAnchor>
    <xdr:from>
      <xdr:col>3</xdr:col>
      <xdr:colOff>114300</xdr:colOff>
      <xdr:row>32</xdr:row>
      <xdr:rowOff>28575</xdr:rowOff>
    </xdr:from>
    <xdr:to>
      <xdr:col>3</xdr:col>
      <xdr:colOff>1552575</xdr:colOff>
      <xdr:row>34</xdr:row>
      <xdr:rowOff>419100</xdr:rowOff>
    </xdr:to>
    <xdr:pic>
      <xdr:nvPicPr>
        <xdr:cNvPr id="14" name="Имя " descr="Descr ">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3"/>
        <a:stretch>
          <a:fillRect/>
        </a:stretch>
      </xdr:blipFill>
      <xdr:spPr>
        <a:prstGeom prst="rect">
          <a:avLst/>
        </a:prstGeom>
        <a:ln w="9525">
          <a:solidFill>
            <a:srgbClr val="000000"/>
          </a:solidFill>
          <a:prstDash val="solid"/>
        </a:ln>
      </xdr:spPr>
    </xdr:pic>
    <xdr:clientData/>
  </xdr:twoCellAnchor>
  <xdr:twoCellAnchor>
    <xdr:from>
      <xdr:col>3</xdr:col>
      <xdr:colOff>114300</xdr:colOff>
      <xdr:row>35</xdr:row>
      <xdr:rowOff>28575</xdr:rowOff>
    </xdr:from>
    <xdr:to>
      <xdr:col>3</xdr:col>
      <xdr:colOff>1552575</xdr:colOff>
      <xdr:row>39</xdr:row>
      <xdr:rowOff>333375</xdr:rowOff>
    </xdr:to>
    <xdr:pic>
      <xdr:nvPicPr>
        <xdr:cNvPr id="15" name="Имя " descr="Descr ">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4"/>
        <a:stretch>
          <a:fillRect/>
        </a:stretch>
      </xdr:blipFill>
      <xdr:spPr>
        <a:prstGeom prst="rect">
          <a:avLst/>
        </a:prstGeom>
        <a:ln w="9525">
          <a:solidFill>
            <a:srgbClr val="000000"/>
          </a:solidFill>
          <a:prstDash val="solid"/>
        </a:ln>
      </xdr:spPr>
    </xdr:pic>
    <xdr:clientData/>
  </xdr:twoCellAnchor>
  <xdr:twoCellAnchor>
    <xdr:from>
      <xdr:col>3</xdr:col>
      <xdr:colOff>114300</xdr:colOff>
      <xdr:row>40</xdr:row>
      <xdr:rowOff>28575</xdr:rowOff>
    </xdr:from>
    <xdr:to>
      <xdr:col>3</xdr:col>
      <xdr:colOff>1552575</xdr:colOff>
      <xdr:row>40</xdr:row>
      <xdr:rowOff>1266825</xdr:rowOff>
    </xdr:to>
    <xdr:pic>
      <xdr:nvPicPr>
        <xdr:cNvPr id="16" name="Имя " descr="Descr ">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15"/>
        <a:stretch>
          <a:fillRect/>
        </a:stretch>
      </xdr:blipFill>
      <xdr:spPr>
        <a:prstGeom prst="rect">
          <a:avLst/>
        </a:prstGeom>
        <a:ln w="9525">
          <a:solidFill>
            <a:srgbClr val="000000"/>
          </a:solidFill>
          <a:prstDash val="solid"/>
        </a:ln>
      </xdr:spPr>
    </xdr:pic>
    <xdr:clientData/>
  </xdr:twoCellAnchor>
  <xdr:twoCellAnchor>
    <xdr:from>
      <xdr:col>3</xdr:col>
      <xdr:colOff>114300</xdr:colOff>
      <xdr:row>41</xdr:row>
      <xdr:rowOff>38100</xdr:rowOff>
    </xdr:from>
    <xdr:to>
      <xdr:col>3</xdr:col>
      <xdr:colOff>1552575</xdr:colOff>
      <xdr:row>42</xdr:row>
      <xdr:rowOff>638175</xdr:rowOff>
    </xdr:to>
    <xdr:pic>
      <xdr:nvPicPr>
        <xdr:cNvPr id="17" name="Имя " descr="Descr ">
          <a:extLst>
            <a:ext uri="{FF2B5EF4-FFF2-40B4-BE49-F238E27FC236}">
              <a16:creationId xmlns:a16="http://schemas.microsoft.com/office/drawing/2014/main" id="{00000000-0008-0000-0000-000011000000}"/>
            </a:ext>
          </a:extLst>
        </xdr:cNvPr>
        <xdr:cNvPicPr>
          <a:picLocks noChangeAspect="1"/>
        </xdr:cNvPicPr>
      </xdr:nvPicPr>
      <xdr:blipFill>
        <a:blip xmlns:r="http://schemas.openxmlformats.org/officeDocument/2006/relationships" r:embed="rId16"/>
        <a:stretch>
          <a:fillRect/>
        </a:stretch>
      </xdr:blipFill>
      <xdr:spPr>
        <a:prstGeom prst="rect">
          <a:avLst/>
        </a:prstGeom>
        <a:ln w="9525">
          <a:solidFill>
            <a:srgbClr val="000000"/>
          </a:solidFill>
          <a:prstDash val="solid"/>
        </a:ln>
      </xdr:spPr>
    </xdr:pic>
    <xdr:clientData/>
  </xdr:twoCellAnchor>
  <xdr:twoCellAnchor>
    <xdr:from>
      <xdr:col>3</xdr:col>
      <xdr:colOff>114300</xdr:colOff>
      <xdr:row>43</xdr:row>
      <xdr:rowOff>38100</xdr:rowOff>
    </xdr:from>
    <xdr:to>
      <xdr:col>3</xdr:col>
      <xdr:colOff>1552575</xdr:colOff>
      <xdr:row>44</xdr:row>
      <xdr:rowOff>638175</xdr:rowOff>
    </xdr:to>
    <xdr:pic>
      <xdr:nvPicPr>
        <xdr:cNvPr id="18" name="Имя " descr="Descr ">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17"/>
        <a:stretch>
          <a:fillRect/>
        </a:stretch>
      </xdr:blipFill>
      <xdr:spPr>
        <a:prstGeom prst="rect">
          <a:avLst/>
        </a:prstGeom>
        <a:ln w="9525">
          <a:solidFill>
            <a:srgbClr val="000000"/>
          </a:solidFill>
          <a:prstDash val="solid"/>
        </a:ln>
      </xdr:spPr>
    </xdr:pic>
    <xdr:clientData/>
  </xdr:twoCellAnchor>
  <xdr:twoCellAnchor>
    <xdr:from>
      <xdr:col>3</xdr:col>
      <xdr:colOff>114300</xdr:colOff>
      <xdr:row>45</xdr:row>
      <xdr:rowOff>38100</xdr:rowOff>
    </xdr:from>
    <xdr:to>
      <xdr:col>3</xdr:col>
      <xdr:colOff>1552575</xdr:colOff>
      <xdr:row>46</xdr:row>
      <xdr:rowOff>638175</xdr:rowOff>
    </xdr:to>
    <xdr:pic>
      <xdr:nvPicPr>
        <xdr:cNvPr id="19" name="Имя " descr="Descr ">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18"/>
        <a:stretch>
          <a:fillRect/>
        </a:stretch>
      </xdr:blipFill>
      <xdr:spPr>
        <a:prstGeom prst="rect">
          <a:avLst/>
        </a:prstGeom>
        <a:ln w="9525">
          <a:solidFill>
            <a:srgbClr val="000000"/>
          </a:solidFill>
          <a:prstDash val="solid"/>
        </a:ln>
      </xdr:spPr>
    </xdr:pic>
    <xdr:clientData/>
  </xdr:twoCellAnchor>
  <xdr:twoCellAnchor>
    <xdr:from>
      <xdr:col>3</xdr:col>
      <xdr:colOff>114300</xdr:colOff>
      <xdr:row>47</xdr:row>
      <xdr:rowOff>28575</xdr:rowOff>
    </xdr:from>
    <xdr:to>
      <xdr:col>3</xdr:col>
      <xdr:colOff>1552575</xdr:colOff>
      <xdr:row>47</xdr:row>
      <xdr:rowOff>1266825</xdr:rowOff>
    </xdr:to>
    <xdr:pic>
      <xdr:nvPicPr>
        <xdr:cNvPr id="20" name="Имя " descr="Descr ">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19"/>
        <a:stretch>
          <a:fillRect/>
        </a:stretch>
      </xdr:blipFill>
      <xdr:spPr>
        <a:prstGeom prst="rect">
          <a:avLst/>
        </a:prstGeom>
        <a:ln w="9525">
          <a:solidFill>
            <a:srgbClr val="000000"/>
          </a:solidFill>
          <a:prstDash val="solid"/>
        </a:ln>
      </xdr:spPr>
    </xdr:pic>
    <xdr:clientData/>
  </xdr:twoCellAnchor>
  <xdr:twoCellAnchor>
    <xdr:from>
      <xdr:col>3</xdr:col>
      <xdr:colOff>114300</xdr:colOff>
      <xdr:row>48</xdr:row>
      <xdr:rowOff>28575</xdr:rowOff>
    </xdr:from>
    <xdr:to>
      <xdr:col>3</xdr:col>
      <xdr:colOff>1552575</xdr:colOff>
      <xdr:row>54</xdr:row>
      <xdr:rowOff>171450</xdr:rowOff>
    </xdr:to>
    <xdr:pic>
      <xdr:nvPicPr>
        <xdr:cNvPr id="21" name="Имя " descr="Descr ">
          <a:extLst>
            <a:ext uri="{FF2B5EF4-FFF2-40B4-BE49-F238E27FC236}">
              <a16:creationId xmlns:a16="http://schemas.microsoft.com/office/drawing/2014/main" id="{00000000-0008-0000-0000-000015000000}"/>
            </a:ext>
          </a:extLst>
        </xdr:cNvPr>
        <xdr:cNvPicPr>
          <a:picLocks noChangeAspect="1"/>
        </xdr:cNvPicPr>
      </xdr:nvPicPr>
      <xdr:blipFill>
        <a:blip xmlns:r="http://schemas.openxmlformats.org/officeDocument/2006/relationships" r:embed="rId20"/>
        <a:stretch>
          <a:fillRect/>
        </a:stretch>
      </xdr:blipFill>
      <xdr:spPr>
        <a:prstGeom prst="rect">
          <a:avLst/>
        </a:prstGeom>
        <a:ln w="9525">
          <a:solidFill>
            <a:srgbClr val="000000"/>
          </a:solidFill>
          <a:prstDash val="solid"/>
        </a:ln>
      </xdr:spPr>
    </xdr:pic>
    <xdr:clientData/>
  </xdr:twoCellAnchor>
  <xdr:twoCellAnchor>
    <xdr:from>
      <xdr:col>3</xdr:col>
      <xdr:colOff>114300</xdr:colOff>
      <xdr:row>55</xdr:row>
      <xdr:rowOff>28575</xdr:rowOff>
    </xdr:from>
    <xdr:to>
      <xdr:col>3</xdr:col>
      <xdr:colOff>1552575</xdr:colOff>
      <xdr:row>59</xdr:row>
      <xdr:rowOff>333375</xdr:rowOff>
    </xdr:to>
    <xdr:pic>
      <xdr:nvPicPr>
        <xdr:cNvPr id="22" name="Имя " descr="Descr ">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21"/>
        <a:stretch>
          <a:fillRect/>
        </a:stretch>
      </xdr:blipFill>
      <xdr:spPr>
        <a:prstGeom prst="rect">
          <a:avLst/>
        </a:prstGeom>
        <a:ln w="9525">
          <a:solidFill>
            <a:srgbClr val="000000"/>
          </a:solidFill>
          <a:prstDash val="solid"/>
        </a:ln>
      </xdr:spPr>
    </xdr:pic>
    <xdr:clientData/>
  </xdr:twoCellAnchor>
  <xdr:twoCellAnchor>
    <xdr:from>
      <xdr:col>3</xdr:col>
      <xdr:colOff>114300</xdr:colOff>
      <xdr:row>60</xdr:row>
      <xdr:rowOff>38100</xdr:rowOff>
    </xdr:from>
    <xdr:to>
      <xdr:col>3</xdr:col>
      <xdr:colOff>1552575</xdr:colOff>
      <xdr:row>61</xdr:row>
      <xdr:rowOff>638175</xdr:rowOff>
    </xdr:to>
    <xdr:pic>
      <xdr:nvPicPr>
        <xdr:cNvPr id="23" name="Имя " descr="Descr ">
          <a:extLst>
            <a:ext uri="{FF2B5EF4-FFF2-40B4-BE49-F238E27FC236}">
              <a16:creationId xmlns:a16="http://schemas.microsoft.com/office/drawing/2014/main" id="{00000000-0008-0000-0000-000017000000}"/>
            </a:ext>
          </a:extLst>
        </xdr:cNvPr>
        <xdr:cNvPicPr>
          <a:picLocks noChangeAspect="1"/>
        </xdr:cNvPicPr>
      </xdr:nvPicPr>
      <xdr:blipFill>
        <a:blip xmlns:r="http://schemas.openxmlformats.org/officeDocument/2006/relationships" r:embed="rId22"/>
        <a:stretch>
          <a:fillRect/>
        </a:stretch>
      </xdr:blipFill>
      <xdr:spPr>
        <a:prstGeom prst="rect">
          <a:avLst/>
        </a:prstGeom>
        <a:ln w="9525">
          <a:solidFill>
            <a:srgbClr val="000000"/>
          </a:solidFill>
          <a:prstDash val="solid"/>
        </a:ln>
      </xdr:spPr>
    </xdr:pic>
    <xdr:clientData/>
  </xdr:twoCellAnchor>
  <xdr:twoCellAnchor>
    <xdr:from>
      <xdr:col>3</xdr:col>
      <xdr:colOff>114300</xdr:colOff>
      <xdr:row>62</xdr:row>
      <xdr:rowOff>28575</xdr:rowOff>
    </xdr:from>
    <xdr:to>
      <xdr:col>3</xdr:col>
      <xdr:colOff>1552575</xdr:colOff>
      <xdr:row>65</xdr:row>
      <xdr:rowOff>209550</xdr:rowOff>
    </xdr:to>
    <xdr:pic>
      <xdr:nvPicPr>
        <xdr:cNvPr id="24" name="Имя " descr="Descr ">
          <a:extLst>
            <a:ext uri="{FF2B5EF4-FFF2-40B4-BE49-F238E27FC236}">
              <a16:creationId xmlns:a16="http://schemas.microsoft.com/office/drawing/2014/main" id="{00000000-0008-0000-0000-000018000000}"/>
            </a:ext>
          </a:extLst>
        </xdr:cNvPr>
        <xdr:cNvPicPr>
          <a:picLocks noChangeAspect="1"/>
        </xdr:cNvPicPr>
      </xdr:nvPicPr>
      <xdr:blipFill>
        <a:blip xmlns:r="http://schemas.openxmlformats.org/officeDocument/2006/relationships" r:embed="rId23"/>
        <a:stretch>
          <a:fillRect/>
        </a:stretch>
      </xdr:blipFill>
      <xdr:spPr>
        <a:prstGeom prst="rect">
          <a:avLst/>
        </a:prstGeom>
        <a:ln w="9525">
          <a:solidFill>
            <a:srgbClr val="000000"/>
          </a:solidFill>
          <a:prstDash val="solid"/>
        </a:ln>
      </xdr:spPr>
    </xdr:pic>
    <xdr:clientData/>
  </xdr:twoCellAnchor>
  <xdr:twoCellAnchor>
    <xdr:from>
      <xdr:col>3</xdr:col>
      <xdr:colOff>114300</xdr:colOff>
      <xdr:row>66</xdr:row>
      <xdr:rowOff>28575</xdr:rowOff>
    </xdr:from>
    <xdr:to>
      <xdr:col>3</xdr:col>
      <xdr:colOff>1552575</xdr:colOff>
      <xdr:row>66</xdr:row>
      <xdr:rowOff>1266825</xdr:rowOff>
    </xdr:to>
    <xdr:pic>
      <xdr:nvPicPr>
        <xdr:cNvPr id="25" name="Имя " descr="Descr ">
          <a:extLst>
            <a:ext uri="{FF2B5EF4-FFF2-40B4-BE49-F238E27FC236}">
              <a16:creationId xmlns:a16="http://schemas.microsoft.com/office/drawing/2014/main" id="{00000000-0008-0000-0000-000019000000}"/>
            </a:ext>
          </a:extLst>
        </xdr:cNvPr>
        <xdr:cNvPicPr>
          <a:picLocks noChangeAspect="1"/>
        </xdr:cNvPicPr>
      </xdr:nvPicPr>
      <xdr:blipFill>
        <a:blip xmlns:r="http://schemas.openxmlformats.org/officeDocument/2006/relationships" r:embed="rId24"/>
        <a:stretch>
          <a:fillRect/>
        </a:stretch>
      </xdr:blipFill>
      <xdr:spPr>
        <a:prstGeom prst="rect">
          <a:avLst/>
        </a:prstGeom>
        <a:ln w="9525">
          <a:solidFill>
            <a:srgbClr val="000000"/>
          </a:solidFill>
          <a:prstDash val="solid"/>
        </a:ln>
      </xdr:spPr>
    </xdr:pic>
    <xdr:clientData/>
  </xdr:twoCellAnchor>
  <xdr:twoCellAnchor>
    <xdr:from>
      <xdr:col>3</xdr:col>
      <xdr:colOff>114300</xdr:colOff>
      <xdr:row>67</xdr:row>
      <xdr:rowOff>28575</xdr:rowOff>
    </xdr:from>
    <xdr:to>
      <xdr:col>3</xdr:col>
      <xdr:colOff>1552575</xdr:colOff>
      <xdr:row>67</xdr:row>
      <xdr:rowOff>1266825</xdr:rowOff>
    </xdr:to>
    <xdr:pic>
      <xdr:nvPicPr>
        <xdr:cNvPr id="26" name="Имя " descr="Descr ">
          <a:extLst>
            <a:ext uri="{FF2B5EF4-FFF2-40B4-BE49-F238E27FC236}">
              <a16:creationId xmlns:a16="http://schemas.microsoft.com/office/drawing/2014/main" id="{00000000-0008-0000-0000-00001A000000}"/>
            </a:ext>
          </a:extLst>
        </xdr:cNvPr>
        <xdr:cNvPicPr>
          <a:picLocks noChangeAspect="1"/>
        </xdr:cNvPicPr>
      </xdr:nvPicPr>
      <xdr:blipFill>
        <a:blip xmlns:r="http://schemas.openxmlformats.org/officeDocument/2006/relationships" r:embed="rId25"/>
        <a:stretch>
          <a:fillRect/>
        </a:stretch>
      </xdr:blipFill>
      <xdr:spPr>
        <a:prstGeom prst="rect">
          <a:avLst/>
        </a:prstGeom>
        <a:ln w="9525">
          <a:solidFill>
            <a:srgbClr val="000000"/>
          </a:solidFill>
          <a:prstDash val="solid"/>
        </a:ln>
      </xdr:spPr>
    </xdr:pic>
    <xdr:clientData/>
  </xdr:twoCellAnchor>
  <xdr:twoCellAnchor>
    <xdr:from>
      <xdr:col>3</xdr:col>
      <xdr:colOff>114300</xdr:colOff>
      <xdr:row>68</xdr:row>
      <xdr:rowOff>28575</xdr:rowOff>
    </xdr:from>
    <xdr:to>
      <xdr:col>3</xdr:col>
      <xdr:colOff>1552575</xdr:colOff>
      <xdr:row>68</xdr:row>
      <xdr:rowOff>1266825</xdr:rowOff>
    </xdr:to>
    <xdr:pic>
      <xdr:nvPicPr>
        <xdr:cNvPr id="27" name="Имя " descr="Descr ">
          <a:extLst>
            <a:ext uri="{FF2B5EF4-FFF2-40B4-BE49-F238E27FC236}">
              <a16:creationId xmlns:a16="http://schemas.microsoft.com/office/drawing/2014/main" id="{00000000-0008-0000-0000-00001B000000}"/>
            </a:ext>
          </a:extLst>
        </xdr:cNvPr>
        <xdr:cNvPicPr>
          <a:picLocks noChangeAspect="1"/>
        </xdr:cNvPicPr>
      </xdr:nvPicPr>
      <xdr:blipFill>
        <a:blip xmlns:r="http://schemas.openxmlformats.org/officeDocument/2006/relationships" r:embed="rId26"/>
        <a:stretch>
          <a:fillRect/>
        </a:stretch>
      </xdr:blipFill>
      <xdr:spPr>
        <a:prstGeom prst="rect">
          <a:avLst/>
        </a:prstGeom>
        <a:ln w="9525">
          <a:solidFill>
            <a:srgbClr val="000000"/>
          </a:solidFill>
          <a:prstDash val="solid"/>
        </a:ln>
      </xdr:spPr>
    </xdr:pic>
    <xdr:clientData/>
  </xdr:twoCellAnchor>
  <xdr:twoCellAnchor>
    <xdr:from>
      <xdr:col>3</xdr:col>
      <xdr:colOff>114300</xdr:colOff>
      <xdr:row>69</xdr:row>
      <xdr:rowOff>28575</xdr:rowOff>
    </xdr:from>
    <xdr:to>
      <xdr:col>3</xdr:col>
      <xdr:colOff>1552575</xdr:colOff>
      <xdr:row>69</xdr:row>
      <xdr:rowOff>1266825</xdr:rowOff>
    </xdr:to>
    <xdr:pic>
      <xdr:nvPicPr>
        <xdr:cNvPr id="28" name="Имя " descr="Descr ">
          <a:extLst>
            <a:ext uri="{FF2B5EF4-FFF2-40B4-BE49-F238E27FC236}">
              <a16:creationId xmlns:a16="http://schemas.microsoft.com/office/drawing/2014/main" id="{00000000-0008-0000-0000-00001C000000}"/>
            </a:ext>
          </a:extLst>
        </xdr:cNvPr>
        <xdr:cNvPicPr>
          <a:picLocks noChangeAspect="1"/>
        </xdr:cNvPicPr>
      </xdr:nvPicPr>
      <xdr:blipFill>
        <a:blip xmlns:r="http://schemas.openxmlformats.org/officeDocument/2006/relationships" r:embed="rId27"/>
        <a:stretch>
          <a:fillRect/>
        </a:stretch>
      </xdr:blipFill>
      <xdr:spPr>
        <a:prstGeom prst="rect">
          <a:avLst/>
        </a:prstGeom>
        <a:ln w="9525">
          <a:solidFill>
            <a:srgbClr val="000000"/>
          </a:solidFill>
          <a:prstDash val="solid"/>
        </a:ln>
      </xdr:spPr>
    </xdr:pic>
    <xdr:clientData/>
  </xdr:twoCellAnchor>
  <xdr:twoCellAnchor>
    <xdr:from>
      <xdr:col>3</xdr:col>
      <xdr:colOff>114300</xdr:colOff>
      <xdr:row>70</xdr:row>
      <xdr:rowOff>28575</xdr:rowOff>
    </xdr:from>
    <xdr:to>
      <xdr:col>3</xdr:col>
      <xdr:colOff>1552575</xdr:colOff>
      <xdr:row>70</xdr:row>
      <xdr:rowOff>1266825</xdr:rowOff>
    </xdr:to>
    <xdr:pic>
      <xdr:nvPicPr>
        <xdr:cNvPr id="29" name="Имя " descr="Descr ">
          <a:extLst>
            <a:ext uri="{FF2B5EF4-FFF2-40B4-BE49-F238E27FC236}">
              <a16:creationId xmlns:a16="http://schemas.microsoft.com/office/drawing/2014/main" id="{00000000-0008-0000-0000-00001D000000}"/>
            </a:ext>
          </a:extLst>
        </xdr:cNvPr>
        <xdr:cNvPicPr>
          <a:picLocks noChangeAspect="1"/>
        </xdr:cNvPicPr>
      </xdr:nvPicPr>
      <xdr:blipFill>
        <a:blip xmlns:r="http://schemas.openxmlformats.org/officeDocument/2006/relationships" r:embed="rId28"/>
        <a:stretch>
          <a:fillRect/>
        </a:stretch>
      </xdr:blipFill>
      <xdr:spPr>
        <a:prstGeom prst="rect">
          <a:avLst/>
        </a:prstGeom>
        <a:ln w="9525">
          <a:solidFill>
            <a:srgbClr val="000000"/>
          </a:solidFill>
          <a:prstDash val="solid"/>
        </a:ln>
      </xdr:spPr>
    </xdr:pic>
    <xdr:clientData/>
  </xdr:twoCellAnchor>
  <xdr:twoCellAnchor>
    <xdr:from>
      <xdr:col>3</xdr:col>
      <xdr:colOff>114300</xdr:colOff>
      <xdr:row>71</xdr:row>
      <xdr:rowOff>28575</xdr:rowOff>
    </xdr:from>
    <xdr:to>
      <xdr:col>3</xdr:col>
      <xdr:colOff>1552575</xdr:colOff>
      <xdr:row>71</xdr:row>
      <xdr:rowOff>1266825</xdr:rowOff>
    </xdr:to>
    <xdr:pic>
      <xdr:nvPicPr>
        <xdr:cNvPr id="30" name="Имя " descr="Descr ">
          <a:extLst>
            <a:ext uri="{FF2B5EF4-FFF2-40B4-BE49-F238E27FC236}">
              <a16:creationId xmlns:a16="http://schemas.microsoft.com/office/drawing/2014/main" id="{00000000-0008-0000-0000-00001E000000}"/>
            </a:ext>
          </a:extLst>
        </xdr:cNvPr>
        <xdr:cNvPicPr>
          <a:picLocks noChangeAspect="1"/>
        </xdr:cNvPicPr>
      </xdr:nvPicPr>
      <xdr:blipFill>
        <a:blip xmlns:r="http://schemas.openxmlformats.org/officeDocument/2006/relationships" r:embed="rId29"/>
        <a:stretch>
          <a:fillRect/>
        </a:stretch>
      </xdr:blipFill>
      <xdr:spPr>
        <a:prstGeom prst="rect">
          <a:avLst/>
        </a:prstGeom>
        <a:ln w="9525">
          <a:solidFill>
            <a:srgbClr val="000000"/>
          </a:solidFill>
          <a:prstDash val="solid"/>
        </a:ln>
      </xdr:spPr>
    </xdr:pic>
    <xdr:clientData/>
  </xdr:twoCellAnchor>
  <xdr:twoCellAnchor>
    <xdr:from>
      <xdr:col>3</xdr:col>
      <xdr:colOff>114300</xdr:colOff>
      <xdr:row>72</xdr:row>
      <xdr:rowOff>28575</xdr:rowOff>
    </xdr:from>
    <xdr:to>
      <xdr:col>3</xdr:col>
      <xdr:colOff>1552575</xdr:colOff>
      <xdr:row>76</xdr:row>
      <xdr:rowOff>333375</xdr:rowOff>
    </xdr:to>
    <xdr:pic>
      <xdr:nvPicPr>
        <xdr:cNvPr id="31" name="Имя " descr="Descr ">
          <a:extLst>
            <a:ext uri="{FF2B5EF4-FFF2-40B4-BE49-F238E27FC236}">
              <a16:creationId xmlns:a16="http://schemas.microsoft.com/office/drawing/2014/main" id="{00000000-0008-0000-0000-00001F000000}"/>
            </a:ext>
          </a:extLst>
        </xdr:cNvPr>
        <xdr:cNvPicPr>
          <a:picLocks noChangeAspect="1"/>
        </xdr:cNvPicPr>
      </xdr:nvPicPr>
      <xdr:blipFill>
        <a:blip xmlns:r="http://schemas.openxmlformats.org/officeDocument/2006/relationships" r:embed="rId30"/>
        <a:stretch>
          <a:fillRect/>
        </a:stretch>
      </xdr:blipFill>
      <xdr:spPr>
        <a:prstGeom prst="rect">
          <a:avLst/>
        </a:prstGeom>
        <a:ln w="9525">
          <a:solidFill>
            <a:srgbClr val="000000"/>
          </a:solidFill>
          <a:prstDash val="solid"/>
        </a:ln>
      </xdr:spPr>
    </xdr:pic>
    <xdr:clientData/>
  </xdr:twoCellAnchor>
  <xdr:twoCellAnchor>
    <xdr:from>
      <xdr:col>3</xdr:col>
      <xdr:colOff>114300</xdr:colOff>
      <xdr:row>77</xdr:row>
      <xdr:rowOff>28575</xdr:rowOff>
    </xdr:from>
    <xdr:to>
      <xdr:col>3</xdr:col>
      <xdr:colOff>1552575</xdr:colOff>
      <xdr:row>79</xdr:row>
      <xdr:rowOff>419100</xdr:rowOff>
    </xdr:to>
    <xdr:pic>
      <xdr:nvPicPr>
        <xdr:cNvPr id="32" name="Имя " descr="Descr ">
          <a:extLst>
            <a:ext uri="{FF2B5EF4-FFF2-40B4-BE49-F238E27FC236}">
              <a16:creationId xmlns:a16="http://schemas.microsoft.com/office/drawing/2014/main" id="{00000000-0008-0000-0000-000020000000}"/>
            </a:ext>
          </a:extLst>
        </xdr:cNvPr>
        <xdr:cNvPicPr>
          <a:picLocks noChangeAspect="1"/>
        </xdr:cNvPicPr>
      </xdr:nvPicPr>
      <xdr:blipFill>
        <a:blip xmlns:r="http://schemas.openxmlformats.org/officeDocument/2006/relationships" r:embed="rId31"/>
        <a:stretch>
          <a:fillRect/>
        </a:stretch>
      </xdr:blipFill>
      <xdr:spPr>
        <a:prstGeom prst="rect">
          <a:avLst/>
        </a:prstGeom>
        <a:ln w="9525">
          <a:solidFill>
            <a:srgbClr val="000000"/>
          </a:solidFill>
          <a:prstDash val="solid"/>
        </a:ln>
      </xdr:spPr>
    </xdr:pic>
    <xdr:clientData/>
  </xdr:twoCellAnchor>
  <xdr:twoCellAnchor>
    <xdr:from>
      <xdr:col>3</xdr:col>
      <xdr:colOff>114300</xdr:colOff>
      <xdr:row>80</xdr:row>
      <xdr:rowOff>28575</xdr:rowOff>
    </xdr:from>
    <xdr:to>
      <xdr:col>3</xdr:col>
      <xdr:colOff>1552575</xdr:colOff>
      <xdr:row>84</xdr:row>
      <xdr:rowOff>333375</xdr:rowOff>
    </xdr:to>
    <xdr:pic>
      <xdr:nvPicPr>
        <xdr:cNvPr id="33" name="Имя " descr="Descr ">
          <a:extLst>
            <a:ext uri="{FF2B5EF4-FFF2-40B4-BE49-F238E27FC236}">
              <a16:creationId xmlns:a16="http://schemas.microsoft.com/office/drawing/2014/main" id="{00000000-0008-0000-0000-000021000000}"/>
            </a:ext>
          </a:extLst>
        </xdr:cNvPr>
        <xdr:cNvPicPr>
          <a:picLocks noChangeAspect="1"/>
        </xdr:cNvPicPr>
      </xdr:nvPicPr>
      <xdr:blipFill>
        <a:blip xmlns:r="http://schemas.openxmlformats.org/officeDocument/2006/relationships" r:embed="rId32"/>
        <a:stretch>
          <a:fillRect/>
        </a:stretch>
      </xdr:blipFill>
      <xdr:spPr>
        <a:prstGeom prst="rect">
          <a:avLst/>
        </a:prstGeom>
        <a:ln w="9525">
          <a:solidFill>
            <a:srgbClr val="000000"/>
          </a:solidFill>
          <a:prstDash val="solid"/>
        </a:ln>
      </xdr:spPr>
    </xdr:pic>
    <xdr:clientData/>
  </xdr:twoCellAnchor>
  <xdr:twoCellAnchor>
    <xdr:from>
      <xdr:col>3</xdr:col>
      <xdr:colOff>114300</xdr:colOff>
      <xdr:row>85</xdr:row>
      <xdr:rowOff>28575</xdr:rowOff>
    </xdr:from>
    <xdr:to>
      <xdr:col>3</xdr:col>
      <xdr:colOff>1552575</xdr:colOff>
      <xdr:row>85</xdr:row>
      <xdr:rowOff>1266825</xdr:rowOff>
    </xdr:to>
    <xdr:pic>
      <xdr:nvPicPr>
        <xdr:cNvPr id="34" name="Имя " descr="Descr ">
          <a:extLst>
            <a:ext uri="{FF2B5EF4-FFF2-40B4-BE49-F238E27FC236}">
              <a16:creationId xmlns:a16="http://schemas.microsoft.com/office/drawing/2014/main" id="{00000000-0008-0000-0000-000022000000}"/>
            </a:ext>
          </a:extLst>
        </xdr:cNvPr>
        <xdr:cNvPicPr>
          <a:picLocks noChangeAspect="1"/>
        </xdr:cNvPicPr>
      </xdr:nvPicPr>
      <xdr:blipFill>
        <a:blip xmlns:r="http://schemas.openxmlformats.org/officeDocument/2006/relationships" r:embed="rId33"/>
        <a:stretch>
          <a:fillRect/>
        </a:stretch>
      </xdr:blipFill>
      <xdr:spPr>
        <a:prstGeom prst="rect">
          <a:avLst/>
        </a:prstGeom>
        <a:ln w="9525">
          <a:solidFill>
            <a:srgbClr val="000000"/>
          </a:solidFill>
          <a:prstDash val="solid"/>
        </a:ln>
      </xdr:spPr>
    </xdr:pic>
    <xdr:clientData/>
  </xdr:twoCellAnchor>
  <xdr:twoCellAnchor>
    <xdr:from>
      <xdr:col>3</xdr:col>
      <xdr:colOff>114300</xdr:colOff>
      <xdr:row>86</xdr:row>
      <xdr:rowOff>28575</xdr:rowOff>
    </xdr:from>
    <xdr:to>
      <xdr:col>3</xdr:col>
      <xdr:colOff>1552575</xdr:colOff>
      <xdr:row>86</xdr:row>
      <xdr:rowOff>1266825</xdr:rowOff>
    </xdr:to>
    <xdr:pic>
      <xdr:nvPicPr>
        <xdr:cNvPr id="35" name="Имя " descr="Descr ">
          <a:extLst>
            <a:ext uri="{FF2B5EF4-FFF2-40B4-BE49-F238E27FC236}">
              <a16:creationId xmlns:a16="http://schemas.microsoft.com/office/drawing/2014/main" id="{00000000-0008-0000-0000-000023000000}"/>
            </a:ext>
          </a:extLst>
        </xdr:cNvPr>
        <xdr:cNvPicPr>
          <a:picLocks noChangeAspect="1"/>
        </xdr:cNvPicPr>
      </xdr:nvPicPr>
      <xdr:blipFill>
        <a:blip xmlns:r="http://schemas.openxmlformats.org/officeDocument/2006/relationships" r:embed="rId34"/>
        <a:stretch>
          <a:fillRect/>
        </a:stretch>
      </xdr:blipFill>
      <xdr:spPr>
        <a:prstGeom prst="rect">
          <a:avLst/>
        </a:prstGeom>
        <a:ln w="9525">
          <a:solidFill>
            <a:srgbClr val="000000"/>
          </a:solidFill>
          <a:prstDash val="solid"/>
        </a:ln>
      </xdr:spPr>
    </xdr:pic>
    <xdr:clientData/>
  </xdr:twoCellAnchor>
  <xdr:twoCellAnchor>
    <xdr:from>
      <xdr:col>3</xdr:col>
      <xdr:colOff>114300</xdr:colOff>
      <xdr:row>87</xdr:row>
      <xdr:rowOff>38100</xdr:rowOff>
    </xdr:from>
    <xdr:to>
      <xdr:col>3</xdr:col>
      <xdr:colOff>1552575</xdr:colOff>
      <xdr:row>88</xdr:row>
      <xdr:rowOff>638175</xdr:rowOff>
    </xdr:to>
    <xdr:pic>
      <xdr:nvPicPr>
        <xdr:cNvPr id="36" name="Имя " descr="Descr ">
          <a:extLst>
            <a:ext uri="{FF2B5EF4-FFF2-40B4-BE49-F238E27FC236}">
              <a16:creationId xmlns:a16="http://schemas.microsoft.com/office/drawing/2014/main" id="{00000000-0008-0000-0000-000024000000}"/>
            </a:ext>
          </a:extLst>
        </xdr:cNvPr>
        <xdr:cNvPicPr>
          <a:picLocks noChangeAspect="1"/>
        </xdr:cNvPicPr>
      </xdr:nvPicPr>
      <xdr:blipFill>
        <a:blip xmlns:r="http://schemas.openxmlformats.org/officeDocument/2006/relationships" r:embed="rId35"/>
        <a:stretch>
          <a:fillRect/>
        </a:stretch>
      </xdr:blipFill>
      <xdr:spPr>
        <a:prstGeom prst="rect">
          <a:avLst/>
        </a:prstGeom>
        <a:ln w="9525">
          <a:solidFill>
            <a:srgbClr val="000000"/>
          </a:solidFill>
          <a:prstDash val="solid"/>
        </a:ln>
      </xdr:spPr>
    </xdr:pic>
    <xdr:clientData/>
  </xdr:twoCellAnchor>
  <xdr:twoCellAnchor>
    <xdr:from>
      <xdr:col>3</xdr:col>
      <xdr:colOff>114300</xdr:colOff>
      <xdr:row>89</xdr:row>
      <xdr:rowOff>28575</xdr:rowOff>
    </xdr:from>
    <xdr:to>
      <xdr:col>3</xdr:col>
      <xdr:colOff>1552575</xdr:colOff>
      <xdr:row>89</xdr:row>
      <xdr:rowOff>1266825</xdr:rowOff>
    </xdr:to>
    <xdr:pic>
      <xdr:nvPicPr>
        <xdr:cNvPr id="37" name="Имя " descr="Descr ">
          <a:extLst>
            <a:ext uri="{FF2B5EF4-FFF2-40B4-BE49-F238E27FC236}">
              <a16:creationId xmlns:a16="http://schemas.microsoft.com/office/drawing/2014/main" id="{00000000-0008-0000-0000-000025000000}"/>
            </a:ext>
          </a:extLst>
        </xdr:cNvPr>
        <xdr:cNvPicPr>
          <a:picLocks noChangeAspect="1"/>
        </xdr:cNvPicPr>
      </xdr:nvPicPr>
      <xdr:blipFill>
        <a:blip xmlns:r="http://schemas.openxmlformats.org/officeDocument/2006/relationships" r:embed="rId36"/>
        <a:stretch>
          <a:fillRect/>
        </a:stretch>
      </xdr:blipFill>
      <xdr:spPr>
        <a:prstGeom prst="rect">
          <a:avLst/>
        </a:prstGeom>
        <a:ln w="9525">
          <a:solidFill>
            <a:srgbClr val="000000"/>
          </a:solidFill>
          <a:prstDash val="solid"/>
        </a:ln>
      </xdr:spPr>
    </xdr:pic>
    <xdr:clientData/>
  </xdr:twoCellAnchor>
  <xdr:twoCellAnchor>
    <xdr:from>
      <xdr:col>3</xdr:col>
      <xdr:colOff>114300</xdr:colOff>
      <xdr:row>90</xdr:row>
      <xdr:rowOff>28575</xdr:rowOff>
    </xdr:from>
    <xdr:to>
      <xdr:col>3</xdr:col>
      <xdr:colOff>1552575</xdr:colOff>
      <xdr:row>90</xdr:row>
      <xdr:rowOff>1266825</xdr:rowOff>
    </xdr:to>
    <xdr:pic>
      <xdr:nvPicPr>
        <xdr:cNvPr id="38" name="Имя " descr="Descr ">
          <a:extLst>
            <a:ext uri="{FF2B5EF4-FFF2-40B4-BE49-F238E27FC236}">
              <a16:creationId xmlns:a16="http://schemas.microsoft.com/office/drawing/2014/main" id="{00000000-0008-0000-0000-000026000000}"/>
            </a:ext>
          </a:extLst>
        </xdr:cNvPr>
        <xdr:cNvPicPr>
          <a:picLocks noChangeAspect="1"/>
        </xdr:cNvPicPr>
      </xdr:nvPicPr>
      <xdr:blipFill>
        <a:blip xmlns:r="http://schemas.openxmlformats.org/officeDocument/2006/relationships" r:embed="rId37"/>
        <a:stretch>
          <a:fillRect/>
        </a:stretch>
      </xdr:blipFill>
      <xdr:spPr>
        <a:prstGeom prst="rect">
          <a:avLst/>
        </a:prstGeom>
        <a:ln w="9525">
          <a:solidFill>
            <a:srgbClr val="000000"/>
          </a:solidFill>
          <a:prstDash val="solid"/>
        </a:ln>
      </xdr:spPr>
    </xdr:pic>
    <xdr:clientData/>
  </xdr:twoCellAnchor>
  <xdr:twoCellAnchor>
    <xdr:from>
      <xdr:col>3</xdr:col>
      <xdr:colOff>114300</xdr:colOff>
      <xdr:row>91</xdr:row>
      <xdr:rowOff>28575</xdr:rowOff>
    </xdr:from>
    <xdr:to>
      <xdr:col>3</xdr:col>
      <xdr:colOff>1552575</xdr:colOff>
      <xdr:row>91</xdr:row>
      <xdr:rowOff>1266825</xdr:rowOff>
    </xdr:to>
    <xdr:pic>
      <xdr:nvPicPr>
        <xdr:cNvPr id="39" name="Имя " descr="Descr ">
          <a:extLst>
            <a:ext uri="{FF2B5EF4-FFF2-40B4-BE49-F238E27FC236}">
              <a16:creationId xmlns:a16="http://schemas.microsoft.com/office/drawing/2014/main" id="{00000000-0008-0000-0000-000027000000}"/>
            </a:ext>
          </a:extLst>
        </xdr:cNvPr>
        <xdr:cNvPicPr>
          <a:picLocks noChangeAspect="1"/>
        </xdr:cNvPicPr>
      </xdr:nvPicPr>
      <xdr:blipFill>
        <a:blip xmlns:r="http://schemas.openxmlformats.org/officeDocument/2006/relationships" r:embed="rId38"/>
        <a:stretch>
          <a:fillRect/>
        </a:stretch>
      </xdr:blipFill>
      <xdr:spPr>
        <a:prstGeom prst="rect">
          <a:avLst/>
        </a:prstGeom>
        <a:ln w="9525">
          <a:solidFill>
            <a:srgbClr val="000000"/>
          </a:solidFill>
          <a:prstDash val="solid"/>
        </a:ln>
      </xdr:spPr>
    </xdr:pic>
    <xdr:clientData/>
  </xdr:twoCellAnchor>
  <xdr:twoCellAnchor>
    <xdr:from>
      <xdr:col>3</xdr:col>
      <xdr:colOff>114300</xdr:colOff>
      <xdr:row>92</xdr:row>
      <xdr:rowOff>28575</xdr:rowOff>
    </xdr:from>
    <xdr:to>
      <xdr:col>3</xdr:col>
      <xdr:colOff>1552575</xdr:colOff>
      <xdr:row>92</xdr:row>
      <xdr:rowOff>1266825</xdr:rowOff>
    </xdr:to>
    <xdr:pic>
      <xdr:nvPicPr>
        <xdr:cNvPr id="40" name="Имя " descr="Descr ">
          <a:extLst>
            <a:ext uri="{FF2B5EF4-FFF2-40B4-BE49-F238E27FC236}">
              <a16:creationId xmlns:a16="http://schemas.microsoft.com/office/drawing/2014/main" id="{00000000-0008-0000-0000-000028000000}"/>
            </a:ext>
          </a:extLst>
        </xdr:cNvPr>
        <xdr:cNvPicPr>
          <a:picLocks noChangeAspect="1"/>
        </xdr:cNvPicPr>
      </xdr:nvPicPr>
      <xdr:blipFill>
        <a:blip xmlns:r="http://schemas.openxmlformats.org/officeDocument/2006/relationships" r:embed="rId39"/>
        <a:stretch>
          <a:fillRect/>
        </a:stretch>
      </xdr:blipFill>
      <xdr:spPr>
        <a:prstGeom prst="rect">
          <a:avLst/>
        </a:prstGeom>
        <a:ln w="9525">
          <a:solidFill>
            <a:srgbClr val="000000"/>
          </a:solidFill>
          <a:prstDash val="solid"/>
        </a:ln>
      </xdr:spPr>
    </xdr:pic>
    <xdr:clientData/>
  </xdr:twoCellAnchor>
  <xdr:twoCellAnchor>
    <xdr:from>
      <xdr:col>3</xdr:col>
      <xdr:colOff>114300</xdr:colOff>
      <xdr:row>93</xdr:row>
      <xdr:rowOff>28575</xdr:rowOff>
    </xdr:from>
    <xdr:to>
      <xdr:col>3</xdr:col>
      <xdr:colOff>1552575</xdr:colOff>
      <xdr:row>93</xdr:row>
      <xdr:rowOff>1266825</xdr:rowOff>
    </xdr:to>
    <xdr:pic>
      <xdr:nvPicPr>
        <xdr:cNvPr id="41" name="Имя " descr="Descr ">
          <a:extLst>
            <a:ext uri="{FF2B5EF4-FFF2-40B4-BE49-F238E27FC236}">
              <a16:creationId xmlns:a16="http://schemas.microsoft.com/office/drawing/2014/main" id="{00000000-0008-0000-0000-000029000000}"/>
            </a:ext>
          </a:extLst>
        </xdr:cNvPr>
        <xdr:cNvPicPr>
          <a:picLocks noChangeAspect="1"/>
        </xdr:cNvPicPr>
      </xdr:nvPicPr>
      <xdr:blipFill>
        <a:blip xmlns:r="http://schemas.openxmlformats.org/officeDocument/2006/relationships" r:embed="rId40"/>
        <a:stretch>
          <a:fillRect/>
        </a:stretch>
      </xdr:blipFill>
      <xdr:spPr>
        <a:prstGeom prst="rect">
          <a:avLst/>
        </a:prstGeom>
        <a:ln w="9525">
          <a:solidFill>
            <a:srgbClr val="000000"/>
          </a:solidFill>
          <a:prstDash val="solid"/>
        </a:ln>
      </xdr:spPr>
    </xdr:pic>
    <xdr:clientData/>
  </xdr:twoCellAnchor>
  <xdr:twoCellAnchor>
    <xdr:from>
      <xdr:col>3</xdr:col>
      <xdr:colOff>114300</xdr:colOff>
      <xdr:row>94</xdr:row>
      <xdr:rowOff>28575</xdr:rowOff>
    </xdr:from>
    <xdr:to>
      <xdr:col>3</xdr:col>
      <xdr:colOff>1552575</xdr:colOff>
      <xdr:row>94</xdr:row>
      <xdr:rowOff>1266825</xdr:rowOff>
    </xdr:to>
    <xdr:pic>
      <xdr:nvPicPr>
        <xdr:cNvPr id="42" name="Имя " descr="Descr ">
          <a:extLst>
            <a:ext uri="{FF2B5EF4-FFF2-40B4-BE49-F238E27FC236}">
              <a16:creationId xmlns:a16="http://schemas.microsoft.com/office/drawing/2014/main" id="{00000000-0008-0000-0000-00002A000000}"/>
            </a:ext>
          </a:extLst>
        </xdr:cNvPr>
        <xdr:cNvPicPr>
          <a:picLocks noChangeAspect="1"/>
        </xdr:cNvPicPr>
      </xdr:nvPicPr>
      <xdr:blipFill>
        <a:blip xmlns:r="http://schemas.openxmlformats.org/officeDocument/2006/relationships" r:embed="rId41"/>
        <a:stretch>
          <a:fillRect/>
        </a:stretch>
      </xdr:blipFill>
      <xdr:spPr>
        <a:prstGeom prst="rect">
          <a:avLst/>
        </a:prstGeom>
        <a:ln w="9525">
          <a:solidFill>
            <a:srgbClr val="000000"/>
          </a:solidFill>
          <a:prstDash val="solid"/>
        </a:ln>
      </xdr:spPr>
    </xdr:pic>
    <xdr:clientData/>
  </xdr:twoCellAnchor>
  <xdr:twoCellAnchor>
    <xdr:from>
      <xdr:col>3</xdr:col>
      <xdr:colOff>114300</xdr:colOff>
      <xdr:row>95</xdr:row>
      <xdr:rowOff>28575</xdr:rowOff>
    </xdr:from>
    <xdr:to>
      <xdr:col>3</xdr:col>
      <xdr:colOff>1552575</xdr:colOff>
      <xdr:row>95</xdr:row>
      <xdr:rowOff>1266825</xdr:rowOff>
    </xdr:to>
    <xdr:pic>
      <xdr:nvPicPr>
        <xdr:cNvPr id="43" name="Имя " descr="Descr ">
          <a:extLst>
            <a:ext uri="{FF2B5EF4-FFF2-40B4-BE49-F238E27FC236}">
              <a16:creationId xmlns:a16="http://schemas.microsoft.com/office/drawing/2014/main" id="{00000000-0008-0000-0000-00002B000000}"/>
            </a:ext>
          </a:extLst>
        </xdr:cNvPr>
        <xdr:cNvPicPr>
          <a:picLocks noChangeAspect="1"/>
        </xdr:cNvPicPr>
      </xdr:nvPicPr>
      <xdr:blipFill>
        <a:blip xmlns:r="http://schemas.openxmlformats.org/officeDocument/2006/relationships" r:embed="rId42"/>
        <a:stretch>
          <a:fillRect/>
        </a:stretch>
      </xdr:blipFill>
      <xdr:spPr>
        <a:prstGeom prst="rect">
          <a:avLst/>
        </a:prstGeom>
        <a:ln w="9525">
          <a:solidFill>
            <a:srgbClr val="000000"/>
          </a:solidFill>
          <a:prstDash val="solid"/>
        </a:ln>
      </xdr:spPr>
    </xdr:pic>
    <xdr:clientData/>
  </xdr:twoCellAnchor>
  <xdr:twoCellAnchor>
    <xdr:from>
      <xdr:col>3</xdr:col>
      <xdr:colOff>114300</xdr:colOff>
      <xdr:row>96</xdr:row>
      <xdr:rowOff>28575</xdr:rowOff>
    </xdr:from>
    <xdr:to>
      <xdr:col>3</xdr:col>
      <xdr:colOff>1552575</xdr:colOff>
      <xdr:row>96</xdr:row>
      <xdr:rowOff>1266825</xdr:rowOff>
    </xdr:to>
    <xdr:pic>
      <xdr:nvPicPr>
        <xdr:cNvPr id="44" name="Имя " descr="Descr ">
          <a:extLst>
            <a:ext uri="{FF2B5EF4-FFF2-40B4-BE49-F238E27FC236}">
              <a16:creationId xmlns:a16="http://schemas.microsoft.com/office/drawing/2014/main" id="{00000000-0008-0000-0000-00002C000000}"/>
            </a:ext>
          </a:extLst>
        </xdr:cNvPr>
        <xdr:cNvPicPr>
          <a:picLocks noChangeAspect="1"/>
        </xdr:cNvPicPr>
      </xdr:nvPicPr>
      <xdr:blipFill>
        <a:blip xmlns:r="http://schemas.openxmlformats.org/officeDocument/2006/relationships" r:embed="rId43"/>
        <a:stretch>
          <a:fillRect/>
        </a:stretch>
      </xdr:blipFill>
      <xdr:spPr>
        <a:prstGeom prst="rect">
          <a:avLst/>
        </a:prstGeom>
        <a:ln w="9525">
          <a:solidFill>
            <a:srgbClr val="000000"/>
          </a:solidFill>
          <a:prstDash val="solid"/>
        </a:ln>
      </xdr:spPr>
    </xdr:pic>
    <xdr:clientData/>
  </xdr:twoCellAnchor>
  <xdr:twoCellAnchor>
    <xdr:from>
      <xdr:col>3</xdr:col>
      <xdr:colOff>114300</xdr:colOff>
      <xdr:row>97</xdr:row>
      <xdr:rowOff>28575</xdr:rowOff>
    </xdr:from>
    <xdr:to>
      <xdr:col>3</xdr:col>
      <xdr:colOff>1552575</xdr:colOff>
      <xdr:row>97</xdr:row>
      <xdr:rowOff>1266825</xdr:rowOff>
    </xdr:to>
    <xdr:pic>
      <xdr:nvPicPr>
        <xdr:cNvPr id="45" name="Имя " descr="Descr ">
          <a:extLst>
            <a:ext uri="{FF2B5EF4-FFF2-40B4-BE49-F238E27FC236}">
              <a16:creationId xmlns:a16="http://schemas.microsoft.com/office/drawing/2014/main" id="{00000000-0008-0000-0000-00002D000000}"/>
            </a:ext>
          </a:extLst>
        </xdr:cNvPr>
        <xdr:cNvPicPr>
          <a:picLocks noChangeAspect="1"/>
        </xdr:cNvPicPr>
      </xdr:nvPicPr>
      <xdr:blipFill>
        <a:blip xmlns:r="http://schemas.openxmlformats.org/officeDocument/2006/relationships" r:embed="rId44"/>
        <a:stretch>
          <a:fillRect/>
        </a:stretch>
      </xdr:blipFill>
      <xdr:spPr>
        <a:prstGeom prst="rect">
          <a:avLst/>
        </a:prstGeom>
        <a:ln w="9525">
          <a:solidFill>
            <a:srgbClr val="000000"/>
          </a:solidFill>
          <a:prstDash val="solid"/>
        </a:ln>
      </xdr:spPr>
    </xdr:pic>
    <xdr:clientData/>
  </xdr:twoCellAnchor>
  <xdr:twoCellAnchor>
    <xdr:from>
      <xdr:col>3</xdr:col>
      <xdr:colOff>114300</xdr:colOff>
      <xdr:row>98</xdr:row>
      <xdr:rowOff>38100</xdr:rowOff>
    </xdr:from>
    <xdr:to>
      <xdr:col>3</xdr:col>
      <xdr:colOff>1552575</xdr:colOff>
      <xdr:row>99</xdr:row>
      <xdr:rowOff>638175</xdr:rowOff>
    </xdr:to>
    <xdr:pic>
      <xdr:nvPicPr>
        <xdr:cNvPr id="46" name="Имя " descr="Descr ">
          <a:extLst>
            <a:ext uri="{FF2B5EF4-FFF2-40B4-BE49-F238E27FC236}">
              <a16:creationId xmlns:a16="http://schemas.microsoft.com/office/drawing/2014/main" id="{00000000-0008-0000-0000-00002E000000}"/>
            </a:ext>
          </a:extLst>
        </xdr:cNvPr>
        <xdr:cNvPicPr>
          <a:picLocks noChangeAspect="1"/>
        </xdr:cNvPicPr>
      </xdr:nvPicPr>
      <xdr:blipFill>
        <a:blip xmlns:r="http://schemas.openxmlformats.org/officeDocument/2006/relationships" r:embed="rId45"/>
        <a:stretch>
          <a:fillRect/>
        </a:stretch>
      </xdr:blipFill>
      <xdr:spPr>
        <a:prstGeom prst="rect">
          <a:avLst/>
        </a:prstGeom>
        <a:ln w="9525">
          <a:solidFill>
            <a:srgbClr val="000000"/>
          </a:solidFill>
          <a:prstDash val="solid"/>
        </a:ln>
      </xdr:spPr>
    </xdr:pic>
    <xdr:clientData/>
  </xdr:twoCellAnchor>
  <xdr:twoCellAnchor>
    <xdr:from>
      <xdr:col>3</xdr:col>
      <xdr:colOff>114300</xdr:colOff>
      <xdr:row>100</xdr:row>
      <xdr:rowOff>38100</xdr:rowOff>
    </xdr:from>
    <xdr:to>
      <xdr:col>3</xdr:col>
      <xdr:colOff>1552575</xdr:colOff>
      <xdr:row>101</xdr:row>
      <xdr:rowOff>638175</xdr:rowOff>
    </xdr:to>
    <xdr:pic>
      <xdr:nvPicPr>
        <xdr:cNvPr id="47" name="Имя " descr="Descr ">
          <a:extLst>
            <a:ext uri="{FF2B5EF4-FFF2-40B4-BE49-F238E27FC236}">
              <a16:creationId xmlns:a16="http://schemas.microsoft.com/office/drawing/2014/main" id="{00000000-0008-0000-0000-00002F000000}"/>
            </a:ext>
          </a:extLst>
        </xdr:cNvPr>
        <xdr:cNvPicPr>
          <a:picLocks noChangeAspect="1"/>
        </xdr:cNvPicPr>
      </xdr:nvPicPr>
      <xdr:blipFill>
        <a:blip xmlns:r="http://schemas.openxmlformats.org/officeDocument/2006/relationships" r:embed="rId46"/>
        <a:stretch>
          <a:fillRect/>
        </a:stretch>
      </xdr:blipFill>
      <xdr:spPr>
        <a:prstGeom prst="rect">
          <a:avLst/>
        </a:prstGeom>
        <a:ln w="9525">
          <a:solidFill>
            <a:srgbClr val="000000"/>
          </a:solidFill>
          <a:prstDash val="solid"/>
        </a:ln>
      </xdr:spPr>
    </xdr:pic>
    <xdr:clientData/>
  </xdr:twoCellAnchor>
  <xdr:twoCellAnchor>
    <xdr:from>
      <xdr:col>3</xdr:col>
      <xdr:colOff>114300</xdr:colOff>
      <xdr:row>102</xdr:row>
      <xdr:rowOff>28575</xdr:rowOff>
    </xdr:from>
    <xdr:to>
      <xdr:col>3</xdr:col>
      <xdr:colOff>1552575</xdr:colOff>
      <xdr:row>102</xdr:row>
      <xdr:rowOff>1266825</xdr:rowOff>
    </xdr:to>
    <xdr:pic>
      <xdr:nvPicPr>
        <xdr:cNvPr id="48" name="Имя " descr="Descr ">
          <a:extLst>
            <a:ext uri="{FF2B5EF4-FFF2-40B4-BE49-F238E27FC236}">
              <a16:creationId xmlns:a16="http://schemas.microsoft.com/office/drawing/2014/main" id="{00000000-0008-0000-0000-000030000000}"/>
            </a:ext>
          </a:extLst>
        </xdr:cNvPr>
        <xdr:cNvPicPr>
          <a:picLocks noChangeAspect="1"/>
        </xdr:cNvPicPr>
      </xdr:nvPicPr>
      <xdr:blipFill>
        <a:blip xmlns:r="http://schemas.openxmlformats.org/officeDocument/2006/relationships" r:embed="rId47"/>
        <a:stretch>
          <a:fillRect/>
        </a:stretch>
      </xdr:blipFill>
      <xdr:spPr>
        <a:prstGeom prst="rect">
          <a:avLst/>
        </a:prstGeom>
        <a:ln w="9525">
          <a:solidFill>
            <a:srgbClr val="000000"/>
          </a:solidFill>
          <a:prstDash val="solid"/>
        </a:ln>
      </xdr:spPr>
    </xdr:pic>
    <xdr:clientData/>
  </xdr:twoCellAnchor>
  <xdr:twoCellAnchor>
    <xdr:from>
      <xdr:col>3</xdr:col>
      <xdr:colOff>114300</xdr:colOff>
      <xdr:row>103</xdr:row>
      <xdr:rowOff>28575</xdr:rowOff>
    </xdr:from>
    <xdr:to>
      <xdr:col>3</xdr:col>
      <xdr:colOff>1552575</xdr:colOff>
      <xdr:row>103</xdr:row>
      <xdr:rowOff>1266825</xdr:rowOff>
    </xdr:to>
    <xdr:pic>
      <xdr:nvPicPr>
        <xdr:cNvPr id="49" name="Имя " descr="Descr ">
          <a:extLst>
            <a:ext uri="{FF2B5EF4-FFF2-40B4-BE49-F238E27FC236}">
              <a16:creationId xmlns:a16="http://schemas.microsoft.com/office/drawing/2014/main" id="{00000000-0008-0000-0000-000031000000}"/>
            </a:ext>
          </a:extLst>
        </xdr:cNvPr>
        <xdr:cNvPicPr>
          <a:picLocks noChangeAspect="1"/>
        </xdr:cNvPicPr>
      </xdr:nvPicPr>
      <xdr:blipFill>
        <a:blip xmlns:r="http://schemas.openxmlformats.org/officeDocument/2006/relationships" r:embed="rId48"/>
        <a:stretch>
          <a:fillRect/>
        </a:stretch>
      </xdr:blipFill>
      <xdr:spPr>
        <a:prstGeom prst="rect">
          <a:avLst/>
        </a:prstGeom>
        <a:ln w="9525">
          <a:solidFill>
            <a:srgbClr val="000000"/>
          </a:solidFill>
          <a:prstDash val="solid"/>
        </a:ln>
      </xdr:spPr>
    </xdr:pic>
    <xdr:clientData/>
  </xdr:twoCellAnchor>
  <xdr:twoCellAnchor>
    <xdr:from>
      <xdr:col>3</xdr:col>
      <xdr:colOff>114300</xdr:colOff>
      <xdr:row>104</xdr:row>
      <xdr:rowOff>28575</xdr:rowOff>
    </xdr:from>
    <xdr:to>
      <xdr:col>3</xdr:col>
      <xdr:colOff>1552575</xdr:colOff>
      <xdr:row>104</xdr:row>
      <xdr:rowOff>1266825</xdr:rowOff>
    </xdr:to>
    <xdr:pic>
      <xdr:nvPicPr>
        <xdr:cNvPr id="50" name="Имя " descr="Descr ">
          <a:extLst>
            <a:ext uri="{FF2B5EF4-FFF2-40B4-BE49-F238E27FC236}">
              <a16:creationId xmlns:a16="http://schemas.microsoft.com/office/drawing/2014/main" id="{00000000-0008-0000-0000-000032000000}"/>
            </a:ext>
          </a:extLst>
        </xdr:cNvPr>
        <xdr:cNvPicPr>
          <a:picLocks noChangeAspect="1"/>
        </xdr:cNvPicPr>
      </xdr:nvPicPr>
      <xdr:blipFill>
        <a:blip xmlns:r="http://schemas.openxmlformats.org/officeDocument/2006/relationships" r:embed="rId49"/>
        <a:stretch>
          <a:fillRect/>
        </a:stretch>
      </xdr:blipFill>
      <xdr:spPr>
        <a:prstGeom prst="rect">
          <a:avLst/>
        </a:prstGeom>
        <a:ln w="9525">
          <a:solidFill>
            <a:srgbClr val="000000"/>
          </a:solidFill>
          <a:prstDash val="solid"/>
        </a:ln>
      </xdr:spPr>
    </xdr:pic>
    <xdr:clientData/>
  </xdr:twoCellAnchor>
  <xdr:twoCellAnchor>
    <xdr:from>
      <xdr:col>3</xdr:col>
      <xdr:colOff>114300</xdr:colOff>
      <xdr:row>105</xdr:row>
      <xdr:rowOff>28575</xdr:rowOff>
    </xdr:from>
    <xdr:to>
      <xdr:col>3</xdr:col>
      <xdr:colOff>1552575</xdr:colOff>
      <xdr:row>105</xdr:row>
      <xdr:rowOff>1266825</xdr:rowOff>
    </xdr:to>
    <xdr:pic>
      <xdr:nvPicPr>
        <xdr:cNvPr id="51" name="Имя " descr="Descr ">
          <a:extLst>
            <a:ext uri="{FF2B5EF4-FFF2-40B4-BE49-F238E27FC236}">
              <a16:creationId xmlns:a16="http://schemas.microsoft.com/office/drawing/2014/main" id="{00000000-0008-0000-0000-000033000000}"/>
            </a:ext>
          </a:extLst>
        </xdr:cNvPr>
        <xdr:cNvPicPr>
          <a:picLocks noChangeAspect="1"/>
        </xdr:cNvPicPr>
      </xdr:nvPicPr>
      <xdr:blipFill>
        <a:blip xmlns:r="http://schemas.openxmlformats.org/officeDocument/2006/relationships" r:embed="rId50"/>
        <a:stretch>
          <a:fillRect/>
        </a:stretch>
      </xdr:blipFill>
      <xdr:spPr>
        <a:prstGeom prst="rect">
          <a:avLst/>
        </a:prstGeom>
        <a:ln w="9525">
          <a:solidFill>
            <a:srgbClr val="000000"/>
          </a:solidFill>
          <a:prstDash val="solid"/>
        </a:ln>
      </xdr:spPr>
    </xdr:pic>
    <xdr:clientData/>
  </xdr:twoCellAnchor>
  <xdr:twoCellAnchor>
    <xdr:from>
      <xdr:col>3</xdr:col>
      <xdr:colOff>114300</xdr:colOff>
      <xdr:row>106</xdr:row>
      <xdr:rowOff>28575</xdr:rowOff>
    </xdr:from>
    <xdr:to>
      <xdr:col>3</xdr:col>
      <xdr:colOff>1552575</xdr:colOff>
      <xdr:row>106</xdr:row>
      <xdr:rowOff>1266825</xdr:rowOff>
    </xdr:to>
    <xdr:pic>
      <xdr:nvPicPr>
        <xdr:cNvPr id="52" name="Имя " descr="Descr ">
          <a:extLst>
            <a:ext uri="{FF2B5EF4-FFF2-40B4-BE49-F238E27FC236}">
              <a16:creationId xmlns:a16="http://schemas.microsoft.com/office/drawing/2014/main" id="{00000000-0008-0000-0000-000034000000}"/>
            </a:ext>
          </a:extLst>
        </xdr:cNvPr>
        <xdr:cNvPicPr>
          <a:picLocks noChangeAspect="1"/>
        </xdr:cNvPicPr>
      </xdr:nvPicPr>
      <xdr:blipFill>
        <a:blip xmlns:r="http://schemas.openxmlformats.org/officeDocument/2006/relationships" r:embed="rId51"/>
        <a:stretch>
          <a:fillRect/>
        </a:stretch>
      </xdr:blipFill>
      <xdr:spPr>
        <a:prstGeom prst="rect">
          <a:avLst/>
        </a:prstGeom>
        <a:ln w="9525">
          <a:solidFill>
            <a:srgbClr val="000000"/>
          </a:solidFill>
          <a:prstDash val="solid"/>
        </a:ln>
      </xdr:spPr>
    </xdr:pic>
    <xdr:clientData/>
  </xdr:twoCellAnchor>
  <xdr:twoCellAnchor>
    <xdr:from>
      <xdr:col>3</xdr:col>
      <xdr:colOff>114300</xdr:colOff>
      <xdr:row>107</xdr:row>
      <xdr:rowOff>28575</xdr:rowOff>
    </xdr:from>
    <xdr:to>
      <xdr:col>3</xdr:col>
      <xdr:colOff>1552575</xdr:colOff>
      <xdr:row>107</xdr:row>
      <xdr:rowOff>1266825</xdr:rowOff>
    </xdr:to>
    <xdr:pic>
      <xdr:nvPicPr>
        <xdr:cNvPr id="53" name="Имя " descr="Descr ">
          <a:extLst>
            <a:ext uri="{FF2B5EF4-FFF2-40B4-BE49-F238E27FC236}">
              <a16:creationId xmlns:a16="http://schemas.microsoft.com/office/drawing/2014/main" id="{00000000-0008-0000-0000-000035000000}"/>
            </a:ext>
          </a:extLst>
        </xdr:cNvPr>
        <xdr:cNvPicPr>
          <a:picLocks noChangeAspect="1"/>
        </xdr:cNvPicPr>
      </xdr:nvPicPr>
      <xdr:blipFill>
        <a:blip xmlns:r="http://schemas.openxmlformats.org/officeDocument/2006/relationships" r:embed="rId52"/>
        <a:stretch>
          <a:fillRect/>
        </a:stretch>
      </xdr:blipFill>
      <xdr:spPr>
        <a:prstGeom prst="rect">
          <a:avLst/>
        </a:prstGeom>
        <a:ln w="9525">
          <a:solidFill>
            <a:srgbClr val="000000"/>
          </a:solidFill>
          <a:prstDash val="solid"/>
        </a:ln>
      </xdr:spPr>
    </xdr:pic>
    <xdr:clientData/>
  </xdr:twoCellAnchor>
  <xdr:twoCellAnchor>
    <xdr:from>
      <xdr:col>3</xdr:col>
      <xdr:colOff>114300</xdr:colOff>
      <xdr:row>108</xdr:row>
      <xdr:rowOff>38100</xdr:rowOff>
    </xdr:from>
    <xdr:to>
      <xdr:col>3</xdr:col>
      <xdr:colOff>1552575</xdr:colOff>
      <xdr:row>109</xdr:row>
      <xdr:rowOff>638175</xdr:rowOff>
    </xdr:to>
    <xdr:pic>
      <xdr:nvPicPr>
        <xdr:cNvPr id="54" name="Имя " descr="Descr ">
          <a:extLst>
            <a:ext uri="{FF2B5EF4-FFF2-40B4-BE49-F238E27FC236}">
              <a16:creationId xmlns:a16="http://schemas.microsoft.com/office/drawing/2014/main" id="{00000000-0008-0000-0000-000036000000}"/>
            </a:ext>
          </a:extLst>
        </xdr:cNvPr>
        <xdr:cNvPicPr>
          <a:picLocks noChangeAspect="1"/>
        </xdr:cNvPicPr>
      </xdr:nvPicPr>
      <xdr:blipFill>
        <a:blip xmlns:r="http://schemas.openxmlformats.org/officeDocument/2006/relationships" r:embed="rId53"/>
        <a:stretch>
          <a:fillRect/>
        </a:stretch>
      </xdr:blipFill>
      <xdr:spPr>
        <a:prstGeom prst="rect">
          <a:avLst/>
        </a:prstGeom>
        <a:ln w="9525">
          <a:solidFill>
            <a:srgbClr val="000000"/>
          </a:solidFill>
          <a:prstDash val="solid"/>
        </a:ln>
      </xdr:spPr>
    </xdr:pic>
    <xdr:clientData/>
  </xdr:twoCellAnchor>
  <xdr:twoCellAnchor>
    <xdr:from>
      <xdr:col>3</xdr:col>
      <xdr:colOff>114300</xdr:colOff>
      <xdr:row>110</xdr:row>
      <xdr:rowOff>28575</xdr:rowOff>
    </xdr:from>
    <xdr:to>
      <xdr:col>3</xdr:col>
      <xdr:colOff>1552575</xdr:colOff>
      <xdr:row>110</xdr:row>
      <xdr:rowOff>1266825</xdr:rowOff>
    </xdr:to>
    <xdr:pic>
      <xdr:nvPicPr>
        <xdr:cNvPr id="55" name="Имя " descr="Descr ">
          <a:extLst>
            <a:ext uri="{FF2B5EF4-FFF2-40B4-BE49-F238E27FC236}">
              <a16:creationId xmlns:a16="http://schemas.microsoft.com/office/drawing/2014/main" id="{00000000-0008-0000-0000-000037000000}"/>
            </a:ext>
          </a:extLst>
        </xdr:cNvPr>
        <xdr:cNvPicPr>
          <a:picLocks noChangeAspect="1"/>
        </xdr:cNvPicPr>
      </xdr:nvPicPr>
      <xdr:blipFill>
        <a:blip xmlns:r="http://schemas.openxmlformats.org/officeDocument/2006/relationships" r:embed="rId53"/>
        <a:stretch>
          <a:fillRect/>
        </a:stretch>
      </xdr:blipFill>
      <xdr:spPr>
        <a:prstGeom prst="rect">
          <a:avLst/>
        </a:prstGeom>
        <a:ln w="9525">
          <a:solidFill>
            <a:srgbClr val="000000"/>
          </a:solidFill>
          <a:prstDash val="solid"/>
        </a:ln>
      </xdr:spPr>
    </xdr:pic>
    <xdr:clientData/>
  </xdr:twoCellAnchor>
  <xdr:twoCellAnchor>
    <xdr:from>
      <xdr:col>3</xdr:col>
      <xdr:colOff>114300</xdr:colOff>
      <xdr:row>111</xdr:row>
      <xdr:rowOff>28575</xdr:rowOff>
    </xdr:from>
    <xdr:to>
      <xdr:col>3</xdr:col>
      <xdr:colOff>1552575</xdr:colOff>
      <xdr:row>111</xdr:row>
      <xdr:rowOff>1266825</xdr:rowOff>
    </xdr:to>
    <xdr:pic>
      <xdr:nvPicPr>
        <xdr:cNvPr id="56" name="Имя " descr="Descr ">
          <a:extLst>
            <a:ext uri="{FF2B5EF4-FFF2-40B4-BE49-F238E27FC236}">
              <a16:creationId xmlns:a16="http://schemas.microsoft.com/office/drawing/2014/main" id="{00000000-0008-0000-0000-000038000000}"/>
            </a:ext>
          </a:extLst>
        </xdr:cNvPr>
        <xdr:cNvPicPr>
          <a:picLocks noChangeAspect="1"/>
        </xdr:cNvPicPr>
      </xdr:nvPicPr>
      <xdr:blipFill>
        <a:blip xmlns:r="http://schemas.openxmlformats.org/officeDocument/2006/relationships" r:embed="rId54"/>
        <a:stretch>
          <a:fillRect/>
        </a:stretch>
      </xdr:blipFill>
      <xdr:spPr>
        <a:prstGeom prst="rect">
          <a:avLst/>
        </a:prstGeom>
        <a:ln w="9525">
          <a:solidFill>
            <a:srgbClr val="000000"/>
          </a:solidFill>
          <a:prstDash val="solid"/>
        </a:ln>
      </xdr:spPr>
    </xdr:pic>
    <xdr:clientData/>
  </xdr:twoCellAnchor>
  <xdr:twoCellAnchor>
    <xdr:from>
      <xdr:col>3</xdr:col>
      <xdr:colOff>114300</xdr:colOff>
      <xdr:row>112</xdr:row>
      <xdr:rowOff>28575</xdr:rowOff>
    </xdr:from>
    <xdr:to>
      <xdr:col>3</xdr:col>
      <xdr:colOff>1552575</xdr:colOff>
      <xdr:row>115</xdr:row>
      <xdr:rowOff>209550</xdr:rowOff>
    </xdr:to>
    <xdr:pic>
      <xdr:nvPicPr>
        <xdr:cNvPr id="57" name="Имя " descr="Descr ">
          <a:extLst>
            <a:ext uri="{FF2B5EF4-FFF2-40B4-BE49-F238E27FC236}">
              <a16:creationId xmlns:a16="http://schemas.microsoft.com/office/drawing/2014/main" id="{00000000-0008-0000-0000-000039000000}"/>
            </a:ext>
          </a:extLst>
        </xdr:cNvPr>
        <xdr:cNvPicPr>
          <a:picLocks noChangeAspect="1"/>
        </xdr:cNvPicPr>
      </xdr:nvPicPr>
      <xdr:blipFill>
        <a:blip xmlns:r="http://schemas.openxmlformats.org/officeDocument/2006/relationships" r:embed="rId55"/>
        <a:stretch>
          <a:fillRect/>
        </a:stretch>
      </xdr:blipFill>
      <xdr:spPr>
        <a:prstGeom prst="rect">
          <a:avLst/>
        </a:prstGeom>
        <a:ln w="9525">
          <a:solidFill>
            <a:srgbClr val="000000"/>
          </a:solidFill>
          <a:prstDash val="solid"/>
        </a:ln>
      </xdr:spPr>
    </xdr:pic>
    <xdr:clientData/>
  </xdr:twoCellAnchor>
  <xdr:twoCellAnchor>
    <xdr:from>
      <xdr:col>3</xdr:col>
      <xdr:colOff>114300</xdr:colOff>
      <xdr:row>116</xdr:row>
      <xdr:rowOff>28575</xdr:rowOff>
    </xdr:from>
    <xdr:to>
      <xdr:col>3</xdr:col>
      <xdr:colOff>1552575</xdr:colOff>
      <xdr:row>116</xdr:row>
      <xdr:rowOff>1266825</xdr:rowOff>
    </xdr:to>
    <xdr:pic>
      <xdr:nvPicPr>
        <xdr:cNvPr id="58" name="Имя " descr="Descr ">
          <a:extLst>
            <a:ext uri="{FF2B5EF4-FFF2-40B4-BE49-F238E27FC236}">
              <a16:creationId xmlns:a16="http://schemas.microsoft.com/office/drawing/2014/main" id="{00000000-0008-0000-0000-00003A000000}"/>
            </a:ext>
          </a:extLst>
        </xdr:cNvPr>
        <xdr:cNvPicPr>
          <a:picLocks noChangeAspect="1"/>
        </xdr:cNvPicPr>
      </xdr:nvPicPr>
      <xdr:blipFill>
        <a:blip xmlns:r="http://schemas.openxmlformats.org/officeDocument/2006/relationships" r:embed="rId56"/>
        <a:stretch>
          <a:fillRect/>
        </a:stretch>
      </xdr:blipFill>
      <xdr:spPr>
        <a:prstGeom prst="rect">
          <a:avLst/>
        </a:prstGeom>
        <a:ln w="9525">
          <a:solidFill>
            <a:srgbClr val="000000"/>
          </a:solidFill>
          <a:prstDash val="solid"/>
        </a:ln>
      </xdr:spPr>
    </xdr:pic>
    <xdr:clientData/>
  </xdr:twoCellAnchor>
  <xdr:twoCellAnchor>
    <xdr:from>
      <xdr:col>3</xdr:col>
      <xdr:colOff>114300</xdr:colOff>
      <xdr:row>117</xdr:row>
      <xdr:rowOff>28575</xdr:rowOff>
    </xdr:from>
    <xdr:to>
      <xdr:col>3</xdr:col>
      <xdr:colOff>1552575</xdr:colOff>
      <xdr:row>121</xdr:row>
      <xdr:rowOff>333375</xdr:rowOff>
    </xdr:to>
    <xdr:pic>
      <xdr:nvPicPr>
        <xdr:cNvPr id="59" name="Имя " descr="Descr ">
          <a:extLst>
            <a:ext uri="{FF2B5EF4-FFF2-40B4-BE49-F238E27FC236}">
              <a16:creationId xmlns:a16="http://schemas.microsoft.com/office/drawing/2014/main" id="{00000000-0008-0000-0000-00003B000000}"/>
            </a:ext>
          </a:extLst>
        </xdr:cNvPr>
        <xdr:cNvPicPr>
          <a:picLocks noChangeAspect="1"/>
        </xdr:cNvPicPr>
      </xdr:nvPicPr>
      <xdr:blipFill>
        <a:blip xmlns:r="http://schemas.openxmlformats.org/officeDocument/2006/relationships" r:embed="rId57"/>
        <a:stretch>
          <a:fillRect/>
        </a:stretch>
      </xdr:blipFill>
      <xdr:spPr>
        <a:prstGeom prst="rect">
          <a:avLst/>
        </a:prstGeom>
        <a:ln w="9525">
          <a:solidFill>
            <a:srgbClr val="000000"/>
          </a:solidFill>
          <a:prstDash val="solid"/>
        </a:ln>
      </xdr:spPr>
    </xdr:pic>
    <xdr:clientData/>
  </xdr:twoCellAnchor>
  <xdr:twoCellAnchor>
    <xdr:from>
      <xdr:col>3</xdr:col>
      <xdr:colOff>114300</xdr:colOff>
      <xdr:row>122</xdr:row>
      <xdr:rowOff>28575</xdr:rowOff>
    </xdr:from>
    <xdr:to>
      <xdr:col>3</xdr:col>
      <xdr:colOff>1552575</xdr:colOff>
      <xdr:row>122</xdr:row>
      <xdr:rowOff>1266825</xdr:rowOff>
    </xdr:to>
    <xdr:pic>
      <xdr:nvPicPr>
        <xdr:cNvPr id="60" name="Имя " descr="Descr ">
          <a:extLst>
            <a:ext uri="{FF2B5EF4-FFF2-40B4-BE49-F238E27FC236}">
              <a16:creationId xmlns:a16="http://schemas.microsoft.com/office/drawing/2014/main" id="{00000000-0008-0000-0000-00003C000000}"/>
            </a:ext>
          </a:extLst>
        </xdr:cNvPr>
        <xdr:cNvPicPr>
          <a:picLocks noChangeAspect="1"/>
        </xdr:cNvPicPr>
      </xdr:nvPicPr>
      <xdr:blipFill>
        <a:blip xmlns:r="http://schemas.openxmlformats.org/officeDocument/2006/relationships" r:embed="rId58"/>
        <a:stretch>
          <a:fillRect/>
        </a:stretch>
      </xdr:blipFill>
      <xdr:spPr>
        <a:prstGeom prst="rect">
          <a:avLst/>
        </a:prstGeom>
        <a:ln w="9525">
          <a:solidFill>
            <a:srgbClr val="000000"/>
          </a:solidFill>
          <a:prstDash val="solid"/>
        </a:ln>
      </xdr:spPr>
    </xdr:pic>
    <xdr:clientData/>
  </xdr:twoCellAnchor>
  <xdr:twoCellAnchor>
    <xdr:from>
      <xdr:col>3</xdr:col>
      <xdr:colOff>114300</xdr:colOff>
      <xdr:row>123</xdr:row>
      <xdr:rowOff>28575</xdr:rowOff>
    </xdr:from>
    <xdr:to>
      <xdr:col>3</xdr:col>
      <xdr:colOff>1552575</xdr:colOff>
      <xdr:row>127</xdr:row>
      <xdr:rowOff>333375</xdr:rowOff>
    </xdr:to>
    <xdr:pic>
      <xdr:nvPicPr>
        <xdr:cNvPr id="61" name="Имя " descr="Descr ">
          <a:extLst>
            <a:ext uri="{FF2B5EF4-FFF2-40B4-BE49-F238E27FC236}">
              <a16:creationId xmlns:a16="http://schemas.microsoft.com/office/drawing/2014/main" id="{00000000-0008-0000-0000-00003D000000}"/>
            </a:ext>
          </a:extLst>
        </xdr:cNvPr>
        <xdr:cNvPicPr>
          <a:picLocks noChangeAspect="1"/>
        </xdr:cNvPicPr>
      </xdr:nvPicPr>
      <xdr:blipFill>
        <a:blip xmlns:r="http://schemas.openxmlformats.org/officeDocument/2006/relationships" r:embed="rId59"/>
        <a:stretch>
          <a:fillRect/>
        </a:stretch>
      </xdr:blipFill>
      <xdr:spPr>
        <a:prstGeom prst="rect">
          <a:avLst/>
        </a:prstGeom>
        <a:ln w="9525">
          <a:solidFill>
            <a:srgbClr val="000000"/>
          </a:solidFill>
          <a:prstDash val="solid"/>
        </a:ln>
      </xdr:spPr>
    </xdr:pic>
    <xdr:clientData/>
  </xdr:twoCellAnchor>
  <xdr:twoCellAnchor>
    <xdr:from>
      <xdr:col>3</xdr:col>
      <xdr:colOff>114300</xdr:colOff>
      <xdr:row>128</xdr:row>
      <xdr:rowOff>28575</xdr:rowOff>
    </xdr:from>
    <xdr:to>
      <xdr:col>3</xdr:col>
      <xdr:colOff>1552575</xdr:colOff>
      <xdr:row>130</xdr:row>
      <xdr:rowOff>419100</xdr:rowOff>
    </xdr:to>
    <xdr:pic>
      <xdr:nvPicPr>
        <xdr:cNvPr id="62" name="Имя " descr="Descr ">
          <a:extLst>
            <a:ext uri="{FF2B5EF4-FFF2-40B4-BE49-F238E27FC236}">
              <a16:creationId xmlns:a16="http://schemas.microsoft.com/office/drawing/2014/main" id="{00000000-0008-0000-0000-00003E000000}"/>
            </a:ext>
          </a:extLst>
        </xdr:cNvPr>
        <xdr:cNvPicPr>
          <a:picLocks noChangeAspect="1"/>
        </xdr:cNvPicPr>
      </xdr:nvPicPr>
      <xdr:blipFill>
        <a:blip xmlns:r="http://schemas.openxmlformats.org/officeDocument/2006/relationships" r:embed="rId60"/>
        <a:stretch>
          <a:fillRect/>
        </a:stretch>
      </xdr:blipFill>
      <xdr:spPr>
        <a:prstGeom prst="rect">
          <a:avLst/>
        </a:prstGeom>
        <a:ln w="9525">
          <a:solidFill>
            <a:srgbClr val="000000"/>
          </a:solidFill>
          <a:prstDash val="solid"/>
        </a:ln>
      </xdr:spPr>
    </xdr:pic>
    <xdr:clientData/>
  </xdr:twoCellAnchor>
  <xdr:twoCellAnchor>
    <xdr:from>
      <xdr:col>3</xdr:col>
      <xdr:colOff>114300</xdr:colOff>
      <xdr:row>131</xdr:row>
      <xdr:rowOff>28575</xdr:rowOff>
    </xdr:from>
    <xdr:to>
      <xdr:col>3</xdr:col>
      <xdr:colOff>1552575</xdr:colOff>
      <xdr:row>134</xdr:row>
      <xdr:rowOff>209550</xdr:rowOff>
    </xdr:to>
    <xdr:pic>
      <xdr:nvPicPr>
        <xdr:cNvPr id="63" name="Имя " descr="Descr ">
          <a:extLst>
            <a:ext uri="{FF2B5EF4-FFF2-40B4-BE49-F238E27FC236}">
              <a16:creationId xmlns:a16="http://schemas.microsoft.com/office/drawing/2014/main" id="{00000000-0008-0000-0000-00003F000000}"/>
            </a:ext>
          </a:extLst>
        </xdr:cNvPr>
        <xdr:cNvPicPr>
          <a:picLocks noChangeAspect="1"/>
        </xdr:cNvPicPr>
      </xdr:nvPicPr>
      <xdr:blipFill>
        <a:blip xmlns:r="http://schemas.openxmlformats.org/officeDocument/2006/relationships" r:embed="rId61"/>
        <a:stretch>
          <a:fillRect/>
        </a:stretch>
      </xdr:blipFill>
      <xdr:spPr>
        <a:prstGeom prst="rect">
          <a:avLst/>
        </a:prstGeom>
        <a:ln w="9525">
          <a:solidFill>
            <a:srgbClr val="000000"/>
          </a:solidFill>
          <a:prstDash val="solid"/>
        </a:ln>
      </xdr:spPr>
    </xdr:pic>
    <xdr:clientData/>
  </xdr:twoCellAnchor>
  <xdr:twoCellAnchor>
    <xdr:from>
      <xdr:col>3</xdr:col>
      <xdr:colOff>114300</xdr:colOff>
      <xdr:row>135</xdr:row>
      <xdr:rowOff>28575</xdr:rowOff>
    </xdr:from>
    <xdr:to>
      <xdr:col>3</xdr:col>
      <xdr:colOff>1552575</xdr:colOff>
      <xdr:row>139</xdr:row>
      <xdr:rowOff>333375</xdr:rowOff>
    </xdr:to>
    <xdr:pic>
      <xdr:nvPicPr>
        <xdr:cNvPr id="64" name="Имя " descr="Descr ">
          <a:extLst>
            <a:ext uri="{FF2B5EF4-FFF2-40B4-BE49-F238E27FC236}">
              <a16:creationId xmlns:a16="http://schemas.microsoft.com/office/drawing/2014/main" id="{00000000-0008-0000-0000-000040000000}"/>
            </a:ext>
          </a:extLst>
        </xdr:cNvPr>
        <xdr:cNvPicPr>
          <a:picLocks noChangeAspect="1"/>
        </xdr:cNvPicPr>
      </xdr:nvPicPr>
      <xdr:blipFill>
        <a:blip xmlns:r="http://schemas.openxmlformats.org/officeDocument/2006/relationships" r:embed="rId62"/>
        <a:stretch>
          <a:fillRect/>
        </a:stretch>
      </xdr:blipFill>
      <xdr:spPr>
        <a:prstGeom prst="rect">
          <a:avLst/>
        </a:prstGeom>
        <a:ln w="9525">
          <a:solidFill>
            <a:srgbClr val="000000"/>
          </a:solidFill>
          <a:prstDash val="solid"/>
        </a:ln>
      </xdr:spPr>
    </xdr:pic>
    <xdr:clientData/>
  </xdr:twoCellAnchor>
  <xdr:twoCellAnchor>
    <xdr:from>
      <xdr:col>3</xdr:col>
      <xdr:colOff>114300</xdr:colOff>
      <xdr:row>140</xdr:row>
      <xdr:rowOff>28575</xdr:rowOff>
    </xdr:from>
    <xdr:to>
      <xdr:col>3</xdr:col>
      <xdr:colOff>1552575</xdr:colOff>
      <xdr:row>144</xdr:row>
      <xdr:rowOff>333375</xdr:rowOff>
    </xdr:to>
    <xdr:pic>
      <xdr:nvPicPr>
        <xdr:cNvPr id="65" name="Имя " descr="Descr ">
          <a:extLst>
            <a:ext uri="{FF2B5EF4-FFF2-40B4-BE49-F238E27FC236}">
              <a16:creationId xmlns:a16="http://schemas.microsoft.com/office/drawing/2014/main" id="{00000000-0008-0000-0000-000041000000}"/>
            </a:ext>
          </a:extLst>
        </xdr:cNvPr>
        <xdr:cNvPicPr>
          <a:picLocks noChangeAspect="1"/>
        </xdr:cNvPicPr>
      </xdr:nvPicPr>
      <xdr:blipFill>
        <a:blip xmlns:r="http://schemas.openxmlformats.org/officeDocument/2006/relationships" r:embed="rId63"/>
        <a:stretch>
          <a:fillRect/>
        </a:stretch>
      </xdr:blipFill>
      <xdr:spPr>
        <a:prstGeom prst="rect">
          <a:avLst/>
        </a:prstGeom>
        <a:ln w="9525">
          <a:solidFill>
            <a:srgbClr val="000000"/>
          </a:solidFill>
          <a:prstDash val="solid"/>
        </a:ln>
      </xdr:spPr>
    </xdr:pic>
    <xdr:clientData/>
  </xdr:twoCellAnchor>
  <xdr:twoCellAnchor>
    <xdr:from>
      <xdr:col>3</xdr:col>
      <xdr:colOff>114300</xdr:colOff>
      <xdr:row>145</xdr:row>
      <xdr:rowOff>28575</xdr:rowOff>
    </xdr:from>
    <xdr:to>
      <xdr:col>3</xdr:col>
      <xdr:colOff>1552575</xdr:colOff>
      <xdr:row>145</xdr:row>
      <xdr:rowOff>1266825</xdr:rowOff>
    </xdr:to>
    <xdr:pic>
      <xdr:nvPicPr>
        <xdr:cNvPr id="66" name="Имя " descr="Descr ">
          <a:extLst>
            <a:ext uri="{FF2B5EF4-FFF2-40B4-BE49-F238E27FC236}">
              <a16:creationId xmlns:a16="http://schemas.microsoft.com/office/drawing/2014/main" id="{00000000-0008-0000-0000-000042000000}"/>
            </a:ext>
          </a:extLst>
        </xdr:cNvPr>
        <xdr:cNvPicPr>
          <a:picLocks noChangeAspect="1"/>
        </xdr:cNvPicPr>
      </xdr:nvPicPr>
      <xdr:blipFill>
        <a:blip xmlns:r="http://schemas.openxmlformats.org/officeDocument/2006/relationships" r:embed="rId64"/>
        <a:stretch>
          <a:fillRect/>
        </a:stretch>
      </xdr:blipFill>
      <xdr:spPr>
        <a:prstGeom prst="rect">
          <a:avLst/>
        </a:prstGeom>
        <a:ln w="9525">
          <a:solidFill>
            <a:srgbClr val="000000"/>
          </a:solidFill>
          <a:prstDash val="solid"/>
        </a:ln>
      </xdr:spPr>
    </xdr:pic>
    <xdr:clientData/>
  </xdr:twoCellAnchor>
  <xdr:twoCellAnchor>
    <xdr:from>
      <xdr:col>3</xdr:col>
      <xdr:colOff>114300</xdr:colOff>
      <xdr:row>146</xdr:row>
      <xdr:rowOff>28575</xdr:rowOff>
    </xdr:from>
    <xdr:to>
      <xdr:col>3</xdr:col>
      <xdr:colOff>1552575</xdr:colOff>
      <xdr:row>148</xdr:row>
      <xdr:rowOff>419100</xdr:rowOff>
    </xdr:to>
    <xdr:pic>
      <xdr:nvPicPr>
        <xdr:cNvPr id="67" name="Имя " descr="Descr ">
          <a:extLst>
            <a:ext uri="{FF2B5EF4-FFF2-40B4-BE49-F238E27FC236}">
              <a16:creationId xmlns:a16="http://schemas.microsoft.com/office/drawing/2014/main" id="{00000000-0008-0000-0000-000043000000}"/>
            </a:ext>
          </a:extLst>
        </xdr:cNvPr>
        <xdr:cNvPicPr>
          <a:picLocks noChangeAspect="1"/>
        </xdr:cNvPicPr>
      </xdr:nvPicPr>
      <xdr:blipFill>
        <a:blip xmlns:r="http://schemas.openxmlformats.org/officeDocument/2006/relationships" r:embed="rId65"/>
        <a:stretch>
          <a:fillRect/>
        </a:stretch>
      </xdr:blipFill>
      <xdr:spPr>
        <a:prstGeom prst="rect">
          <a:avLst/>
        </a:prstGeom>
        <a:ln w="9525">
          <a:solidFill>
            <a:srgbClr val="000000"/>
          </a:solidFill>
          <a:prstDash val="solid"/>
        </a:ln>
      </xdr:spPr>
    </xdr:pic>
    <xdr:clientData/>
  </xdr:twoCellAnchor>
  <xdr:twoCellAnchor>
    <xdr:from>
      <xdr:col>3</xdr:col>
      <xdr:colOff>114300</xdr:colOff>
      <xdr:row>149</xdr:row>
      <xdr:rowOff>28575</xdr:rowOff>
    </xdr:from>
    <xdr:to>
      <xdr:col>3</xdr:col>
      <xdr:colOff>1552575</xdr:colOff>
      <xdr:row>149</xdr:row>
      <xdr:rowOff>1266825</xdr:rowOff>
    </xdr:to>
    <xdr:pic>
      <xdr:nvPicPr>
        <xdr:cNvPr id="68" name="Имя " descr="Descr ">
          <a:extLst>
            <a:ext uri="{FF2B5EF4-FFF2-40B4-BE49-F238E27FC236}">
              <a16:creationId xmlns:a16="http://schemas.microsoft.com/office/drawing/2014/main" id="{00000000-0008-0000-0000-000044000000}"/>
            </a:ext>
          </a:extLst>
        </xdr:cNvPr>
        <xdr:cNvPicPr>
          <a:picLocks noChangeAspect="1"/>
        </xdr:cNvPicPr>
      </xdr:nvPicPr>
      <xdr:blipFill>
        <a:blip xmlns:r="http://schemas.openxmlformats.org/officeDocument/2006/relationships" r:embed="rId66"/>
        <a:stretch>
          <a:fillRect/>
        </a:stretch>
      </xdr:blipFill>
      <xdr:spPr>
        <a:prstGeom prst="rect">
          <a:avLst/>
        </a:prstGeom>
        <a:ln w="9525">
          <a:solidFill>
            <a:srgbClr val="000000"/>
          </a:solidFill>
          <a:prstDash val="solid"/>
        </a:ln>
      </xdr:spPr>
    </xdr:pic>
    <xdr:clientData/>
  </xdr:twoCellAnchor>
  <xdr:twoCellAnchor>
    <xdr:from>
      <xdr:col>3</xdr:col>
      <xdr:colOff>114300</xdr:colOff>
      <xdr:row>150</xdr:row>
      <xdr:rowOff>28575</xdr:rowOff>
    </xdr:from>
    <xdr:to>
      <xdr:col>3</xdr:col>
      <xdr:colOff>1552575</xdr:colOff>
      <xdr:row>154</xdr:row>
      <xdr:rowOff>333375</xdr:rowOff>
    </xdr:to>
    <xdr:pic>
      <xdr:nvPicPr>
        <xdr:cNvPr id="69" name="Имя " descr="Descr ">
          <a:extLst>
            <a:ext uri="{FF2B5EF4-FFF2-40B4-BE49-F238E27FC236}">
              <a16:creationId xmlns:a16="http://schemas.microsoft.com/office/drawing/2014/main" id="{00000000-0008-0000-0000-000045000000}"/>
            </a:ext>
          </a:extLst>
        </xdr:cNvPr>
        <xdr:cNvPicPr>
          <a:picLocks noChangeAspect="1"/>
        </xdr:cNvPicPr>
      </xdr:nvPicPr>
      <xdr:blipFill>
        <a:blip xmlns:r="http://schemas.openxmlformats.org/officeDocument/2006/relationships" r:embed="rId67"/>
        <a:stretch>
          <a:fillRect/>
        </a:stretch>
      </xdr:blipFill>
      <xdr:spPr>
        <a:prstGeom prst="rect">
          <a:avLst/>
        </a:prstGeom>
        <a:ln w="9525">
          <a:solidFill>
            <a:srgbClr val="000000"/>
          </a:solidFill>
          <a:prstDash val="solid"/>
        </a:ln>
      </xdr:spPr>
    </xdr:pic>
    <xdr:clientData/>
  </xdr:twoCellAnchor>
  <xdr:twoCellAnchor>
    <xdr:from>
      <xdr:col>3</xdr:col>
      <xdr:colOff>114300</xdr:colOff>
      <xdr:row>155</xdr:row>
      <xdr:rowOff>28575</xdr:rowOff>
    </xdr:from>
    <xdr:to>
      <xdr:col>3</xdr:col>
      <xdr:colOff>1552575</xdr:colOff>
      <xdr:row>155</xdr:row>
      <xdr:rowOff>1266825</xdr:rowOff>
    </xdr:to>
    <xdr:pic>
      <xdr:nvPicPr>
        <xdr:cNvPr id="70" name="Имя " descr="Descr ">
          <a:extLst>
            <a:ext uri="{FF2B5EF4-FFF2-40B4-BE49-F238E27FC236}">
              <a16:creationId xmlns:a16="http://schemas.microsoft.com/office/drawing/2014/main" id="{00000000-0008-0000-0000-000046000000}"/>
            </a:ext>
          </a:extLst>
        </xdr:cNvPr>
        <xdr:cNvPicPr>
          <a:picLocks noChangeAspect="1"/>
        </xdr:cNvPicPr>
      </xdr:nvPicPr>
      <xdr:blipFill>
        <a:blip xmlns:r="http://schemas.openxmlformats.org/officeDocument/2006/relationships" r:embed="rId68"/>
        <a:stretch>
          <a:fillRect/>
        </a:stretch>
      </xdr:blipFill>
      <xdr:spPr>
        <a:prstGeom prst="rect">
          <a:avLst/>
        </a:prstGeom>
        <a:ln w="9525">
          <a:solidFill>
            <a:srgbClr val="000000"/>
          </a:solidFill>
          <a:prstDash val="solid"/>
        </a:ln>
      </xdr:spPr>
    </xdr:pic>
    <xdr:clientData/>
  </xdr:twoCellAnchor>
  <xdr:twoCellAnchor>
    <xdr:from>
      <xdr:col>3</xdr:col>
      <xdr:colOff>114300</xdr:colOff>
      <xdr:row>156</xdr:row>
      <xdr:rowOff>28575</xdr:rowOff>
    </xdr:from>
    <xdr:to>
      <xdr:col>3</xdr:col>
      <xdr:colOff>1552575</xdr:colOff>
      <xdr:row>158</xdr:row>
      <xdr:rowOff>419100</xdr:rowOff>
    </xdr:to>
    <xdr:pic>
      <xdr:nvPicPr>
        <xdr:cNvPr id="71" name="Имя " descr="Descr ">
          <a:extLst>
            <a:ext uri="{FF2B5EF4-FFF2-40B4-BE49-F238E27FC236}">
              <a16:creationId xmlns:a16="http://schemas.microsoft.com/office/drawing/2014/main" id="{00000000-0008-0000-0000-000047000000}"/>
            </a:ext>
          </a:extLst>
        </xdr:cNvPr>
        <xdr:cNvPicPr>
          <a:picLocks noChangeAspect="1"/>
        </xdr:cNvPicPr>
      </xdr:nvPicPr>
      <xdr:blipFill>
        <a:blip xmlns:r="http://schemas.openxmlformats.org/officeDocument/2006/relationships" r:embed="rId69"/>
        <a:stretch>
          <a:fillRect/>
        </a:stretch>
      </xdr:blipFill>
      <xdr:spPr>
        <a:prstGeom prst="rect">
          <a:avLst/>
        </a:prstGeom>
        <a:ln w="9525">
          <a:solidFill>
            <a:srgbClr val="000000"/>
          </a:solidFill>
          <a:prstDash val="solid"/>
        </a:ln>
      </xdr:spPr>
    </xdr:pic>
    <xdr:clientData/>
  </xdr:twoCellAnchor>
  <xdr:twoCellAnchor>
    <xdr:from>
      <xdr:col>3</xdr:col>
      <xdr:colOff>114300</xdr:colOff>
      <xdr:row>159</xdr:row>
      <xdr:rowOff>28575</xdr:rowOff>
    </xdr:from>
    <xdr:to>
      <xdr:col>3</xdr:col>
      <xdr:colOff>1552575</xdr:colOff>
      <xdr:row>159</xdr:row>
      <xdr:rowOff>1266825</xdr:rowOff>
    </xdr:to>
    <xdr:pic>
      <xdr:nvPicPr>
        <xdr:cNvPr id="72" name="Имя " descr="Descr ">
          <a:extLst>
            <a:ext uri="{FF2B5EF4-FFF2-40B4-BE49-F238E27FC236}">
              <a16:creationId xmlns:a16="http://schemas.microsoft.com/office/drawing/2014/main" id="{00000000-0008-0000-0000-000048000000}"/>
            </a:ext>
          </a:extLst>
        </xdr:cNvPr>
        <xdr:cNvPicPr>
          <a:picLocks noChangeAspect="1"/>
        </xdr:cNvPicPr>
      </xdr:nvPicPr>
      <xdr:blipFill>
        <a:blip xmlns:r="http://schemas.openxmlformats.org/officeDocument/2006/relationships" r:embed="rId70"/>
        <a:stretch>
          <a:fillRect/>
        </a:stretch>
      </xdr:blipFill>
      <xdr:spPr>
        <a:prstGeom prst="rect">
          <a:avLst/>
        </a:prstGeom>
        <a:ln w="9525">
          <a:solidFill>
            <a:srgbClr val="000000"/>
          </a:solidFill>
          <a:prstDash val="solid"/>
        </a:ln>
      </xdr:spPr>
    </xdr:pic>
    <xdr:clientData/>
  </xdr:twoCellAnchor>
  <xdr:twoCellAnchor>
    <xdr:from>
      <xdr:col>3</xdr:col>
      <xdr:colOff>114300</xdr:colOff>
      <xdr:row>160</xdr:row>
      <xdr:rowOff>28575</xdr:rowOff>
    </xdr:from>
    <xdr:to>
      <xdr:col>3</xdr:col>
      <xdr:colOff>1552575</xdr:colOff>
      <xdr:row>165</xdr:row>
      <xdr:rowOff>209550</xdr:rowOff>
    </xdr:to>
    <xdr:pic>
      <xdr:nvPicPr>
        <xdr:cNvPr id="73" name="Имя " descr="Descr ">
          <a:extLst>
            <a:ext uri="{FF2B5EF4-FFF2-40B4-BE49-F238E27FC236}">
              <a16:creationId xmlns:a16="http://schemas.microsoft.com/office/drawing/2014/main" id="{00000000-0008-0000-0000-000049000000}"/>
            </a:ext>
          </a:extLst>
        </xdr:cNvPr>
        <xdr:cNvPicPr>
          <a:picLocks noChangeAspect="1"/>
        </xdr:cNvPicPr>
      </xdr:nvPicPr>
      <xdr:blipFill>
        <a:blip xmlns:r="http://schemas.openxmlformats.org/officeDocument/2006/relationships" r:embed="rId71"/>
        <a:stretch>
          <a:fillRect/>
        </a:stretch>
      </xdr:blipFill>
      <xdr:spPr>
        <a:prstGeom prst="rect">
          <a:avLst/>
        </a:prstGeom>
        <a:ln w="9525">
          <a:solidFill>
            <a:srgbClr val="000000"/>
          </a:solidFill>
          <a:prstDash val="solid"/>
        </a:ln>
      </xdr:spPr>
    </xdr:pic>
    <xdr:clientData/>
  </xdr:twoCellAnchor>
  <xdr:twoCellAnchor>
    <xdr:from>
      <xdr:col>3</xdr:col>
      <xdr:colOff>114300</xdr:colOff>
      <xdr:row>166</xdr:row>
      <xdr:rowOff>28575</xdr:rowOff>
    </xdr:from>
    <xdr:to>
      <xdr:col>3</xdr:col>
      <xdr:colOff>1552575</xdr:colOff>
      <xdr:row>174</xdr:row>
      <xdr:rowOff>133350</xdr:rowOff>
    </xdr:to>
    <xdr:pic>
      <xdr:nvPicPr>
        <xdr:cNvPr id="74" name="Имя " descr="Descr ">
          <a:extLst>
            <a:ext uri="{FF2B5EF4-FFF2-40B4-BE49-F238E27FC236}">
              <a16:creationId xmlns:a16="http://schemas.microsoft.com/office/drawing/2014/main" id="{00000000-0008-0000-0000-00004A000000}"/>
            </a:ext>
          </a:extLst>
        </xdr:cNvPr>
        <xdr:cNvPicPr>
          <a:picLocks noChangeAspect="1"/>
        </xdr:cNvPicPr>
      </xdr:nvPicPr>
      <xdr:blipFill>
        <a:blip xmlns:r="http://schemas.openxmlformats.org/officeDocument/2006/relationships" r:embed="rId72"/>
        <a:stretch>
          <a:fillRect/>
        </a:stretch>
      </xdr:blipFill>
      <xdr:spPr>
        <a:prstGeom prst="rect">
          <a:avLst/>
        </a:prstGeom>
        <a:ln w="9525">
          <a:solidFill>
            <a:srgbClr val="000000"/>
          </a:solidFill>
          <a:prstDash val="solid"/>
        </a:ln>
      </xdr:spPr>
    </xdr:pic>
    <xdr:clientData/>
  </xdr:twoCellAnchor>
  <xdr:twoCellAnchor>
    <xdr:from>
      <xdr:col>3</xdr:col>
      <xdr:colOff>114300</xdr:colOff>
      <xdr:row>175</xdr:row>
      <xdr:rowOff>28575</xdr:rowOff>
    </xdr:from>
    <xdr:to>
      <xdr:col>3</xdr:col>
      <xdr:colOff>1552575</xdr:colOff>
      <xdr:row>183</xdr:row>
      <xdr:rowOff>133350</xdr:rowOff>
    </xdr:to>
    <xdr:pic>
      <xdr:nvPicPr>
        <xdr:cNvPr id="75" name="Имя " descr="Descr ">
          <a:extLst>
            <a:ext uri="{FF2B5EF4-FFF2-40B4-BE49-F238E27FC236}">
              <a16:creationId xmlns:a16="http://schemas.microsoft.com/office/drawing/2014/main" id="{00000000-0008-0000-0000-00004B000000}"/>
            </a:ext>
          </a:extLst>
        </xdr:cNvPr>
        <xdr:cNvPicPr>
          <a:picLocks noChangeAspect="1"/>
        </xdr:cNvPicPr>
      </xdr:nvPicPr>
      <xdr:blipFill>
        <a:blip xmlns:r="http://schemas.openxmlformats.org/officeDocument/2006/relationships" r:embed="rId73"/>
        <a:stretch>
          <a:fillRect/>
        </a:stretch>
      </xdr:blipFill>
      <xdr:spPr>
        <a:prstGeom prst="rect">
          <a:avLst/>
        </a:prstGeom>
        <a:ln w="9525">
          <a:solidFill>
            <a:srgbClr val="000000"/>
          </a:solidFill>
          <a:prstDash val="solid"/>
        </a:ln>
      </xdr:spPr>
    </xdr:pic>
    <xdr:clientData/>
  </xdr:twoCellAnchor>
  <xdr:twoCellAnchor>
    <xdr:from>
      <xdr:col>3</xdr:col>
      <xdr:colOff>114300</xdr:colOff>
      <xdr:row>184</xdr:row>
      <xdr:rowOff>28575</xdr:rowOff>
    </xdr:from>
    <xdr:to>
      <xdr:col>3</xdr:col>
      <xdr:colOff>1552575</xdr:colOff>
      <xdr:row>188</xdr:row>
      <xdr:rowOff>333375</xdr:rowOff>
    </xdr:to>
    <xdr:pic>
      <xdr:nvPicPr>
        <xdr:cNvPr id="76" name="Имя " descr="Descr ">
          <a:extLst>
            <a:ext uri="{FF2B5EF4-FFF2-40B4-BE49-F238E27FC236}">
              <a16:creationId xmlns:a16="http://schemas.microsoft.com/office/drawing/2014/main" id="{00000000-0008-0000-0000-00004C000000}"/>
            </a:ext>
          </a:extLst>
        </xdr:cNvPr>
        <xdr:cNvPicPr>
          <a:picLocks noChangeAspect="1"/>
        </xdr:cNvPicPr>
      </xdr:nvPicPr>
      <xdr:blipFill>
        <a:blip xmlns:r="http://schemas.openxmlformats.org/officeDocument/2006/relationships" r:embed="rId74"/>
        <a:stretch>
          <a:fillRect/>
        </a:stretch>
      </xdr:blipFill>
      <xdr:spPr>
        <a:prstGeom prst="rect">
          <a:avLst/>
        </a:prstGeom>
        <a:ln w="9525">
          <a:solidFill>
            <a:srgbClr val="000000"/>
          </a:solidFill>
          <a:prstDash val="solid"/>
        </a:ln>
      </xdr:spPr>
    </xdr:pic>
    <xdr:clientData/>
  </xdr:twoCellAnchor>
  <xdr:twoCellAnchor>
    <xdr:from>
      <xdr:col>3</xdr:col>
      <xdr:colOff>114300</xdr:colOff>
      <xdr:row>189</xdr:row>
      <xdr:rowOff>28575</xdr:rowOff>
    </xdr:from>
    <xdr:to>
      <xdr:col>3</xdr:col>
      <xdr:colOff>1552575</xdr:colOff>
      <xdr:row>189</xdr:row>
      <xdr:rowOff>1266825</xdr:rowOff>
    </xdr:to>
    <xdr:pic>
      <xdr:nvPicPr>
        <xdr:cNvPr id="77" name="Имя " descr="Descr ">
          <a:extLst>
            <a:ext uri="{FF2B5EF4-FFF2-40B4-BE49-F238E27FC236}">
              <a16:creationId xmlns:a16="http://schemas.microsoft.com/office/drawing/2014/main" id="{00000000-0008-0000-0000-00004D000000}"/>
            </a:ext>
          </a:extLst>
        </xdr:cNvPr>
        <xdr:cNvPicPr>
          <a:picLocks noChangeAspect="1"/>
        </xdr:cNvPicPr>
      </xdr:nvPicPr>
      <xdr:blipFill>
        <a:blip xmlns:r="http://schemas.openxmlformats.org/officeDocument/2006/relationships" r:embed="rId75"/>
        <a:stretch>
          <a:fillRect/>
        </a:stretch>
      </xdr:blipFill>
      <xdr:spPr>
        <a:prstGeom prst="rect">
          <a:avLst/>
        </a:prstGeom>
        <a:ln w="9525">
          <a:solidFill>
            <a:srgbClr val="000000"/>
          </a:solidFill>
          <a:prstDash val="solid"/>
        </a:ln>
      </xdr:spPr>
    </xdr:pic>
    <xdr:clientData/>
  </xdr:twoCellAnchor>
  <xdr:twoCellAnchor>
    <xdr:from>
      <xdr:col>3</xdr:col>
      <xdr:colOff>114300</xdr:colOff>
      <xdr:row>190</xdr:row>
      <xdr:rowOff>28575</xdr:rowOff>
    </xdr:from>
    <xdr:to>
      <xdr:col>3</xdr:col>
      <xdr:colOff>1552575</xdr:colOff>
      <xdr:row>193</xdr:row>
      <xdr:rowOff>209550</xdr:rowOff>
    </xdr:to>
    <xdr:pic>
      <xdr:nvPicPr>
        <xdr:cNvPr id="78" name="Имя " descr="Descr ">
          <a:extLst>
            <a:ext uri="{FF2B5EF4-FFF2-40B4-BE49-F238E27FC236}">
              <a16:creationId xmlns:a16="http://schemas.microsoft.com/office/drawing/2014/main" id="{00000000-0008-0000-0000-00004E000000}"/>
            </a:ext>
          </a:extLst>
        </xdr:cNvPr>
        <xdr:cNvPicPr>
          <a:picLocks noChangeAspect="1"/>
        </xdr:cNvPicPr>
      </xdr:nvPicPr>
      <xdr:blipFill>
        <a:blip xmlns:r="http://schemas.openxmlformats.org/officeDocument/2006/relationships" r:embed="rId76"/>
        <a:stretch>
          <a:fillRect/>
        </a:stretch>
      </xdr:blipFill>
      <xdr:spPr>
        <a:prstGeom prst="rect">
          <a:avLst/>
        </a:prstGeom>
        <a:ln w="9525">
          <a:solidFill>
            <a:srgbClr val="000000"/>
          </a:solidFill>
          <a:prstDash val="solid"/>
        </a:ln>
      </xdr:spPr>
    </xdr:pic>
    <xdr:clientData/>
  </xdr:twoCellAnchor>
  <xdr:twoCellAnchor>
    <xdr:from>
      <xdr:col>3</xdr:col>
      <xdr:colOff>114300</xdr:colOff>
      <xdr:row>194</xdr:row>
      <xdr:rowOff>28575</xdr:rowOff>
    </xdr:from>
    <xdr:to>
      <xdr:col>3</xdr:col>
      <xdr:colOff>1552575</xdr:colOff>
      <xdr:row>200</xdr:row>
      <xdr:rowOff>171450</xdr:rowOff>
    </xdr:to>
    <xdr:pic>
      <xdr:nvPicPr>
        <xdr:cNvPr id="79" name="Имя " descr="Descr ">
          <a:extLst>
            <a:ext uri="{FF2B5EF4-FFF2-40B4-BE49-F238E27FC236}">
              <a16:creationId xmlns:a16="http://schemas.microsoft.com/office/drawing/2014/main" id="{00000000-0008-0000-0000-00004F000000}"/>
            </a:ext>
          </a:extLst>
        </xdr:cNvPr>
        <xdr:cNvPicPr>
          <a:picLocks noChangeAspect="1"/>
        </xdr:cNvPicPr>
      </xdr:nvPicPr>
      <xdr:blipFill>
        <a:blip xmlns:r="http://schemas.openxmlformats.org/officeDocument/2006/relationships" r:embed="rId77"/>
        <a:stretch>
          <a:fillRect/>
        </a:stretch>
      </xdr:blipFill>
      <xdr:spPr>
        <a:prstGeom prst="rect">
          <a:avLst/>
        </a:prstGeom>
        <a:ln w="9525">
          <a:solidFill>
            <a:srgbClr val="000000"/>
          </a:solidFill>
          <a:prstDash val="solid"/>
        </a:ln>
      </xdr:spPr>
    </xdr:pic>
    <xdr:clientData/>
  </xdr:twoCellAnchor>
  <xdr:twoCellAnchor>
    <xdr:from>
      <xdr:col>3</xdr:col>
      <xdr:colOff>114300</xdr:colOff>
      <xdr:row>201</xdr:row>
      <xdr:rowOff>28575</xdr:rowOff>
    </xdr:from>
    <xdr:to>
      <xdr:col>3</xdr:col>
      <xdr:colOff>1552575</xdr:colOff>
      <xdr:row>205</xdr:row>
      <xdr:rowOff>333375</xdr:rowOff>
    </xdr:to>
    <xdr:pic>
      <xdr:nvPicPr>
        <xdr:cNvPr id="80" name="Имя " descr="Descr ">
          <a:extLst>
            <a:ext uri="{FF2B5EF4-FFF2-40B4-BE49-F238E27FC236}">
              <a16:creationId xmlns:a16="http://schemas.microsoft.com/office/drawing/2014/main" id="{00000000-0008-0000-0000-000050000000}"/>
            </a:ext>
          </a:extLst>
        </xdr:cNvPr>
        <xdr:cNvPicPr>
          <a:picLocks noChangeAspect="1"/>
        </xdr:cNvPicPr>
      </xdr:nvPicPr>
      <xdr:blipFill>
        <a:blip xmlns:r="http://schemas.openxmlformats.org/officeDocument/2006/relationships" r:embed="rId78"/>
        <a:stretch>
          <a:fillRect/>
        </a:stretch>
      </xdr:blipFill>
      <xdr:spPr>
        <a:prstGeom prst="rect">
          <a:avLst/>
        </a:prstGeom>
        <a:ln w="9525">
          <a:solidFill>
            <a:srgbClr val="000000"/>
          </a:solidFill>
          <a:prstDash val="solid"/>
        </a:ln>
      </xdr:spPr>
    </xdr:pic>
    <xdr:clientData/>
  </xdr:twoCellAnchor>
  <xdr:twoCellAnchor>
    <xdr:from>
      <xdr:col>3</xdr:col>
      <xdr:colOff>114300</xdr:colOff>
      <xdr:row>206</xdr:row>
      <xdr:rowOff>28575</xdr:rowOff>
    </xdr:from>
    <xdr:to>
      <xdr:col>3</xdr:col>
      <xdr:colOff>1552575</xdr:colOff>
      <xdr:row>206</xdr:row>
      <xdr:rowOff>1266825</xdr:rowOff>
    </xdr:to>
    <xdr:pic>
      <xdr:nvPicPr>
        <xdr:cNvPr id="81" name="Имя " descr="Descr ">
          <a:extLst>
            <a:ext uri="{FF2B5EF4-FFF2-40B4-BE49-F238E27FC236}">
              <a16:creationId xmlns:a16="http://schemas.microsoft.com/office/drawing/2014/main" id="{00000000-0008-0000-0000-000051000000}"/>
            </a:ext>
          </a:extLst>
        </xdr:cNvPr>
        <xdr:cNvPicPr>
          <a:picLocks noChangeAspect="1"/>
        </xdr:cNvPicPr>
      </xdr:nvPicPr>
      <xdr:blipFill>
        <a:blip xmlns:r="http://schemas.openxmlformats.org/officeDocument/2006/relationships" r:embed="rId79"/>
        <a:stretch>
          <a:fillRect/>
        </a:stretch>
      </xdr:blipFill>
      <xdr:spPr>
        <a:prstGeom prst="rect">
          <a:avLst/>
        </a:prstGeom>
        <a:ln w="9525">
          <a:solidFill>
            <a:srgbClr val="000000"/>
          </a:solidFill>
          <a:prstDash val="solid"/>
        </a:ln>
      </xdr:spPr>
    </xdr:pic>
    <xdr:clientData/>
  </xdr:twoCellAnchor>
  <xdr:twoCellAnchor>
    <xdr:from>
      <xdr:col>3</xdr:col>
      <xdr:colOff>114300</xdr:colOff>
      <xdr:row>207</xdr:row>
      <xdr:rowOff>38100</xdr:rowOff>
    </xdr:from>
    <xdr:to>
      <xdr:col>3</xdr:col>
      <xdr:colOff>1552575</xdr:colOff>
      <xdr:row>208</xdr:row>
      <xdr:rowOff>638175</xdr:rowOff>
    </xdr:to>
    <xdr:pic>
      <xdr:nvPicPr>
        <xdr:cNvPr id="82" name="Имя " descr="Descr ">
          <a:extLst>
            <a:ext uri="{FF2B5EF4-FFF2-40B4-BE49-F238E27FC236}">
              <a16:creationId xmlns:a16="http://schemas.microsoft.com/office/drawing/2014/main" id="{00000000-0008-0000-0000-000052000000}"/>
            </a:ext>
          </a:extLst>
        </xdr:cNvPr>
        <xdr:cNvPicPr>
          <a:picLocks noChangeAspect="1"/>
        </xdr:cNvPicPr>
      </xdr:nvPicPr>
      <xdr:blipFill>
        <a:blip xmlns:r="http://schemas.openxmlformats.org/officeDocument/2006/relationships" r:embed="rId80"/>
        <a:stretch>
          <a:fillRect/>
        </a:stretch>
      </xdr:blipFill>
      <xdr:spPr>
        <a:prstGeom prst="rect">
          <a:avLst/>
        </a:prstGeom>
        <a:ln w="9525">
          <a:solidFill>
            <a:srgbClr val="000000"/>
          </a:solidFill>
          <a:prstDash val="solid"/>
        </a:ln>
      </xdr:spPr>
    </xdr:pic>
    <xdr:clientData/>
  </xdr:twoCellAnchor>
  <xdr:twoCellAnchor>
    <xdr:from>
      <xdr:col>3</xdr:col>
      <xdr:colOff>114300</xdr:colOff>
      <xdr:row>209</xdr:row>
      <xdr:rowOff>28575</xdr:rowOff>
    </xdr:from>
    <xdr:to>
      <xdr:col>3</xdr:col>
      <xdr:colOff>1552575</xdr:colOff>
      <xdr:row>209</xdr:row>
      <xdr:rowOff>1266825</xdr:rowOff>
    </xdr:to>
    <xdr:pic>
      <xdr:nvPicPr>
        <xdr:cNvPr id="83" name="Имя " descr="Descr ">
          <a:extLst>
            <a:ext uri="{FF2B5EF4-FFF2-40B4-BE49-F238E27FC236}">
              <a16:creationId xmlns:a16="http://schemas.microsoft.com/office/drawing/2014/main" id="{00000000-0008-0000-0000-000053000000}"/>
            </a:ext>
          </a:extLst>
        </xdr:cNvPr>
        <xdr:cNvPicPr>
          <a:picLocks noChangeAspect="1"/>
        </xdr:cNvPicPr>
      </xdr:nvPicPr>
      <xdr:blipFill>
        <a:blip xmlns:r="http://schemas.openxmlformats.org/officeDocument/2006/relationships" r:embed="rId80"/>
        <a:stretch>
          <a:fillRect/>
        </a:stretch>
      </xdr:blipFill>
      <xdr:spPr>
        <a:prstGeom prst="rect">
          <a:avLst/>
        </a:prstGeom>
        <a:ln w="9525">
          <a:solidFill>
            <a:srgbClr val="000000"/>
          </a:solidFill>
          <a:prstDash val="solid"/>
        </a:ln>
      </xdr:spPr>
    </xdr:pic>
    <xdr:clientData/>
  </xdr:twoCellAnchor>
  <xdr:twoCellAnchor>
    <xdr:from>
      <xdr:col>3</xdr:col>
      <xdr:colOff>114300</xdr:colOff>
      <xdr:row>210</xdr:row>
      <xdr:rowOff>28575</xdr:rowOff>
    </xdr:from>
    <xdr:to>
      <xdr:col>3</xdr:col>
      <xdr:colOff>1552575</xdr:colOff>
      <xdr:row>213</xdr:row>
      <xdr:rowOff>209550</xdr:rowOff>
    </xdr:to>
    <xdr:pic>
      <xdr:nvPicPr>
        <xdr:cNvPr id="84" name="Имя " descr="Descr ">
          <a:extLst>
            <a:ext uri="{FF2B5EF4-FFF2-40B4-BE49-F238E27FC236}">
              <a16:creationId xmlns:a16="http://schemas.microsoft.com/office/drawing/2014/main" id="{00000000-0008-0000-0000-000054000000}"/>
            </a:ext>
          </a:extLst>
        </xdr:cNvPr>
        <xdr:cNvPicPr>
          <a:picLocks noChangeAspect="1"/>
        </xdr:cNvPicPr>
      </xdr:nvPicPr>
      <xdr:blipFill>
        <a:blip xmlns:r="http://schemas.openxmlformats.org/officeDocument/2006/relationships" r:embed="rId81"/>
        <a:stretch>
          <a:fillRect/>
        </a:stretch>
      </xdr:blipFill>
      <xdr:spPr>
        <a:prstGeom prst="rect">
          <a:avLst/>
        </a:prstGeom>
        <a:ln w="9525">
          <a:solidFill>
            <a:srgbClr val="000000"/>
          </a:solidFill>
          <a:prstDash val="solid"/>
        </a:ln>
      </xdr:spPr>
    </xdr:pic>
    <xdr:clientData/>
  </xdr:twoCellAnchor>
  <xdr:twoCellAnchor>
    <xdr:from>
      <xdr:col>3</xdr:col>
      <xdr:colOff>114300</xdr:colOff>
      <xdr:row>214</xdr:row>
      <xdr:rowOff>28575</xdr:rowOff>
    </xdr:from>
    <xdr:to>
      <xdr:col>3</xdr:col>
      <xdr:colOff>1552575</xdr:colOff>
      <xdr:row>220</xdr:row>
      <xdr:rowOff>171450</xdr:rowOff>
    </xdr:to>
    <xdr:pic>
      <xdr:nvPicPr>
        <xdr:cNvPr id="85" name="Имя " descr="Descr ">
          <a:extLst>
            <a:ext uri="{FF2B5EF4-FFF2-40B4-BE49-F238E27FC236}">
              <a16:creationId xmlns:a16="http://schemas.microsoft.com/office/drawing/2014/main" id="{00000000-0008-0000-0000-000055000000}"/>
            </a:ext>
          </a:extLst>
        </xdr:cNvPr>
        <xdr:cNvPicPr>
          <a:picLocks noChangeAspect="1"/>
        </xdr:cNvPicPr>
      </xdr:nvPicPr>
      <xdr:blipFill>
        <a:blip xmlns:r="http://schemas.openxmlformats.org/officeDocument/2006/relationships" r:embed="rId82"/>
        <a:stretch>
          <a:fillRect/>
        </a:stretch>
      </xdr:blipFill>
      <xdr:spPr>
        <a:prstGeom prst="rect">
          <a:avLst/>
        </a:prstGeom>
        <a:ln w="9525">
          <a:solidFill>
            <a:srgbClr val="000000"/>
          </a:solidFill>
          <a:prstDash val="solid"/>
        </a:ln>
      </xdr:spPr>
    </xdr:pic>
    <xdr:clientData/>
  </xdr:twoCellAnchor>
  <xdr:twoCellAnchor>
    <xdr:from>
      <xdr:col>3</xdr:col>
      <xdr:colOff>114300</xdr:colOff>
      <xdr:row>221</xdr:row>
      <xdr:rowOff>28575</xdr:rowOff>
    </xdr:from>
    <xdr:to>
      <xdr:col>3</xdr:col>
      <xdr:colOff>1552575</xdr:colOff>
      <xdr:row>225</xdr:row>
      <xdr:rowOff>333375</xdr:rowOff>
    </xdr:to>
    <xdr:pic>
      <xdr:nvPicPr>
        <xdr:cNvPr id="86" name="Имя " descr="Descr ">
          <a:extLst>
            <a:ext uri="{FF2B5EF4-FFF2-40B4-BE49-F238E27FC236}">
              <a16:creationId xmlns:a16="http://schemas.microsoft.com/office/drawing/2014/main" id="{00000000-0008-0000-0000-000056000000}"/>
            </a:ext>
          </a:extLst>
        </xdr:cNvPr>
        <xdr:cNvPicPr>
          <a:picLocks noChangeAspect="1"/>
        </xdr:cNvPicPr>
      </xdr:nvPicPr>
      <xdr:blipFill>
        <a:blip xmlns:r="http://schemas.openxmlformats.org/officeDocument/2006/relationships" r:embed="rId83"/>
        <a:stretch>
          <a:fillRect/>
        </a:stretch>
      </xdr:blipFill>
      <xdr:spPr>
        <a:prstGeom prst="rect">
          <a:avLst/>
        </a:prstGeom>
        <a:ln w="9525">
          <a:solidFill>
            <a:srgbClr val="000000"/>
          </a:solidFill>
          <a:prstDash val="solid"/>
        </a:ln>
      </xdr:spPr>
    </xdr:pic>
    <xdr:clientData/>
  </xdr:twoCellAnchor>
  <xdr:twoCellAnchor>
    <xdr:from>
      <xdr:col>3</xdr:col>
      <xdr:colOff>114300</xdr:colOff>
      <xdr:row>226</xdr:row>
      <xdr:rowOff>28575</xdr:rowOff>
    </xdr:from>
    <xdr:to>
      <xdr:col>3</xdr:col>
      <xdr:colOff>1552575</xdr:colOff>
      <xdr:row>229</xdr:row>
      <xdr:rowOff>209550</xdr:rowOff>
    </xdr:to>
    <xdr:pic>
      <xdr:nvPicPr>
        <xdr:cNvPr id="87" name="Имя " descr="Descr ">
          <a:extLst>
            <a:ext uri="{FF2B5EF4-FFF2-40B4-BE49-F238E27FC236}">
              <a16:creationId xmlns:a16="http://schemas.microsoft.com/office/drawing/2014/main" id="{00000000-0008-0000-0000-000057000000}"/>
            </a:ext>
          </a:extLst>
        </xdr:cNvPr>
        <xdr:cNvPicPr>
          <a:picLocks noChangeAspect="1"/>
        </xdr:cNvPicPr>
      </xdr:nvPicPr>
      <xdr:blipFill>
        <a:blip xmlns:r="http://schemas.openxmlformats.org/officeDocument/2006/relationships" r:embed="rId84"/>
        <a:stretch>
          <a:fillRect/>
        </a:stretch>
      </xdr:blipFill>
      <xdr:spPr>
        <a:prstGeom prst="rect">
          <a:avLst/>
        </a:prstGeom>
        <a:ln w="9525">
          <a:solidFill>
            <a:srgbClr val="000000"/>
          </a:solidFill>
          <a:prstDash val="solid"/>
        </a:ln>
      </xdr:spPr>
    </xdr:pic>
    <xdr:clientData/>
  </xdr:twoCellAnchor>
  <xdr:twoCellAnchor>
    <xdr:from>
      <xdr:col>3</xdr:col>
      <xdr:colOff>114300</xdr:colOff>
      <xdr:row>230</xdr:row>
      <xdr:rowOff>28575</xdr:rowOff>
    </xdr:from>
    <xdr:to>
      <xdr:col>3</xdr:col>
      <xdr:colOff>1552575</xdr:colOff>
      <xdr:row>235</xdr:row>
      <xdr:rowOff>209550</xdr:rowOff>
    </xdr:to>
    <xdr:pic>
      <xdr:nvPicPr>
        <xdr:cNvPr id="88" name="Имя " descr="Descr ">
          <a:extLst>
            <a:ext uri="{FF2B5EF4-FFF2-40B4-BE49-F238E27FC236}">
              <a16:creationId xmlns:a16="http://schemas.microsoft.com/office/drawing/2014/main" id="{00000000-0008-0000-0000-000058000000}"/>
            </a:ext>
          </a:extLst>
        </xdr:cNvPr>
        <xdr:cNvPicPr>
          <a:picLocks noChangeAspect="1"/>
        </xdr:cNvPicPr>
      </xdr:nvPicPr>
      <xdr:blipFill>
        <a:blip xmlns:r="http://schemas.openxmlformats.org/officeDocument/2006/relationships" r:embed="rId85"/>
        <a:stretch>
          <a:fillRect/>
        </a:stretch>
      </xdr:blipFill>
      <xdr:spPr>
        <a:prstGeom prst="rect">
          <a:avLst/>
        </a:prstGeom>
        <a:ln w="9525">
          <a:solidFill>
            <a:srgbClr val="000000"/>
          </a:solidFill>
          <a:prstDash val="solid"/>
        </a:ln>
      </xdr:spPr>
    </xdr:pic>
    <xdr:clientData/>
  </xdr:twoCellAnchor>
  <xdr:twoCellAnchor>
    <xdr:from>
      <xdr:col>3</xdr:col>
      <xdr:colOff>114300</xdr:colOff>
      <xdr:row>236</xdr:row>
      <xdr:rowOff>28575</xdr:rowOff>
    </xdr:from>
    <xdr:to>
      <xdr:col>3</xdr:col>
      <xdr:colOff>1552575</xdr:colOff>
      <xdr:row>240</xdr:row>
      <xdr:rowOff>333375</xdr:rowOff>
    </xdr:to>
    <xdr:pic>
      <xdr:nvPicPr>
        <xdr:cNvPr id="89" name="Имя " descr="Descr ">
          <a:extLst>
            <a:ext uri="{FF2B5EF4-FFF2-40B4-BE49-F238E27FC236}">
              <a16:creationId xmlns:a16="http://schemas.microsoft.com/office/drawing/2014/main" id="{00000000-0008-0000-0000-000059000000}"/>
            </a:ext>
          </a:extLst>
        </xdr:cNvPr>
        <xdr:cNvPicPr>
          <a:picLocks noChangeAspect="1"/>
        </xdr:cNvPicPr>
      </xdr:nvPicPr>
      <xdr:blipFill>
        <a:blip xmlns:r="http://schemas.openxmlformats.org/officeDocument/2006/relationships" r:embed="rId86"/>
        <a:stretch>
          <a:fillRect/>
        </a:stretch>
      </xdr:blipFill>
      <xdr:spPr>
        <a:prstGeom prst="rect">
          <a:avLst/>
        </a:prstGeom>
        <a:ln w="9525">
          <a:solidFill>
            <a:srgbClr val="000000"/>
          </a:solidFill>
          <a:prstDash val="solid"/>
        </a:ln>
      </xdr:spPr>
    </xdr:pic>
    <xdr:clientData/>
  </xdr:twoCellAnchor>
  <xdr:twoCellAnchor>
    <xdr:from>
      <xdr:col>3</xdr:col>
      <xdr:colOff>114300</xdr:colOff>
      <xdr:row>241</xdr:row>
      <xdr:rowOff>28575</xdr:rowOff>
    </xdr:from>
    <xdr:to>
      <xdr:col>3</xdr:col>
      <xdr:colOff>1552575</xdr:colOff>
      <xdr:row>243</xdr:row>
      <xdr:rowOff>419100</xdr:rowOff>
    </xdr:to>
    <xdr:pic>
      <xdr:nvPicPr>
        <xdr:cNvPr id="90" name="Имя " descr="Descr ">
          <a:extLst>
            <a:ext uri="{FF2B5EF4-FFF2-40B4-BE49-F238E27FC236}">
              <a16:creationId xmlns:a16="http://schemas.microsoft.com/office/drawing/2014/main" id="{00000000-0008-0000-0000-00005A000000}"/>
            </a:ext>
          </a:extLst>
        </xdr:cNvPr>
        <xdr:cNvPicPr>
          <a:picLocks noChangeAspect="1"/>
        </xdr:cNvPicPr>
      </xdr:nvPicPr>
      <xdr:blipFill>
        <a:blip xmlns:r="http://schemas.openxmlformats.org/officeDocument/2006/relationships" r:embed="rId87"/>
        <a:stretch>
          <a:fillRect/>
        </a:stretch>
      </xdr:blipFill>
      <xdr:spPr>
        <a:prstGeom prst="rect">
          <a:avLst/>
        </a:prstGeom>
        <a:ln w="9525">
          <a:solidFill>
            <a:srgbClr val="000000"/>
          </a:solidFill>
          <a:prstDash val="solid"/>
        </a:ln>
      </xdr:spPr>
    </xdr:pic>
    <xdr:clientData/>
  </xdr:twoCellAnchor>
  <xdr:twoCellAnchor>
    <xdr:from>
      <xdr:col>3</xdr:col>
      <xdr:colOff>114300</xdr:colOff>
      <xdr:row>244</xdr:row>
      <xdr:rowOff>28575</xdr:rowOff>
    </xdr:from>
    <xdr:to>
      <xdr:col>3</xdr:col>
      <xdr:colOff>1552575</xdr:colOff>
      <xdr:row>247</xdr:row>
      <xdr:rowOff>209550</xdr:rowOff>
    </xdr:to>
    <xdr:pic>
      <xdr:nvPicPr>
        <xdr:cNvPr id="91" name="Имя " descr="Descr ">
          <a:extLst>
            <a:ext uri="{FF2B5EF4-FFF2-40B4-BE49-F238E27FC236}">
              <a16:creationId xmlns:a16="http://schemas.microsoft.com/office/drawing/2014/main" id="{00000000-0008-0000-0000-00005B000000}"/>
            </a:ext>
          </a:extLst>
        </xdr:cNvPr>
        <xdr:cNvPicPr>
          <a:picLocks noChangeAspect="1"/>
        </xdr:cNvPicPr>
      </xdr:nvPicPr>
      <xdr:blipFill>
        <a:blip xmlns:r="http://schemas.openxmlformats.org/officeDocument/2006/relationships" r:embed="rId88"/>
        <a:stretch>
          <a:fillRect/>
        </a:stretch>
      </xdr:blipFill>
      <xdr:spPr>
        <a:prstGeom prst="rect">
          <a:avLst/>
        </a:prstGeom>
        <a:ln w="9525">
          <a:solidFill>
            <a:srgbClr val="000000"/>
          </a:solidFill>
          <a:prstDash val="solid"/>
        </a:ln>
      </xdr:spPr>
    </xdr:pic>
    <xdr:clientData/>
  </xdr:twoCellAnchor>
  <xdr:twoCellAnchor>
    <xdr:from>
      <xdr:col>3</xdr:col>
      <xdr:colOff>114300</xdr:colOff>
      <xdr:row>248</xdr:row>
      <xdr:rowOff>28575</xdr:rowOff>
    </xdr:from>
    <xdr:to>
      <xdr:col>3</xdr:col>
      <xdr:colOff>1552575</xdr:colOff>
      <xdr:row>248</xdr:row>
      <xdr:rowOff>1266825</xdr:rowOff>
    </xdr:to>
    <xdr:pic>
      <xdr:nvPicPr>
        <xdr:cNvPr id="92" name="Имя " descr="Descr ">
          <a:extLst>
            <a:ext uri="{FF2B5EF4-FFF2-40B4-BE49-F238E27FC236}">
              <a16:creationId xmlns:a16="http://schemas.microsoft.com/office/drawing/2014/main" id="{00000000-0008-0000-0000-00005C000000}"/>
            </a:ext>
          </a:extLst>
        </xdr:cNvPr>
        <xdr:cNvPicPr>
          <a:picLocks noChangeAspect="1"/>
        </xdr:cNvPicPr>
      </xdr:nvPicPr>
      <xdr:blipFill>
        <a:blip xmlns:r="http://schemas.openxmlformats.org/officeDocument/2006/relationships" r:embed="rId89"/>
        <a:stretch>
          <a:fillRect/>
        </a:stretch>
      </xdr:blipFill>
      <xdr:spPr>
        <a:prstGeom prst="rect">
          <a:avLst/>
        </a:prstGeom>
        <a:ln w="9525">
          <a:solidFill>
            <a:srgbClr val="000000"/>
          </a:solidFill>
          <a:prstDash val="solid"/>
        </a:ln>
      </xdr:spPr>
    </xdr:pic>
    <xdr:clientData/>
  </xdr:twoCellAnchor>
  <xdr:twoCellAnchor>
    <xdr:from>
      <xdr:col>3</xdr:col>
      <xdr:colOff>114300</xdr:colOff>
      <xdr:row>249</xdr:row>
      <xdr:rowOff>28575</xdr:rowOff>
    </xdr:from>
    <xdr:to>
      <xdr:col>3</xdr:col>
      <xdr:colOff>1552575</xdr:colOff>
      <xdr:row>251</xdr:row>
      <xdr:rowOff>419100</xdr:rowOff>
    </xdr:to>
    <xdr:pic>
      <xdr:nvPicPr>
        <xdr:cNvPr id="93" name="Имя " descr="Descr ">
          <a:extLst>
            <a:ext uri="{FF2B5EF4-FFF2-40B4-BE49-F238E27FC236}">
              <a16:creationId xmlns:a16="http://schemas.microsoft.com/office/drawing/2014/main" id="{00000000-0008-0000-0000-00005D000000}"/>
            </a:ext>
          </a:extLst>
        </xdr:cNvPr>
        <xdr:cNvPicPr>
          <a:picLocks noChangeAspect="1"/>
        </xdr:cNvPicPr>
      </xdr:nvPicPr>
      <xdr:blipFill>
        <a:blip xmlns:r="http://schemas.openxmlformats.org/officeDocument/2006/relationships" r:embed="rId90"/>
        <a:stretch>
          <a:fillRect/>
        </a:stretch>
      </xdr:blipFill>
      <xdr:spPr>
        <a:prstGeom prst="rect">
          <a:avLst/>
        </a:prstGeom>
        <a:ln w="9525">
          <a:solidFill>
            <a:srgbClr val="000000"/>
          </a:solidFill>
          <a:prstDash val="solid"/>
        </a:ln>
      </xdr:spPr>
    </xdr:pic>
    <xdr:clientData/>
  </xdr:twoCellAnchor>
  <xdr:twoCellAnchor>
    <xdr:from>
      <xdr:col>3</xdr:col>
      <xdr:colOff>114300</xdr:colOff>
      <xdr:row>252</xdr:row>
      <xdr:rowOff>28575</xdr:rowOff>
    </xdr:from>
    <xdr:to>
      <xdr:col>3</xdr:col>
      <xdr:colOff>1552575</xdr:colOff>
      <xdr:row>256</xdr:row>
      <xdr:rowOff>333375</xdr:rowOff>
    </xdr:to>
    <xdr:pic>
      <xdr:nvPicPr>
        <xdr:cNvPr id="94" name="Имя " descr="Descr ">
          <a:extLst>
            <a:ext uri="{FF2B5EF4-FFF2-40B4-BE49-F238E27FC236}">
              <a16:creationId xmlns:a16="http://schemas.microsoft.com/office/drawing/2014/main" id="{00000000-0008-0000-0000-00005E000000}"/>
            </a:ext>
          </a:extLst>
        </xdr:cNvPr>
        <xdr:cNvPicPr>
          <a:picLocks noChangeAspect="1"/>
        </xdr:cNvPicPr>
      </xdr:nvPicPr>
      <xdr:blipFill>
        <a:blip xmlns:r="http://schemas.openxmlformats.org/officeDocument/2006/relationships" r:embed="rId91"/>
        <a:stretch>
          <a:fillRect/>
        </a:stretch>
      </xdr:blipFill>
      <xdr:spPr>
        <a:prstGeom prst="rect">
          <a:avLst/>
        </a:prstGeom>
        <a:ln w="9525">
          <a:solidFill>
            <a:srgbClr val="000000"/>
          </a:solidFill>
          <a:prstDash val="solid"/>
        </a:ln>
      </xdr:spPr>
    </xdr:pic>
    <xdr:clientData/>
  </xdr:twoCellAnchor>
  <xdr:twoCellAnchor>
    <xdr:from>
      <xdr:col>3</xdr:col>
      <xdr:colOff>114300</xdr:colOff>
      <xdr:row>257</xdr:row>
      <xdr:rowOff>28575</xdr:rowOff>
    </xdr:from>
    <xdr:to>
      <xdr:col>3</xdr:col>
      <xdr:colOff>1552575</xdr:colOff>
      <xdr:row>257</xdr:row>
      <xdr:rowOff>1266825</xdr:rowOff>
    </xdr:to>
    <xdr:pic>
      <xdr:nvPicPr>
        <xdr:cNvPr id="95" name="Имя " descr="Descr ">
          <a:extLst>
            <a:ext uri="{FF2B5EF4-FFF2-40B4-BE49-F238E27FC236}">
              <a16:creationId xmlns:a16="http://schemas.microsoft.com/office/drawing/2014/main" id="{00000000-0008-0000-0000-00005F000000}"/>
            </a:ext>
          </a:extLst>
        </xdr:cNvPr>
        <xdr:cNvPicPr>
          <a:picLocks noChangeAspect="1"/>
        </xdr:cNvPicPr>
      </xdr:nvPicPr>
      <xdr:blipFill>
        <a:blip xmlns:r="http://schemas.openxmlformats.org/officeDocument/2006/relationships" r:embed="rId92"/>
        <a:stretch>
          <a:fillRect/>
        </a:stretch>
      </xdr:blipFill>
      <xdr:spPr>
        <a:prstGeom prst="rect">
          <a:avLst/>
        </a:prstGeom>
        <a:ln w="9525">
          <a:solidFill>
            <a:srgbClr val="000000"/>
          </a:solidFill>
          <a:prstDash val="solid"/>
        </a:ln>
      </xdr:spPr>
    </xdr:pic>
    <xdr:clientData/>
  </xdr:twoCellAnchor>
  <xdr:twoCellAnchor>
    <xdr:from>
      <xdr:col>3</xdr:col>
      <xdr:colOff>114300</xdr:colOff>
      <xdr:row>258</xdr:row>
      <xdr:rowOff>28575</xdr:rowOff>
    </xdr:from>
    <xdr:to>
      <xdr:col>3</xdr:col>
      <xdr:colOff>1552575</xdr:colOff>
      <xdr:row>265</xdr:row>
      <xdr:rowOff>152400</xdr:rowOff>
    </xdr:to>
    <xdr:pic>
      <xdr:nvPicPr>
        <xdr:cNvPr id="96" name="Имя " descr="Descr ">
          <a:extLst>
            <a:ext uri="{FF2B5EF4-FFF2-40B4-BE49-F238E27FC236}">
              <a16:creationId xmlns:a16="http://schemas.microsoft.com/office/drawing/2014/main" id="{00000000-0008-0000-0000-000060000000}"/>
            </a:ext>
          </a:extLst>
        </xdr:cNvPr>
        <xdr:cNvPicPr>
          <a:picLocks noChangeAspect="1"/>
        </xdr:cNvPicPr>
      </xdr:nvPicPr>
      <xdr:blipFill>
        <a:blip xmlns:r="http://schemas.openxmlformats.org/officeDocument/2006/relationships" r:embed="rId93"/>
        <a:stretch>
          <a:fillRect/>
        </a:stretch>
      </xdr:blipFill>
      <xdr:spPr>
        <a:prstGeom prst="rect">
          <a:avLst/>
        </a:prstGeom>
        <a:ln w="9525">
          <a:solidFill>
            <a:srgbClr val="000000"/>
          </a:solidFill>
          <a:prstDash val="solid"/>
        </a:ln>
      </xdr:spPr>
    </xdr:pic>
    <xdr:clientData/>
  </xdr:twoCellAnchor>
  <xdr:twoCellAnchor>
    <xdr:from>
      <xdr:col>3</xdr:col>
      <xdr:colOff>114300</xdr:colOff>
      <xdr:row>266</xdr:row>
      <xdr:rowOff>28575</xdr:rowOff>
    </xdr:from>
    <xdr:to>
      <xdr:col>3</xdr:col>
      <xdr:colOff>1552575</xdr:colOff>
      <xdr:row>269</xdr:row>
      <xdr:rowOff>209550</xdr:rowOff>
    </xdr:to>
    <xdr:pic>
      <xdr:nvPicPr>
        <xdr:cNvPr id="97" name="Имя " descr="Descr ">
          <a:extLst>
            <a:ext uri="{FF2B5EF4-FFF2-40B4-BE49-F238E27FC236}">
              <a16:creationId xmlns:a16="http://schemas.microsoft.com/office/drawing/2014/main" id="{00000000-0008-0000-0000-000061000000}"/>
            </a:ext>
          </a:extLst>
        </xdr:cNvPr>
        <xdr:cNvPicPr>
          <a:picLocks noChangeAspect="1"/>
        </xdr:cNvPicPr>
      </xdr:nvPicPr>
      <xdr:blipFill>
        <a:blip xmlns:r="http://schemas.openxmlformats.org/officeDocument/2006/relationships" r:embed="rId94"/>
        <a:stretch>
          <a:fillRect/>
        </a:stretch>
      </xdr:blipFill>
      <xdr:spPr>
        <a:prstGeom prst="rect">
          <a:avLst/>
        </a:prstGeom>
        <a:ln w="9525">
          <a:solidFill>
            <a:srgbClr val="000000"/>
          </a:solidFill>
          <a:prstDash val="solid"/>
        </a:ln>
      </xdr:spPr>
    </xdr:pic>
    <xdr:clientData/>
  </xdr:twoCellAnchor>
  <xdr:twoCellAnchor>
    <xdr:from>
      <xdr:col>3</xdr:col>
      <xdr:colOff>114300</xdr:colOff>
      <xdr:row>270</xdr:row>
      <xdr:rowOff>28575</xdr:rowOff>
    </xdr:from>
    <xdr:to>
      <xdr:col>3</xdr:col>
      <xdr:colOff>1552575</xdr:colOff>
      <xdr:row>273</xdr:row>
      <xdr:rowOff>209550</xdr:rowOff>
    </xdr:to>
    <xdr:pic>
      <xdr:nvPicPr>
        <xdr:cNvPr id="98" name="Имя " descr="Descr ">
          <a:extLst>
            <a:ext uri="{FF2B5EF4-FFF2-40B4-BE49-F238E27FC236}">
              <a16:creationId xmlns:a16="http://schemas.microsoft.com/office/drawing/2014/main" id="{00000000-0008-0000-0000-000062000000}"/>
            </a:ext>
          </a:extLst>
        </xdr:cNvPr>
        <xdr:cNvPicPr>
          <a:picLocks noChangeAspect="1"/>
        </xdr:cNvPicPr>
      </xdr:nvPicPr>
      <xdr:blipFill>
        <a:blip xmlns:r="http://schemas.openxmlformats.org/officeDocument/2006/relationships" r:embed="rId95"/>
        <a:stretch>
          <a:fillRect/>
        </a:stretch>
      </xdr:blipFill>
      <xdr:spPr>
        <a:prstGeom prst="rect">
          <a:avLst/>
        </a:prstGeom>
        <a:ln w="9525">
          <a:solidFill>
            <a:srgbClr val="000000"/>
          </a:solidFill>
          <a:prstDash val="solid"/>
        </a:ln>
      </xdr:spPr>
    </xdr:pic>
    <xdr:clientData/>
  </xdr:twoCellAnchor>
  <xdr:twoCellAnchor>
    <xdr:from>
      <xdr:col>3</xdr:col>
      <xdr:colOff>114300</xdr:colOff>
      <xdr:row>274</xdr:row>
      <xdr:rowOff>28575</xdr:rowOff>
    </xdr:from>
    <xdr:to>
      <xdr:col>3</xdr:col>
      <xdr:colOff>1552575</xdr:colOff>
      <xdr:row>274</xdr:row>
      <xdr:rowOff>1266825</xdr:rowOff>
    </xdr:to>
    <xdr:pic>
      <xdr:nvPicPr>
        <xdr:cNvPr id="99" name="Имя " descr="Descr ">
          <a:extLst>
            <a:ext uri="{FF2B5EF4-FFF2-40B4-BE49-F238E27FC236}">
              <a16:creationId xmlns:a16="http://schemas.microsoft.com/office/drawing/2014/main" id="{00000000-0008-0000-0000-000063000000}"/>
            </a:ext>
          </a:extLst>
        </xdr:cNvPr>
        <xdr:cNvPicPr>
          <a:picLocks noChangeAspect="1"/>
        </xdr:cNvPicPr>
      </xdr:nvPicPr>
      <xdr:blipFill>
        <a:blip xmlns:r="http://schemas.openxmlformats.org/officeDocument/2006/relationships" r:embed="rId96"/>
        <a:stretch>
          <a:fillRect/>
        </a:stretch>
      </xdr:blipFill>
      <xdr:spPr>
        <a:prstGeom prst="rect">
          <a:avLst/>
        </a:prstGeom>
        <a:ln w="9525">
          <a:solidFill>
            <a:srgbClr val="000000"/>
          </a:solidFill>
          <a:prstDash val="solid"/>
        </a:ln>
      </xdr:spPr>
    </xdr:pic>
    <xdr:clientData/>
  </xdr:twoCellAnchor>
  <xdr:twoCellAnchor>
    <xdr:from>
      <xdr:col>3</xdr:col>
      <xdr:colOff>114300</xdr:colOff>
      <xdr:row>275</xdr:row>
      <xdr:rowOff>28575</xdr:rowOff>
    </xdr:from>
    <xdr:to>
      <xdr:col>3</xdr:col>
      <xdr:colOff>1552575</xdr:colOff>
      <xdr:row>280</xdr:row>
      <xdr:rowOff>209550</xdr:rowOff>
    </xdr:to>
    <xdr:pic>
      <xdr:nvPicPr>
        <xdr:cNvPr id="100" name="Имя " descr="Descr ">
          <a:extLst>
            <a:ext uri="{FF2B5EF4-FFF2-40B4-BE49-F238E27FC236}">
              <a16:creationId xmlns:a16="http://schemas.microsoft.com/office/drawing/2014/main" id="{00000000-0008-0000-0000-000064000000}"/>
            </a:ext>
          </a:extLst>
        </xdr:cNvPr>
        <xdr:cNvPicPr>
          <a:picLocks noChangeAspect="1"/>
        </xdr:cNvPicPr>
      </xdr:nvPicPr>
      <xdr:blipFill>
        <a:blip xmlns:r="http://schemas.openxmlformats.org/officeDocument/2006/relationships" r:embed="rId97"/>
        <a:stretch>
          <a:fillRect/>
        </a:stretch>
      </xdr:blipFill>
      <xdr:spPr>
        <a:prstGeom prst="rect">
          <a:avLst/>
        </a:prstGeom>
        <a:ln w="9525">
          <a:solidFill>
            <a:srgbClr val="000000"/>
          </a:solidFill>
          <a:prstDash val="solid"/>
        </a:ln>
      </xdr:spPr>
    </xdr:pic>
    <xdr:clientData/>
  </xdr:twoCellAnchor>
  <xdr:twoCellAnchor>
    <xdr:from>
      <xdr:col>3</xdr:col>
      <xdr:colOff>114300</xdr:colOff>
      <xdr:row>281</xdr:row>
      <xdr:rowOff>28575</xdr:rowOff>
    </xdr:from>
    <xdr:to>
      <xdr:col>3</xdr:col>
      <xdr:colOff>1552575</xdr:colOff>
      <xdr:row>283</xdr:row>
      <xdr:rowOff>419100</xdr:rowOff>
    </xdr:to>
    <xdr:pic>
      <xdr:nvPicPr>
        <xdr:cNvPr id="101" name="Имя " descr="Descr ">
          <a:extLst>
            <a:ext uri="{FF2B5EF4-FFF2-40B4-BE49-F238E27FC236}">
              <a16:creationId xmlns:a16="http://schemas.microsoft.com/office/drawing/2014/main" id="{00000000-0008-0000-0000-000065000000}"/>
            </a:ext>
          </a:extLst>
        </xdr:cNvPr>
        <xdr:cNvPicPr>
          <a:picLocks noChangeAspect="1"/>
        </xdr:cNvPicPr>
      </xdr:nvPicPr>
      <xdr:blipFill>
        <a:blip xmlns:r="http://schemas.openxmlformats.org/officeDocument/2006/relationships" r:embed="rId98"/>
        <a:stretch>
          <a:fillRect/>
        </a:stretch>
      </xdr:blipFill>
      <xdr:spPr>
        <a:prstGeom prst="rect">
          <a:avLst/>
        </a:prstGeom>
        <a:ln w="9525">
          <a:solidFill>
            <a:srgbClr val="000000"/>
          </a:solidFill>
          <a:prstDash val="solid"/>
        </a:ln>
      </xdr:spPr>
    </xdr:pic>
    <xdr:clientData/>
  </xdr:twoCellAnchor>
  <xdr:twoCellAnchor>
    <xdr:from>
      <xdr:col>3</xdr:col>
      <xdr:colOff>114300</xdr:colOff>
      <xdr:row>284</xdr:row>
      <xdr:rowOff>38100</xdr:rowOff>
    </xdr:from>
    <xdr:to>
      <xdr:col>3</xdr:col>
      <xdr:colOff>1552575</xdr:colOff>
      <xdr:row>285</xdr:row>
      <xdr:rowOff>638175</xdr:rowOff>
    </xdr:to>
    <xdr:pic>
      <xdr:nvPicPr>
        <xdr:cNvPr id="102" name="Имя " descr="Descr ">
          <a:extLst>
            <a:ext uri="{FF2B5EF4-FFF2-40B4-BE49-F238E27FC236}">
              <a16:creationId xmlns:a16="http://schemas.microsoft.com/office/drawing/2014/main" id="{00000000-0008-0000-0000-000066000000}"/>
            </a:ext>
          </a:extLst>
        </xdr:cNvPr>
        <xdr:cNvPicPr>
          <a:picLocks noChangeAspect="1"/>
        </xdr:cNvPicPr>
      </xdr:nvPicPr>
      <xdr:blipFill>
        <a:blip xmlns:r="http://schemas.openxmlformats.org/officeDocument/2006/relationships" r:embed="rId99"/>
        <a:stretch>
          <a:fillRect/>
        </a:stretch>
      </xdr:blipFill>
      <xdr:spPr>
        <a:prstGeom prst="rect">
          <a:avLst/>
        </a:prstGeom>
        <a:ln w="9525">
          <a:solidFill>
            <a:srgbClr val="000000"/>
          </a:solidFill>
          <a:prstDash val="solid"/>
        </a:ln>
      </xdr:spPr>
    </xdr:pic>
    <xdr:clientData/>
  </xdr:twoCellAnchor>
  <xdr:twoCellAnchor>
    <xdr:from>
      <xdr:col>3</xdr:col>
      <xdr:colOff>114300</xdr:colOff>
      <xdr:row>286</xdr:row>
      <xdr:rowOff>28575</xdr:rowOff>
    </xdr:from>
    <xdr:to>
      <xdr:col>3</xdr:col>
      <xdr:colOff>1552575</xdr:colOff>
      <xdr:row>286</xdr:row>
      <xdr:rowOff>1266825</xdr:rowOff>
    </xdr:to>
    <xdr:pic>
      <xdr:nvPicPr>
        <xdr:cNvPr id="103" name="Имя " descr="Descr ">
          <a:extLst>
            <a:ext uri="{FF2B5EF4-FFF2-40B4-BE49-F238E27FC236}">
              <a16:creationId xmlns:a16="http://schemas.microsoft.com/office/drawing/2014/main" id="{00000000-0008-0000-0000-000067000000}"/>
            </a:ext>
          </a:extLst>
        </xdr:cNvPr>
        <xdr:cNvPicPr>
          <a:picLocks noChangeAspect="1"/>
        </xdr:cNvPicPr>
      </xdr:nvPicPr>
      <xdr:blipFill>
        <a:blip xmlns:r="http://schemas.openxmlformats.org/officeDocument/2006/relationships" r:embed="rId100"/>
        <a:stretch>
          <a:fillRect/>
        </a:stretch>
      </xdr:blipFill>
      <xdr:spPr>
        <a:prstGeom prst="rect">
          <a:avLst/>
        </a:prstGeom>
        <a:ln w="9525">
          <a:solidFill>
            <a:srgbClr val="000000"/>
          </a:solidFill>
          <a:prstDash val="solid"/>
        </a:ln>
      </xdr:spPr>
    </xdr:pic>
    <xdr:clientData/>
  </xdr:twoCellAnchor>
  <xdr:twoCellAnchor>
    <xdr:from>
      <xdr:col>3</xdr:col>
      <xdr:colOff>114300</xdr:colOff>
      <xdr:row>287</xdr:row>
      <xdr:rowOff>38100</xdr:rowOff>
    </xdr:from>
    <xdr:to>
      <xdr:col>3</xdr:col>
      <xdr:colOff>1552575</xdr:colOff>
      <xdr:row>288</xdr:row>
      <xdr:rowOff>638175</xdr:rowOff>
    </xdr:to>
    <xdr:pic>
      <xdr:nvPicPr>
        <xdr:cNvPr id="104" name="Имя " descr="Descr ">
          <a:extLst>
            <a:ext uri="{FF2B5EF4-FFF2-40B4-BE49-F238E27FC236}">
              <a16:creationId xmlns:a16="http://schemas.microsoft.com/office/drawing/2014/main" id="{00000000-0008-0000-0000-000068000000}"/>
            </a:ext>
          </a:extLst>
        </xdr:cNvPr>
        <xdr:cNvPicPr>
          <a:picLocks noChangeAspect="1"/>
        </xdr:cNvPicPr>
      </xdr:nvPicPr>
      <xdr:blipFill>
        <a:blip xmlns:r="http://schemas.openxmlformats.org/officeDocument/2006/relationships" r:embed="rId101"/>
        <a:stretch>
          <a:fillRect/>
        </a:stretch>
      </xdr:blipFill>
      <xdr:spPr>
        <a:prstGeom prst="rect">
          <a:avLst/>
        </a:prstGeom>
        <a:ln w="9525">
          <a:solidFill>
            <a:srgbClr val="000000"/>
          </a:solidFill>
          <a:prstDash val="solid"/>
        </a:ln>
      </xdr:spPr>
    </xdr:pic>
    <xdr:clientData/>
  </xdr:twoCellAnchor>
  <xdr:twoCellAnchor>
    <xdr:from>
      <xdr:col>3</xdr:col>
      <xdr:colOff>114300</xdr:colOff>
      <xdr:row>289</xdr:row>
      <xdr:rowOff>28575</xdr:rowOff>
    </xdr:from>
    <xdr:to>
      <xdr:col>3</xdr:col>
      <xdr:colOff>1552575</xdr:colOff>
      <xdr:row>289</xdr:row>
      <xdr:rowOff>1266825</xdr:rowOff>
    </xdr:to>
    <xdr:pic>
      <xdr:nvPicPr>
        <xdr:cNvPr id="105" name="Имя " descr="Descr ">
          <a:extLst>
            <a:ext uri="{FF2B5EF4-FFF2-40B4-BE49-F238E27FC236}">
              <a16:creationId xmlns:a16="http://schemas.microsoft.com/office/drawing/2014/main" id="{00000000-0008-0000-0000-000069000000}"/>
            </a:ext>
          </a:extLst>
        </xdr:cNvPr>
        <xdr:cNvPicPr>
          <a:picLocks noChangeAspect="1"/>
        </xdr:cNvPicPr>
      </xdr:nvPicPr>
      <xdr:blipFill>
        <a:blip xmlns:r="http://schemas.openxmlformats.org/officeDocument/2006/relationships" r:embed="rId102"/>
        <a:stretch>
          <a:fillRect/>
        </a:stretch>
      </xdr:blipFill>
      <xdr:spPr>
        <a:prstGeom prst="rect">
          <a:avLst/>
        </a:prstGeom>
        <a:ln w="9525">
          <a:solidFill>
            <a:srgbClr val="000000"/>
          </a:solidFill>
          <a:prstDash val="solid"/>
        </a:ln>
      </xdr:spPr>
    </xdr:pic>
    <xdr:clientData/>
  </xdr:twoCellAnchor>
  <xdr:twoCellAnchor>
    <xdr:from>
      <xdr:col>3</xdr:col>
      <xdr:colOff>114300</xdr:colOff>
      <xdr:row>290</xdr:row>
      <xdr:rowOff>28575</xdr:rowOff>
    </xdr:from>
    <xdr:to>
      <xdr:col>3</xdr:col>
      <xdr:colOff>1552575</xdr:colOff>
      <xdr:row>293</xdr:row>
      <xdr:rowOff>209550</xdr:rowOff>
    </xdr:to>
    <xdr:pic>
      <xdr:nvPicPr>
        <xdr:cNvPr id="106" name="Имя " descr="Descr ">
          <a:extLst>
            <a:ext uri="{FF2B5EF4-FFF2-40B4-BE49-F238E27FC236}">
              <a16:creationId xmlns:a16="http://schemas.microsoft.com/office/drawing/2014/main" id="{00000000-0008-0000-0000-00006A000000}"/>
            </a:ext>
          </a:extLst>
        </xdr:cNvPr>
        <xdr:cNvPicPr>
          <a:picLocks noChangeAspect="1"/>
        </xdr:cNvPicPr>
      </xdr:nvPicPr>
      <xdr:blipFill>
        <a:blip xmlns:r="http://schemas.openxmlformats.org/officeDocument/2006/relationships" r:embed="rId103"/>
        <a:stretch>
          <a:fillRect/>
        </a:stretch>
      </xdr:blipFill>
      <xdr:spPr>
        <a:prstGeom prst="rect">
          <a:avLst/>
        </a:prstGeom>
        <a:ln w="9525">
          <a:solidFill>
            <a:srgbClr val="000000"/>
          </a:solidFill>
          <a:prstDash val="solid"/>
        </a:ln>
      </xdr:spPr>
    </xdr:pic>
    <xdr:clientData/>
  </xdr:twoCellAnchor>
  <xdr:twoCellAnchor>
    <xdr:from>
      <xdr:col>3</xdr:col>
      <xdr:colOff>114300</xdr:colOff>
      <xdr:row>294</xdr:row>
      <xdr:rowOff>28575</xdr:rowOff>
    </xdr:from>
    <xdr:to>
      <xdr:col>3</xdr:col>
      <xdr:colOff>1552575</xdr:colOff>
      <xdr:row>294</xdr:row>
      <xdr:rowOff>1266825</xdr:rowOff>
    </xdr:to>
    <xdr:pic>
      <xdr:nvPicPr>
        <xdr:cNvPr id="107" name="Имя " descr="Descr ">
          <a:extLst>
            <a:ext uri="{FF2B5EF4-FFF2-40B4-BE49-F238E27FC236}">
              <a16:creationId xmlns:a16="http://schemas.microsoft.com/office/drawing/2014/main" id="{00000000-0008-0000-0000-00006B000000}"/>
            </a:ext>
          </a:extLst>
        </xdr:cNvPr>
        <xdr:cNvPicPr>
          <a:picLocks noChangeAspect="1"/>
        </xdr:cNvPicPr>
      </xdr:nvPicPr>
      <xdr:blipFill>
        <a:blip xmlns:r="http://schemas.openxmlformats.org/officeDocument/2006/relationships" r:embed="rId104"/>
        <a:stretch>
          <a:fillRect/>
        </a:stretch>
      </xdr:blipFill>
      <xdr:spPr>
        <a:prstGeom prst="rect">
          <a:avLst/>
        </a:prstGeom>
        <a:ln w="9525">
          <a:solidFill>
            <a:srgbClr val="000000"/>
          </a:solidFill>
          <a:prstDash val="solid"/>
        </a:ln>
      </xdr:spPr>
    </xdr:pic>
    <xdr:clientData/>
  </xdr:twoCellAnchor>
  <xdr:twoCellAnchor>
    <xdr:from>
      <xdr:col>3</xdr:col>
      <xdr:colOff>114300</xdr:colOff>
      <xdr:row>295</xdr:row>
      <xdr:rowOff>28575</xdr:rowOff>
    </xdr:from>
    <xdr:to>
      <xdr:col>3</xdr:col>
      <xdr:colOff>1552575</xdr:colOff>
      <xdr:row>295</xdr:row>
      <xdr:rowOff>1266825</xdr:rowOff>
    </xdr:to>
    <xdr:pic>
      <xdr:nvPicPr>
        <xdr:cNvPr id="108" name="Имя " descr="Descr ">
          <a:extLst>
            <a:ext uri="{FF2B5EF4-FFF2-40B4-BE49-F238E27FC236}">
              <a16:creationId xmlns:a16="http://schemas.microsoft.com/office/drawing/2014/main" id="{00000000-0008-0000-0000-00006C000000}"/>
            </a:ext>
          </a:extLst>
        </xdr:cNvPr>
        <xdr:cNvPicPr>
          <a:picLocks noChangeAspect="1"/>
        </xdr:cNvPicPr>
      </xdr:nvPicPr>
      <xdr:blipFill>
        <a:blip xmlns:r="http://schemas.openxmlformats.org/officeDocument/2006/relationships" r:embed="rId105"/>
        <a:stretch>
          <a:fillRect/>
        </a:stretch>
      </xdr:blipFill>
      <xdr:spPr>
        <a:prstGeom prst="rect">
          <a:avLst/>
        </a:prstGeom>
        <a:ln w="9525">
          <a:solidFill>
            <a:srgbClr val="000000"/>
          </a:solidFill>
          <a:prstDash val="solid"/>
        </a:ln>
      </xdr:spPr>
    </xdr:pic>
    <xdr:clientData/>
  </xdr:twoCellAnchor>
  <xdr:twoCellAnchor>
    <xdr:from>
      <xdr:col>3</xdr:col>
      <xdr:colOff>114300</xdr:colOff>
      <xdr:row>296</xdr:row>
      <xdr:rowOff>28575</xdr:rowOff>
    </xdr:from>
    <xdr:to>
      <xdr:col>3</xdr:col>
      <xdr:colOff>1552575</xdr:colOff>
      <xdr:row>296</xdr:row>
      <xdr:rowOff>1266825</xdr:rowOff>
    </xdr:to>
    <xdr:pic>
      <xdr:nvPicPr>
        <xdr:cNvPr id="109" name="Имя " descr="Descr ">
          <a:extLst>
            <a:ext uri="{FF2B5EF4-FFF2-40B4-BE49-F238E27FC236}">
              <a16:creationId xmlns:a16="http://schemas.microsoft.com/office/drawing/2014/main" id="{00000000-0008-0000-0000-00006D000000}"/>
            </a:ext>
          </a:extLst>
        </xdr:cNvPr>
        <xdr:cNvPicPr>
          <a:picLocks noChangeAspect="1"/>
        </xdr:cNvPicPr>
      </xdr:nvPicPr>
      <xdr:blipFill>
        <a:blip xmlns:r="http://schemas.openxmlformats.org/officeDocument/2006/relationships" r:embed="rId106"/>
        <a:stretch>
          <a:fillRect/>
        </a:stretch>
      </xdr:blipFill>
      <xdr:spPr>
        <a:prstGeom prst="rect">
          <a:avLst/>
        </a:prstGeom>
        <a:ln w="9525">
          <a:solidFill>
            <a:srgbClr val="000000"/>
          </a:solidFill>
          <a:prstDash val="solid"/>
        </a:ln>
      </xdr:spPr>
    </xdr:pic>
    <xdr:clientData/>
  </xdr:twoCellAnchor>
  <xdr:twoCellAnchor>
    <xdr:from>
      <xdr:col>3</xdr:col>
      <xdr:colOff>114300</xdr:colOff>
      <xdr:row>297</xdr:row>
      <xdr:rowOff>28575</xdr:rowOff>
    </xdr:from>
    <xdr:to>
      <xdr:col>3</xdr:col>
      <xdr:colOff>1552575</xdr:colOff>
      <xdr:row>297</xdr:row>
      <xdr:rowOff>1266825</xdr:rowOff>
    </xdr:to>
    <xdr:pic>
      <xdr:nvPicPr>
        <xdr:cNvPr id="110" name="Имя " descr="Descr ">
          <a:extLst>
            <a:ext uri="{FF2B5EF4-FFF2-40B4-BE49-F238E27FC236}">
              <a16:creationId xmlns:a16="http://schemas.microsoft.com/office/drawing/2014/main" id="{00000000-0008-0000-0000-00006E000000}"/>
            </a:ext>
          </a:extLst>
        </xdr:cNvPr>
        <xdr:cNvPicPr>
          <a:picLocks noChangeAspect="1"/>
        </xdr:cNvPicPr>
      </xdr:nvPicPr>
      <xdr:blipFill>
        <a:blip xmlns:r="http://schemas.openxmlformats.org/officeDocument/2006/relationships" r:embed="rId107"/>
        <a:stretch>
          <a:fillRect/>
        </a:stretch>
      </xdr:blipFill>
      <xdr:spPr>
        <a:prstGeom prst="rect">
          <a:avLst/>
        </a:prstGeom>
        <a:ln w="9525">
          <a:solidFill>
            <a:srgbClr val="000000"/>
          </a:solidFill>
          <a:prstDash val="solid"/>
        </a:ln>
      </xdr:spPr>
    </xdr:pic>
    <xdr:clientData/>
  </xdr:twoCellAnchor>
  <xdr:twoCellAnchor>
    <xdr:from>
      <xdr:col>3</xdr:col>
      <xdr:colOff>114300</xdr:colOff>
      <xdr:row>298</xdr:row>
      <xdr:rowOff>28575</xdr:rowOff>
    </xdr:from>
    <xdr:to>
      <xdr:col>3</xdr:col>
      <xdr:colOff>1552575</xdr:colOff>
      <xdr:row>298</xdr:row>
      <xdr:rowOff>1266825</xdr:rowOff>
    </xdr:to>
    <xdr:pic>
      <xdr:nvPicPr>
        <xdr:cNvPr id="111" name="Имя " descr="Descr ">
          <a:extLst>
            <a:ext uri="{FF2B5EF4-FFF2-40B4-BE49-F238E27FC236}">
              <a16:creationId xmlns:a16="http://schemas.microsoft.com/office/drawing/2014/main" id="{00000000-0008-0000-0000-00006F000000}"/>
            </a:ext>
          </a:extLst>
        </xdr:cNvPr>
        <xdr:cNvPicPr>
          <a:picLocks noChangeAspect="1"/>
        </xdr:cNvPicPr>
      </xdr:nvPicPr>
      <xdr:blipFill>
        <a:blip xmlns:r="http://schemas.openxmlformats.org/officeDocument/2006/relationships" r:embed="rId108"/>
        <a:stretch>
          <a:fillRect/>
        </a:stretch>
      </xdr:blipFill>
      <xdr:spPr>
        <a:prstGeom prst="rect">
          <a:avLst/>
        </a:prstGeom>
        <a:ln w="9525">
          <a:solidFill>
            <a:srgbClr val="000000"/>
          </a:solidFill>
          <a:prstDash val="solid"/>
        </a:ln>
      </xdr:spPr>
    </xdr:pic>
    <xdr:clientData/>
  </xdr:twoCellAnchor>
  <xdr:twoCellAnchor>
    <xdr:from>
      <xdr:col>3</xdr:col>
      <xdr:colOff>114300</xdr:colOff>
      <xdr:row>299</xdr:row>
      <xdr:rowOff>28575</xdr:rowOff>
    </xdr:from>
    <xdr:to>
      <xdr:col>3</xdr:col>
      <xdr:colOff>1552575</xdr:colOff>
      <xdr:row>301</xdr:row>
      <xdr:rowOff>419100</xdr:rowOff>
    </xdr:to>
    <xdr:pic>
      <xdr:nvPicPr>
        <xdr:cNvPr id="112" name="Имя " descr="Descr ">
          <a:extLst>
            <a:ext uri="{FF2B5EF4-FFF2-40B4-BE49-F238E27FC236}">
              <a16:creationId xmlns:a16="http://schemas.microsoft.com/office/drawing/2014/main" id="{00000000-0008-0000-0000-000070000000}"/>
            </a:ext>
          </a:extLst>
        </xdr:cNvPr>
        <xdr:cNvPicPr>
          <a:picLocks noChangeAspect="1"/>
        </xdr:cNvPicPr>
      </xdr:nvPicPr>
      <xdr:blipFill>
        <a:blip xmlns:r="http://schemas.openxmlformats.org/officeDocument/2006/relationships" r:embed="rId109"/>
        <a:stretch>
          <a:fillRect/>
        </a:stretch>
      </xdr:blipFill>
      <xdr:spPr>
        <a:prstGeom prst="rect">
          <a:avLst/>
        </a:prstGeom>
        <a:ln w="9525">
          <a:solidFill>
            <a:srgbClr val="000000"/>
          </a:solidFill>
          <a:prstDash val="solid"/>
        </a:ln>
      </xdr:spPr>
    </xdr:pic>
    <xdr:clientData/>
  </xdr:twoCellAnchor>
  <xdr:twoCellAnchor>
    <xdr:from>
      <xdr:col>3</xdr:col>
      <xdr:colOff>114300</xdr:colOff>
      <xdr:row>302</xdr:row>
      <xdr:rowOff>28575</xdr:rowOff>
    </xdr:from>
    <xdr:to>
      <xdr:col>3</xdr:col>
      <xdr:colOff>1552575</xdr:colOff>
      <xdr:row>302</xdr:row>
      <xdr:rowOff>1266825</xdr:rowOff>
    </xdr:to>
    <xdr:pic>
      <xdr:nvPicPr>
        <xdr:cNvPr id="113" name="Имя " descr="Descr ">
          <a:extLst>
            <a:ext uri="{FF2B5EF4-FFF2-40B4-BE49-F238E27FC236}">
              <a16:creationId xmlns:a16="http://schemas.microsoft.com/office/drawing/2014/main" id="{00000000-0008-0000-0000-000071000000}"/>
            </a:ext>
          </a:extLst>
        </xdr:cNvPr>
        <xdr:cNvPicPr>
          <a:picLocks noChangeAspect="1"/>
        </xdr:cNvPicPr>
      </xdr:nvPicPr>
      <xdr:blipFill>
        <a:blip xmlns:r="http://schemas.openxmlformats.org/officeDocument/2006/relationships" r:embed="rId110"/>
        <a:stretch>
          <a:fillRect/>
        </a:stretch>
      </xdr:blipFill>
      <xdr:spPr>
        <a:prstGeom prst="rect">
          <a:avLst/>
        </a:prstGeom>
        <a:ln w="9525">
          <a:solidFill>
            <a:srgbClr val="000000"/>
          </a:solidFill>
          <a:prstDash val="solid"/>
        </a:ln>
      </xdr:spPr>
    </xdr:pic>
    <xdr:clientData/>
  </xdr:twoCellAnchor>
  <xdr:twoCellAnchor>
    <xdr:from>
      <xdr:col>3</xdr:col>
      <xdr:colOff>114300</xdr:colOff>
      <xdr:row>303</xdr:row>
      <xdr:rowOff>28575</xdr:rowOff>
    </xdr:from>
    <xdr:to>
      <xdr:col>3</xdr:col>
      <xdr:colOff>1552575</xdr:colOff>
      <xdr:row>307</xdr:row>
      <xdr:rowOff>333375</xdr:rowOff>
    </xdr:to>
    <xdr:pic>
      <xdr:nvPicPr>
        <xdr:cNvPr id="114" name="Имя " descr="Descr ">
          <a:extLst>
            <a:ext uri="{FF2B5EF4-FFF2-40B4-BE49-F238E27FC236}">
              <a16:creationId xmlns:a16="http://schemas.microsoft.com/office/drawing/2014/main" id="{00000000-0008-0000-0000-000072000000}"/>
            </a:ext>
          </a:extLst>
        </xdr:cNvPr>
        <xdr:cNvPicPr>
          <a:picLocks noChangeAspect="1"/>
        </xdr:cNvPicPr>
      </xdr:nvPicPr>
      <xdr:blipFill>
        <a:blip xmlns:r="http://schemas.openxmlformats.org/officeDocument/2006/relationships" r:embed="rId111"/>
        <a:stretch>
          <a:fillRect/>
        </a:stretch>
      </xdr:blipFill>
      <xdr:spPr>
        <a:prstGeom prst="rect">
          <a:avLst/>
        </a:prstGeom>
        <a:ln w="9525">
          <a:solidFill>
            <a:srgbClr val="000000"/>
          </a:solidFill>
          <a:prstDash val="solid"/>
        </a:ln>
      </xdr:spPr>
    </xdr:pic>
    <xdr:clientData/>
  </xdr:twoCellAnchor>
  <xdr:twoCellAnchor>
    <xdr:from>
      <xdr:col>3</xdr:col>
      <xdr:colOff>114300</xdr:colOff>
      <xdr:row>308</xdr:row>
      <xdr:rowOff>28575</xdr:rowOff>
    </xdr:from>
    <xdr:to>
      <xdr:col>3</xdr:col>
      <xdr:colOff>1552575</xdr:colOff>
      <xdr:row>308</xdr:row>
      <xdr:rowOff>1266825</xdr:rowOff>
    </xdr:to>
    <xdr:pic>
      <xdr:nvPicPr>
        <xdr:cNvPr id="115" name="Имя " descr="Descr ">
          <a:extLst>
            <a:ext uri="{FF2B5EF4-FFF2-40B4-BE49-F238E27FC236}">
              <a16:creationId xmlns:a16="http://schemas.microsoft.com/office/drawing/2014/main" id="{00000000-0008-0000-0000-000073000000}"/>
            </a:ext>
          </a:extLst>
        </xdr:cNvPr>
        <xdr:cNvPicPr>
          <a:picLocks noChangeAspect="1"/>
        </xdr:cNvPicPr>
      </xdr:nvPicPr>
      <xdr:blipFill>
        <a:blip xmlns:r="http://schemas.openxmlformats.org/officeDocument/2006/relationships" r:embed="rId112"/>
        <a:stretch>
          <a:fillRect/>
        </a:stretch>
      </xdr:blipFill>
      <xdr:spPr>
        <a:prstGeom prst="rect">
          <a:avLst/>
        </a:prstGeom>
        <a:ln w="9525">
          <a:solidFill>
            <a:srgbClr val="000000"/>
          </a:solidFill>
          <a:prstDash val="solid"/>
        </a:ln>
      </xdr:spPr>
    </xdr:pic>
    <xdr:clientData/>
  </xdr:twoCellAnchor>
  <xdr:twoCellAnchor>
    <xdr:from>
      <xdr:col>3</xdr:col>
      <xdr:colOff>114300</xdr:colOff>
      <xdr:row>309</xdr:row>
      <xdr:rowOff>38100</xdr:rowOff>
    </xdr:from>
    <xdr:to>
      <xdr:col>3</xdr:col>
      <xdr:colOff>1552575</xdr:colOff>
      <xdr:row>310</xdr:row>
      <xdr:rowOff>638175</xdr:rowOff>
    </xdr:to>
    <xdr:pic>
      <xdr:nvPicPr>
        <xdr:cNvPr id="116" name="Имя " descr="Descr ">
          <a:extLst>
            <a:ext uri="{FF2B5EF4-FFF2-40B4-BE49-F238E27FC236}">
              <a16:creationId xmlns:a16="http://schemas.microsoft.com/office/drawing/2014/main" id="{00000000-0008-0000-0000-000074000000}"/>
            </a:ext>
          </a:extLst>
        </xdr:cNvPr>
        <xdr:cNvPicPr>
          <a:picLocks noChangeAspect="1"/>
        </xdr:cNvPicPr>
      </xdr:nvPicPr>
      <xdr:blipFill>
        <a:blip xmlns:r="http://schemas.openxmlformats.org/officeDocument/2006/relationships" r:embed="rId113"/>
        <a:stretch>
          <a:fillRect/>
        </a:stretch>
      </xdr:blipFill>
      <xdr:spPr>
        <a:prstGeom prst="rect">
          <a:avLst/>
        </a:prstGeom>
        <a:ln w="9525">
          <a:solidFill>
            <a:srgbClr val="000000"/>
          </a:solidFill>
          <a:prstDash val="solid"/>
        </a:ln>
      </xdr:spPr>
    </xdr:pic>
    <xdr:clientData/>
  </xdr:twoCellAnchor>
  <xdr:twoCellAnchor>
    <xdr:from>
      <xdr:col>3</xdr:col>
      <xdr:colOff>114300</xdr:colOff>
      <xdr:row>311</xdr:row>
      <xdr:rowOff>28575</xdr:rowOff>
    </xdr:from>
    <xdr:to>
      <xdr:col>3</xdr:col>
      <xdr:colOff>1552575</xdr:colOff>
      <xdr:row>311</xdr:row>
      <xdr:rowOff>1266825</xdr:rowOff>
    </xdr:to>
    <xdr:pic>
      <xdr:nvPicPr>
        <xdr:cNvPr id="117" name="Имя " descr="Descr ">
          <a:extLst>
            <a:ext uri="{FF2B5EF4-FFF2-40B4-BE49-F238E27FC236}">
              <a16:creationId xmlns:a16="http://schemas.microsoft.com/office/drawing/2014/main" id="{00000000-0008-0000-0000-000075000000}"/>
            </a:ext>
          </a:extLst>
        </xdr:cNvPr>
        <xdr:cNvPicPr>
          <a:picLocks noChangeAspect="1"/>
        </xdr:cNvPicPr>
      </xdr:nvPicPr>
      <xdr:blipFill>
        <a:blip xmlns:r="http://schemas.openxmlformats.org/officeDocument/2006/relationships" r:embed="rId114"/>
        <a:stretch>
          <a:fillRect/>
        </a:stretch>
      </xdr:blipFill>
      <xdr:spPr>
        <a:prstGeom prst="rect">
          <a:avLst/>
        </a:prstGeom>
        <a:ln w="9525">
          <a:solidFill>
            <a:srgbClr val="000000"/>
          </a:solidFill>
          <a:prstDash val="solid"/>
        </a:ln>
      </xdr:spPr>
    </xdr:pic>
    <xdr:clientData/>
  </xdr:twoCellAnchor>
  <xdr:twoCellAnchor>
    <xdr:from>
      <xdr:col>3</xdr:col>
      <xdr:colOff>114300</xdr:colOff>
      <xdr:row>312</xdr:row>
      <xdr:rowOff>38100</xdr:rowOff>
    </xdr:from>
    <xdr:to>
      <xdr:col>3</xdr:col>
      <xdr:colOff>1552575</xdr:colOff>
      <xdr:row>313</xdr:row>
      <xdr:rowOff>638175</xdr:rowOff>
    </xdr:to>
    <xdr:pic>
      <xdr:nvPicPr>
        <xdr:cNvPr id="118" name="Имя " descr="Descr ">
          <a:extLst>
            <a:ext uri="{FF2B5EF4-FFF2-40B4-BE49-F238E27FC236}">
              <a16:creationId xmlns:a16="http://schemas.microsoft.com/office/drawing/2014/main" id="{00000000-0008-0000-0000-000076000000}"/>
            </a:ext>
          </a:extLst>
        </xdr:cNvPr>
        <xdr:cNvPicPr>
          <a:picLocks noChangeAspect="1"/>
        </xdr:cNvPicPr>
      </xdr:nvPicPr>
      <xdr:blipFill>
        <a:blip xmlns:r="http://schemas.openxmlformats.org/officeDocument/2006/relationships" r:embed="rId115"/>
        <a:stretch>
          <a:fillRect/>
        </a:stretch>
      </xdr:blipFill>
      <xdr:spPr>
        <a:prstGeom prst="rect">
          <a:avLst/>
        </a:prstGeom>
        <a:ln w="9525">
          <a:solidFill>
            <a:srgbClr val="000000"/>
          </a:solidFill>
          <a:prstDash val="solid"/>
        </a:ln>
      </xdr:spPr>
    </xdr:pic>
    <xdr:clientData/>
  </xdr:twoCellAnchor>
  <xdr:twoCellAnchor>
    <xdr:from>
      <xdr:col>3</xdr:col>
      <xdr:colOff>114300</xdr:colOff>
      <xdr:row>314</xdr:row>
      <xdr:rowOff>38100</xdr:rowOff>
    </xdr:from>
    <xdr:to>
      <xdr:col>3</xdr:col>
      <xdr:colOff>1552575</xdr:colOff>
      <xdr:row>315</xdr:row>
      <xdr:rowOff>638175</xdr:rowOff>
    </xdr:to>
    <xdr:pic>
      <xdr:nvPicPr>
        <xdr:cNvPr id="119" name="Имя " descr="Descr ">
          <a:extLst>
            <a:ext uri="{FF2B5EF4-FFF2-40B4-BE49-F238E27FC236}">
              <a16:creationId xmlns:a16="http://schemas.microsoft.com/office/drawing/2014/main" id="{00000000-0008-0000-0000-000077000000}"/>
            </a:ext>
          </a:extLst>
        </xdr:cNvPr>
        <xdr:cNvPicPr>
          <a:picLocks noChangeAspect="1"/>
        </xdr:cNvPicPr>
      </xdr:nvPicPr>
      <xdr:blipFill>
        <a:blip xmlns:r="http://schemas.openxmlformats.org/officeDocument/2006/relationships" r:embed="rId116"/>
        <a:stretch>
          <a:fillRect/>
        </a:stretch>
      </xdr:blipFill>
      <xdr:spPr>
        <a:prstGeom prst="rect">
          <a:avLst/>
        </a:prstGeom>
        <a:ln w="9525">
          <a:solidFill>
            <a:srgbClr val="000000"/>
          </a:solidFill>
          <a:prstDash val="solid"/>
        </a:ln>
      </xdr:spPr>
    </xdr:pic>
    <xdr:clientData/>
  </xdr:twoCellAnchor>
  <xdr:twoCellAnchor>
    <xdr:from>
      <xdr:col>3</xdr:col>
      <xdr:colOff>114300</xdr:colOff>
      <xdr:row>316</xdr:row>
      <xdr:rowOff>28575</xdr:rowOff>
    </xdr:from>
    <xdr:to>
      <xdr:col>3</xdr:col>
      <xdr:colOff>1552575</xdr:colOff>
      <xdr:row>316</xdr:row>
      <xdr:rowOff>1266825</xdr:rowOff>
    </xdr:to>
    <xdr:pic>
      <xdr:nvPicPr>
        <xdr:cNvPr id="120" name="Имя " descr="Descr ">
          <a:extLst>
            <a:ext uri="{FF2B5EF4-FFF2-40B4-BE49-F238E27FC236}">
              <a16:creationId xmlns:a16="http://schemas.microsoft.com/office/drawing/2014/main" id="{00000000-0008-0000-0000-000078000000}"/>
            </a:ext>
          </a:extLst>
        </xdr:cNvPr>
        <xdr:cNvPicPr>
          <a:picLocks noChangeAspect="1"/>
        </xdr:cNvPicPr>
      </xdr:nvPicPr>
      <xdr:blipFill>
        <a:blip xmlns:r="http://schemas.openxmlformats.org/officeDocument/2006/relationships" r:embed="rId117"/>
        <a:stretch>
          <a:fillRect/>
        </a:stretch>
      </xdr:blipFill>
      <xdr:spPr>
        <a:prstGeom prst="rect">
          <a:avLst/>
        </a:prstGeom>
        <a:ln w="9525">
          <a:solidFill>
            <a:srgbClr val="000000"/>
          </a:solidFill>
          <a:prstDash val="solid"/>
        </a:ln>
      </xdr:spPr>
    </xdr:pic>
    <xdr:clientData/>
  </xdr:twoCellAnchor>
  <xdr:twoCellAnchor>
    <xdr:from>
      <xdr:col>3</xdr:col>
      <xdr:colOff>114300</xdr:colOff>
      <xdr:row>317</xdr:row>
      <xdr:rowOff>28575</xdr:rowOff>
    </xdr:from>
    <xdr:to>
      <xdr:col>3</xdr:col>
      <xdr:colOff>1552575</xdr:colOff>
      <xdr:row>317</xdr:row>
      <xdr:rowOff>1266825</xdr:rowOff>
    </xdr:to>
    <xdr:pic>
      <xdr:nvPicPr>
        <xdr:cNvPr id="121" name="Имя " descr="Descr ">
          <a:extLst>
            <a:ext uri="{FF2B5EF4-FFF2-40B4-BE49-F238E27FC236}">
              <a16:creationId xmlns:a16="http://schemas.microsoft.com/office/drawing/2014/main" id="{00000000-0008-0000-0000-000079000000}"/>
            </a:ext>
          </a:extLst>
        </xdr:cNvPr>
        <xdr:cNvPicPr>
          <a:picLocks noChangeAspect="1"/>
        </xdr:cNvPicPr>
      </xdr:nvPicPr>
      <xdr:blipFill>
        <a:blip xmlns:r="http://schemas.openxmlformats.org/officeDocument/2006/relationships" r:embed="rId118"/>
        <a:stretch>
          <a:fillRect/>
        </a:stretch>
      </xdr:blipFill>
      <xdr:spPr>
        <a:prstGeom prst="rect">
          <a:avLst/>
        </a:prstGeom>
        <a:ln w="9525">
          <a:solidFill>
            <a:srgbClr val="000000"/>
          </a:solidFill>
          <a:prstDash val="solid"/>
        </a:ln>
      </xdr:spPr>
    </xdr:pic>
    <xdr:clientData/>
  </xdr:twoCellAnchor>
  <xdr:twoCellAnchor>
    <xdr:from>
      <xdr:col>3</xdr:col>
      <xdr:colOff>114300</xdr:colOff>
      <xdr:row>318</xdr:row>
      <xdr:rowOff>28575</xdr:rowOff>
    </xdr:from>
    <xdr:to>
      <xdr:col>3</xdr:col>
      <xdr:colOff>1552575</xdr:colOff>
      <xdr:row>321</xdr:row>
      <xdr:rowOff>209550</xdr:rowOff>
    </xdr:to>
    <xdr:pic>
      <xdr:nvPicPr>
        <xdr:cNvPr id="122" name="Имя " descr="Descr ">
          <a:extLst>
            <a:ext uri="{FF2B5EF4-FFF2-40B4-BE49-F238E27FC236}">
              <a16:creationId xmlns:a16="http://schemas.microsoft.com/office/drawing/2014/main" id="{00000000-0008-0000-0000-00007A000000}"/>
            </a:ext>
          </a:extLst>
        </xdr:cNvPr>
        <xdr:cNvPicPr>
          <a:picLocks noChangeAspect="1"/>
        </xdr:cNvPicPr>
      </xdr:nvPicPr>
      <xdr:blipFill>
        <a:blip xmlns:r="http://schemas.openxmlformats.org/officeDocument/2006/relationships" r:embed="rId119"/>
        <a:stretch>
          <a:fillRect/>
        </a:stretch>
      </xdr:blipFill>
      <xdr:spPr>
        <a:prstGeom prst="rect">
          <a:avLst/>
        </a:prstGeom>
        <a:ln w="9525">
          <a:solidFill>
            <a:srgbClr val="000000"/>
          </a:solidFill>
          <a:prstDash val="solid"/>
        </a:ln>
      </xdr:spPr>
    </xdr:pic>
    <xdr:clientData/>
  </xdr:twoCellAnchor>
  <xdr:twoCellAnchor>
    <xdr:from>
      <xdr:col>3</xdr:col>
      <xdr:colOff>114300</xdr:colOff>
      <xdr:row>322</xdr:row>
      <xdr:rowOff>28575</xdr:rowOff>
    </xdr:from>
    <xdr:to>
      <xdr:col>3</xdr:col>
      <xdr:colOff>1552575</xdr:colOff>
      <xdr:row>322</xdr:row>
      <xdr:rowOff>1266825</xdr:rowOff>
    </xdr:to>
    <xdr:pic>
      <xdr:nvPicPr>
        <xdr:cNvPr id="123" name="Имя " descr="Descr ">
          <a:extLst>
            <a:ext uri="{FF2B5EF4-FFF2-40B4-BE49-F238E27FC236}">
              <a16:creationId xmlns:a16="http://schemas.microsoft.com/office/drawing/2014/main" id="{00000000-0008-0000-0000-00007B000000}"/>
            </a:ext>
          </a:extLst>
        </xdr:cNvPr>
        <xdr:cNvPicPr>
          <a:picLocks noChangeAspect="1"/>
        </xdr:cNvPicPr>
      </xdr:nvPicPr>
      <xdr:blipFill>
        <a:blip xmlns:r="http://schemas.openxmlformats.org/officeDocument/2006/relationships" r:embed="rId120"/>
        <a:stretch>
          <a:fillRect/>
        </a:stretch>
      </xdr:blipFill>
      <xdr:spPr>
        <a:prstGeom prst="rect">
          <a:avLst/>
        </a:prstGeom>
        <a:ln w="9525">
          <a:solidFill>
            <a:srgbClr val="000000"/>
          </a:solidFill>
          <a:prstDash val="solid"/>
        </a:ln>
      </xdr:spPr>
    </xdr:pic>
    <xdr:clientData/>
  </xdr:twoCellAnchor>
  <xdr:twoCellAnchor>
    <xdr:from>
      <xdr:col>3</xdr:col>
      <xdr:colOff>114300</xdr:colOff>
      <xdr:row>323</xdr:row>
      <xdr:rowOff>28575</xdr:rowOff>
    </xdr:from>
    <xdr:to>
      <xdr:col>3</xdr:col>
      <xdr:colOff>1552575</xdr:colOff>
      <xdr:row>323</xdr:row>
      <xdr:rowOff>1266825</xdr:rowOff>
    </xdr:to>
    <xdr:pic>
      <xdr:nvPicPr>
        <xdr:cNvPr id="124" name="Имя " descr="Descr ">
          <a:extLst>
            <a:ext uri="{FF2B5EF4-FFF2-40B4-BE49-F238E27FC236}">
              <a16:creationId xmlns:a16="http://schemas.microsoft.com/office/drawing/2014/main" id="{00000000-0008-0000-0000-00007C000000}"/>
            </a:ext>
          </a:extLst>
        </xdr:cNvPr>
        <xdr:cNvPicPr>
          <a:picLocks noChangeAspect="1"/>
        </xdr:cNvPicPr>
      </xdr:nvPicPr>
      <xdr:blipFill>
        <a:blip xmlns:r="http://schemas.openxmlformats.org/officeDocument/2006/relationships" r:embed="rId121"/>
        <a:stretch>
          <a:fillRect/>
        </a:stretch>
      </xdr:blipFill>
      <xdr:spPr>
        <a:prstGeom prst="rect">
          <a:avLst/>
        </a:prstGeom>
        <a:ln w="9525">
          <a:solidFill>
            <a:srgbClr val="000000"/>
          </a:solidFill>
          <a:prstDash val="solid"/>
        </a:ln>
      </xdr:spPr>
    </xdr:pic>
    <xdr:clientData/>
  </xdr:twoCellAnchor>
  <xdr:twoCellAnchor>
    <xdr:from>
      <xdr:col>3</xdr:col>
      <xdr:colOff>114300</xdr:colOff>
      <xdr:row>324</xdr:row>
      <xdr:rowOff>28575</xdr:rowOff>
    </xdr:from>
    <xdr:to>
      <xdr:col>3</xdr:col>
      <xdr:colOff>1552575</xdr:colOff>
      <xdr:row>324</xdr:row>
      <xdr:rowOff>1266825</xdr:rowOff>
    </xdr:to>
    <xdr:pic>
      <xdr:nvPicPr>
        <xdr:cNvPr id="125" name="Имя " descr="Descr ">
          <a:extLst>
            <a:ext uri="{FF2B5EF4-FFF2-40B4-BE49-F238E27FC236}">
              <a16:creationId xmlns:a16="http://schemas.microsoft.com/office/drawing/2014/main" id="{00000000-0008-0000-0000-00007D000000}"/>
            </a:ext>
          </a:extLst>
        </xdr:cNvPr>
        <xdr:cNvPicPr>
          <a:picLocks noChangeAspect="1"/>
        </xdr:cNvPicPr>
      </xdr:nvPicPr>
      <xdr:blipFill>
        <a:blip xmlns:r="http://schemas.openxmlformats.org/officeDocument/2006/relationships" r:embed="rId122"/>
        <a:stretch>
          <a:fillRect/>
        </a:stretch>
      </xdr:blipFill>
      <xdr:spPr>
        <a:prstGeom prst="rect">
          <a:avLst/>
        </a:prstGeom>
        <a:ln w="9525">
          <a:solidFill>
            <a:srgbClr val="000000"/>
          </a:solidFill>
          <a:prstDash val="solid"/>
        </a:ln>
      </xdr:spPr>
    </xdr:pic>
    <xdr:clientData/>
  </xdr:twoCellAnchor>
  <xdr:twoCellAnchor>
    <xdr:from>
      <xdr:col>3</xdr:col>
      <xdr:colOff>114300</xdr:colOff>
      <xdr:row>325</xdr:row>
      <xdr:rowOff>28575</xdr:rowOff>
    </xdr:from>
    <xdr:to>
      <xdr:col>3</xdr:col>
      <xdr:colOff>1552575</xdr:colOff>
      <xdr:row>327</xdr:row>
      <xdr:rowOff>419100</xdr:rowOff>
    </xdr:to>
    <xdr:pic>
      <xdr:nvPicPr>
        <xdr:cNvPr id="126" name="Имя " descr="Descr ">
          <a:extLst>
            <a:ext uri="{FF2B5EF4-FFF2-40B4-BE49-F238E27FC236}">
              <a16:creationId xmlns:a16="http://schemas.microsoft.com/office/drawing/2014/main" id="{00000000-0008-0000-0000-00007E000000}"/>
            </a:ext>
          </a:extLst>
        </xdr:cNvPr>
        <xdr:cNvPicPr>
          <a:picLocks noChangeAspect="1"/>
        </xdr:cNvPicPr>
      </xdr:nvPicPr>
      <xdr:blipFill>
        <a:blip xmlns:r="http://schemas.openxmlformats.org/officeDocument/2006/relationships" r:embed="rId123"/>
        <a:stretch>
          <a:fillRect/>
        </a:stretch>
      </xdr:blipFill>
      <xdr:spPr>
        <a:prstGeom prst="rect">
          <a:avLst/>
        </a:prstGeom>
        <a:ln w="9525">
          <a:solidFill>
            <a:srgbClr val="000000"/>
          </a:solidFill>
          <a:prstDash val="solid"/>
        </a:ln>
      </xdr:spPr>
    </xdr:pic>
    <xdr:clientData/>
  </xdr:twoCellAnchor>
  <xdr:twoCellAnchor>
    <xdr:from>
      <xdr:col>3</xdr:col>
      <xdr:colOff>114300</xdr:colOff>
      <xdr:row>328</xdr:row>
      <xdr:rowOff>28575</xdr:rowOff>
    </xdr:from>
    <xdr:to>
      <xdr:col>3</xdr:col>
      <xdr:colOff>1552575</xdr:colOff>
      <xdr:row>328</xdr:row>
      <xdr:rowOff>1266825</xdr:rowOff>
    </xdr:to>
    <xdr:pic>
      <xdr:nvPicPr>
        <xdr:cNvPr id="127" name="Имя " descr="Descr ">
          <a:extLst>
            <a:ext uri="{FF2B5EF4-FFF2-40B4-BE49-F238E27FC236}">
              <a16:creationId xmlns:a16="http://schemas.microsoft.com/office/drawing/2014/main" id="{00000000-0008-0000-0000-00007F000000}"/>
            </a:ext>
          </a:extLst>
        </xdr:cNvPr>
        <xdr:cNvPicPr>
          <a:picLocks noChangeAspect="1"/>
        </xdr:cNvPicPr>
      </xdr:nvPicPr>
      <xdr:blipFill>
        <a:blip xmlns:r="http://schemas.openxmlformats.org/officeDocument/2006/relationships" r:embed="rId124"/>
        <a:stretch>
          <a:fillRect/>
        </a:stretch>
      </xdr:blipFill>
      <xdr:spPr>
        <a:prstGeom prst="rect">
          <a:avLst/>
        </a:prstGeom>
        <a:ln w="9525">
          <a:solidFill>
            <a:srgbClr val="000000"/>
          </a:solidFill>
          <a:prstDash val="solid"/>
        </a:ln>
      </xdr:spPr>
    </xdr:pic>
    <xdr:clientData/>
  </xdr:twoCellAnchor>
  <xdr:twoCellAnchor>
    <xdr:from>
      <xdr:col>3</xdr:col>
      <xdr:colOff>114300</xdr:colOff>
      <xdr:row>329</xdr:row>
      <xdr:rowOff>28575</xdr:rowOff>
    </xdr:from>
    <xdr:to>
      <xdr:col>3</xdr:col>
      <xdr:colOff>1552575</xdr:colOff>
      <xdr:row>332</xdr:row>
      <xdr:rowOff>209550</xdr:rowOff>
    </xdr:to>
    <xdr:pic>
      <xdr:nvPicPr>
        <xdr:cNvPr id="128" name="Имя " descr="Descr ">
          <a:extLst>
            <a:ext uri="{FF2B5EF4-FFF2-40B4-BE49-F238E27FC236}">
              <a16:creationId xmlns:a16="http://schemas.microsoft.com/office/drawing/2014/main" id="{00000000-0008-0000-0000-000080000000}"/>
            </a:ext>
          </a:extLst>
        </xdr:cNvPr>
        <xdr:cNvPicPr>
          <a:picLocks noChangeAspect="1"/>
        </xdr:cNvPicPr>
      </xdr:nvPicPr>
      <xdr:blipFill>
        <a:blip xmlns:r="http://schemas.openxmlformats.org/officeDocument/2006/relationships" r:embed="rId125"/>
        <a:stretch>
          <a:fillRect/>
        </a:stretch>
      </xdr:blipFill>
      <xdr:spPr>
        <a:prstGeom prst="rect">
          <a:avLst/>
        </a:prstGeom>
        <a:ln w="9525">
          <a:solidFill>
            <a:srgbClr val="000000"/>
          </a:solidFill>
          <a:prstDash val="solid"/>
        </a:ln>
      </xdr:spPr>
    </xdr:pic>
    <xdr:clientData/>
  </xdr:twoCellAnchor>
  <xdr:twoCellAnchor>
    <xdr:from>
      <xdr:col>3</xdr:col>
      <xdr:colOff>114300</xdr:colOff>
      <xdr:row>333</xdr:row>
      <xdr:rowOff>28575</xdr:rowOff>
    </xdr:from>
    <xdr:to>
      <xdr:col>3</xdr:col>
      <xdr:colOff>1552575</xdr:colOff>
      <xdr:row>337</xdr:row>
      <xdr:rowOff>333375</xdr:rowOff>
    </xdr:to>
    <xdr:pic>
      <xdr:nvPicPr>
        <xdr:cNvPr id="129" name="Имя " descr="Descr ">
          <a:extLst>
            <a:ext uri="{FF2B5EF4-FFF2-40B4-BE49-F238E27FC236}">
              <a16:creationId xmlns:a16="http://schemas.microsoft.com/office/drawing/2014/main" id="{00000000-0008-0000-0000-000081000000}"/>
            </a:ext>
          </a:extLst>
        </xdr:cNvPr>
        <xdr:cNvPicPr>
          <a:picLocks noChangeAspect="1"/>
        </xdr:cNvPicPr>
      </xdr:nvPicPr>
      <xdr:blipFill>
        <a:blip xmlns:r="http://schemas.openxmlformats.org/officeDocument/2006/relationships" r:embed="rId126"/>
        <a:stretch>
          <a:fillRect/>
        </a:stretch>
      </xdr:blipFill>
      <xdr:spPr>
        <a:prstGeom prst="rect">
          <a:avLst/>
        </a:prstGeom>
        <a:ln w="9525">
          <a:solidFill>
            <a:srgbClr val="000000"/>
          </a:solidFill>
          <a:prstDash val="solid"/>
        </a:ln>
      </xdr:spPr>
    </xdr:pic>
    <xdr:clientData/>
  </xdr:twoCellAnchor>
  <xdr:twoCellAnchor>
    <xdr:from>
      <xdr:col>3</xdr:col>
      <xdr:colOff>114300</xdr:colOff>
      <xdr:row>338</xdr:row>
      <xdr:rowOff>28575</xdr:rowOff>
    </xdr:from>
    <xdr:to>
      <xdr:col>3</xdr:col>
      <xdr:colOff>1552575</xdr:colOff>
      <xdr:row>338</xdr:row>
      <xdr:rowOff>1266825</xdr:rowOff>
    </xdr:to>
    <xdr:pic>
      <xdr:nvPicPr>
        <xdr:cNvPr id="130" name="Имя " descr="Descr ">
          <a:extLst>
            <a:ext uri="{FF2B5EF4-FFF2-40B4-BE49-F238E27FC236}">
              <a16:creationId xmlns:a16="http://schemas.microsoft.com/office/drawing/2014/main" id="{00000000-0008-0000-0000-000082000000}"/>
            </a:ext>
          </a:extLst>
        </xdr:cNvPr>
        <xdr:cNvPicPr>
          <a:picLocks noChangeAspect="1"/>
        </xdr:cNvPicPr>
      </xdr:nvPicPr>
      <xdr:blipFill>
        <a:blip xmlns:r="http://schemas.openxmlformats.org/officeDocument/2006/relationships" r:embed="rId127"/>
        <a:stretch>
          <a:fillRect/>
        </a:stretch>
      </xdr:blipFill>
      <xdr:spPr>
        <a:prstGeom prst="rect">
          <a:avLst/>
        </a:prstGeom>
        <a:ln w="9525">
          <a:solidFill>
            <a:srgbClr val="000000"/>
          </a:solidFill>
          <a:prstDash val="solid"/>
        </a:ln>
      </xdr:spPr>
    </xdr:pic>
    <xdr:clientData/>
  </xdr:twoCellAnchor>
  <xdr:twoCellAnchor>
    <xdr:from>
      <xdr:col>3</xdr:col>
      <xdr:colOff>114300</xdr:colOff>
      <xdr:row>339</xdr:row>
      <xdr:rowOff>28575</xdr:rowOff>
    </xdr:from>
    <xdr:to>
      <xdr:col>3</xdr:col>
      <xdr:colOff>1552575</xdr:colOff>
      <xdr:row>339</xdr:row>
      <xdr:rowOff>1266825</xdr:rowOff>
    </xdr:to>
    <xdr:pic>
      <xdr:nvPicPr>
        <xdr:cNvPr id="131" name="Имя " descr="Descr ">
          <a:extLst>
            <a:ext uri="{FF2B5EF4-FFF2-40B4-BE49-F238E27FC236}">
              <a16:creationId xmlns:a16="http://schemas.microsoft.com/office/drawing/2014/main" id="{00000000-0008-0000-0000-000083000000}"/>
            </a:ext>
          </a:extLst>
        </xdr:cNvPr>
        <xdr:cNvPicPr>
          <a:picLocks noChangeAspect="1"/>
        </xdr:cNvPicPr>
      </xdr:nvPicPr>
      <xdr:blipFill>
        <a:blip xmlns:r="http://schemas.openxmlformats.org/officeDocument/2006/relationships" r:embed="rId128"/>
        <a:stretch>
          <a:fillRect/>
        </a:stretch>
      </xdr:blipFill>
      <xdr:spPr>
        <a:prstGeom prst="rect">
          <a:avLst/>
        </a:prstGeom>
        <a:ln w="9525">
          <a:solidFill>
            <a:srgbClr val="000000"/>
          </a:solidFill>
          <a:prstDash val="solid"/>
        </a:ln>
      </xdr:spPr>
    </xdr:pic>
    <xdr:clientData/>
  </xdr:twoCellAnchor>
  <xdr:twoCellAnchor>
    <xdr:from>
      <xdr:col>3</xdr:col>
      <xdr:colOff>114300</xdr:colOff>
      <xdr:row>340</xdr:row>
      <xdr:rowOff>28575</xdr:rowOff>
    </xdr:from>
    <xdr:to>
      <xdr:col>3</xdr:col>
      <xdr:colOff>1552575</xdr:colOff>
      <xdr:row>340</xdr:row>
      <xdr:rowOff>1266825</xdr:rowOff>
    </xdr:to>
    <xdr:pic>
      <xdr:nvPicPr>
        <xdr:cNvPr id="132" name="Имя " descr="Descr ">
          <a:extLst>
            <a:ext uri="{FF2B5EF4-FFF2-40B4-BE49-F238E27FC236}">
              <a16:creationId xmlns:a16="http://schemas.microsoft.com/office/drawing/2014/main" id="{00000000-0008-0000-0000-000084000000}"/>
            </a:ext>
          </a:extLst>
        </xdr:cNvPr>
        <xdr:cNvPicPr>
          <a:picLocks noChangeAspect="1"/>
        </xdr:cNvPicPr>
      </xdr:nvPicPr>
      <xdr:blipFill>
        <a:blip xmlns:r="http://schemas.openxmlformats.org/officeDocument/2006/relationships" r:embed="rId129"/>
        <a:stretch>
          <a:fillRect/>
        </a:stretch>
      </xdr:blipFill>
      <xdr:spPr>
        <a:prstGeom prst="rect">
          <a:avLst/>
        </a:prstGeom>
        <a:ln w="9525">
          <a:solidFill>
            <a:srgbClr val="000000"/>
          </a:solidFill>
          <a:prstDash val="solid"/>
        </a:ln>
      </xdr:spPr>
    </xdr:pic>
    <xdr:clientData/>
  </xdr:twoCellAnchor>
  <xdr:twoCellAnchor>
    <xdr:from>
      <xdr:col>3</xdr:col>
      <xdr:colOff>114300</xdr:colOff>
      <xdr:row>341</xdr:row>
      <xdr:rowOff>28575</xdr:rowOff>
    </xdr:from>
    <xdr:to>
      <xdr:col>3</xdr:col>
      <xdr:colOff>1552575</xdr:colOff>
      <xdr:row>341</xdr:row>
      <xdr:rowOff>1266825</xdr:rowOff>
    </xdr:to>
    <xdr:pic>
      <xdr:nvPicPr>
        <xdr:cNvPr id="133" name="Имя " descr="Descr ">
          <a:extLst>
            <a:ext uri="{FF2B5EF4-FFF2-40B4-BE49-F238E27FC236}">
              <a16:creationId xmlns:a16="http://schemas.microsoft.com/office/drawing/2014/main" id="{00000000-0008-0000-0000-000085000000}"/>
            </a:ext>
          </a:extLst>
        </xdr:cNvPr>
        <xdr:cNvPicPr>
          <a:picLocks noChangeAspect="1"/>
        </xdr:cNvPicPr>
      </xdr:nvPicPr>
      <xdr:blipFill>
        <a:blip xmlns:r="http://schemas.openxmlformats.org/officeDocument/2006/relationships" r:embed="rId130"/>
        <a:stretch>
          <a:fillRect/>
        </a:stretch>
      </xdr:blipFill>
      <xdr:spPr>
        <a:prstGeom prst="rect">
          <a:avLst/>
        </a:prstGeom>
        <a:ln w="9525">
          <a:solidFill>
            <a:srgbClr val="000000"/>
          </a:solidFill>
          <a:prstDash val="solid"/>
        </a:ln>
      </xdr:spPr>
    </xdr:pic>
    <xdr:clientData/>
  </xdr:twoCellAnchor>
  <xdr:twoCellAnchor>
    <xdr:from>
      <xdr:col>3</xdr:col>
      <xdr:colOff>114300</xdr:colOff>
      <xdr:row>342</xdr:row>
      <xdr:rowOff>28575</xdr:rowOff>
    </xdr:from>
    <xdr:to>
      <xdr:col>3</xdr:col>
      <xdr:colOff>1552575</xdr:colOff>
      <xdr:row>342</xdr:row>
      <xdr:rowOff>1266825</xdr:rowOff>
    </xdr:to>
    <xdr:pic>
      <xdr:nvPicPr>
        <xdr:cNvPr id="134" name="Имя " descr="Descr ">
          <a:extLst>
            <a:ext uri="{FF2B5EF4-FFF2-40B4-BE49-F238E27FC236}">
              <a16:creationId xmlns:a16="http://schemas.microsoft.com/office/drawing/2014/main" id="{00000000-0008-0000-0000-000086000000}"/>
            </a:ext>
          </a:extLst>
        </xdr:cNvPr>
        <xdr:cNvPicPr>
          <a:picLocks noChangeAspect="1"/>
        </xdr:cNvPicPr>
      </xdr:nvPicPr>
      <xdr:blipFill>
        <a:blip xmlns:r="http://schemas.openxmlformats.org/officeDocument/2006/relationships" r:embed="rId131"/>
        <a:stretch>
          <a:fillRect/>
        </a:stretch>
      </xdr:blipFill>
      <xdr:spPr>
        <a:prstGeom prst="rect">
          <a:avLst/>
        </a:prstGeom>
        <a:ln w="9525">
          <a:solidFill>
            <a:srgbClr val="000000"/>
          </a:solidFill>
          <a:prstDash val="solid"/>
        </a:ln>
      </xdr:spPr>
    </xdr:pic>
    <xdr:clientData/>
  </xdr:twoCellAnchor>
  <xdr:twoCellAnchor>
    <xdr:from>
      <xdr:col>3</xdr:col>
      <xdr:colOff>114300</xdr:colOff>
      <xdr:row>343</xdr:row>
      <xdr:rowOff>28575</xdr:rowOff>
    </xdr:from>
    <xdr:to>
      <xdr:col>3</xdr:col>
      <xdr:colOff>1552575</xdr:colOff>
      <xdr:row>343</xdr:row>
      <xdr:rowOff>1266825</xdr:rowOff>
    </xdr:to>
    <xdr:pic>
      <xdr:nvPicPr>
        <xdr:cNvPr id="135" name="Имя " descr="Descr ">
          <a:extLst>
            <a:ext uri="{FF2B5EF4-FFF2-40B4-BE49-F238E27FC236}">
              <a16:creationId xmlns:a16="http://schemas.microsoft.com/office/drawing/2014/main" id="{00000000-0008-0000-0000-000087000000}"/>
            </a:ext>
          </a:extLst>
        </xdr:cNvPr>
        <xdr:cNvPicPr>
          <a:picLocks noChangeAspect="1"/>
        </xdr:cNvPicPr>
      </xdr:nvPicPr>
      <xdr:blipFill>
        <a:blip xmlns:r="http://schemas.openxmlformats.org/officeDocument/2006/relationships" r:embed="rId132"/>
        <a:stretch>
          <a:fillRect/>
        </a:stretch>
      </xdr:blipFill>
      <xdr:spPr>
        <a:prstGeom prst="rect">
          <a:avLst/>
        </a:prstGeom>
        <a:ln w="9525">
          <a:solidFill>
            <a:srgbClr val="000000"/>
          </a:solidFill>
          <a:prstDash val="solid"/>
        </a:ln>
      </xdr:spPr>
    </xdr:pic>
    <xdr:clientData/>
  </xdr:twoCellAnchor>
  <xdr:twoCellAnchor>
    <xdr:from>
      <xdr:col>3</xdr:col>
      <xdr:colOff>114300</xdr:colOff>
      <xdr:row>344</xdr:row>
      <xdr:rowOff>38100</xdr:rowOff>
    </xdr:from>
    <xdr:to>
      <xdr:col>3</xdr:col>
      <xdr:colOff>1552575</xdr:colOff>
      <xdr:row>345</xdr:row>
      <xdr:rowOff>638175</xdr:rowOff>
    </xdr:to>
    <xdr:pic>
      <xdr:nvPicPr>
        <xdr:cNvPr id="136" name="Имя " descr="Descr ">
          <a:extLst>
            <a:ext uri="{FF2B5EF4-FFF2-40B4-BE49-F238E27FC236}">
              <a16:creationId xmlns:a16="http://schemas.microsoft.com/office/drawing/2014/main" id="{00000000-0008-0000-0000-000088000000}"/>
            </a:ext>
          </a:extLst>
        </xdr:cNvPr>
        <xdr:cNvPicPr>
          <a:picLocks noChangeAspect="1"/>
        </xdr:cNvPicPr>
      </xdr:nvPicPr>
      <xdr:blipFill>
        <a:blip xmlns:r="http://schemas.openxmlformats.org/officeDocument/2006/relationships" r:embed="rId133"/>
        <a:stretch>
          <a:fillRect/>
        </a:stretch>
      </xdr:blipFill>
      <xdr:spPr>
        <a:prstGeom prst="rect">
          <a:avLst/>
        </a:prstGeom>
        <a:ln w="9525">
          <a:solidFill>
            <a:srgbClr val="000000"/>
          </a:solidFill>
          <a:prstDash val="solid"/>
        </a:ln>
      </xdr:spPr>
    </xdr:pic>
    <xdr:clientData/>
  </xdr:twoCellAnchor>
  <xdr:twoCellAnchor>
    <xdr:from>
      <xdr:col>3</xdr:col>
      <xdr:colOff>114300</xdr:colOff>
      <xdr:row>346</xdr:row>
      <xdr:rowOff>38100</xdr:rowOff>
    </xdr:from>
    <xdr:to>
      <xdr:col>3</xdr:col>
      <xdr:colOff>1552575</xdr:colOff>
      <xdr:row>347</xdr:row>
      <xdr:rowOff>638175</xdr:rowOff>
    </xdr:to>
    <xdr:pic>
      <xdr:nvPicPr>
        <xdr:cNvPr id="137" name="Имя " descr="Descr ">
          <a:extLst>
            <a:ext uri="{FF2B5EF4-FFF2-40B4-BE49-F238E27FC236}">
              <a16:creationId xmlns:a16="http://schemas.microsoft.com/office/drawing/2014/main" id="{00000000-0008-0000-0000-000089000000}"/>
            </a:ext>
          </a:extLst>
        </xdr:cNvPr>
        <xdr:cNvPicPr>
          <a:picLocks noChangeAspect="1"/>
        </xdr:cNvPicPr>
      </xdr:nvPicPr>
      <xdr:blipFill>
        <a:blip xmlns:r="http://schemas.openxmlformats.org/officeDocument/2006/relationships" r:embed="rId134"/>
        <a:stretch>
          <a:fillRect/>
        </a:stretch>
      </xdr:blipFill>
      <xdr:spPr>
        <a:prstGeom prst="rect">
          <a:avLst/>
        </a:prstGeom>
        <a:ln w="9525">
          <a:solidFill>
            <a:srgbClr val="000000"/>
          </a:solidFill>
          <a:prstDash val="solid"/>
        </a:ln>
      </xdr:spPr>
    </xdr:pic>
    <xdr:clientData/>
  </xdr:twoCellAnchor>
  <xdr:twoCellAnchor>
    <xdr:from>
      <xdr:col>3</xdr:col>
      <xdr:colOff>114300</xdr:colOff>
      <xdr:row>348</xdr:row>
      <xdr:rowOff>28575</xdr:rowOff>
    </xdr:from>
    <xdr:to>
      <xdr:col>3</xdr:col>
      <xdr:colOff>1552575</xdr:colOff>
      <xdr:row>348</xdr:row>
      <xdr:rowOff>1266825</xdr:rowOff>
    </xdr:to>
    <xdr:pic>
      <xdr:nvPicPr>
        <xdr:cNvPr id="138" name="Имя " descr="Descr ">
          <a:extLst>
            <a:ext uri="{FF2B5EF4-FFF2-40B4-BE49-F238E27FC236}">
              <a16:creationId xmlns:a16="http://schemas.microsoft.com/office/drawing/2014/main" id="{00000000-0008-0000-0000-00008A000000}"/>
            </a:ext>
          </a:extLst>
        </xdr:cNvPr>
        <xdr:cNvPicPr>
          <a:picLocks noChangeAspect="1"/>
        </xdr:cNvPicPr>
      </xdr:nvPicPr>
      <xdr:blipFill>
        <a:blip xmlns:r="http://schemas.openxmlformats.org/officeDocument/2006/relationships" r:embed="rId135"/>
        <a:stretch>
          <a:fillRect/>
        </a:stretch>
      </xdr:blipFill>
      <xdr:spPr>
        <a:prstGeom prst="rect">
          <a:avLst/>
        </a:prstGeom>
        <a:ln w="9525">
          <a:solidFill>
            <a:srgbClr val="000000"/>
          </a:solidFill>
          <a:prstDash val="solid"/>
        </a:ln>
      </xdr:spPr>
    </xdr:pic>
    <xdr:clientData/>
  </xdr:twoCellAnchor>
  <xdr:twoCellAnchor>
    <xdr:from>
      <xdr:col>3</xdr:col>
      <xdr:colOff>114300</xdr:colOff>
      <xdr:row>349</xdr:row>
      <xdr:rowOff>28575</xdr:rowOff>
    </xdr:from>
    <xdr:to>
      <xdr:col>3</xdr:col>
      <xdr:colOff>1552575</xdr:colOff>
      <xdr:row>349</xdr:row>
      <xdr:rowOff>1266825</xdr:rowOff>
    </xdr:to>
    <xdr:pic>
      <xdr:nvPicPr>
        <xdr:cNvPr id="139" name="Имя " descr="Descr ">
          <a:extLst>
            <a:ext uri="{FF2B5EF4-FFF2-40B4-BE49-F238E27FC236}">
              <a16:creationId xmlns:a16="http://schemas.microsoft.com/office/drawing/2014/main" id="{00000000-0008-0000-0000-00008B000000}"/>
            </a:ext>
          </a:extLst>
        </xdr:cNvPr>
        <xdr:cNvPicPr>
          <a:picLocks noChangeAspect="1"/>
        </xdr:cNvPicPr>
      </xdr:nvPicPr>
      <xdr:blipFill>
        <a:blip xmlns:r="http://schemas.openxmlformats.org/officeDocument/2006/relationships" r:embed="rId136"/>
        <a:stretch>
          <a:fillRect/>
        </a:stretch>
      </xdr:blipFill>
      <xdr:spPr>
        <a:prstGeom prst="rect">
          <a:avLst/>
        </a:prstGeom>
        <a:ln w="9525">
          <a:solidFill>
            <a:srgbClr val="000000"/>
          </a:solidFill>
          <a:prstDash val="solid"/>
        </a:ln>
      </xdr:spPr>
    </xdr:pic>
    <xdr:clientData/>
  </xdr:twoCellAnchor>
  <xdr:twoCellAnchor>
    <xdr:from>
      <xdr:col>3</xdr:col>
      <xdr:colOff>114300</xdr:colOff>
      <xdr:row>350</xdr:row>
      <xdr:rowOff>38100</xdr:rowOff>
    </xdr:from>
    <xdr:to>
      <xdr:col>3</xdr:col>
      <xdr:colOff>1552575</xdr:colOff>
      <xdr:row>351</xdr:row>
      <xdr:rowOff>638175</xdr:rowOff>
    </xdr:to>
    <xdr:pic>
      <xdr:nvPicPr>
        <xdr:cNvPr id="140" name="Имя " descr="Descr ">
          <a:extLst>
            <a:ext uri="{FF2B5EF4-FFF2-40B4-BE49-F238E27FC236}">
              <a16:creationId xmlns:a16="http://schemas.microsoft.com/office/drawing/2014/main" id="{00000000-0008-0000-0000-00008C000000}"/>
            </a:ext>
          </a:extLst>
        </xdr:cNvPr>
        <xdr:cNvPicPr>
          <a:picLocks noChangeAspect="1"/>
        </xdr:cNvPicPr>
      </xdr:nvPicPr>
      <xdr:blipFill>
        <a:blip xmlns:r="http://schemas.openxmlformats.org/officeDocument/2006/relationships" r:embed="rId137"/>
        <a:stretch>
          <a:fillRect/>
        </a:stretch>
      </xdr:blipFill>
      <xdr:spPr>
        <a:prstGeom prst="rect">
          <a:avLst/>
        </a:prstGeom>
        <a:ln w="9525">
          <a:solidFill>
            <a:srgbClr val="000000"/>
          </a:solidFill>
          <a:prstDash val="solid"/>
        </a:ln>
      </xdr:spPr>
    </xdr:pic>
    <xdr:clientData/>
  </xdr:twoCellAnchor>
  <xdr:twoCellAnchor>
    <xdr:from>
      <xdr:col>3</xdr:col>
      <xdr:colOff>114300</xdr:colOff>
      <xdr:row>352</xdr:row>
      <xdr:rowOff>28575</xdr:rowOff>
    </xdr:from>
    <xdr:to>
      <xdr:col>3</xdr:col>
      <xdr:colOff>1552575</xdr:colOff>
      <xdr:row>352</xdr:row>
      <xdr:rowOff>1266825</xdr:rowOff>
    </xdr:to>
    <xdr:pic>
      <xdr:nvPicPr>
        <xdr:cNvPr id="141" name="Имя " descr="Descr ">
          <a:extLst>
            <a:ext uri="{FF2B5EF4-FFF2-40B4-BE49-F238E27FC236}">
              <a16:creationId xmlns:a16="http://schemas.microsoft.com/office/drawing/2014/main" id="{00000000-0008-0000-0000-00008D000000}"/>
            </a:ext>
          </a:extLst>
        </xdr:cNvPr>
        <xdr:cNvPicPr>
          <a:picLocks noChangeAspect="1"/>
        </xdr:cNvPicPr>
      </xdr:nvPicPr>
      <xdr:blipFill>
        <a:blip xmlns:r="http://schemas.openxmlformats.org/officeDocument/2006/relationships" r:embed="rId138"/>
        <a:stretch>
          <a:fillRect/>
        </a:stretch>
      </xdr:blipFill>
      <xdr:spPr>
        <a:prstGeom prst="rect">
          <a:avLst/>
        </a:prstGeom>
        <a:ln w="9525">
          <a:solidFill>
            <a:srgbClr val="000000"/>
          </a:solidFill>
          <a:prstDash val="solid"/>
        </a:ln>
      </xdr:spPr>
    </xdr:pic>
    <xdr:clientData/>
  </xdr:twoCellAnchor>
  <xdr:twoCellAnchor>
    <xdr:from>
      <xdr:col>3</xdr:col>
      <xdr:colOff>114300</xdr:colOff>
      <xdr:row>353</xdr:row>
      <xdr:rowOff>28575</xdr:rowOff>
    </xdr:from>
    <xdr:to>
      <xdr:col>3</xdr:col>
      <xdr:colOff>1552575</xdr:colOff>
      <xdr:row>353</xdr:row>
      <xdr:rowOff>1266825</xdr:rowOff>
    </xdr:to>
    <xdr:pic>
      <xdr:nvPicPr>
        <xdr:cNvPr id="142" name="Имя " descr="Descr ">
          <a:extLst>
            <a:ext uri="{FF2B5EF4-FFF2-40B4-BE49-F238E27FC236}">
              <a16:creationId xmlns:a16="http://schemas.microsoft.com/office/drawing/2014/main" id="{00000000-0008-0000-0000-00008E000000}"/>
            </a:ext>
          </a:extLst>
        </xdr:cNvPr>
        <xdr:cNvPicPr>
          <a:picLocks noChangeAspect="1"/>
        </xdr:cNvPicPr>
      </xdr:nvPicPr>
      <xdr:blipFill>
        <a:blip xmlns:r="http://schemas.openxmlformats.org/officeDocument/2006/relationships" r:embed="rId139"/>
        <a:stretch>
          <a:fillRect/>
        </a:stretch>
      </xdr:blipFill>
      <xdr:spPr>
        <a:prstGeom prst="rect">
          <a:avLst/>
        </a:prstGeom>
        <a:ln w="9525">
          <a:solidFill>
            <a:srgbClr val="000000"/>
          </a:solidFill>
          <a:prstDash val="solid"/>
        </a:ln>
      </xdr:spPr>
    </xdr:pic>
    <xdr:clientData/>
  </xdr:twoCellAnchor>
  <xdr:twoCellAnchor>
    <xdr:from>
      <xdr:col>3</xdr:col>
      <xdr:colOff>114300</xdr:colOff>
      <xdr:row>354</xdr:row>
      <xdr:rowOff>28575</xdr:rowOff>
    </xdr:from>
    <xdr:to>
      <xdr:col>3</xdr:col>
      <xdr:colOff>1552575</xdr:colOff>
      <xdr:row>354</xdr:row>
      <xdr:rowOff>1266825</xdr:rowOff>
    </xdr:to>
    <xdr:pic>
      <xdr:nvPicPr>
        <xdr:cNvPr id="143" name="Имя " descr="Descr ">
          <a:extLst>
            <a:ext uri="{FF2B5EF4-FFF2-40B4-BE49-F238E27FC236}">
              <a16:creationId xmlns:a16="http://schemas.microsoft.com/office/drawing/2014/main" id="{00000000-0008-0000-0000-00008F000000}"/>
            </a:ext>
          </a:extLst>
        </xdr:cNvPr>
        <xdr:cNvPicPr>
          <a:picLocks noChangeAspect="1"/>
        </xdr:cNvPicPr>
      </xdr:nvPicPr>
      <xdr:blipFill>
        <a:blip xmlns:r="http://schemas.openxmlformats.org/officeDocument/2006/relationships" r:embed="rId140"/>
        <a:stretch>
          <a:fillRect/>
        </a:stretch>
      </xdr:blipFill>
      <xdr:spPr>
        <a:prstGeom prst="rect">
          <a:avLst/>
        </a:prstGeom>
        <a:ln w="9525">
          <a:solidFill>
            <a:srgbClr val="000000"/>
          </a:solidFill>
          <a:prstDash val="solid"/>
        </a:ln>
      </xdr:spPr>
    </xdr:pic>
    <xdr:clientData/>
  </xdr:twoCellAnchor>
  <xdr:twoCellAnchor>
    <xdr:from>
      <xdr:col>3</xdr:col>
      <xdr:colOff>114300</xdr:colOff>
      <xdr:row>355</xdr:row>
      <xdr:rowOff>28575</xdr:rowOff>
    </xdr:from>
    <xdr:to>
      <xdr:col>3</xdr:col>
      <xdr:colOff>1552575</xdr:colOff>
      <xdr:row>355</xdr:row>
      <xdr:rowOff>1266825</xdr:rowOff>
    </xdr:to>
    <xdr:pic>
      <xdr:nvPicPr>
        <xdr:cNvPr id="144" name="Имя " descr="Descr ">
          <a:extLst>
            <a:ext uri="{FF2B5EF4-FFF2-40B4-BE49-F238E27FC236}">
              <a16:creationId xmlns:a16="http://schemas.microsoft.com/office/drawing/2014/main" id="{00000000-0008-0000-0000-000090000000}"/>
            </a:ext>
          </a:extLst>
        </xdr:cNvPr>
        <xdr:cNvPicPr>
          <a:picLocks noChangeAspect="1"/>
        </xdr:cNvPicPr>
      </xdr:nvPicPr>
      <xdr:blipFill>
        <a:blip xmlns:r="http://schemas.openxmlformats.org/officeDocument/2006/relationships" r:embed="rId141"/>
        <a:stretch>
          <a:fillRect/>
        </a:stretch>
      </xdr:blipFill>
      <xdr:spPr>
        <a:prstGeom prst="rect">
          <a:avLst/>
        </a:prstGeom>
        <a:ln w="9525">
          <a:solidFill>
            <a:srgbClr val="000000"/>
          </a:solidFill>
          <a:prstDash val="solid"/>
        </a:ln>
      </xdr:spPr>
    </xdr:pic>
    <xdr:clientData/>
  </xdr:twoCellAnchor>
  <xdr:twoCellAnchor>
    <xdr:from>
      <xdr:col>3</xdr:col>
      <xdr:colOff>114300</xdr:colOff>
      <xdr:row>356</xdr:row>
      <xdr:rowOff>38100</xdr:rowOff>
    </xdr:from>
    <xdr:to>
      <xdr:col>3</xdr:col>
      <xdr:colOff>1552575</xdr:colOff>
      <xdr:row>357</xdr:row>
      <xdr:rowOff>638175</xdr:rowOff>
    </xdr:to>
    <xdr:pic>
      <xdr:nvPicPr>
        <xdr:cNvPr id="145" name="Имя " descr="Descr ">
          <a:extLst>
            <a:ext uri="{FF2B5EF4-FFF2-40B4-BE49-F238E27FC236}">
              <a16:creationId xmlns:a16="http://schemas.microsoft.com/office/drawing/2014/main" id="{00000000-0008-0000-0000-000091000000}"/>
            </a:ext>
          </a:extLst>
        </xdr:cNvPr>
        <xdr:cNvPicPr>
          <a:picLocks noChangeAspect="1"/>
        </xdr:cNvPicPr>
      </xdr:nvPicPr>
      <xdr:blipFill>
        <a:blip xmlns:r="http://schemas.openxmlformats.org/officeDocument/2006/relationships" r:embed="rId142"/>
        <a:stretch>
          <a:fillRect/>
        </a:stretch>
      </xdr:blipFill>
      <xdr:spPr>
        <a:prstGeom prst="rect">
          <a:avLst/>
        </a:prstGeom>
        <a:ln w="9525">
          <a:solidFill>
            <a:srgbClr val="000000"/>
          </a:solidFill>
          <a:prstDash val="solid"/>
        </a:ln>
      </xdr:spPr>
    </xdr:pic>
    <xdr:clientData/>
  </xdr:twoCellAnchor>
  <xdr:twoCellAnchor>
    <xdr:from>
      <xdr:col>3</xdr:col>
      <xdr:colOff>114300</xdr:colOff>
      <xdr:row>358</xdr:row>
      <xdr:rowOff>28575</xdr:rowOff>
    </xdr:from>
    <xdr:to>
      <xdr:col>3</xdr:col>
      <xdr:colOff>1552575</xdr:colOff>
      <xdr:row>358</xdr:row>
      <xdr:rowOff>1266825</xdr:rowOff>
    </xdr:to>
    <xdr:pic>
      <xdr:nvPicPr>
        <xdr:cNvPr id="146" name="Имя " descr="Descr ">
          <a:extLst>
            <a:ext uri="{FF2B5EF4-FFF2-40B4-BE49-F238E27FC236}">
              <a16:creationId xmlns:a16="http://schemas.microsoft.com/office/drawing/2014/main" id="{00000000-0008-0000-0000-000092000000}"/>
            </a:ext>
          </a:extLst>
        </xdr:cNvPr>
        <xdr:cNvPicPr>
          <a:picLocks noChangeAspect="1"/>
        </xdr:cNvPicPr>
      </xdr:nvPicPr>
      <xdr:blipFill>
        <a:blip xmlns:r="http://schemas.openxmlformats.org/officeDocument/2006/relationships" r:embed="rId143"/>
        <a:stretch>
          <a:fillRect/>
        </a:stretch>
      </xdr:blipFill>
      <xdr:spPr>
        <a:prstGeom prst="rect">
          <a:avLst/>
        </a:prstGeom>
        <a:ln w="9525">
          <a:solidFill>
            <a:srgbClr val="000000"/>
          </a:solidFill>
          <a:prstDash val="solid"/>
        </a:ln>
      </xdr:spPr>
    </xdr:pic>
    <xdr:clientData/>
  </xdr:twoCellAnchor>
  <xdr:twoCellAnchor>
    <xdr:from>
      <xdr:col>3</xdr:col>
      <xdr:colOff>114300</xdr:colOff>
      <xdr:row>359</xdr:row>
      <xdr:rowOff>28575</xdr:rowOff>
    </xdr:from>
    <xdr:to>
      <xdr:col>3</xdr:col>
      <xdr:colOff>1552575</xdr:colOff>
      <xdr:row>361</xdr:row>
      <xdr:rowOff>419100</xdr:rowOff>
    </xdr:to>
    <xdr:pic>
      <xdr:nvPicPr>
        <xdr:cNvPr id="147" name="Имя " descr="Descr ">
          <a:extLst>
            <a:ext uri="{FF2B5EF4-FFF2-40B4-BE49-F238E27FC236}">
              <a16:creationId xmlns:a16="http://schemas.microsoft.com/office/drawing/2014/main" id="{00000000-0008-0000-0000-000093000000}"/>
            </a:ext>
          </a:extLst>
        </xdr:cNvPr>
        <xdr:cNvPicPr>
          <a:picLocks noChangeAspect="1"/>
        </xdr:cNvPicPr>
      </xdr:nvPicPr>
      <xdr:blipFill>
        <a:blip xmlns:r="http://schemas.openxmlformats.org/officeDocument/2006/relationships" r:embed="rId144"/>
        <a:stretch>
          <a:fillRect/>
        </a:stretch>
      </xdr:blipFill>
      <xdr:spPr>
        <a:prstGeom prst="rect">
          <a:avLst/>
        </a:prstGeom>
        <a:ln w="9525">
          <a:solidFill>
            <a:srgbClr val="000000"/>
          </a:solidFill>
          <a:prstDash val="solid"/>
        </a:ln>
      </xdr:spPr>
    </xdr:pic>
    <xdr:clientData/>
  </xdr:twoCellAnchor>
  <xdr:twoCellAnchor>
    <xdr:from>
      <xdr:col>3</xdr:col>
      <xdr:colOff>114300</xdr:colOff>
      <xdr:row>362</xdr:row>
      <xdr:rowOff>28575</xdr:rowOff>
    </xdr:from>
    <xdr:to>
      <xdr:col>3</xdr:col>
      <xdr:colOff>1552575</xdr:colOff>
      <xdr:row>362</xdr:row>
      <xdr:rowOff>1266825</xdr:rowOff>
    </xdr:to>
    <xdr:pic>
      <xdr:nvPicPr>
        <xdr:cNvPr id="148" name="Имя " descr="Descr ">
          <a:extLst>
            <a:ext uri="{FF2B5EF4-FFF2-40B4-BE49-F238E27FC236}">
              <a16:creationId xmlns:a16="http://schemas.microsoft.com/office/drawing/2014/main" id="{00000000-0008-0000-0000-000094000000}"/>
            </a:ext>
          </a:extLst>
        </xdr:cNvPr>
        <xdr:cNvPicPr>
          <a:picLocks noChangeAspect="1"/>
        </xdr:cNvPicPr>
      </xdr:nvPicPr>
      <xdr:blipFill>
        <a:blip xmlns:r="http://schemas.openxmlformats.org/officeDocument/2006/relationships" r:embed="rId145"/>
        <a:stretch>
          <a:fillRect/>
        </a:stretch>
      </xdr:blipFill>
      <xdr:spPr>
        <a:prstGeom prst="rect">
          <a:avLst/>
        </a:prstGeom>
        <a:ln w="9525">
          <a:solidFill>
            <a:srgbClr val="000000"/>
          </a:solidFill>
          <a:prstDash val="solid"/>
        </a:ln>
      </xdr:spPr>
    </xdr:pic>
    <xdr:clientData/>
  </xdr:twoCellAnchor>
  <xdr:twoCellAnchor>
    <xdr:from>
      <xdr:col>3</xdr:col>
      <xdr:colOff>114300</xdr:colOff>
      <xdr:row>363</xdr:row>
      <xdr:rowOff>28575</xdr:rowOff>
    </xdr:from>
    <xdr:to>
      <xdr:col>3</xdr:col>
      <xdr:colOff>1552575</xdr:colOff>
      <xdr:row>363</xdr:row>
      <xdr:rowOff>1266825</xdr:rowOff>
    </xdr:to>
    <xdr:pic>
      <xdr:nvPicPr>
        <xdr:cNvPr id="149" name="Имя " descr="Descr ">
          <a:extLst>
            <a:ext uri="{FF2B5EF4-FFF2-40B4-BE49-F238E27FC236}">
              <a16:creationId xmlns:a16="http://schemas.microsoft.com/office/drawing/2014/main" id="{00000000-0008-0000-0000-000095000000}"/>
            </a:ext>
          </a:extLst>
        </xdr:cNvPr>
        <xdr:cNvPicPr>
          <a:picLocks noChangeAspect="1"/>
        </xdr:cNvPicPr>
      </xdr:nvPicPr>
      <xdr:blipFill>
        <a:blip xmlns:r="http://schemas.openxmlformats.org/officeDocument/2006/relationships" r:embed="rId146"/>
        <a:stretch>
          <a:fillRect/>
        </a:stretch>
      </xdr:blipFill>
      <xdr:spPr>
        <a:prstGeom prst="rect">
          <a:avLst/>
        </a:prstGeom>
        <a:ln w="9525">
          <a:solidFill>
            <a:srgbClr val="000000"/>
          </a:solidFill>
          <a:prstDash val="solid"/>
        </a:ln>
      </xdr:spPr>
    </xdr:pic>
    <xdr:clientData/>
  </xdr:twoCellAnchor>
  <xdr:twoCellAnchor>
    <xdr:from>
      <xdr:col>3</xdr:col>
      <xdr:colOff>114300</xdr:colOff>
      <xdr:row>364</xdr:row>
      <xdr:rowOff>28575</xdr:rowOff>
    </xdr:from>
    <xdr:to>
      <xdr:col>3</xdr:col>
      <xdr:colOff>1552575</xdr:colOff>
      <xdr:row>371</xdr:row>
      <xdr:rowOff>152400</xdr:rowOff>
    </xdr:to>
    <xdr:pic>
      <xdr:nvPicPr>
        <xdr:cNvPr id="150" name="Имя " descr="Descr ">
          <a:extLst>
            <a:ext uri="{FF2B5EF4-FFF2-40B4-BE49-F238E27FC236}">
              <a16:creationId xmlns:a16="http://schemas.microsoft.com/office/drawing/2014/main" id="{00000000-0008-0000-0000-000096000000}"/>
            </a:ext>
          </a:extLst>
        </xdr:cNvPr>
        <xdr:cNvPicPr>
          <a:picLocks noChangeAspect="1"/>
        </xdr:cNvPicPr>
      </xdr:nvPicPr>
      <xdr:blipFill>
        <a:blip xmlns:r="http://schemas.openxmlformats.org/officeDocument/2006/relationships" r:embed="rId147"/>
        <a:stretch>
          <a:fillRect/>
        </a:stretch>
      </xdr:blipFill>
      <xdr:spPr>
        <a:prstGeom prst="rect">
          <a:avLst/>
        </a:prstGeom>
        <a:ln w="9525">
          <a:solidFill>
            <a:srgbClr val="000000"/>
          </a:solidFill>
          <a:prstDash val="solid"/>
        </a:ln>
      </xdr:spPr>
    </xdr:pic>
    <xdr:clientData/>
  </xdr:twoCellAnchor>
  <xdr:twoCellAnchor>
    <xdr:from>
      <xdr:col>3</xdr:col>
      <xdr:colOff>114300</xdr:colOff>
      <xdr:row>372</xdr:row>
      <xdr:rowOff>28575</xdr:rowOff>
    </xdr:from>
    <xdr:to>
      <xdr:col>3</xdr:col>
      <xdr:colOff>1552575</xdr:colOff>
      <xdr:row>379</xdr:row>
      <xdr:rowOff>152400</xdr:rowOff>
    </xdr:to>
    <xdr:pic>
      <xdr:nvPicPr>
        <xdr:cNvPr id="151" name="Имя " descr="Descr ">
          <a:extLst>
            <a:ext uri="{FF2B5EF4-FFF2-40B4-BE49-F238E27FC236}">
              <a16:creationId xmlns:a16="http://schemas.microsoft.com/office/drawing/2014/main" id="{00000000-0008-0000-0000-000097000000}"/>
            </a:ext>
          </a:extLst>
        </xdr:cNvPr>
        <xdr:cNvPicPr>
          <a:picLocks noChangeAspect="1"/>
        </xdr:cNvPicPr>
      </xdr:nvPicPr>
      <xdr:blipFill>
        <a:blip xmlns:r="http://schemas.openxmlformats.org/officeDocument/2006/relationships" r:embed="rId148"/>
        <a:stretch>
          <a:fillRect/>
        </a:stretch>
      </xdr:blipFill>
      <xdr:spPr>
        <a:prstGeom prst="rect">
          <a:avLst/>
        </a:prstGeom>
        <a:ln w="9525">
          <a:solidFill>
            <a:srgbClr val="000000"/>
          </a:solidFill>
          <a:prstDash val="solid"/>
        </a:ln>
      </xdr:spPr>
    </xdr:pic>
    <xdr:clientData/>
  </xdr:twoCellAnchor>
  <xdr:twoCellAnchor>
    <xdr:from>
      <xdr:col>3</xdr:col>
      <xdr:colOff>114300</xdr:colOff>
      <xdr:row>380</xdr:row>
      <xdr:rowOff>28575</xdr:rowOff>
    </xdr:from>
    <xdr:to>
      <xdr:col>3</xdr:col>
      <xdr:colOff>1552575</xdr:colOff>
      <xdr:row>383</xdr:row>
      <xdr:rowOff>209550</xdr:rowOff>
    </xdr:to>
    <xdr:pic>
      <xdr:nvPicPr>
        <xdr:cNvPr id="152" name="Имя " descr="Descr ">
          <a:extLst>
            <a:ext uri="{FF2B5EF4-FFF2-40B4-BE49-F238E27FC236}">
              <a16:creationId xmlns:a16="http://schemas.microsoft.com/office/drawing/2014/main" id="{00000000-0008-0000-0000-000098000000}"/>
            </a:ext>
          </a:extLst>
        </xdr:cNvPr>
        <xdr:cNvPicPr>
          <a:picLocks noChangeAspect="1"/>
        </xdr:cNvPicPr>
      </xdr:nvPicPr>
      <xdr:blipFill>
        <a:blip xmlns:r="http://schemas.openxmlformats.org/officeDocument/2006/relationships" r:embed="rId149"/>
        <a:stretch>
          <a:fillRect/>
        </a:stretch>
      </xdr:blipFill>
      <xdr:spPr>
        <a:prstGeom prst="rect">
          <a:avLst/>
        </a:prstGeom>
        <a:ln w="9525">
          <a:solidFill>
            <a:srgbClr val="000000"/>
          </a:solidFill>
          <a:prstDash val="solid"/>
        </a:ln>
      </xdr:spPr>
    </xdr:pic>
    <xdr:clientData/>
  </xdr:twoCellAnchor>
  <xdr:twoCellAnchor>
    <xdr:from>
      <xdr:col>3</xdr:col>
      <xdr:colOff>114300</xdr:colOff>
      <xdr:row>384</xdr:row>
      <xdr:rowOff>28575</xdr:rowOff>
    </xdr:from>
    <xdr:to>
      <xdr:col>3</xdr:col>
      <xdr:colOff>1552575</xdr:colOff>
      <xdr:row>386</xdr:row>
      <xdr:rowOff>419100</xdr:rowOff>
    </xdr:to>
    <xdr:pic>
      <xdr:nvPicPr>
        <xdr:cNvPr id="153" name="Имя " descr="Descr ">
          <a:extLst>
            <a:ext uri="{FF2B5EF4-FFF2-40B4-BE49-F238E27FC236}">
              <a16:creationId xmlns:a16="http://schemas.microsoft.com/office/drawing/2014/main" id="{00000000-0008-0000-0000-000099000000}"/>
            </a:ext>
          </a:extLst>
        </xdr:cNvPr>
        <xdr:cNvPicPr>
          <a:picLocks noChangeAspect="1"/>
        </xdr:cNvPicPr>
      </xdr:nvPicPr>
      <xdr:blipFill>
        <a:blip xmlns:r="http://schemas.openxmlformats.org/officeDocument/2006/relationships" r:embed="rId150"/>
        <a:stretch>
          <a:fillRect/>
        </a:stretch>
      </xdr:blipFill>
      <xdr:spPr>
        <a:prstGeom prst="rect">
          <a:avLst/>
        </a:prstGeom>
        <a:ln w="9525">
          <a:solidFill>
            <a:srgbClr val="000000"/>
          </a:solidFill>
          <a:prstDash val="solid"/>
        </a:ln>
      </xdr:spPr>
    </xdr:pic>
    <xdr:clientData/>
  </xdr:twoCellAnchor>
  <xdr:twoCellAnchor>
    <xdr:from>
      <xdr:col>3</xdr:col>
      <xdr:colOff>114300</xdr:colOff>
      <xdr:row>387</xdr:row>
      <xdr:rowOff>28575</xdr:rowOff>
    </xdr:from>
    <xdr:to>
      <xdr:col>3</xdr:col>
      <xdr:colOff>1552575</xdr:colOff>
      <xdr:row>387</xdr:row>
      <xdr:rowOff>1266825</xdr:rowOff>
    </xdr:to>
    <xdr:pic>
      <xdr:nvPicPr>
        <xdr:cNvPr id="154" name="Имя " descr="Descr ">
          <a:extLst>
            <a:ext uri="{FF2B5EF4-FFF2-40B4-BE49-F238E27FC236}">
              <a16:creationId xmlns:a16="http://schemas.microsoft.com/office/drawing/2014/main" id="{00000000-0008-0000-0000-00009A000000}"/>
            </a:ext>
          </a:extLst>
        </xdr:cNvPr>
        <xdr:cNvPicPr>
          <a:picLocks noChangeAspect="1"/>
        </xdr:cNvPicPr>
      </xdr:nvPicPr>
      <xdr:blipFill>
        <a:blip xmlns:r="http://schemas.openxmlformats.org/officeDocument/2006/relationships" r:embed="rId151"/>
        <a:stretch>
          <a:fillRect/>
        </a:stretch>
      </xdr:blipFill>
      <xdr:spPr>
        <a:prstGeom prst="rect">
          <a:avLst/>
        </a:prstGeom>
        <a:ln w="9525">
          <a:solidFill>
            <a:srgbClr val="000000"/>
          </a:solidFill>
          <a:prstDash val="solid"/>
        </a:ln>
      </xdr:spPr>
    </xdr:pic>
    <xdr:clientData/>
  </xdr:twoCellAnchor>
  <xdr:twoCellAnchor>
    <xdr:from>
      <xdr:col>3</xdr:col>
      <xdr:colOff>114300</xdr:colOff>
      <xdr:row>388</xdr:row>
      <xdr:rowOff>28575</xdr:rowOff>
    </xdr:from>
    <xdr:to>
      <xdr:col>3</xdr:col>
      <xdr:colOff>1552575</xdr:colOff>
      <xdr:row>388</xdr:row>
      <xdr:rowOff>1266825</xdr:rowOff>
    </xdr:to>
    <xdr:pic>
      <xdr:nvPicPr>
        <xdr:cNvPr id="155" name="Имя " descr="Descr ">
          <a:extLst>
            <a:ext uri="{FF2B5EF4-FFF2-40B4-BE49-F238E27FC236}">
              <a16:creationId xmlns:a16="http://schemas.microsoft.com/office/drawing/2014/main" id="{00000000-0008-0000-0000-00009B000000}"/>
            </a:ext>
          </a:extLst>
        </xdr:cNvPr>
        <xdr:cNvPicPr>
          <a:picLocks noChangeAspect="1"/>
        </xdr:cNvPicPr>
      </xdr:nvPicPr>
      <xdr:blipFill>
        <a:blip xmlns:r="http://schemas.openxmlformats.org/officeDocument/2006/relationships" r:embed="rId152"/>
        <a:stretch>
          <a:fillRect/>
        </a:stretch>
      </xdr:blipFill>
      <xdr:spPr>
        <a:prstGeom prst="rect">
          <a:avLst/>
        </a:prstGeom>
        <a:ln w="9525">
          <a:solidFill>
            <a:srgbClr val="000000"/>
          </a:solidFill>
          <a:prstDash val="solid"/>
        </a:ln>
      </xdr:spPr>
    </xdr:pic>
    <xdr:clientData/>
  </xdr:twoCellAnchor>
  <xdr:twoCellAnchor>
    <xdr:from>
      <xdr:col>3</xdr:col>
      <xdr:colOff>114300</xdr:colOff>
      <xdr:row>389</xdr:row>
      <xdr:rowOff>28575</xdr:rowOff>
    </xdr:from>
    <xdr:to>
      <xdr:col>3</xdr:col>
      <xdr:colOff>1552575</xdr:colOff>
      <xdr:row>392</xdr:row>
      <xdr:rowOff>209550</xdr:rowOff>
    </xdr:to>
    <xdr:pic>
      <xdr:nvPicPr>
        <xdr:cNvPr id="156" name="Имя " descr="Descr ">
          <a:extLst>
            <a:ext uri="{FF2B5EF4-FFF2-40B4-BE49-F238E27FC236}">
              <a16:creationId xmlns:a16="http://schemas.microsoft.com/office/drawing/2014/main" id="{00000000-0008-0000-0000-00009C000000}"/>
            </a:ext>
          </a:extLst>
        </xdr:cNvPr>
        <xdr:cNvPicPr>
          <a:picLocks noChangeAspect="1"/>
        </xdr:cNvPicPr>
      </xdr:nvPicPr>
      <xdr:blipFill>
        <a:blip xmlns:r="http://schemas.openxmlformats.org/officeDocument/2006/relationships" r:embed="rId153"/>
        <a:stretch>
          <a:fillRect/>
        </a:stretch>
      </xdr:blipFill>
      <xdr:spPr>
        <a:prstGeom prst="rect">
          <a:avLst/>
        </a:prstGeom>
        <a:ln w="9525">
          <a:solidFill>
            <a:srgbClr val="000000"/>
          </a:solidFill>
          <a:prstDash val="solid"/>
        </a:ln>
      </xdr:spPr>
    </xdr:pic>
    <xdr:clientData/>
  </xdr:twoCellAnchor>
  <xdr:twoCellAnchor>
    <xdr:from>
      <xdr:col>3</xdr:col>
      <xdr:colOff>114300</xdr:colOff>
      <xdr:row>393</xdr:row>
      <xdr:rowOff>38100</xdr:rowOff>
    </xdr:from>
    <xdr:to>
      <xdr:col>3</xdr:col>
      <xdr:colOff>1552575</xdr:colOff>
      <xdr:row>394</xdr:row>
      <xdr:rowOff>638175</xdr:rowOff>
    </xdr:to>
    <xdr:pic>
      <xdr:nvPicPr>
        <xdr:cNvPr id="157" name="Имя " descr="Descr ">
          <a:extLst>
            <a:ext uri="{FF2B5EF4-FFF2-40B4-BE49-F238E27FC236}">
              <a16:creationId xmlns:a16="http://schemas.microsoft.com/office/drawing/2014/main" id="{00000000-0008-0000-0000-00009D000000}"/>
            </a:ext>
          </a:extLst>
        </xdr:cNvPr>
        <xdr:cNvPicPr>
          <a:picLocks noChangeAspect="1"/>
        </xdr:cNvPicPr>
      </xdr:nvPicPr>
      <xdr:blipFill>
        <a:blip xmlns:r="http://schemas.openxmlformats.org/officeDocument/2006/relationships" r:embed="rId154"/>
        <a:stretch>
          <a:fillRect/>
        </a:stretch>
      </xdr:blipFill>
      <xdr:spPr>
        <a:prstGeom prst="rect">
          <a:avLst/>
        </a:prstGeom>
        <a:ln w="9525">
          <a:solidFill>
            <a:srgbClr val="000000"/>
          </a:solidFill>
          <a:prstDash val="solid"/>
        </a:ln>
      </xdr:spPr>
    </xdr:pic>
    <xdr:clientData/>
  </xdr:twoCellAnchor>
  <xdr:twoCellAnchor>
    <xdr:from>
      <xdr:col>3</xdr:col>
      <xdr:colOff>114300</xdr:colOff>
      <xdr:row>395</xdr:row>
      <xdr:rowOff>28575</xdr:rowOff>
    </xdr:from>
    <xdr:to>
      <xdr:col>3</xdr:col>
      <xdr:colOff>1552575</xdr:colOff>
      <xdr:row>398</xdr:row>
      <xdr:rowOff>209550</xdr:rowOff>
    </xdr:to>
    <xdr:pic>
      <xdr:nvPicPr>
        <xdr:cNvPr id="158" name="Имя " descr="Descr ">
          <a:extLst>
            <a:ext uri="{FF2B5EF4-FFF2-40B4-BE49-F238E27FC236}">
              <a16:creationId xmlns:a16="http://schemas.microsoft.com/office/drawing/2014/main" id="{00000000-0008-0000-0000-00009E000000}"/>
            </a:ext>
          </a:extLst>
        </xdr:cNvPr>
        <xdr:cNvPicPr>
          <a:picLocks noChangeAspect="1"/>
        </xdr:cNvPicPr>
      </xdr:nvPicPr>
      <xdr:blipFill>
        <a:blip xmlns:r="http://schemas.openxmlformats.org/officeDocument/2006/relationships" r:embed="rId155"/>
        <a:stretch>
          <a:fillRect/>
        </a:stretch>
      </xdr:blipFill>
      <xdr:spPr>
        <a:prstGeom prst="rect">
          <a:avLst/>
        </a:prstGeom>
        <a:ln w="9525">
          <a:solidFill>
            <a:srgbClr val="000000"/>
          </a:solidFill>
          <a:prstDash val="solid"/>
        </a:ln>
      </xdr:spPr>
    </xdr:pic>
    <xdr:clientData/>
  </xdr:twoCellAnchor>
  <xdr:twoCellAnchor>
    <xdr:from>
      <xdr:col>3</xdr:col>
      <xdr:colOff>114300</xdr:colOff>
      <xdr:row>399</xdr:row>
      <xdr:rowOff>28575</xdr:rowOff>
    </xdr:from>
    <xdr:to>
      <xdr:col>3</xdr:col>
      <xdr:colOff>1552575</xdr:colOff>
      <xdr:row>401</xdr:row>
      <xdr:rowOff>419100</xdr:rowOff>
    </xdr:to>
    <xdr:pic>
      <xdr:nvPicPr>
        <xdr:cNvPr id="159" name="Имя " descr="Descr ">
          <a:extLst>
            <a:ext uri="{FF2B5EF4-FFF2-40B4-BE49-F238E27FC236}">
              <a16:creationId xmlns:a16="http://schemas.microsoft.com/office/drawing/2014/main" id="{00000000-0008-0000-0000-00009F000000}"/>
            </a:ext>
          </a:extLst>
        </xdr:cNvPr>
        <xdr:cNvPicPr>
          <a:picLocks noChangeAspect="1"/>
        </xdr:cNvPicPr>
      </xdr:nvPicPr>
      <xdr:blipFill>
        <a:blip xmlns:r="http://schemas.openxmlformats.org/officeDocument/2006/relationships" r:embed="rId156"/>
        <a:stretch>
          <a:fillRect/>
        </a:stretch>
      </xdr:blipFill>
      <xdr:spPr>
        <a:prstGeom prst="rect">
          <a:avLst/>
        </a:prstGeom>
        <a:ln w="9525">
          <a:solidFill>
            <a:srgbClr val="000000"/>
          </a:solidFill>
          <a:prstDash val="solid"/>
        </a:ln>
      </xdr:spPr>
    </xdr:pic>
    <xdr:clientData/>
  </xdr:twoCellAnchor>
  <xdr:twoCellAnchor>
    <xdr:from>
      <xdr:col>3</xdr:col>
      <xdr:colOff>114300</xdr:colOff>
      <xdr:row>402</xdr:row>
      <xdr:rowOff>28575</xdr:rowOff>
    </xdr:from>
    <xdr:to>
      <xdr:col>3</xdr:col>
      <xdr:colOff>1552575</xdr:colOff>
      <xdr:row>402</xdr:row>
      <xdr:rowOff>1266825</xdr:rowOff>
    </xdr:to>
    <xdr:pic>
      <xdr:nvPicPr>
        <xdr:cNvPr id="160" name="Имя " descr="Descr ">
          <a:extLst>
            <a:ext uri="{FF2B5EF4-FFF2-40B4-BE49-F238E27FC236}">
              <a16:creationId xmlns:a16="http://schemas.microsoft.com/office/drawing/2014/main" id="{00000000-0008-0000-0000-0000A0000000}"/>
            </a:ext>
          </a:extLst>
        </xdr:cNvPr>
        <xdr:cNvPicPr>
          <a:picLocks noChangeAspect="1"/>
        </xdr:cNvPicPr>
      </xdr:nvPicPr>
      <xdr:blipFill>
        <a:blip xmlns:r="http://schemas.openxmlformats.org/officeDocument/2006/relationships" r:embed="rId157"/>
        <a:stretch>
          <a:fillRect/>
        </a:stretch>
      </xdr:blipFill>
      <xdr:spPr>
        <a:prstGeom prst="rect">
          <a:avLst/>
        </a:prstGeom>
        <a:ln w="9525">
          <a:solidFill>
            <a:srgbClr val="000000"/>
          </a:solidFill>
          <a:prstDash val="solid"/>
        </a:ln>
      </xdr:spPr>
    </xdr:pic>
    <xdr:clientData/>
  </xdr:twoCellAnchor>
  <xdr:twoCellAnchor>
    <xdr:from>
      <xdr:col>3</xdr:col>
      <xdr:colOff>114300</xdr:colOff>
      <xdr:row>403</xdr:row>
      <xdr:rowOff>28575</xdr:rowOff>
    </xdr:from>
    <xdr:to>
      <xdr:col>3</xdr:col>
      <xdr:colOff>1552575</xdr:colOff>
      <xdr:row>407</xdr:row>
      <xdr:rowOff>333375</xdr:rowOff>
    </xdr:to>
    <xdr:pic>
      <xdr:nvPicPr>
        <xdr:cNvPr id="161" name="Имя " descr="Descr ">
          <a:extLst>
            <a:ext uri="{FF2B5EF4-FFF2-40B4-BE49-F238E27FC236}">
              <a16:creationId xmlns:a16="http://schemas.microsoft.com/office/drawing/2014/main" id="{00000000-0008-0000-0000-0000A1000000}"/>
            </a:ext>
          </a:extLst>
        </xdr:cNvPr>
        <xdr:cNvPicPr>
          <a:picLocks noChangeAspect="1"/>
        </xdr:cNvPicPr>
      </xdr:nvPicPr>
      <xdr:blipFill>
        <a:blip xmlns:r="http://schemas.openxmlformats.org/officeDocument/2006/relationships" r:embed="rId158"/>
        <a:stretch>
          <a:fillRect/>
        </a:stretch>
      </xdr:blipFill>
      <xdr:spPr>
        <a:prstGeom prst="rect">
          <a:avLst/>
        </a:prstGeom>
        <a:ln w="9525">
          <a:solidFill>
            <a:srgbClr val="000000"/>
          </a:solidFill>
          <a:prstDash val="solid"/>
        </a:ln>
      </xdr:spPr>
    </xdr:pic>
    <xdr:clientData/>
  </xdr:twoCellAnchor>
  <xdr:twoCellAnchor>
    <xdr:from>
      <xdr:col>3</xdr:col>
      <xdr:colOff>114300</xdr:colOff>
      <xdr:row>408</xdr:row>
      <xdr:rowOff>28575</xdr:rowOff>
    </xdr:from>
    <xdr:to>
      <xdr:col>3</xdr:col>
      <xdr:colOff>1552575</xdr:colOff>
      <xdr:row>408</xdr:row>
      <xdr:rowOff>1266825</xdr:rowOff>
    </xdr:to>
    <xdr:pic>
      <xdr:nvPicPr>
        <xdr:cNvPr id="162" name="Имя " descr="Descr ">
          <a:extLst>
            <a:ext uri="{FF2B5EF4-FFF2-40B4-BE49-F238E27FC236}">
              <a16:creationId xmlns:a16="http://schemas.microsoft.com/office/drawing/2014/main" id="{00000000-0008-0000-0000-0000A2000000}"/>
            </a:ext>
          </a:extLst>
        </xdr:cNvPr>
        <xdr:cNvPicPr>
          <a:picLocks noChangeAspect="1"/>
        </xdr:cNvPicPr>
      </xdr:nvPicPr>
      <xdr:blipFill>
        <a:blip xmlns:r="http://schemas.openxmlformats.org/officeDocument/2006/relationships" r:embed="rId159"/>
        <a:stretch>
          <a:fillRect/>
        </a:stretch>
      </xdr:blipFill>
      <xdr:spPr>
        <a:prstGeom prst="rect">
          <a:avLst/>
        </a:prstGeom>
        <a:ln w="9525">
          <a:solidFill>
            <a:srgbClr val="000000"/>
          </a:solidFill>
          <a:prstDash val="solid"/>
        </a:ln>
      </xdr:spPr>
    </xdr:pic>
    <xdr:clientData/>
  </xdr:twoCellAnchor>
  <xdr:twoCellAnchor>
    <xdr:from>
      <xdr:col>3</xdr:col>
      <xdr:colOff>114300</xdr:colOff>
      <xdr:row>409</xdr:row>
      <xdr:rowOff>28575</xdr:rowOff>
    </xdr:from>
    <xdr:to>
      <xdr:col>3</xdr:col>
      <xdr:colOff>1552575</xdr:colOff>
      <xdr:row>413</xdr:row>
      <xdr:rowOff>333375</xdr:rowOff>
    </xdr:to>
    <xdr:pic>
      <xdr:nvPicPr>
        <xdr:cNvPr id="163" name="Имя " descr="Descr ">
          <a:extLst>
            <a:ext uri="{FF2B5EF4-FFF2-40B4-BE49-F238E27FC236}">
              <a16:creationId xmlns:a16="http://schemas.microsoft.com/office/drawing/2014/main" id="{00000000-0008-0000-0000-0000A3000000}"/>
            </a:ext>
          </a:extLst>
        </xdr:cNvPr>
        <xdr:cNvPicPr>
          <a:picLocks noChangeAspect="1"/>
        </xdr:cNvPicPr>
      </xdr:nvPicPr>
      <xdr:blipFill>
        <a:blip xmlns:r="http://schemas.openxmlformats.org/officeDocument/2006/relationships" r:embed="rId160"/>
        <a:stretch>
          <a:fillRect/>
        </a:stretch>
      </xdr:blipFill>
      <xdr:spPr>
        <a:prstGeom prst="rect">
          <a:avLst/>
        </a:prstGeom>
        <a:ln w="9525">
          <a:solidFill>
            <a:srgbClr val="000000"/>
          </a:solidFill>
          <a:prstDash val="solid"/>
        </a:ln>
      </xdr:spPr>
    </xdr:pic>
    <xdr:clientData/>
  </xdr:twoCellAnchor>
  <xdr:twoCellAnchor>
    <xdr:from>
      <xdr:col>3</xdr:col>
      <xdr:colOff>114300</xdr:colOff>
      <xdr:row>414</xdr:row>
      <xdr:rowOff>38100</xdr:rowOff>
    </xdr:from>
    <xdr:to>
      <xdr:col>3</xdr:col>
      <xdr:colOff>1552575</xdr:colOff>
      <xdr:row>415</xdr:row>
      <xdr:rowOff>638175</xdr:rowOff>
    </xdr:to>
    <xdr:pic>
      <xdr:nvPicPr>
        <xdr:cNvPr id="164" name="Имя " descr="Descr ">
          <a:extLst>
            <a:ext uri="{FF2B5EF4-FFF2-40B4-BE49-F238E27FC236}">
              <a16:creationId xmlns:a16="http://schemas.microsoft.com/office/drawing/2014/main" id="{00000000-0008-0000-0000-0000A4000000}"/>
            </a:ext>
          </a:extLst>
        </xdr:cNvPr>
        <xdr:cNvPicPr>
          <a:picLocks noChangeAspect="1"/>
        </xdr:cNvPicPr>
      </xdr:nvPicPr>
      <xdr:blipFill>
        <a:blip xmlns:r="http://schemas.openxmlformats.org/officeDocument/2006/relationships" r:embed="rId161"/>
        <a:stretch>
          <a:fillRect/>
        </a:stretch>
      </xdr:blipFill>
      <xdr:spPr>
        <a:prstGeom prst="rect">
          <a:avLst/>
        </a:prstGeom>
        <a:ln w="9525">
          <a:solidFill>
            <a:srgbClr val="000000"/>
          </a:solidFill>
          <a:prstDash val="solid"/>
        </a:ln>
      </xdr:spPr>
    </xdr:pic>
    <xdr:clientData/>
  </xdr:twoCellAnchor>
  <xdr:twoCellAnchor>
    <xdr:from>
      <xdr:col>3</xdr:col>
      <xdr:colOff>114300</xdr:colOff>
      <xdr:row>416</xdr:row>
      <xdr:rowOff>38100</xdr:rowOff>
    </xdr:from>
    <xdr:to>
      <xdr:col>3</xdr:col>
      <xdr:colOff>1552575</xdr:colOff>
      <xdr:row>417</xdr:row>
      <xdr:rowOff>638175</xdr:rowOff>
    </xdr:to>
    <xdr:pic>
      <xdr:nvPicPr>
        <xdr:cNvPr id="165" name="Имя " descr="Descr ">
          <a:extLst>
            <a:ext uri="{FF2B5EF4-FFF2-40B4-BE49-F238E27FC236}">
              <a16:creationId xmlns:a16="http://schemas.microsoft.com/office/drawing/2014/main" id="{00000000-0008-0000-0000-0000A5000000}"/>
            </a:ext>
          </a:extLst>
        </xdr:cNvPr>
        <xdr:cNvPicPr>
          <a:picLocks noChangeAspect="1"/>
        </xdr:cNvPicPr>
      </xdr:nvPicPr>
      <xdr:blipFill>
        <a:blip xmlns:r="http://schemas.openxmlformats.org/officeDocument/2006/relationships" r:embed="rId162"/>
        <a:stretch>
          <a:fillRect/>
        </a:stretch>
      </xdr:blipFill>
      <xdr:spPr>
        <a:prstGeom prst="rect">
          <a:avLst/>
        </a:prstGeom>
        <a:ln w="9525">
          <a:solidFill>
            <a:srgbClr val="000000"/>
          </a:solidFill>
          <a:prstDash val="solid"/>
        </a:ln>
      </xdr:spPr>
    </xdr:pic>
    <xdr:clientData/>
  </xdr:twoCellAnchor>
  <xdr:twoCellAnchor>
    <xdr:from>
      <xdr:col>3</xdr:col>
      <xdr:colOff>114300</xdr:colOff>
      <xdr:row>418</xdr:row>
      <xdr:rowOff>28575</xdr:rowOff>
    </xdr:from>
    <xdr:to>
      <xdr:col>3</xdr:col>
      <xdr:colOff>1552575</xdr:colOff>
      <xdr:row>421</xdr:row>
      <xdr:rowOff>209550</xdr:rowOff>
    </xdr:to>
    <xdr:pic>
      <xdr:nvPicPr>
        <xdr:cNvPr id="166" name="Имя " descr="Descr ">
          <a:extLst>
            <a:ext uri="{FF2B5EF4-FFF2-40B4-BE49-F238E27FC236}">
              <a16:creationId xmlns:a16="http://schemas.microsoft.com/office/drawing/2014/main" id="{00000000-0008-0000-0000-0000A6000000}"/>
            </a:ext>
          </a:extLst>
        </xdr:cNvPr>
        <xdr:cNvPicPr>
          <a:picLocks noChangeAspect="1"/>
        </xdr:cNvPicPr>
      </xdr:nvPicPr>
      <xdr:blipFill>
        <a:blip xmlns:r="http://schemas.openxmlformats.org/officeDocument/2006/relationships" r:embed="rId163"/>
        <a:stretch>
          <a:fillRect/>
        </a:stretch>
      </xdr:blipFill>
      <xdr:spPr>
        <a:prstGeom prst="rect">
          <a:avLst/>
        </a:prstGeom>
        <a:ln w="9525">
          <a:solidFill>
            <a:srgbClr val="000000"/>
          </a:solidFill>
          <a:prstDash val="solid"/>
        </a:ln>
      </xdr:spPr>
    </xdr:pic>
    <xdr:clientData/>
  </xdr:twoCellAnchor>
  <xdr:twoCellAnchor>
    <xdr:from>
      <xdr:col>3</xdr:col>
      <xdr:colOff>114300</xdr:colOff>
      <xdr:row>422</xdr:row>
      <xdr:rowOff>28575</xdr:rowOff>
    </xdr:from>
    <xdr:to>
      <xdr:col>3</xdr:col>
      <xdr:colOff>1552575</xdr:colOff>
      <xdr:row>422</xdr:row>
      <xdr:rowOff>1266825</xdr:rowOff>
    </xdr:to>
    <xdr:pic>
      <xdr:nvPicPr>
        <xdr:cNvPr id="167" name="Имя " descr="Descr ">
          <a:extLst>
            <a:ext uri="{FF2B5EF4-FFF2-40B4-BE49-F238E27FC236}">
              <a16:creationId xmlns:a16="http://schemas.microsoft.com/office/drawing/2014/main" id="{00000000-0008-0000-0000-0000A7000000}"/>
            </a:ext>
          </a:extLst>
        </xdr:cNvPr>
        <xdr:cNvPicPr>
          <a:picLocks noChangeAspect="1"/>
        </xdr:cNvPicPr>
      </xdr:nvPicPr>
      <xdr:blipFill>
        <a:blip xmlns:r="http://schemas.openxmlformats.org/officeDocument/2006/relationships" r:embed="rId164"/>
        <a:stretch>
          <a:fillRect/>
        </a:stretch>
      </xdr:blipFill>
      <xdr:spPr>
        <a:prstGeom prst="rect">
          <a:avLst/>
        </a:prstGeom>
        <a:ln w="9525">
          <a:solidFill>
            <a:srgbClr val="000000"/>
          </a:solidFill>
          <a:prstDash val="solid"/>
        </a:ln>
      </xdr:spPr>
    </xdr:pic>
    <xdr:clientData/>
  </xdr:twoCellAnchor>
  <xdr:twoCellAnchor>
    <xdr:from>
      <xdr:col>3</xdr:col>
      <xdr:colOff>114300</xdr:colOff>
      <xdr:row>423</xdr:row>
      <xdr:rowOff>28575</xdr:rowOff>
    </xdr:from>
    <xdr:to>
      <xdr:col>3</xdr:col>
      <xdr:colOff>1552575</xdr:colOff>
      <xdr:row>423</xdr:row>
      <xdr:rowOff>1266825</xdr:rowOff>
    </xdr:to>
    <xdr:pic>
      <xdr:nvPicPr>
        <xdr:cNvPr id="168" name="Имя " descr="Descr ">
          <a:extLst>
            <a:ext uri="{FF2B5EF4-FFF2-40B4-BE49-F238E27FC236}">
              <a16:creationId xmlns:a16="http://schemas.microsoft.com/office/drawing/2014/main" id="{00000000-0008-0000-0000-0000A8000000}"/>
            </a:ext>
          </a:extLst>
        </xdr:cNvPr>
        <xdr:cNvPicPr>
          <a:picLocks noChangeAspect="1"/>
        </xdr:cNvPicPr>
      </xdr:nvPicPr>
      <xdr:blipFill>
        <a:blip xmlns:r="http://schemas.openxmlformats.org/officeDocument/2006/relationships" r:embed="rId165"/>
        <a:stretch>
          <a:fillRect/>
        </a:stretch>
      </xdr:blipFill>
      <xdr:spPr>
        <a:prstGeom prst="rect">
          <a:avLst/>
        </a:prstGeom>
        <a:ln w="9525">
          <a:solidFill>
            <a:srgbClr val="000000"/>
          </a:solidFill>
          <a:prstDash val="solid"/>
        </a:ln>
      </xdr:spPr>
    </xdr:pic>
    <xdr:clientData/>
  </xdr:twoCellAnchor>
  <xdr:twoCellAnchor>
    <xdr:from>
      <xdr:col>3</xdr:col>
      <xdr:colOff>114300</xdr:colOff>
      <xdr:row>424</xdr:row>
      <xdr:rowOff>28575</xdr:rowOff>
    </xdr:from>
    <xdr:to>
      <xdr:col>3</xdr:col>
      <xdr:colOff>1552575</xdr:colOff>
      <xdr:row>426</xdr:row>
      <xdr:rowOff>419100</xdr:rowOff>
    </xdr:to>
    <xdr:pic>
      <xdr:nvPicPr>
        <xdr:cNvPr id="169" name="Имя " descr="Descr ">
          <a:extLst>
            <a:ext uri="{FF2B5EF4-FFF2-40B4-BE49-F238E27FC236}">
              <a16:creationId xmlns:a16="http://schemas.microsoft.com/office/drawing/2014/main" id="{00000000-0008-0000-0000-0000A9000000}"/>
            </a:ext>
          </a:extLst>
        </xdr:cNvPr>
        <xdr:cNvPicPr>
          <a:picLocks noChangeAspect="1"/>
        </xdr:cNvPicPr>
      </xdr:nvPicPr>
      <xdr:blipFill>
        <a:blip xmlns:r="http://schemas.openxmlformats.org/officeDocument/2006/relationships" r:embed="rId166"/>
        <a:stretch>
          <a:fillRect/>
        </a:stretch>
      </xdr:blipFill>
      <xdr:spPr>
        <a:prstGeom prst="rect">
          <a:avLst/>
        </a:prstGeom>
        <a:ln w="9525">
          <a:solidFill>
            <a:srgbClr val="000000"/>
          </a:solidFill>
          <a:prstDash val="solid"/>
        </a:ln>
      </xdr:spPr>
    </xdr:pic>
    <xdr:clientData/>
  </xdr:twoCellAnchor>
  <xdr:twoCellAnchor>
    <xdr:from>
      <xdr:col>3</xdr:col>
      <xdr:colOff>114300</xdr:colOff>
      <xdr:row>427</xdr:row>
      <xdr:rowOff>38100</xdr:rowOff>
    </xdr:from>
    <xdr:to>
      <xdr:col>3</xdr:col>
      <xdr:colOff>1552575</xdr:colOff>
      <xdr:row>428</xdr:row>
      <xdr:rowOff>638175</xdr:rowOff>
    </xdr:to>
    <xdr:pic>
      <xdr:nvPicPr>
        <xdr:cNvPr id="170" name="Имя " descr="Descr ">
          <a:extLst>
            <a:ext uri="{FF2B5EF4-FFF2-40B4-BE49-F238E27FC236}">
              <a16:creationId xmlns:a16="http://schemas.microsoft.com/office/drawing/2014/main" id="{00000000-0008-0000-0000-0000AA000000}"/>
            </a:ext>
          </a:extLst>
        </xdr:cNvPr>
        <xdr:cNvPicPr>
          <a:picLocks noChangeAspect="1"/>
        </xdr:cNvPicPr>
      </xdr:nvPicPr>
      <xdr:blipFill>
        <a:blip xmlns:r="http://schemas.openxmlformats.org/officeDocument/2006/relationships" r:embed="rId167"/>
        <a:stretch>
          <a:fillRect/>
        </a:stretch>
      </xdr:blipFill>
      <xdr:spPr>
        <a:prstGeom prst="rect">
          <a:avLst/>
        </a:prstGeom>
        <a:ln w="9525">
          <a:solidFill>
            <a:srgbClr val="000000"/>
          </a:solidFill>
          <a:prstDash val="solid"/>
        </a:ln>
      </xdr:spPr>
    </xdr:pic>
    <xdr:clientData/>
  </xdr:twoCellAnchor>
  <xdr:twoCellAnchor>
    <xdr:from>
      <xdr:col>3</xdr:col>
      <xdr:colOff>114300</xdr:colOff>
      <xdr:row>429</xdr:row>
      <xdr:rowOff>28575</xdr:rowOff>
    </xdr:from>
    <xdr:to>
      <xdr:col>3</xdr:col>
      <xdr:colOff>1552575</xdr:colOff>
      <xdr:row>434</xdr:row>
      <xdr:rowOff>209550</xdr:rowOff>
    </xdr:to>
    <xdr:pic>
      <xdr:nvPicPr>
        <xdr:cNvPr id="171" name="Имя " descr="Descr ">
          <a:extLst>
            <a:ext uri="{FF2B5EF4-FFF2-40B4-BE49-F238E27FC236}">
              <a16:creationId xmlns:a16="http://schemas.microsoft.com/office/drawing/2014/main" id="{00000000-0008-0000-0000-0000AB000000}"/>
            </a:ext>
          </a:extLst>
        </xdr:cNvPr>
        <xdr:cNvPicPr>
          <a:picLocks noChangeAspect="1"/>
        </xdr:cNvPicPr>
      </xdr:nvPicPr>
      <xdr:blipFill>
        <a:blip xmlns:r="http://schemas.openxmlformats.org/officeDocument/2006/relationships" r:embed="rId168"/>
        <a:stretch>
          <a:fillRect/>
        </a:stretch>
      </xdr:blipFill>
      <xdr:spPr>
        <a:prstGeom prst="rect">
          <a:avLst/>
        </a:prstGeom>
        <a:ln w="9525">
          <a:solidFill>
            <a:srgbClr val="000000"/>
          </a:solidFill>
          <a:prstDash val="solid"/>
        </a:ln>
      </xdr:spPr>
    </xdr:pic>
    <xdr:clientData/>
  </xdr:twoCellAnchor>
  <xdr:twoCellAnchor>
    <xdr:from>
      <xdr:col>3</xdr:col>
      <xdr:colOff>114300</xdr:colOff>
      <xdr:row>435</xdr:row>
      <xdr:rowOff>28575</xdr:rowOff>
    </xdr:from>
    <xdr:to>
      <xdr:col>3</xdr:col>
      <xdr:colOff>1552575</xdr:colOff>
      <xdr:row>440</xdr:row>
      <xdr:rowOff>209550</xdr:rowOff>
    </xdr:to>
    <xdr:pic>
      <xdr:nvPicPr>
        <xdr:cNvPr id="172" name="Имя " descr="Descr ">
          <a:extLst>
            <a:ext uri="{FF2B5EF4-FFF2-40B4-BE49-F238E27FC236}">
              <a16:creationId xmlns:a16="http://schemas.microsoft.com/office/drawing/2014/main" id="{00000000-0008-0000-0000-0000AC000000}"/>
            </a:ext>
          </a:extLst>
        </xdr:cNvPr>
        <xdr:cNvPicPr>
          <a:picLocks noChangeAspect="1"/>
        </xdr:cNvPicPr>
      </xdr:nvPicPr>
      <xdr:blipFill>
        <a:blip xmlns:r="http://schemas.openxmlformats.org/officeDocument/2006/relationships" r:embed="rId169"/>
        <a:stretch>
          <a:fillRect/>
        </a:stretch>
      </xdr:blipFill>
      <xdr:spPr>
        <a:prstGeom prst="rect">
          <a:avLst/>
        </a:prstGeom>
        <a:ln w="9525">
          <a:solidFill>
            <a:srgbClr val="000000"/>
          </a:solidFill>
          <a:prstDash val="solid"/>
        </a:ln>
      </xdr:spPr>
    </xdr:pic>
    <xdr:clientData/>
  </xdr:twoCellAnchor>
  <xdr:twoCellAnchor>
    <xdr:from>
      <xdr:col>3</xdr:col>
      <xdr:colOff>114300</xdr:colOff>
      <xdr:row>441</xdr:row>
      <xdr:rowOff>38100</xdr:rowOff>
    </xdr:from>
    <xdr:to>
      <xdr:col>3</xdr:col>
      <xdr:colOff>1552575</xdr:colOff>
      <xdr:row>442</xdr:row>
      <xdr:rowOff>638175</xdr:rowOff>
    </xdr:to>
    <xdr:pic>
      <xdr:nvPicPr>
        <xdr:cNvPr id="173" name="Имя " descr="Descr ">
          <a:extLst>
            <a:ext uri="{FF2B5EF4-FFF2-40B4-BE49-F238E27FC236}">
              <a16:creationId xmlns:a16="http://schemas.microsoft.com/office/drawing/2014/main" id="{00000000-0008-0000-0000-0000AD000000}"/>
            </a:ext>
          </a:extLst>
        </xdr:cNvPr>
        <xdr:cNvPicPr>
          <a:picLocks noChangeAspect="1"/>
        </xdr:cNvPicPr>
      </xdr:nvPicPr>
      <xdr:blipFill>
        <a:blip xmlns:r="http://schemas.openxmlformats.org/officeDocument/2006/relationships" r:embed="rId170"/>
        <a:stretch>
          <a:fillRect/>
        </a:stretch>
      </xdr:blipFill>
      <xdr:spPr>
        <a:prstGeom prst="rect">
          <a:avLst/>
        </a:prstGeom>
        <a:ln w="9525">
          <a:solidFill>
            <a:srgbClr val="000000"/>
          </a:solidFill>
          <a:prstDash val="solid"/>
        </a:ln>
      </xdr:spPr>
    </xdr:pic>
    <xdr:clientData/>
  </xdr:twoCellAnchor>
  <xdr:twoCellAnchor>
    <xdr:from>
      <xdr:col>3</xdr:col>
      <xdr:colOff>114300</xdr:colOff>
      <xdr:row>443</xdr:row>
      <xdr:rowOff>28575</xdr:rowOff>
    </xdr:from>
    <xdr:to>
      <xdr:col>3</xdr:col>
      <xdr:colOff>1552575</xdr:colOff>
      <xdr:row>445</xdr:row>
      <xdr:rowOff>419100</xdr:rowOff>
    </xdr:to>
    <xdr:pic>
      <xdr:nvPicPr>
        <xdr:cNvPr id="174" name="Имя " descr="Descr ">
          <a:extLst>
            <a:ext uri="{FF2B5EF4-FFF2-40B4-BE49-F238E27FC236}">
              <a16:creationId xmlns:a16="http://schemas.microsoft.com/office/drawing/2014/main" id="{00000000-0008-0000-0000-0000AE000000}"/>
            </a:ext>
          </a:extLst>
        </xdr:cNvPr>
        <xdr:cNvPicPr>
          <a:picLocks noChangeAspect="1"/>
        </xdr:cNvPicPr>
      </xdr:nvPicPr>
      <xdr:blipFill>
        <a:blip xmlns:r="http://schemas.openxmlformats.org/officeDocument/2006/relationships" r:embed="rId171"/>
        <a:stretch>
          <a:fillRect/>
        </a:stretch>
      </xdr:blipFill>
      <xdr:spPr>
        <a:prstGeom prst="rect">
          <a:avLst/>
        </a:prstGeom>
        <a:ln w="9525">
          <a:solidFill>
            <a:srgbClr val="000000"/>
          </a:solidFill>
          <a:prstDash val="solid"/>
        </a:ln>
      </xdr:spPr>
    </xdr:pic>
    <xdr:clientData/>
  </xdr:twoCellAnchor>
  <xdr:twoCellAnchor>
    <xdr:from>
      <xdr:col>3</xdr:col>
      <xdr:colOff>114300</xdr:colOff>
      <xdr:row>446</xdr:row>
      <xdr:rowOff>28575</xdr:rowOff>
    </xdr:from>
    <xdr:to>
      <xdr:col>3</xdr:col>
      <xdr:colOff>1552575</xdr:colOff>
      <xdr:row>446</xdr:row>
      <xdr:rowOff>1266825</xdr:rowOff>
    </xdr:to>
    <xdr:pic>
      <xdr:nvPicPr>
        <xdr:cNvPr id="175" name="Имя " descr="Descr ">
          <a:extLst>
            <a:ext uri="{FF2B5EF4-FFF2-40B4-BE49-F238E27FC236}">
              <a16:creationId xmlns:a16="http://schemas.microsoft.com/office/drawing/2014/main" id="{00000000-0008-0000-0000-0000AF000000}"/>
            </a:ext>
          </a:extLst>
        </xdr:cNvPr>
        <xdr:cNvPicPr>
          <a:picLocks noChangeAspect="1"/>
        </xdr:cNvPicPr>
      </xdr:nvPicPr>
      <xdr:blipFill>
        <a:blip xmlns:r="http://schemas.openxmlformats.org/officeDocument/2006/relationships" r:embed="rId172"/>
        <a:stretch>
          <a:fillRect/>
        </a:stretch>
      </xdr:blipFill>
      <xdr:spPr>
        <a:prstGeom prst="rect">
          <a:avLst/>
        </a:prstGeom>
        <a:ln w="9525">
          <a:solidFill>
            <a:srgbClr val="000000"/>
          </a:solidFill>
          <a:prstDash val="solid"/>
        </a:ln>
      </xdr:spPr>
    </xdr:pic>
    <xdr:clientData/>
  </xdr:twoCellAnchor>
  <xdr:twoCellAnchor>
    <xdr:from>
      <xdr:col>3</xdr:col>
      <xdr:colOff>114300</xdr:colOff>
      <xdr:row>447</xdr:row>
      <xdr:rowOff>38100</xdr:rowOff>
    </xdr:from>
    <xdr:to>
      <xdr:col>3</xdr:col>
      <xdr:colOff>1552575</xdr:colOff>
      <xdr:row>448</xdr:row>
      <xdr:rowOff>638175</xdr:rowOff>
    </xdr:to>
    <xdr:pic>
      <xdr:nvPicPr>
        <xdr:cNvPr id="176" name="Имя " descr="Descr ">
          <a:extLst>
            <a:ext uri="{FF2B5EF4-FFF2-40B4-BE49-F238E27FC236}">
              <a16:creationId xmlns:a16="http://schemas.microsoft.com/office/drawing/2014/main" id="{00000000-0008-0000-0000-0000B0000000}"/>
            </a:ext>
          </a:extLst>
        </xdr:cNvPr>
        <xdr:cNvPicPr>
          <a:picLocks noChangeAspect="1"/>
        </xdr:cNvPicPr>
      </xdr:nvPicPr>
      <xdr:blipFill>
        <a:blip xmlns:r="http://schemas.openxmlformats.org/officeDocument/2006/relationships" r:embed="rId173"/>
        <a:stretch>
          <a:fillRect/>
        </a:stretch>
      </xdr:blipFill>
      <xdr:spPr>
        <a:prstGeom prst="rect">
          <a:avLst/>
        </a:prstGeom>
        <a:ln w="9525">
          <a:solidFill>
            <a:srgbClr val="000000"/>
          </a:solidFill>
          <a:prstDash val="solid"/>
        </a:ln>
      </xdr:spPr>
    </xdr:pic>
    <xdr:clientData/>
  </xdr:twoCellAnchor>
  <xdr:twoCellAnchor>
    <xdr:from>
      <xdr:col>3</xdr:col>
      <xdr:colOff>114300</xdr:colOff>
      <xdr:row>449</xdr:row>
      <xdr:rowOff>28575</xdr:rowOff>
    </xdr:from>
    <xdr:to>
      <xdr:col>3</xdr:col>
      <xdr:colOff>1552575</xdr:colOff>
      <xdr:row>451</xdr:row>
      <xdr:rowOff>419100</xdr:rowOff>
    </xdr:to>
    <xdr:pic>
      <xdr:nvPicPr>
        <xdr:cNvPr id="177" name="Имя " descr="Descr ">
          <a:extLst>
            <a:ext uri="{FF2B5EF4-FFF2-40B4-BE49-F238E27FC236}">
              <a16:creationId xmlns:a16="http://schemas.microsoft.com/office/drawing/2014/main" id="{00000000-0008-0000-0000-0000B1000000}"/>
            </a:ext>
          </a:extLst>
        </xdr:cNvPr>
        <xdr:cNvPicPr>
          <a:picLocks noChangeAspect="1"/>
        </xdr:cNvPicPr>
      </xdr:nvPicPr>
      <xdr:blipFill>
        <a:blip xmlns:r="http://schemas.openxmlformats.org/officeDocument/2006/relationships" r:embed="rId174"/>
        <a:stretch>
          <a:fillRect/>
        </a:stretch>
      </xdr:blipFill>
      <xdr:spPr>
        <a:prstGeom prst="rect">
          <a:avLst/>
        </a:prstGeom>
        <a:ln w="9525">
          <a:solidFill>
            <a:srgbClr val="000000"/>
          </a:solidFill>
          <a:prstDash val="solid"/>
        </a:ln>
      </xdr:spPr>
    </xdr:pic>
    <xdr:clientData/>
  </xdr:twoCellAnchor>
  <xdr:twoCellAnchor>
    <xdr:from>
      <xdr:col>3</xdr:col>
      <xdr:colOff>114300</xdr:colOff>
      <xdr:row>452</xdr:row>
      <xdr:rowOff>28575</xdr:rowOff>
    </xdr:from>
    <xdr:to>
      <xdr:col>3</xdr:col>
      <xdr:colOff>1552575</xdr:colOff>
      <xdr:row>452</xdr:row>
      <xdr:rowOff>1266825</xdr:rowOff>
    </xdr:to>
    <xdr:pic>
      <xdr:nvPicPr>
        <xdr:cNvPr id="178" name="Имя " descr="Descr ">
          <a:extLst>
            <a:ext uri="{FF2B5EF4-FFF2-40B4-BE49-F238E27FC236}">
              <a16:creationId xmlns:a16="http://schemas.microsoft.com/office/drawing/2014/main" id="{00000000-0008-0000-0000-0000B2000000}"/>
            </a:ext>
          </a:extLst>
        </xdr:cNvPr>
        <xdr:cNvPicPr>
          <a:picLocks noChangeAspect="1"/>
        </xdr:cNvPicPr>
      </xdr:nvPicPr>
      <xdr:blipFill>
        <a:blip xmlns:r="http://schemas.openxmlformats.org/officeDocument/2006/relationships" r:embed="rId175"/>
        <a:stretch>
          <a:fillRect/>
        </a:stretch>
      </xdr:blipFill>
      <xdr:spPr>
        <a:prstGeom prst="rect">
          <a:avLst/>
        </a:prstGeom>
        <a:ln w="9525">
          <a:solidFill>
            <a:srgbClr val="000000"/>
          </a:solidFill>
          <a:prstDash val="solid"/>
        </a:ln>
      </xdr:spPr>
    </xdr:pic>
    <xdr:clientData/>
  </xdr:twoCellAnchor>
  <xdr:twoCellAnchor>
    <xdr:from>
      <xdr:col>3</xdr:col>
      <xdr:colOff>114300</xdr:colOff>
      <xdr:row>453</xdr:row>
      <xdr:rowOff>28575</xdr:rowOff>
    </xdr:from>
    <xdr:to>
      <xdr:col>3</xdr:col>
      <xdr:colOff>1552575</xdr:colOff>
      <xdr:row>453</xdr:row>
      <xdr:rowOff>1266825</xdr:rowOff>
    </xdr:to>
    <xdr:pic>
      <xdr:nvPicPr>
        <xdr:cNvPr id="179" name="Имя " descr="Descr ">
          <a:extLst>
            <a:ext uri="{FF2B5EF4-FFF2-40B4-BE49-F238E27FC236}">
              <a16:creationId xmlns:a16="http://schemas.microsoft.com/office/drawing/2014/main" id="{00000000-0008-0000-0000-0000B3000000}"/>
            </a:ext>
          </a:extLst>
        </xdr:cNvPr>
        <xdr:cNvPicPr>
          <a:picLocks noChangeAspect="1"/>
        </xdr:cNvPicPr>
      </xdr:nvPicPr>
      <xdr:blipFill>
        <a:blip xmlns:r="http://schemas.openxmlformats.org/officeDocument/2006/relationships" r:embed="rId176"/>
        <a:stretch>
          <a:fillRect/>
        </a:stretch>
      </xdr:blipFill>
      <xdr:spPr>
        <a:prstGeom prst="rect">
          <a:avLst/>
        </a:prstGeom>
        <a:ln w="9525">
          <a:solidFill>
            <a:srgbClr val="000000"/>
          </a:solidFill>
          <a:prstDash val="solid"/>
        </a:ln>
      </xdr:spPr>
    </xdr:pic>
    <xdr:clientData/>
  </xdr:twoCellAnchor>
  <xdr:twoCellAnchor>
    <xdr:from>
      <xdr:col>3</xdr:col>
      <xdr:colOff>114300</xdr:colOff>
      <xdr:row>454</xdr:row>
      <xdr:rowOff>28575</xdr:rowOff>
    </xdr:from>
    <xdr:to>
      <xdr:col>3</xdr:col>
      <xdr:colOff>1552575</xdr:colOff>
      <xdr:row>456</xdr:row>
      <xdr:rowOff>419100</xdr:rowOff>
    </xdr:to>
    <xdr:pic>
      <xdr:nvPicPr>
        <xdr:cNvPr id="180" name="Имя " descr="Descr ">
          <a:extLst>
            <a:ext uri="{FF2B5EF4-FFF2-40B4-BE49-F238E27FC236}">
              <a16:creationId xmlns:a16="http://schemas.microsoft.com/office/drawing/2014/main" id="{00000000-0008-0000-0000-0000B4000000}"/>
            </a:ext>
          </a:extLst>
        </xdr:cNvPr>
        <xdr:cNvPicPr>
          <a:picLocks noChangeAspect="1"/>
        </xdr:cNvPicPr>
      </xdr:nvPicPr>
      <xdr:blipFill>
        <a:blip xmlns:r="http://schemas.openxmlformats.org/officeDocument/2006/relationships" r:embed="rId177"/>
        <a:stretch>
          <a:fillRect/>
        </a:stretch>
      </xdr:blipFill>
      <xdr:spPr>
        <a:prstGeom prst="rect">
          <a:avLst/>
        </a:prstGeom>
        <a:ln w="9525">
          <a:solidFill>
            <a:srgbClr val="000000"/>
          </a:solidFill>
          <a:prstDash val="solid"/>
        </a:ln>
      </xdr:spPr>
    </xdr:pic>
    <xdr:clientData/>
  </xdr:twoCellAnchor>
  <xdr:twoCellAnchor>
    <xdr:from>
      <xdr:col>3</xdr:col>
      <xdr:colOff>114300</xdr:colOff>
      <xdr:row>457</xdr:row>
      <xdr:rowOff>28575</xdr:rowOff>
    </xdr:from>
    <xdr:to>
      <xdr:col>3</xdr:col>
      <xdr:colOff>1552575</xdr:colOff>
      <xdr:row>463</xdr:row>
      <xdr:rowOff>171450</xdr:rowOff>
    </xdr:to>
    <xdr:pic>
      <xdr:nvPicPr>
        <xdr:cNvPr id="181" name="Имя " descr="Descr ">
          <a:extLst>
            <a:ext uri="{FF2B5EF4-FFF2-40B4-BE49-F238E27FC236}">
              <a16:creationId xmlns:a16="http://schemas.microsoft.com/office/drawing/2014/main" id="{00000000-0008-0000-0000-0000B5000000}"/>
            </a:ext>
          </a:extLst>
        </xdr:cNvPr>
        <xdr:cNvPicPr>
          <a:picLocks noChangeAspect="1"/>
        </xdr:cNvPicPr>
      </xdr:nvPicPr>
      <xdr:blipFill>
        <a:blip xmlns:r="http://schemas.openxmlformats.org/officeDocument/2006/relationships" r:embed="rId178"/>
        <a:stretch>
          <a:fillRect/>
        </a:stretch>
      </xdr:blipFill>
      <xdr:spPr>
        <a:prstGeom prst="rect">
          <a:avLst/>
        </a:prstGeom>
        <a:ln w="9525">
          <a:solidFill>
            <a:srgbClr val="000000"/>
          </a:solidFill>
          <a:prstDash val="solid"/>
        </a:ln>
      </xdr:spPr>
    </xdr:pic>
    <xdr:clientData/>
  </xdr:twoCellAnchor>
  <xdr:twoCellAnchor>
    <xdr:from>
      <xdr:col>3</xdr:col>
      <xdr:colOff>114300</xdr:colOff>
      <xdr:row>464</xdr:row>
      <xdr:rowOff>38100</xdr:rowOff>
    </xdr:from>
    <xdr:to>
      <xdr:col>3</xdr:col>
      <xdr:colOff>1552575</xdr:colOff>
      <xdr:row>465</xdr:row>
      <xdr:rowOff>638175</xdr:rowOff>
    </xdr:to>
    <xdr:pic>
      <xdr:nvPicPr>
        <xdr:cNvPr id="182" name="Имя " descr="Descr ">
          <a:extLst>
            <a:ext uri="{FF2B5EF4-FFF2-40B4-BE49-F238E27FC236}">
              <a16:creationId xmlns:a16="http://schemas.microsoft.com/office/drawing/2014/main" id="{00000000-0008-0000-0000-0000B6000000}"/>
            </a:ext>
          </a:extLst>
        </xdr:cNvPr>
        <xdr:cNvPicPr>
          <a:picLocks noChangeAspect="1"/>
        </xdr:cNvPicPr>
      </xdr:nvPicPr>
      <xdr:blipFill>
        <a:blip xmlns:r="http://schemas.openxmlformats.org/officeDocument/2006/relationships" r:embed="rId179"/>
        <a:stretch>
          <a:fillRect/>
        </a:stretch>
      </xdr:blipFill>
      <xdr:spPr>
        <a:prstGeom prst="rect">
          <a:avLst/>
        </a:prstGeom>
        <a:ln w="9525">
          <a:solidFill>
            <a:srgbClr val="000000"/>
          </a:solidFill>
          <a:prstDash val="solid"/>
        </a:ln>
      </xdr:spPr>
    </xdr:pic>
    <xdr:clientData/>
  </xdr:twoCellAnchor>
  <xdr:twoCellAnchor>
    <xdr:from>
      <xdr:col>3</xdr:col>
      <xdr:colOff>114300</xdr:colOff>
      <xdr:row>466</xdr:row>
      <xdr:rowOff>38100</xdr:rowOff>
    </xdr:from>
    <xdr:to>
      <xdr:col>3</xdr:col>
      <xdr:colOff>1552575</xdr:colOff>
      <xdr:row>467</xdr:row>
      <xdr:rowOff>638175</xdr:rowOff>
    </xdr:to>
    <xdr:pic>
      <xdr:nvPicPr>
        <xdr:cNvPr id="183" name="Имя " descr="Descr ">
          <a:extLst>
            <a:ext uri="{FF2B5EF4-FFF2-40B4-BE49-F238E27FC236}">
              <a16:creationId xmlns:a16="http://schemas.microsoft.com/office/drawing/2014/main" id="{00000000-0008-0000-0000-0000B7000000}"/>
            </a:ext>
          </a:extLst>
        </xdr:cNvPr>
        <xdr:cNvPicPr>
          <a:picLocks noChangeAspect="1"/>
        </xdr:cNvPicPr>
      </xdr:nvPicPr>
      <xdr:blipFill>
        <a:blip xmlns:r="http://schemas.openxmlformats.org/officeDocument/2006/relationships" r:embed="rId180"/>
        <a:stretch>
          <a:fillRect/>
        </a:stretch>
      </xdr:blipFill>
      <xdr:spPr>
        <a:prstGeom prst="rect">
          <a:avLst/>
        </a:prstGeom>
        <a:ln w="9525">
          <a:solidFill>
            <a:srgbClr val="000000"/>
          </a:solidFill>
          <a:prstDash val="solid"/>
        </a:ln>
      </xdr:spPr>
    </xdr:pic>
    <xdr:clientData/>
  </xdr:twoCellAnchor>
  <xdr:twoCellAnchor>
    <xdr:from>
      <xdr:col>3</xdr:col>
      <xdr:colOff>114300</xdr:colOff>
      <xdr:row>468</xdr:row>
      <xdr:rowOff>28575</xdr:rowOff>
    </xdr:from>
    <xdr:to>
      <xdr:col>3</xdr:col>
      <xdr:colOff>1552575</xdr:colOff>
      <xdr:row>468</xdr:row>
      <xdr:rowOff>1266825</xdr:rowOff>
    </xdr:to>
    <xdr:pic>
      <xdr:nvPicPr>
        <xdr:cNvPr id="184" name="Имя " descr="Descr ">
          <a:extLst>
            <a:ext uri="{FF2B5EF4-FFF2-40B4-BE49-F238E27FC236}">
              <a16:creationId xmlns:a16="http://schemas.microsoft.com/office/drawing/2014/main" id="{00000000-0008-0000-0000-0000B8000000}"/>
            </a:ext>
          </a:extLst>
        </xdr:cNvPr>
        <xdr:cNvPicPr>
          <a:picLocks noChangeAspect="1"/>
        </xdr:cNvPicPr>
      </xdr:nvPicPr>
      <xdr:blipFill>
        <a:blip xmlns:r="http://schemas.openxmlformats.org/officeDocument/2006/relationships" r:embed="rId181"/>
        <a:stretch>
          <a:fillRect/>
        </a:stretch>
      </xdr:blipFill>
      <xdr:spPr>
        <a:prstGeom prst="rect">
          <a:avLst/>
        </a:prstGeom>
        <a:ln w="9525">
          <a:solidFill>
            <a:srgbClr val="000000"/>
          </a:solidFill>
          <a:prstDash val="solid"/>
        </a:ln>
      </xdr:spPr>
    </xdr:pic>
    <xdr:clientData/>
  </xdr:twoCellAnchor>
  <xdr:twoCellAnchor>
    <xdr:from>
      <xdr:col>3</xdr:col>
      <xdr:colOff>114300</xdr:colOff>
      <xdr:row>469</xdr:row>
      <xdr:rowOff>28575</xdr:rowOff>
    </xdr:from>
    <xdr:to>
      <xdr:col>3</xdr:col>
      <xdr:colOff>1552575</xdr:colOff>
      <xdr:row>469</xdr:row>
      <xdr:rowOff>1266825</xdr:rowOff>
    </xdr:to>
    <xdr:pic>
      <xdr:nvPicPr>
        <xdr:cNvPr id="185" name="Имя " descr="Descr ">
          <a:extLst>
            <a:ext uri="{FF2B5EF4-FFF2-40B4-BE49-F238E27FC236}">
              <a16:creationId xmlns:a16="http://schemas.microsoft.com/office/drawing/2014/main" id="{00000000-0008-0000-0000-0000B9000000}"/>
            </a:ext>
          </a:extLst>
        </xdr:cNvPr>
        <xdr:cNvPicPr>
          <a:picLocks noChangeAspect="1"/>
        </xdr:cNvPicPr>
      </xdr:nvPicPr>
      <xdr:blipFill>
        <a:blip xmlns:r="http://schemas.openxmlformats.org/officeDocument/2006/relationships" r:embed="rId182"/>
        <a:stretch>
          <a:fillRect/>
        </a:stretch>
      </xdr:blipFill>
      <xdr:spPr>
        <a:prstGeom prst="rect">
          <a:avLst/>
        </a:prstGeom>
        <a:ln w="9525">
          <a:solidFill>
            <a:srgbClr val="000000"/>
          </a:solidFill>
          <a:prstDash val="solid"/>
        </a:ln>
      </xdr:spPr>
    </xdr:pic>
    <xdr:clientData/>
  </xdr:twoCellAnchor>
  <xdr:twoCellAnchor>
    <xdr:from>
      <xdr:col>3</xdr:col>
      <xdr:colOff>114300</xdr:colOff>
      <xdr:row>470</xdr:row>
      <xdr:rowOff>28575</xdr:rowOff>
    </xdr:from>
    <xdr:to>
      <xdr:col>3</xdr:col>
      <xdr:colOff>1552575</xdr:colOff>
      <xdr:row>470</xdr:row>
      <xdr:rowOff>1266825</xdr:rowOff>
    </xdr:to>
    <xdr:pic>
      <xdr:nvPicPr>
        <xdr:cNvPr id="186" name="Имя " descr="Descr ">
          <a:extLst>
            <a:ext uri="{FF2B5EF4-FFF2-40B4-BE49-F238E27FC236}">
              <a16:creationId xmlns:a16="http://schemas.microsoft.com/office/drawing/2014/main" id="{00000000-0008-0000-0000-0000BA000000}"/>
            </a:ext>
          </a:extLst>
        </xdr:cNvPr>
        <xdr:cNvPicPr>
          <a:picLocks noChangeAspect="1"/>
        </xdr:cNvPicPr>
      </xdr:nvPicPr>
      <xdr:blipFill>
        <a:blip xmlns:r="http://schemas.openxmlformats.org/officeDocument/2006/relationships" r:embed="rId183"/>
        <a:stretch>
          <a:fillRect/>
        </a:stretch>
      </xdr:blipFill>
      <xdr:spPr>
        <a:prstGeom prst="rect">
          <a:avLst/>
        </a:prstGeom>
        <a:ln w="9525">
          <a:solidFill>
            <a:srgbClr val="000000"/>
          </a:solidFill>
          <a:prstDash val="solid"/>
        </a:ln>
      </xdr:spPr>
    </xdr:pic>
    <xdr:clientData/>
  </xdr:twoCellAnchor>
  <xdr:twoCellAnchor>
    <xdr:from>
      <xdr:col>3</xdr:col>
      <xdr:colOff>114300</xdr:colOff>
      <xdr:row>471</xdr:row>
      <xdr:rowOff>28575</xdr:rowOff>
    </xdr:from>
    <xdr:to>
      <xdr:col>3</xdr:col>
      <xdr:colOff>1552575</xdr:colOff>
      <xdr:row>471</xdr:row>
      <xdr:rowOff>1266825</xdr:rowOff>
    </xdr:to>
    <xdr:pic>
      <xdr:nvPicPr>
        <xdr:cNvPr id="187" name="Имя " descr="Descr ">
          <a:extLst>
            <a:ext uri="{FF2B5EF4-FFF2-40B4-BE49-F238E27FC236}">
              <a16:creationId xmlns:a16="http://schemas.microsoft.com/office/drawing/2014/main" id="{00000000-0008-0000-0000-0000BB000000}"/>
            </a:ext>
          </a:extLst>
        </xdr:cNvPr>
        <xdr:cNvPicPr>
          <a:picLocks noChangeAspect="1"/>
        </xdr:cNvPicPr>
      </xdr:nvPicPr>
      <xdr:blipFill>
        <a:blip xmlns:r="http://schemas.openxmlformats.org/officeDocument/2006/relationships" r:embed="rId184"/>
        <a:stretch>
          <a:fillRect/>
        </a:stretch>
      </xdr:blipFill>
      <xdr:spPr>
        <a:prstGeom prst="rect">
          <a:avLst/>
        </a:prstGeom>
        <a:ln w="9525">
          <a:solidFill>
            <a:srgbClr val="000000"/>
          </a:solidFill>
          <a:prstDash val="solid"/>
        </a:ln>
      </xdr:spPr>
    </xdr:pic>
    <xdr:clientData/>
  </xdr:twoCellAnchor>
  <xdr:twoCellAnchor>
    <xdr:from>
      <xdr:col>3</xdr:col>
      <xdr:colOff>114300</xdr:colOff>
      <xdr:row>472</xdr:row>
      <xdr:rowOff>28575</xdr:rowOff>
    </xdr:from>
    <xdr:to>
      <xdr:col>3</xdr:col>
      <xdr:colOff>1552575</xdr:colOff>
      <xdr:row>479</xdr:row>
      <xdr:rowOff>152400</xdr:rowOff>
    </xdr:to>
    <xdr:pic>
      <xdr:nvPicPr>
        <xdr:cNvPr id="188" name="Имя " descr="Descr ">
          <a:extLst>
            <a:ext uri="{FF2B5EF4-FFF2-40B4-BE49-F238E27FC236}">
              <a16:creationId xmlns:a16="http://schemas.microsoft.com/office/drawing/2014/main" id="{00000000-0008-0000-0000-0000BC000000}"/>
            </a:ext>
          </a:extLst>
        </xdr:cNvPr>
        <xdr:cNvPicPr>
          <a:picLocks noChangeAspect="1"/>
        </xdr:cNvPicPr>
      </xdr:nvPicPr>
      <xdr:blipFill>
        <a:blip xmlns:r="http://schemas.openxmlformats.org/officeDocument/2006/relationships" r:embed="rId185"/>
        <a:stretch>
          <a:fillRect/>
        </a:stretch>
      </xdr:blipFill>
      <xdr:spPr>
        <a:prstGeom prst="rect">
          <a:avLst/>
        </a:prstGeom>
        <a:ln w="9525">
          <a:solidFill>
            <a:srgbClr val="000000"/>
          </a:solidFill>
          <a:prstDash val="solid"/>
        </a:ln>
      </xdr:spPr>
    </xdr:pic>
    <xdr:clientData/>
  </xdr:twoCellAnchor>
  <xdr:twoCellAnchor>
    <xdr:from>
      <xdr:col>3</xdr:col>
      <xdr:colOff>114300</xdr:colOff>
      <xdr:row>480</xdr:row>
      <xdr:rowOff>28575</xdr:rowOff>
    </xdr:from>
    <xdr:to>
      <xdr:col>3</xdr:col>
      <xdr:colOff>1552575</xdr:colOff>
      <xdr:row>480</xdr:row>
      <xdr:rowOff>1266825</xdr:rowOff>
    </xdr:to>
    <xdr:pic>
      <xdr:nvPicPr>
        <xdr:cNvPr id="189" name="Имя " descr="Descr ">
          <a:extLst>
            <a:ext uri="{FF2B5EF4-FFF2-40B4-BE49-F238E27FC236}">
              <a16:creationId xmlns:a16="http://schemas.microsoft.com/office/drawing/2014/main" id="{00000000-0008-0000-0000-0000BD000000}"/>
            </a:ext>
          </a:extLst>
        </xdr:cNvPr>
        <xdr:cNvPicPr>
          <a:picLocks noChangeAspect="1"/>
        </xdr:cNvPicPr>
      </xdr:nvPicPr>
      <xdr:blipFill>
        <a:blip xmlns:r="http://schemas.openxmlformats.org/officeDocument/2006/relationships" r:embed="rId186"/>
        <a:stretch>
          <a:fillRect/>
        </a:stretch>
      </xdr:blipFill>
      <xdr:spPr>
        <a:prstGeom prst="rect">
          <a:avLst/>
        </a:prstGeom>
        <a:ln w="9525">
          <a:solidFill>
            <a:srgbClr val="000000"/>
          </a:solidFill>
          <a:prstDash val="solid"/>
        </a:ln>
      </xdr:spPr>
    </xdr:pic>
    <xdr:clientData/>
  </xdr:twoCellAnchor>
  <xdr:twoCellAnchor>
    <xdr:from>
      <xdr:col>3</xdr:col>
      <xdr:colOff>114300</xdr:colOff>
      <xdr:row>481</xdr:row>
      <xdr:rowOff>28575</xdr:rowOff>
    </xdr:from>
    <xdr:to>
      <xdr:col>3</xdr:col>
      <xdr:colOff>1552575</xdr:colOff>
      <xdr:row>483</xdr:row>
      <xdr:rowOff>419100</xdr:rowOff>
    </xdr:to>
    <xdr:pic>
      <xdr:nvPicPr>
        <xdr:cNvPr id="190" name="Имя " descr="Descr ">
          <a:extLst>
            <a:ext uri="{FF2B5EF4-FFF2-40B4-BE49-F238E27FC236}">
              <a16:creationId xmlns:a16="http://schemas.microsoft.com/office/drawing/2014/main" id="{00000000-0008-0000-0000-0000BE000000}"/>
            </a:ext>
          </a:extLst>
        </xdr:cNvPr>
        <xdr:cNvPicPr>
          <a:picLocks noChangeAspect="1"/>
        </xdr:cNvPicPr>
      </xdr:nvPicPr>
      <xdr:blipFill>
        <a:blip xmlns:r="http://schemas.openxmlformats.org/officeDocument/2006/relationships" r:embed="rId187"/>
        <a:stretch>
          <a:fillRect/>
        </a:stretch>
      </xdr:blipFill>
      <xdr:spPr>
        <a:prstGeom prst="rect">
          <a:avLst/>
        </a:prstGeom>
        <a:ln w="9525">
          <a:solidFill>
            <a:srgbClr val="000000"/>
          </a:solidFill>
          <a:prstDash val="solid"/>
        </a:ln>
      </xdr:spPr>
    </xdr:pic>
    <xdr:clientData/>
  </xdr:twoCellAnchor>
  <xdr:twoCellAnchor>
    <xdr:from>
      <xdr:col>3</xdr:col>
      <xdr:colOff>114300</xdr:colOff>
      <xdr:row>484</xdr:row>
      <xdr:rowOff>28575</xdr:rowOff>
    </xdr:from>
    <xdr:to>
      <xdr:col>3</xdr:col>
      <xdr:colOff>1552575</xdr:colOff>
      <xdr:row>484</xdr:row>
      <xdr:rowOff>1266825</xdr:rowOff>
    </xdr:to>
    <xdr:pic>
      <xdr:nvPicPr>
        <xdr:cNvPr id="191" name="Имя " descr="Descr ">
          <a:extLst>
            <a:ext uri="{FF2B5EF4-FFF2-40B4-BE49-F238E27FC236}">
              <a16:creationId xmlns:a16="http://schemas.microsoft.com/office/drawing/2014/main" id="{00000000-0008-0000-0000-0000BF000000}"/>
            </a:ext>
          </a:extLst>
        </xdr:cNvPr>
        <xdr:cNvPicPr>
          <a:picLocks noChangeAspect="1"/>
        </xdr:cNvPicPr>
      </xdr:nvPicPr>
      <xdr:blipFill>
        <a:blip xmlns:r="http://schemas.openxmlformats.org/officeDocument/2006/relationships" r:embed="rId188"/>
        <a:stretch>
          <a:fillRect/>
        </a:stretch>
      </xdr:blipFill>
      <xdr:spPr>
        <a:prstGeom prst="rect">
          <a:avLst/>
        </a:prstGeom>
        <a:ln w="9525">
          <a:solidFill>
            <a:srgbClr val="000000"/>
          </a:solidFill>
          <a:prstDash val="solid"/>
        </a:ln>
      </xdr:spPr>
    </xdr:pic>
    <xdr:clientData/>
  </xdr:twoCellAnchor>
  <xdr:twoCellAnchor>
    <xdr:from>
      <xdr:col>3</xdr:col>
      <xdr:colOff>114300</xdr:colOff>
      <xdr:row>485</xdr:row>
      <xdr:rowOff>28575</xdr:rowOff>
    </xdr:from>
    <xdr:to>
      <xdr:col>3</xdr:col>
      <xdr:colOff>1552575</xdr:colOff>
      <xdr:row>492</xdr:row>
      <xdr:rowOff>152400</xdr:rowOff>
    </xdr:to>
    <xdr:pic>
      <xdr:nvPicPr>
        <xdr:cNvPr id="192" name="Имя " descr="Descr ">
          <a:extLst>
            <a:ext uri="{FF2B5EF4-FFF2-40B4-BE49-F238E27FC236}">
              <a16:creationId xmlns:a16="http://schemas.microsoft.com/office/drawing/2014/main" id="{00000000-0008-0000-0000-0000C0000000}"/>
            </a:ext>
          </a:extLst>
        </xdr:cNvPr>
        <xdr:cNvPicPr>
          <a:picLocks noChangeAspect="1"/>
        </xdr:cNvPicPr>
      </xdr:nvPicPr>
      <xdr:blipFill>
        <a:blip xmlns:r="http://schemas.openxmlformats.org/officeDocument/2006/relationships" r:embed="rId189"/>
        <a:stretch>
          <a:fillRect/>
        </a:stretch>
      </xdr:blipFill>
      <xdr:spPr>
        <a:prstGeom prst="rect">
          <a:avLst/>
        </a:prstGeom>
        <a:ln w="9525">
          <a:solidFill>
            <a:srgbClr val="000000"/>
          </a:solidFill>
          <a:prstDash val="solid"/>
        </a:ln>
      </xdr:spPr>
    </xdr:pic>
    <xdr:clientData/>
  </xdr:twoCellAnchor>
  <xdr:twoCellAnchor>
    <xdr:from>
      <xdr:col>3</xdr:col>
      <xdr:colOff>114300</xdr:colOff>
      <xdr:row>493</xdr:row>
      <xdr:rowOff>28575</xdr:rowOff>
    </xdr:from>
    <xdr:to>
      <xdr:col>3</xdr:col>
      <xdr:colOff>1552575</xdr:colOff>
      <xdr:row>501</xdr:row>
      <xdr:rowOff>133350</xdr:rowOff>
    </xdr:to>
    <xdr:pic>
      <xdr:nvPicPr>
        <xdr:cNvPr id="193" name="Имя " descr="Descr ">
          <a:extLst>
            <a:ext uri="{FF2B5EF4-FFF2-40B4-BE49-F238E27FC236}">
              <a16:creationId xmlns:a16="http://schemas.microsoft.com/office/drawing/2014/main" id="{00000000-0008-0000-0000-0000C1000000}"/>
            </a:ext>
          </a:extLst>
        </xdr:cNvPr>
        <xdr:cNvPicPr>
          <a:picLocks noChangeAspect="1"/>
        </xdr:cNvPicPr>
      </xdr:nvPicPr>
      <xdr:blipFill>
        <a:blip xmlns:r="http://schemas.openxmlformats.org/officeDocument/2006/relationships" r:embed="rId190"/>
        <a:stretch>
          <a:fillRect/>
        </a:stretch>
      </xdr:blipFill>
      <xdr:spPr>
        <a:prstGeom prst="rect">
          <a:avLst/>
        </a:prstGeom>
        <a:ln w="9525">
          <a:solidFill>
            <a:srgbClr val="000000"/>
          </a:solidFill>
          <a:prstDash val="solid"/>
        </a:ln>
      </xdr:spPr>
    </xdr:pic>
    <xdr:clientData/>
  </xdr:twoCellAnchor>
  <xdr:twoCellAnchor>
    <xdr:from>
      <xdr:col>3</xdr:col>
      <xdr:colOff>114300</xdr:colOff>
      <xdr:row>502</xdr:row>
      <xdr:rowOff>28575</xdr:rowOff>
    </xdr:from>
    <xdr:to>
      <xdr:col>3</xdr:col>
      <xdr:colOff>1552575</xdr:colOff>
      <xdr:row>508</xdr:row>
      <xdr:rowOff>171450</xdr:rowOff>
    </xdr:to>
    <xdr:pic>
      <xdr:nvPicPr>
        <xdr:cNvPr id="194" name="Имя " descr="Descr ">
          <a:extLst>
            <a:ext uri="{FF2B5EF4-FFF2-40B4-BE49-F238E27FC236}">
              <a16:creationId xmlns:a16="http://schemas.microsoft.com/office/drawing/2014/main" id="{00000000-0008-0000-0000-0000C2000000}"/>
            </a:ext>
          </a:extLst>
        </xdr:cNvPr>
        <xdr:cNvPicPr>
          <a:picLocks noChangeAspect="1"/>
        </xdr:cNvPicPr>
      </xdr:nvPicPr>
      <xdr:blipFill>
        <a:blip xmlns:r="http://schemas.openxmlformats.org/officeDocument/2006/relationships" r:embed="rId191"/>
        <a:stretch>
          <a:fillRect/>
        </a:stretch>
      </xdr:blipFill>
      <xdr:spPr>
        <a:prstGeom prst="rect">
          <a:avLst/>
        </a:prstGeom>
        <a:ln w="9525">
          <a:solidFill>
            <a:srgbClr val="000000"/>
          </a:solidFill>
          <a:prstDash val="solid"/>
        </a:ln>
      </xdr:spPr>
    </xdr:pic>
    <xdr:clientData/>
  </xdr:twoCellAnchor>
  <xdr:twoCellAnchor>
    <xdr:from>
      <xdr:col>3</xdr:col>
      <xdr:colOff>114300</xdr:colOff>
      <xdr:row>509</xdr:row>
      <xdr:rowOff>28575</xdr:rowOff>
    </xdr:from>
    <xdr:to>
      <xdr:col>3</xdr:col>
      <xdr:colOff>1552575</xdr:colOff>
      <xdr:row>515</xdr:row>
      <xdr:rowOff>171450</xdr:rowOff>
    </xdr:to>
    <xdr:pic>
      <xdr:nvPicPr>
        <xdr:cNvPr id="195" name="Имя " descr="Descr ">
          <a:extLst>
            <a:ext uri="{FF2B5EF4-FFF2-40B4-BE49-F238E27FC236}">
              <a16:creationId xmlns:a16="http://schemas.microsoft.com/office/drawing/2014/main" id="{00000000-0008-0000-0000-0000C3000000}"/>
            </a:ext>
          </a:extLst>
        </xdr:cNvPr>
        <xdr:cNvPicPr>
          <a:picLocks noChangeAspect="1"/>
        </xdr:cNvPicPr>
      </xdr:nvPicPr>
      <xdr:blipFill>
        <a:blip xmlns:r="http://schemas.openxmlformats.org/officeDocument/2006/relationships" r:embed="rId192"/>
        <a:stretch>
          <a:fillRect/>
        </a:stretch>
      </xdr:blipFill>
      <xdr:spPr>
        <a:prstGeom prst="rect">
          <a:avLst/>
        </a:prstGeom>
        <a:ln w="9525">
          <a:solidFill>
            <a:srgbClr val="000000"/>
          </a:solidFill>
          <a:prstDash val="solid"/>
        </a:ln>
      </xdr:spPr>
    </xdr:pic>
    <xdr:clientData/>
  </xdr:twoCellAnchor>
  <xdr:twoCellAnchor>
    <xdr:from>
      <xdr:col>3</xdr:col>
      <xdr:colOff>114300</xdr:colOff>
      <xdr:row>516</xdr:row>
      <xdr:rowOff>28575</xdr:rowOff>
    </xdr:from>
    <xdr:to>
      <xdr:col>3</xdr:col>
      <xdr:colOff>1552575</xdr:colOff>
      <xdr:row>521</xdr:row>
      <xdr:rowOff>209550</xdr:rowOff>
    </xdr:to>
    <xdr:pic>
      <xdr:nvPicPr>
        <xdr:cNvPr id="196" name="Имя " descr="Descr ">
          <a:extLst>
            <a:ext uri="{FF2B5EF4-FFF2-40B4-BE49-F238E27FC236}">
              <a16:creationId xmlns:a16="http://schemas.microsoft.com/office/drawing/2014/main" id="{00000000-0008-0000-0000-0000C4000000}"/>
            </a:ext>
          </a:extLst>
        </xdr:cNvPr>
        <xdr:cNvPicPr>
          <a:picLocks noChangeAspect="1"/>
        </xdr:cNvPicPr>
      </xdr:nvPicPr>
      <xdr:blipFill>
        <a:blip xmlns:r="http://schemas.openxmlformats.org/officeDocument/2006/relationships" r:embed="rId193"/>
        <a:stretch>
          <a:fillRect/>
        </a:stretch>
      </xdr:blipFill>
      <xdr:spPr>
        <a:prstGeom prst="rect">
          <a:avLst/>
        </a:prstGeom>
        <a:ln w="9525">
          <a:solidFill>
            <a:srgbClr val="000000"/>
          </a:solidFill>
          <a:prstDash val="solid"/>
        </a:ln>
      </xdr:spPr>
    </xdr:pic>
    <xdr:clientData/>
  </xdr:twoCellAnchor>
  <xdr:twoCellAnchor>
    <xdr:from>
      <xdr:col>3</xdr:col>
      <xdr:colOff>114300</xdr:colOff>
      <xdr:row>522</xdr:row>
      <xdr:rowOff>28575</xdr:rowOff>
    </xdr:from>
    <xdr:to>
      <xdr:col>3</xdr:col>
      <xdr:colOff>1552575</xdr:colOff>
      <xdr:row>522</xdr:row>
      <xdr:rowOff>1266825</xdr:rowOff>
    </xdr:to>
    <xdr:pic>
      <xdr:nvPicPr>
        <xdr:cNvPr id="197" name="Имя " descr="Descr ">
          <a:extLst>
            <a:ext uri="{FF2B5EF4-FFF2-40B4-BE49-F238E27FC236}">
              <a16:creationId xmlns:a16="http://schemas.microsoft.com/office/drawing/2014/main" id="{00000000-0008-0000-0000-0000C5000000}"/>
            </a:ext>
          </a:extLst>
        </xdr:cNvPr>
        <xdr:cNvPicPr>
          <a:picLocks noChangeAspect="1"/>
        </xdr:cNvPicPr>
      </xdr:nvPicPr>
      <xdr:blipFill>
        <a:blip xmlns:r="http://schemas.openxmlformats.org/officeDocument/2006/relationships" r:embed="rId194"/>
        <a:stretch>
          <a:fillRect/>
        </a:stretch>
      </xdr:blipFill>
      <xdr:spPr>
        <a:prstGeom prst="rect">
          <a:avLst/>
        </a:prstGeom>
        <a:ln w="9525">
          <a:solidFill>
            <a:srgbClr val="000000"/>
          </a:solidFill>
          <a:prstDash val="solid"/>
        </a:ln>
      </xdr:spPr>
    </xdr:pic>
    <xdr:clientData/>
  </xdr:twoCellAnchor>
  <xdr:twoCellAnchor>
    <xdr:from>
      <xdr:col>3</xdr:col>
      <xdr:colOff>114300</xdr:colOff>
      <xdr:row>523</xdr:row>
      <xdr:rowOff>38100</xdr:rowOff>
    </xdr:from>
    <xdr:to>
      <xdr:col>3</xdr:col>
      <xdr:colOff>1552575</xdr:colOff>
      <xdr:row>524</xdr:row>
      <xdr:rowOff>638175</xdr:rowOff>
    </xdr:to>
    <xdr:pic>
      <xdr:nvPicPr>
        <xdr:cNvPr id="198" name="Имя " descr="Descr ">
          <a:extLst>
            <a:ext uri="{FF2B5EF4-FFF2-40B4-BE49-F238E27FC236}">
              <a16:creationId xmlns:a16="http://schemas.microsoft.com/office/drawing/2014/main" id="{00000000-0008-0000-0000-0000C6000000}"/>
            </a:ext>
          </a:extLst>
        </xdr:cNvPr>
        <xdr:cNvPicPr>
          <a:picLocks noChangeAspect="1"/>
        </xdr:cNvPicPr>
      </xdr:nvPicPr>
      <xdr:blipFill>
        <a:blip xmlns:r="http://schemas.openxmlformats.org/officeDocument/2006/relationships" r:embed="rId195"/>
        <a:stretch>
          <a:fillRect/>
        </a:stretch>
      </xdr:blipFill>
      <xdr:spPr>
        <a:prstGeom prst="rect">
          <a:avLst/>
        </a:prstGeom>
        <a:ln w="9525">
          <a:solidFill>
            <a:srgbClr val="000000"/>
          </a:solidFill>
          <a:prstDash val="solid"/>
        </a:ln>
      </xdr:spPr>
    </xdr:pic>
    <xdr:clientData/>
  </xdr:twoCellAnchor>
  <xdr:twoCellAnchor>
    <xdr:from>
      <xdr:col>3</xdr:col>
      <xdr:colOff>114300</xdr:colOff>
      <xdr:row>525</xdr:row>
      <xdr:rowOff>28575</xdr:rowOff>
    </xdr:from>
    <xdr:to>
      <xdr:col>3</xdr:col>
      <xdr:colOff>1552575</xdr:colOff>
      <xdr:row>527</xdr:row>
      <xdr:rowOff>419100</xdr:rowOff>
    </xdr:to>
    <xdr:pic>
      <xdr:nvPicPr>
        <xdr:cNvPr id="199" name="Имя " descr="Descr ">
          <a:extLst>
            <a:ext uri="{FF2B5EF4-FFF2-40B4-BE49-F238E27FC236}">
              <a16:creationId xmlns:a16="http://schemas.microsoft.com/office/drawing/2014/main" id="{00000000-0008-0000-0000-0000C7000000}"/>
            </a:ext>
          </a:extLst>
        </xdr:cNvPr>
        <xdr:cNvPicPr>
          <a:picLocks noChangeAspect="1"/>
        </xdr:cNvPicPr>
      </xdr:nvPicPr>
      <xdr:blipFill>
        <a:blip xmlns:r="http://schemas.openxmlformats.org/officeDocument/2006/relationships" r:embed="rId196"/>
        <a:stretch>
          <a:fillRect/>
        </a:stretch>
      </xdr:blipFill>
      <xdr:spPr>
        <a:prstGeom prst="rect">
          <a:avLst/>
        </a:prstGeom>
        <a:ln w="9525">
          <a:solidFill>
            <a:srgbClr val="000000"/>
          </a:solidFill>
          <a:prstDash val="solid"/>
        </a:ln>
      </xdr:spPr>
    </xdr:pic>
    <xdr:clientData/>
  </xdr:twoCellAnchor>
  <xdr:twoCellAnchor>
    <xdr:from>
      <xdr:col>3</xdr:col>
      <xdr:colOff>114300</xdr:colOff>
      <xdr:row>528</xdr:row>
      <xdr:rowOff>28575</xdr:rowOff>
    </xdr:from>
    <xdr:to>
      <xdr:col>3</xdr:col>
      <xdr:colOff>1552575</xdr:colOff>
      <xdr:row>528</xdr:row>
      <xdr:rowOff>1266825</xdr:rowOff>
    </xdr:to>
    <xdr:pic>
      <xdr:nvPicPr>
        <xdr:cNvPr id="200" name="Имя " descr="Descr ">
          <a:extLst>
            <a:ext uri="{FF2B5EF4-FFF2-40B4-BE49-F238E27FC236}">
              <a16:creationId xmlns:a16="http://schemas.microsoft.com/office/drawing/2014/main" id="{00000000-0008-0000-0000-0000C8000000}"/>
            </a:ext>
          </a:extLst>
        </xdr:cNvPr>
        <xdr:cNvPicPr>
          <a:picLocks noChangeAspect="1"/>
        </xdr:cNvPicPr>
      </xdr:nvPicPr>
      <xdr:blipFill>
        <a:blip xmlns:r="http://schemas.openxmlformats.org/officeDocument/2006/relationships" r:embed="rId197"/>
        <a:stretch>
          <a:fillRect/>
        </a:stretch>
      </xdr:blipFill>
      <xdr:spPr>
        <a:prstGeom prst="rect">
          <a:avLst/>
        </a:prstGeom>
        <a:ln w="9525">
          <a:solidFill>
            <a:srgbClr val="000000"/>
          </a:solidFill>
          <a:prstDash val="solid"/>
        </a:ln>
      </xdr:spPr>
    </xdr:pic>
    <xdr:clientData/>
  </xdr:twoCellAnchor>
  <xdr:twoCellAnchor>
    <xdr:from>
      <xdr:col>3</xdr:col>
      <xdr:colOff>114300</xdr:colOff>
      <xdr:row>529</xdr:row>
      <xdr:rowOff>28575</xdr:rowOff>
    </xdr:from>
    <xdr:to>
      <xdr:col>3</xdr:col>
      <xdr:colOff>1552575</xdr:colOff>
      <xdr:row>532</xdr:row>
      <xdr:rowOff>209550</xdr:rowOff>
    </xdr:to>
    <xdr:pic>
      <xdr:nvPicPr>
        <xdr:cNvPr id="201" name="Имя " descr="Descr ">
          <a:extLst>
            <a:ext uri="{FF2B5EF4-FFF2-40B4-BE49-F238E27FC236}">
              <a16:creationId xmlns:a16="http://schemas.microsoft.com/office/drawing/2014/main" id="{00000000-0008-0000-0000-0000C9000000}"/>
            </a:ext>
          </a:extLst>
        </xdr:cNvPr>
        <xdr:cNvPicPr>
          <a:picLocks noChangeAspect="1"/>
        </xdr:cNvPicPr>
      </xdr:nvPicPr>
      <xdr:blipFill>
        <a:blip xmlns:r="http://schemas.openxmlformats.org/officeDocument/2006/relationships" r:embed="rId198"/>
        <a:stretch>
          <a:fillRect/>
        </a:stretch>
      </xdr:blipFill>
      <xdr:spPr>
        <a:prstGeom prst="rect">
          <a:avLst/>
        </a:prstGeom>
        <a:ln w="9525">
          <a:solidFill>
            <a:srgbClr val="000000"/>
          </a:solidFill>
          <a:prstDash val="solid"/>
        </a:ln>
      </xdr:spPr>
    </xdr:pic>
    <xdr:clientData/>
  </xdr:twoCellAnchor>
  <xdr:twoCellAnchor>
    <xdr:from>
      <xdr:col>3</xdr:col>
      <xdr:colOff>114300</xdr:colOff>
      <xdr:row>533</xdr:row>
      <xdr:rowOff>28575</xdr:rowOff>
    </xdr:from>
    <xdr:to>
      <xdr:col>3</xdr:col>
      <xdr:colOff>1552575</xdr:colOff>
      <xdr:row>535</xdr:row>
      <xdr:rowOff>419100</xdr:rowOff>
    </xdr:to>
    <xdr:pic>
      <xdr:nvPicPr>
        <xdr:cNvPr id="202" name="Имя " descr="Descr ">
          <a:extLst>
            <a:ext uri="{FF2B5EF4-FFF2-40B4-BE49-F238E27FC236}">
              <a16:creationId xmlns:a16="http://schemas.microsoft.com/office/drawing/2014/main" id="{00000000-0008-0000-0000-0000CA000000}"/>
            </a:ext>
          </a:extLst>
        </xdr:cNvPr>
        <xdr:cNvPicPr>
          <a:picLocks noChangeAspect="1"/>
        </xdr:cNvPicPr>
      </xdr:nvPicPr>
      <xdr:blipFill>
        <a:blip xmlns:r="http://schemas.openxmlformats.org/officeDocument/2006/relationships" r:embed="rId199"/>
        <a:stretch>
          <a:fillRect/>
        </a:stretch>
      </xdr:blipFill>
      <xdr:spPr>
        <a:prstGeom prst="rect">
          <a:avLst/>
        </a:prstGeom>
        <a:ln w="9525">
          <a:solidFill>
            <a:srgbClr val="000000"/>
          </a:solidFill>
          <a:prstDash val="solid"/>
        </a:ln>
      </xdr:spPr>
    </xdr:pic>
    <xdr:clientData/>
  </xdr:twoCellAnchor>
  <xdr:twoCellAnchor>
    <xdr:from>
      <xdr:col>3</xdr:col>
      <xdr:colOff>114300</xdr:colOff>
      <xdr:row>536</xdr:row>
      <xdr:rowOff>28575</xdr:rowOff>
    </xdr:from>
    <xdr:to>
      <xdr:col>3</xdr:col>
      <xdr:colOff>1552575</xdr:colOff>
      <xdr:row>538</xdr:row>
      <xdr:rowOff>419100</xdr:rowOff>
    </xdr:to>
    <xdr:pic>
      <xdr:nvPicPr>
        <xdr:cNvPr id="203" name="Имя " descr="Descr ">
          <a:extLst>
            <a:ext uri="{FF2B5EF4-FFF2-40B4-BE49-F238E27FC236}">
              <a16:creationId xmlns:a16="http://schemas.microsoft.com/office/drawing/2014/main" id="{00000000-0008-0000-0000-0000CB000000}"/>
            </a:ext>
          </a:extLst>
        </xdr:cNvPr>
        <xdr:cNvPicPr>
          <a:picLocks noChangeAspect="1"/>
        </xdr:cNvPicPr>
      </xdr:nvPicPr>
      <xdr:blipFill>
        <a:blip xmlns:r="http://schemas.openxmlformats.org/officeDocument/2006/relationships" r:embed="rId200"/>
        <a:stretch>
          <a:fillRect/>
        </a:stretch>
      </xdr:blipFill>
      <xdr:spPr>
        <a:prstGeom prst="rect">
          <a:avLst/>
        </a:prstGeom>
        <a:ln w="9525">
          <a:solidFill>
            <a:srgbClr val="000000"/>
          </a:solidFill>
          <a:prstDash val="solid"/>
        </a:ln>
      </xdr:spPr>
    </xdr:pic>
    <xdr:clientData/>
  </xdr:twoCellAnchor>
  <xdr:twoCellAnchor>
    <xdr:from>
      <xdr:col>3</xdr:col>
      <xdr:colOff>114300</xdr:colOff>
      <xdr:row>539</xdr:row>
      <xdr:rowOff>28575</xdr:rowOff>
    </xdr:from>
    <xdr:to>
      <xdr:col>3</xdr:col>
      <xdr:colOff>1552575</xdr:colOff>
      <xdr:row>545</xdr:row>
      <xdr:rowOff>171450</xdr:rowOff>
    </xdr:to>
    <xdr:pic>
      <xdr:nvPicPr>
        <xdr:cNvPr id="204" name="Имя " descr="Descr ">
          <a:extLst>
            <a:ext uri="{FF2B5EF4-FFF2-40B4-BE49-F238E27FC236}">
              <a16:creationId xmlns:a16="http://schemas.microsoft.com/office/drawing/2014/main" id="{00000000-0008-0000-0000-0000CC000000}"/>
            </a:ext>
          </a:extLst>
        </xdr:cNvPr>
        <xdr:cNvPicPr>
          <a:picLocks noChangeAspect="1"/>
        </xdr:cNvPicPr>
      </xdr:nvPicPr>
      <xdr:blipFill>
        <a:blip xmlns:r="http://schemas.openxmlformats.org/officeDocument/2006/relationships" r:embed="rId201"/>
        <a:stretch>
          <a:fillRect/>
        </a:stretch>
      </xdr:blipFill>
      <xdr:spPr>
        <a:prstGeom prst="rect">
          <a:avLst/>
        </a:prstGeom>
        <a:ln w="9525">
          <a:solidFill>
            <a:srgbClr val="000000"/>
          </a:solidFill>
          <a:prstDash val="solid"/>
        </a:ln>
      </xdr:spPr>
    </xdr:pic>
    <xdr:clientData/>
  </xdr:twoCellAnchor>
  <xdr:twoCellAnchor>
    <xdr:from>
      <xdr:col>3</xdr:col>
      <xdr:colOff>114300</xdr:colOff>
      <xdr:row>546</xdr:row>
      <xdr:rowOff>28575</xdr:rowOff>
    </xdr:from>
    <xdr:to>
      <xdr:col>3</xdr:col>
      <xdr:colOff>1552575</xdr:colOff>
      <xdr:row>551</xdr:row>
      <xdr:rowOff>209550</xdr:rowOff>
    </xdr:to>
    <xdr:pic>
      <xdr:nvPicPr>
        <xdr:cNvPr id="205" name="Имя " descr="Descr ">
          <a:extLst>
            <a:ext uri="{FF2B5EF4-FFF2-40B4-BE49-F238E27FC236}">
              <a16:creationId xmlns:a16="http://schemas.microsoft.com/office/drawing/2014/main" id="{00000000-0008-0000-0000-0000CD000000}"/>
            </a:ext>
          </a:extLst>
        </xdr:cNvPr>
        <xdr:cNvPicPr>
          <a:picLocks noChangeAspect="1"/>
        </xdr:cNvPicPr>
      </xdr:nvPicPr>
      <xdr:blipFill>
        <a:blip xmlns:r="http://schemas.openxmlformats.org/officeDocument/2006/relationships" r:embed="rId202"/>
        <a:stretch>
          <a:fillRect/>
        </a:stretch>
      </xdr:blipFill>
      <xdr:spPr>
        <a:prstGeom prst="rect">
          <a:avLst/>
        </a:prstGeom>
        <a:ln w="9525">
          <a:solidFill>
            <a:srgbClr val="000000"/>
          </a:solidFill>
          <a:prstDash val="solid"/>
        </a:ln>
      </xdr:spPr>
    </xdr:pic>
    <xdr:clientData/>
  </xdr:twoCellAnchor>
  <xdr:twoCellAnchor>
    <xdr:from>
      <xdr:col>3</xdr:col>
      <xdr:colOff>114300</xdr:colOff>
      <xdr:row>552</xdr:row>
      <xdr:rowOff>28575</xdr:rowOff>
    </xdr:from>
    <xdr:to>
      <xdr:col>3</xdr:col>
      <xdr:colOff>1552575</xdr:colOff>
      <xdr:row>552</xdr:row>
      <xdr:rowOff>1266825</xdr:rowOff>
    </xdr:to>
    <xdr:pic>
      <xdr:nvPicPr>
        <xdr:cNvPr id="206" name="Имя " descr="Descr ">
          <a:extLst>
            <a:ext uri="{FF2B5EF4-FFF2-40B4-BE49-F238E27FC236}">
              <a16:creationId xmlns:a16="http://schemas.microsoft.com/office/drawing/2014/main" id="{00000000-0008-0000-0000-0000CE000000}"/>
            </a:ext>
          </a:extLst>
        </xdr:cNvPr>
        <xdr:cNvPicPr>
          <a:picLocks noChangeAspect="1"/>
        </xdr:cNvPicPr>
      </xdr:nvPicPr>
      <xdr:blipFill>
        <a:blip xmlns:r="http://schemas.openxmlformats.org/officeDocument/2006/relationships" r:embed="rId203"/>
        <a:stretch>
          <a:fillRect/>
        </a:stretch>
      </xdr:blipFill>
      <xdr:spPr>
        <a:prstGeom prst="rect">
          <a:avLst/>
        </a:prstGeom>
        <a:ln w="9525">
          <a:solidFill>
            <a:srgbClr val="000000"/>
          </a:solidFill>
          <a:prstDash val="solid"/>
        </a:ln>
      </xdr:spPr>
    </xdr:pic>
    <xdr:clientData/>
  </xdr:twoCellAnchor>
  <xdr:twoCellAnchor>
    <xdr:from>
      <xdr:col>3</xdr:col>
      <xdr:colOff>114300</xdr:colOff>
      <xdr:row>553</xdr:row>
      <xdr:rowOff>28575</xdr:rowOff>
    </xdr:from>
    <xdr:to>
      <xdr:col>3</xdr:col>
      <xdr:colOff>1552575</xdr:colOff>
      <xdr:row>553</xdr:row>
      <xdr:rowOff>1266825</xdr:rowOff>
    </xdr:to>
    <xdr:pic>
      <xdr:nvPicPr>
        <xdr:cNvPr id="207" name="Имя " descr="Descr ">
          <a:extLst>
            <a:ext uri="{FF2B5EF4-FFF2-40B4-BE49-F238E27FC236}">
              <a16:creationId xmlns:a16="http://schemas.microsoft.com/office/drawing/2014/main" id="{00000000-0008-0000-0000-0000CF000000}"/>
            </a:ext>
          </a:extLst>
        </xdr:cNvPr>
        <xdr:cNvPicPr>
          <a:picLocks noChangeAspect="1"/>
        </xdr:cNvPicPr>
      </xdr:nvPicPr>
      <xdr:blipFill>
        <a:blip xmlns:r="http://schemas.openxmlformats.org/officeDocument/2006/relationships" r:embed="rId204"/>
        <a:stretch>
          <a:fillRect/>
        </a:stretch>
      </xdr:blipFill>
      <xdr:spPr>
        <a:prstGeom prst="rect">
          <a:avLst/>
        </a:prstGeom>
        <a:ln w="9525">
          <a:solidFill>
            <a:srgbClr val="000000"/>
          </a:solidFill>
          <a:prstDash val="solid"/>
        </a:ln>
      </xdr:spPr>
    </xdr:pic>
    <xdr:clientData/>
  </xdr:twoCellAnchor>
  <xdr:twoCellAnchor>
    <xdr:from>
      <xdr:col>3</xdr:col>
      <xdr:colOff>114300</xdr:colOff>
      <xdr:row>554</xdr:row>
      <xdr:rowOff>28575</xdr:rowOff>
    </xdr:from>
    <xdr:to>
      <xdr:col>3</xdr:col>
      <xdr:colOff>1552575</xdr:colOff>
      <xdr:row>554</xdr:row>
      <xdr:rowOff>1266825</xdr:rowOff>
    </xdr:to>
    <xdr:pic>
      <xdr:nvPicPr>
        <xdr:cNvPr id="208" name="Имя " descr="Descr ">
          <a:extLst>
            <a:ext uri="{FF2B5EF4-FFF2-40B4-BE49-F238E27FC236}">
              <a16:creationId xmlns:a16="http://schemas.microsoft.com/office/drawing/2014/main" id="{00000000-0008-0000-0000-0000D0000000}"/>
            </a:ext>
          </a:extLst>
        </xdr:cNvPr>
        <xdr:cNvPicPr>
          <a:picLocks noChangeAspect="1"/>
        </xdr:cNvPicPr>
      </xdr:nvPicPr>
      <xdr:blipFill>
        <a:blip xmlns:r="http://schemas.openxmlformats.org/officeDocument/2006/relationships" r:embed="rId205"/>
        <a:stretch>
          <a:fillRect/>
        </a:stretch>
      </xdr:blipFill>
      <xdr:spPr>
        <a:prstGeom prst="rect">
          <a:avLst/>
        </a:prstGeom>
        <a:ln w="9525">
          <a:solidFill>
            <a:srgbClr val="000000"/>
          </a:solidFill>
          <a:prstDash val="solid"/>
        </a:ln>
      </xdr:spPr>
    </xdr:pic>
    <xdr:clientData/>
  </xdr:twoCellAnchor>
  <xdr:twoCellAnchor>
    <xdr:from>
      <xdr:col>3</xdr:col>
      <xdr:colOff>114300</xdr:colOff>
      <xdr:row>555</xdr:row>
      <xdr:rowOff>28575</xdr:rowOff>
    </xdr:from>
    <xdr:to>
      <xdr:col>3</xdr:col>
      <xdr:colOff>1552575</xdr:colOff>
      <xdr:row>558</xdr:row>
      <xdr:rowOff>209550</xdr:rowOff>
    </xdr:to>
    <xdr:pic>
      <xdr:nvPicPr>
        <xdr:cNvPr id="209" name="Имя " descr="Descr ">
          <a:extLst>
            <a:ext uri="{FF2B5EF4-FFF2-40B4-BE49-F238E27FC236}">
              <a16:creationId xmlns:a16="http://schemas.microsoft.com/office/drawing/2014/main" id="{00000000-0008-0000-0000-0000D1000000}"/>
            </a:ext>
          </a:extLst>
        </xdr:cNvPr>
        <xdr:cNvPicPr>
          <a:picLocks noChangeAspect="1"/>
        </xdr:cNvPicPr>
      </xdr:nvPicPr>
      <xdr:blipFill>
        <a:blip xmlns:r="http://schemas.openxmlformats.org/officeDocument/2006/relationships" r:embed="rId206"/>
        <a:stretch>
          <a:fillRect/>
        </a:stretch>
      </xdr:blipFill>
      <xdr:spPr>
        <a:prstGeom prst="rect">
          <a:avLst/>
        </a:prstGeom>
        <a:ln w="9525">
          <a:solidFill>
            <a:srgbClr val="000000"/>
          </a:solidFill>
          <a:prstDash val="solid"/>
        </a:ln>
      </xdr:spPr>
    </xdr:pic>
    <xdr:clientData/>
  </xdr:twoCellAnchor>
  <xdr:twoCellAnchor>
    <xdr:from>
      <xdr:col>3</xdr:col>
      <xdr:colOff>114300</xdr:colOff>
      <xdr:row>559</xdr:row>
      <xdr:rowOff>28575</xdr:rowOff>
    </xdr:from>
    <xdr:to>
      <xdr:col>3</xdr:col>
      <xdr:colOff>1552575</xdr:colOff>
      <xdr:row>565</xdr:row>
      <xdr:rowOff>171450</xdr:rowOff>
    </xdr:to>
    <xdr:pic>
      <xdr:nvPicPr>
        <xdr:cNvPr id="210" name="Имя " descr="Descr ">
          <a:extLst>
            <a:ext uri="{FF2B5EF4-FFF2-40B4-BE49-F238E27FC236}">
              <a16:creationId xmlns:a16="http://schemas.microsoft.com/office/drawing/2014/main" id="{00000000-0008-0000-0000-0000D2000000}"/>
            </a:ext>
          </a:extLst>
        </xdr:cNvPr>
        <xdr:cNvPicPr>
          <a:picLocks noChangeAspect="1"/>
        </xdr:cNvPicPr>
      </xdr:nvPicPr>
      <xdr:blipFill>
        <a:blip xmlns:r="http://schemas.openxmlformats.org/officeDocument/2006/relationships" r:embed="rId207"/>
        <a:stretch>
          <a:fillRect/>
        </a:stretch>
      </xdr:blipFill>
      <xdr:spPr>
        <a:prstGeom prst="rect">
          <a:avLst/>
        </a:prstGeom>
        <a:ln w="9525">
          <a:solidFill>
            <a:srgbClr val="000000"/>
          </a:solidFill>
          <a:prstDash val="solid"/>
        </a:ln>
      </xdr:spPr>
    </xdr:pic>
    <xdr:clientData/>
  </xdr:twoCellAnchor>
  <xdr:twoCellAnchor>
    <xdr:from>
      <xdr:col>3</xdr:col>
      <xdr:colOff>114300</xdr:colOff>
      <xdr:row>566</xdr:row>
      <xdr:rowOff>28575</xdr:rowOff>
    </xdr:from>
    <xdr:to>
      <xdr:col>3</xdr:col>
      <xdr:colOff>1552575</xdr:colOff>
      <xdr:row>570</xdr:row>
      <xdr:rowOff>333375</xdr:rowOff>
    </xdr:to>
    <xdr:pic>
      <xdr:nvPicPr>
        <xdr:cNvPr id="211" name="Имя " descr="Descr ">
          <a:extLst>
            <a:ext uri="{FF2B5EF4-FFF2-40B4-BE49-F238E27FC236}">
              <a16:creationId xmlns:a16="http://schemas.microsoft.com/office/drawing/2014/main" id="{00000000-0008-0000-0000-0000D3000000}"/>
            </a:ext>
          </a:extLst>
        </xdr:cNvPr>
        <xdr:cNvPicPr>
          <a:picLocks noChangeAspect="1"/>
        </xdr:cNvPicPr>
      </xdr:nvPicPr>
      <xdr:blipFill>
        <a:blip xmlns:r="http://schemas.openxmlformats.org/officeDocument/2006/relationships" r:embed="rId208"/>
        <a:stretch>
          <a:fillRect/>
        </a:stretch>
      </xdr:blipFill>
      <xdr:spPr>
        <a:prstGeom prst="rect">
          <a:avLst/>
        </a:prstGeom>
        <a:ln w="9525">
          <a:solidFill>
            <a:srgbClr val="000000"/>
          </a:solidFill>
          <a:prstDash val="solid"/>
        </a:ln>
      </xdr:spPr>
    </xdr:pic>
    <xdr:clientData/>
  </xdr:twoCellAnchor>
  <xdr:twoCellAnchor>
    <xdr:from>
      <xdr:col>3</xdr:col>
      <xdr:colOff>114300</xdr:colOff>
      <xdr:row>571</xdr:row>
      <xdr:rowOff>28575</xdr:rowOff>
    </xdr:from>
    <xdr:to>
      <xdr:col>3</xdr:col>
      <xdr:colOff>1552575</xdr:colOff>
      <xdr:row>579</xdr:row>
      <xdr:rowOff>133350</xdr:rowOff>
    </xdr:to>
    <xdr:pic>
      <xdr:nvPicPr>
        <xdr:cNvPr id="212" name="Имя " descr="Descr ">
          <a:extLst>
            <a:ext uri="{FF2B5EF4-FFF2-40B4-BE49-F238E27FC236}">
              <a16:creationId xmlns:a16="http://schemas.microsoft.com/office/drawing/2014/main" id="{00000000-0008-0000-0000-0000D4000000}"/>
            </a:ext>
          </a:extLst>
        </xdr:cNvPr>
        <xdr:cNvPicPr>
          <a:picLocks noChangeAspect="1"/>
        </xdr:cNvPicPr>
      </xdr:nvPicPr>
      <xdr:blipFill>
        <a:blip xmlns:r="http://schemas.openxmlformats.org/officeDocument/2006/relationships" r:embed="rId209"/>
        <a:stretch>
          <a:fillRect/>
        </a:stretch>
      </xdr:blipFill>
      <xdr:spPr>
        <a:prstGeom prst="rect">
          <a:avLst/>
        </a:prstGeom>
        <a:ln w="9525">
          <a:solidFill>
            <a:srgbClr val="000000"/>
          </a:solidFill>
          <a:prstDash val="solid"/>
        </a:ln>
      </xdr:spPr>
    </xdr:pic>
    <xdr:clientData/>
  </xdr:twoCellAnchor>
  <xdr:twoCellAnchor>
    <xdr:from>
      <xdr:col>3</xdr:col>
      <xdr:colOff>114300</xdr:colOff>
      <xdr:row>581</xdr:row>
      <xdr:rowOff>28575</xdr:rowOff>
    </xdr:from>
    <xdr:to>
      <xdr:col>3</xdr:col>
      <xdr:colOff>1552575</xdr:colOff>
      <xdr:row>588</xdr:row>
      <xdr:rowOff>152400</xdr:rowOff>
    </xdr:to>
    <xdr:pic>
      <xdr:nvPicPr>
        <xdr:cNvPr id="213" name="Имя " descr="Descr ">
          <a:extLst>
            <a:ext uri="{FF2B5EF4-FFF2-40B4-BE49-F238E27FC236}">
              <a16:creationId xmlns:a16="http://schemas.microsoft.com/office/drawing/2014/main" id="{00000000-0008-0000-0000-0000D5000000}"/>
            </a:ext>
          </a:extLst>
        </xdr:cNvPr>
        <xdr:cNvPicPr>
          <a:picLocks noChangeAspect="1"/>
        </xdr:cNvPicPr>
      </xdr:nvPicPr>
      <xdr:blipFill>
        <a:blip xmlns:r="http://schemas.openxmlformats.org/officeDocument/2006/relationships" r:embed="rId210"/>
        <a:stretch>
          <a:fillRect/>
        </a:stretch>
      </xdr:blipFill>
      <xdr:spPr>
        <a:prstGeom prst="rect">
          <a:avLst/>
        </a:prstGeom>
        <a:ln w="9525">
          <a:solidFill>
            <a:srgbClr val="000000"/>
          </a:solidFill>
          <a:prstDash val="solid"/>
        </a:ln>
      </xdr:spPr>
    </xdr:pic>
    <xdr:clientData/>
  </xdr:twoCellAnchor>
  <xdr:twoCellAnchor>
    <xdr:from>
      <xdr:col>3</xdr:col>
      <xdr:colOff>114300</xdr:colOff>
      <xdr:row>589</xdr:row>
      <xdr:rowOff>28575</xdr:rowOff>
    </xdr:from>
    <xdr:to>
      <xdr:col>3</xdr:col>
      <xdr:colOff>1552575</xdr:colOff>
      <xdr:row>594</xdr:row>
      <xdr:rowOff>209550</xdr:rowOff>
    </xdr:to>
    <xdr:pic>
      <xdr:nvPicPr>
        <xdr:cNvPr id="214" name="Имя " descr="Descr ">
          <a:extLst>
            <a:ext uri="{FF2B5EF4-FFF2-40B4-BE49-F238E27FC236}">
              <a16:creationId xmlns:a16="http://schemas.microsoft.com/office/drawing/2014/main" id="{00000000-0008-0000-0000-0000D6000000}"/>
            </a:ext>
          </a:extLst>
        </xdr:cNvPr>
        <xdr:cNvPicPr>
          <a:picLocks noChangeAspect="1"/>
        </xdr:cNvPicPr>
      </xdr:nvPicPr>
      <xdr:blipFill>
        <a:blip xmlns:r="http://schemas.openxmlformats.org/officeDocument/2006/relationships" r:embed="rId211"/>
        <a:stretch>
          <a:fillRect/>
        </a:stretch>
      </xdr:blipFill>
      <xdr:spPr>
        <a:prstGeom prst="rect">
          <a:avLst/>
        </a:prstGeom>
        <a:ln w="9525">
          <a:solidFill>
            <a:srgbClr val="000000"/>
          </a:solidFill>
          <a:prstDash val="solid"/>
        </a:ln>
      </xdr:spPr>
    </xdr:pic>
    <xdr:clientData/>
  </xdr:twoCellAnchor>
  <xdr:twoCellAnchor>
    <xdr:from>
      <xdr:col>3</xdr:col>
      <xdr:colOff>114300</xdr:colOff>
      <xdr:row>595</xdr:row>
      <xdr:rowOff>28575</xdr:rowOff>
    </xdr:from>
    <xdr:to>
      <xdr:col>3</xdr:col>
      <xdr:colOff>1552575</xdr:colOff>
      <xdr:row>598</xdr:row>
      <xdr:rowOff>209550</xdr:rowOff>
    </xdr:to>
    <xdr:pic>
      <xdr:nvPicPr>
        <xdr:cNvPr id="215" name="Имя " descr="Descr ">
          <a:extLst>
            <a:ext uri="{FF2B5EF4-FFF2-40B4-BE49-F238E27FC236}">
              <a16:creationId xmlns:a16="http://schemas.microsoft.com/office/drawing/2014/main" id="{00000000-0008-0000-0000-0000D7000000}"/>
            </a:ext>
          </a:extLst>
        </xdr:cNvPr>
        <xdr:cNvPicPr>
          <a:picLocks noChangeAspect="1"/>
        </xdr:cNvPicPr>
      </xdr:nvPicPr>
      <xdr:blipFill>
        <a:blip xmlns:r="http://schemas.openxmlformats.org/officeDocument/2006/relationships" r:embed="rId212"/>
        <a:stretch>
          <a:fillRect/>
        </a:stretch>
      </xdr:blipFill>
      <xdr:spPr>
        <a:prstGeom prst="rect">
          <a:avLst/>
        </a:prstGeom>
        <a:ln w="9525">
          <a:solidFill>
            <a:srgbClr val="000000"/>
          </a:solidFill>
          <a:prstDash val="solid"/>
        </a:ln>
      </xdr:spPr>
    </xdr:pic>
    <xdr:clientData/>
  </xdr:twoCellAnchor>
  <xdr:twoCellAnchor>
    <xdr:from>
      <xdr:col>3</xdr:col>
      <xdr:colOff>114300</xdr:colOff>
      <xdr:row>599</xdr:row>
      <xdr:rowOff>28575</xdr:rowOff>
    </xdr:from>
    <xdr:to>
      <xdr:col>3</xdr:col>
      <xdr:colOff>1552575</xdr:colOff>
      <xdr:row>607</xdr:row>
      <xdr:rowOff>133350</xdr:rowOff>
    </xdr:to>
    <xdr:pic>
      <xdr:nvPicPr>
        <xdr:cNvPr id="216" name="Имя " descr="Descr ">
          <a:extLst>
            <a:ext uri="{FF2B5EF4-FFF2-40B4-BE49-F238E27FC236}">
              <a16:creationId xmlns:a16="http://schemas.microsoft.com/office/drawing/2014/main" id="{00000000-0008-0000-0000-0000D8000000}"/>
            </a:ext>
          </a:extLst>
        </xdr:cNvPr>
        <xdr:cNvPicPr>
          <a:picLocks noChangeAspect="1"/>
        </xdr:cNvPicPr>
      </xdr:nvPicPr>
      <xdr:blipFill>
        <a:blip xmlns:r="http://schemas.openxmlformats.org/officeDocument/2006/relationships" r:embed="rId213"/>
        <a:stretch>
          <a:fillRect/>
        </a:stretch>
      </xdr:blipFill>
      <xdr:spPr>
        <a:prstGeom prst="rect">
          <a:avLst/>
        </a:prstGeom>
        <a:ln w="9525">
          <a:solidFill>
            <a:srgbClr val="000000"/>
          </a:solidFill>
          <a:prstDash val="solid"/>
        </a:ln>
      </xdr:spPr>
    </xdr:pic>
    <xdr:clientData/>
  </xdr:twoCellAnchor>
  <xdr:twoCellAnchor>
    <xdr:from>
      <xdr:col>3</xdr:col>
      <xdr:colOff>114300</xdr:colOff>
      <xdr:row>610</xdr:row>
      <xdr:rowOff>28575</xdr:rowOff>
    </xdr:from>
    <xdr:to>
      <xdr:col>3</xdr:col>
      <xdr:colOff>1552575</xdr:colOff>
      <xdr:row>618</xdr:row>
      <xdr:rowOff>133350</xdr:rowOff>
    </xdr:to>
    <xdr:pic>
      <xdr:nvPicPr>
        <xdr:cNvPr id="217" name="Имя " descr="Descr ">
          <a:extLst>
            <a:ext uri="{FF2B5EF4-FFF2-40B4-BE49-F238E27FC236}">
              <a16:creationId xmlns:a16="http://schemas.microsoft.com/office/drawing/2014/main" id="{00000000-0008-0000-0000-0000D9000000}"/>
            </a:ext>
          </a:extLst>
        </xdr:cNvPr>
        <xdr:cNvPicPr>
          <a:picLocks noChangeAspect="1"/>
        </xdr:cNvPicPr>
      </xdr:nvPicPr>
      <xdr:blipFill>
        <a:blip xmlns:r="http://schemas.openxmlformats.org/officeDocument/2006/relationships" r:embed="rId214"/>
        <a:stretch>
          <a:fillRect/>
        </a:stretch>
      </xdr:blipFill>
      <xdr:spPr>
        <a:prstGeom prst="rect">
          <a:avLst/>
        </a:prstGeom>
        <a:ln w="9525">
          <a:solidFill>
            <a:srgbClr val="000000"/>
          </a:solidFill>
          <a:prstDash val="solid"/>
        </a:ln>
      </xdr:spPr>
    </xdr:pic>
    <xdr:clientData/>
  </xdr:twoCellAnchor>
  <xdr:twoCellAnchor>
    <xdr:from>
      <xdr:col>3</xdr:col>
      <xdr:colOff>114300</xdr:colOff>
      <xdr:row>619</xdr:row>
      <xdr:rowOff>28575</xdr:rowOff>
    </xdr:from>
    <xdr:to>
      <xdr:col>3</xdr:col>
      <xdr:colOff>1552575</xdr:colOff>
      <xdr:row>623</xdr:row>
      <xdr:rowOff>333375</xdr:rowOff>
    </xdr:to>
    <xdr:pic>
      <xdr:nvPicPr>
        <xdr:cNvPr id="218" name="Имя " descr="Descr ">
          <a:extLst>
            <a:ext uri="{FF2B5EF4-FFF2-40B4-BE49-F238E27FC236}">
              <a16:creationId xmlns:a16="http://schemas.microsoft.com/office/drawing/2014/main" id="{00000000-0008-0000-0000-0000DA000000}"/>
            </a:ext>
          </a:extLst>
        </xdr:cNvPr>
        <xdr:cNvPicPr>
          <a:picLocks noChangeAspect="1"/>
        </xdr:cNvPicPr>
      </xdr:nvPicPr>
      <xdr:blipFill>
        <a:blip xmlns:r="http://schemas.openxmlformats.org/officeDocument/2006/relationships" r:embed="rId215"/>
        <a:stretch>
          <a:fillRect/>
        </a:stretch>
      </xdr:blipFill>
      <xdr:spPr>
        <a:prstGeom prst="rect">
          <a:avLst/>
        </a:prstGeom>
        <a:ln w="9525">
          <a:solidFill>
            <a:srgbClr val="000000"/>
          </a:solidFill>
          <a:prstDash val="solid"/>
        </a:ln>
      </xdr:spPr>
    </xdr:pic>
    <xdr:clientData/>
  </xdr:twoCellAnchor>
  <xdr:twoCellAnchor>
    <xdr:from>
      <xdr:col>3</xdr:col>
      <xdr:colOff>114300</xdr:colOff>
      <xdr:row>624</xdr:row>
      <xdr:rowOff>28575</xdr:rowOff>
    </xdr:from>
    <xdr:to>
      <xdr:col>3</xdr:col>
      <xdr:colOff>1552575</xdr:colOff>
      <xdr:row>627</xdr:row>
      <xdr:rowOff>209550</xdr:rowOff>
    </xdr:to>
    <xdr:pic>
      <xdr:nvPicPr>
        <xdr:cNvPr id="219" name="Имя " descr="Descr ">
          <a:extLst>
            <a:ext uri="{FF2B5EF4-FFF2-40B4-BE49-F238E27FC236}">
              <a16:creationId xmlns:a16="http://schemas.microsoft.com/office/drawing/2014/main" id="{00000000-0008-0000-0000-0000DB000000}"/>
            </a:ext>
          </a:extLst>
        </xdr:cNvPr>
        <xdr:cNvPicPr>
          <a:picLocks noChangeAspect="1"/>
        </xdr:cNvPicPr>
      </xdr:nvPicPr>
      <xdr:blipFill>
        <a:blip xmlns:r="http://schemas.openxmlformats.org/officeDocument/2006/relationships" r:embed="rId216"/>
        <a:stretch>
          <a:fillRect/>
        </a:stretch>
      </xdr:blipFill>
      <xdr:spPr>
        <a:prstGeom prst="rect">
          <a:avLst/>
        </a:prstGeom>
        <a:ln w="9525">
          <a:solidFill>
            <a:srgbClr val="000000"/>
          </a:solidFill>
          <a:prstDash val="solid"/>
        </a:ln>
      </xdr:spPr>
    </xdr:pic>
    <xdr:clientData/>
  </xdr:twoCellAnchor>
  <xdr:twoCellAnchor>
    <xdr:from>
      <xdr:col>3</xdr:col>
      <xdr:colOff>114300</xdr:colOff>
      <xdr:row>628</xdr:row>
      <xdr:rowOff>28575</xdr:rowOff>
    </xdr:from>
    <xdr:to>
      <xdr:col>3</xdr:col>
      <xdr:colOff>1552575</xdr:colOff>
      <xdr:row>628</xdr:row>
      <xdr:rowOff>1266825</xdr:rowOff>
    </xdr:to>
    <xdr:pic>
      <xdr:nvPicPr>
        <xdr:cNvPr id="220" name="Имя " descr="Descr ">
          <a:extLst>
            <a:ext uri="{FF2B5EF4-FFF2-40B4-BE49-F238E27FC236}">
              <a16:creationId xmlns:a16="http://schemas.microsoft.com/office/drawing/2014/main" id="{00000000-0008-0000-0000-0000DC000000}"/>
            </a:ext>
          </a:extLst>
        </xdr:cNvPr>
        <xdr:cNvPicPr>
          <a:picLocks noChangeAspect="1"/>
        </xdr:cNvPicPr>
      </xdr:nvPicPr>
      <xdr:blipFill>
        <a:blip xmlns:r="http://schemas.openxmlformats.org/officeDocument/2006/relationships" r:embed="rId217"/>
        <a:stretch>
          <a:fillRect/>
        </a:stretch>
      </xdr:blipFill>
      <xdr:spPr>
        <a:prstGeom prst="rect">
          <a:avLst/>
        </a:prstGeom>
        <a:ln w="9525">
          <a:solidFill>
            <a:srgbClr val="000000"/>
          </a:solidFill>
          <a:prstDash val="solid"/>
        </a:ln>
      </xdr:spPr>
    </xdr:pic>
    <xdr:clientData/>
  </xdr:twoCellAnchor>
  <xdr:twoCellAnchor>
    <xdr:from>
      <xdr:col>3</xdr:col>
      <xdr:colOff>114300</xdr:colOff>
      <xdr:row>629</xdr:row>
      <xdr:rowOff>28575</xdr:rowOff>
    </xdr:from>
    <xdr:to>
      <xdr:col>3</xdr:col>
      <xdr:colOff>1552575</xdr:colOff>
      <xdr:row>629</xdr:row>
      <xdr:rowOff>1266825</xdr:rowOff>
    </xdr:to>
    <xdr:pic>
      <xdr:nvPicPr>
        <xdr:cNvPr id="221" name="Имя " descr="Descr ">
          <a:extLst>
            <a:ext uri="{FF2B5EF4-FFF2-40B4-BE49-F238E27FC236}">
              <a16:creationId xmlns:a16="http://schemas.microsoft.com/office/drawing/2014/main" id="{00000000-0008-0000-0000-0000DD000000}"/>
            </a:ext>
          </a:extLst>
        </xdr:cNvPr>
        <xdr:cNvPicPr>
          <a:picLocks noChangeAspect="1"/>
        </xdr:cNvPicPr>
      </xdr:nvPicPr>
      <xdr:blipFill>
        <a:blip xmlns:r="http://schemas.openxmlformats.org/officeDocument/2006/relationships" r:embed="rId218"/>
        <a:stretch>
          <a:fillRect/>
        </a:stretch>
      </xdr:blipFill>
      <xdr:spPr>
        <a:prstGeom prst="rect">
          <a:avLst/>
        </a:prstGeom>
        <a:ln w="9525">
          <a:solidFill>
            <a:srgbClr val="000000"/>
          </a:solidFill>
          <a:prstDash val="solid"/>
        </a:ln>
      </xdr:spPr>
    </xdr:pic>
    <xdr:clientData/>
  </xdr:twoCellAnchor>
  <xdr:twoCellAnchor>
    <xdr:from>
      <xdr:col>3</xdr:col>
      <xdr:colOff>114300</xdr:colOff>
      <xdr:row>630</xdr:row>
      <xdr:rowOff>28575</xdr:rowOff>
    </xdr:from>
    <xdr:to>
      <xdr:col>3</xdr:col>
      <xdr:colOff>1552575</xdr:colOff>
      <xdr:row>633</xdr:row>
      <xdr:rowOff>209550</xdr:rowOff>
    </xdr:to>
    <xdr:pic>
      <xdr:nvPicPr>
        <xdr:cNvPr id="222" name="Имя " descr="Descr ">
          <a:extLst>
            <a:ext uri="{FF2B5EF4-FFF2-40B4-BE49-F238E27FC236}">
              <a16:creationId xmlns:a16="http://schemas.microsoft.com/office/drawing/2014/main" id="{00000000-0008-0000-0000-0000DE000000}"/>
            </a:ext>
          </a:extLst>
        </xdr:cNvPr>
        <xdr:cNvPicPr>
          <a:picLocks noChangeAspect="1"/>
        </xdr:cNvPicPr>
      </xdr:nvPicPr>
      <xdr:blipFill>
        <a:blip xmlns:r="http://schemas.openxmlformats.org/officeDocument/2006/relationships" r:embed="rId219"/>
        <a:stretch>
          <a:fillRect/>
        </a:stretch>
      </xdr:blipFill>
      <xdr:spPr>
        <a:prstGeom prst="rect">
          <a:avLst/>
        </a:prstGeom>
        <a:ln w="9525">
          <a:solidFill>
            <a:srgbClr val="000000"/>
          </a:solidFill>
          <a:prstDash val="solid"/>
        </a:ln>
      </xdr:spPr>
    </xdr:pic>
    <xdr:clientData/>
  </xdr:twoCellAnchor>
  <xdr:twoCellAnchor>
    <xdr:from>
      <xdr:col>3</xdr:col>
      <xdr:colOff>114300</xdr:colOff>
      <xdr:row>634</xdr:row>
      <xdr:rowOff>28575</xdr:rowOff>
    </xdr:from>
    <xdr:to>
      <xdr:col>3</xdr:col>
      <xdr:colOff>1552575</xdr:colOff>
      <xdr:row>634</xdr:row>
      <xdr:rowOff>1266825</xdr:rowOff>
    </xdr:to>
    <xdr:pic>
      <xdr:nvPicPr>
        <xdr:cNvPr id="223" name="Имя " descr="Descr ">
          <a:extLst>
            <a:ext uri="{FF2B5EF4-FFF2-40B4-BE49-F238E27FC236}">
              <a16:creationId xmlns:a16="http://schemas.microsoft.com/office/drawing/2014/main" id="{00000000-0008-0000-0000-0000DF000000}"/>
            </a:ext>
          </a:extLst>
        </xdr:cNvPr>
        <xdr:cNvPicPr>
          <a:picLocks noChangeAspect="1"/>
        </xdr:cNvPicPr>
      </xdr:nvPicPr>
      <xdr:blipFill>
        <a:blip xmlns:r="http://schemas.openxmlformats.org/officeDocument/2006/relationships" r:embed="rId220"/>
        <a:stretch>
          <a:fillRect/>
        </a:stretch>
      </xdr:blipFill>
      <xdr:spPr>
        <a:prstGeom prst="rect">
          <a:avLst/>
        </a:prstGeom>
        <a:ln w="9525">
          <a:solidFill>
            <a:srgbClr val="000000"/>
          </a:solidFill>
          <a:prstDash val="solid"/>
        </a:ln>
      </xdr:spPr>
    </xdr:pic>
    <xdr:clientData/>
  </xdr:twoCellAnchor>
  <xdr:twoCellAnchor>
    <xdr:from>
      <xdr:col>3</xdr:col>
      <xdr:colOff>114300</xdr:colOff>
      <xdr:row>635</xdr:row>
      <xdr:rowOff>28575</xdr:rowOff>
    </xdr:from>
    <xdr:to>
      <xdr:col>3</xdr:col>
      <xdr:colOff>1552575</xdr:colOff>
      <xdr:row>635</xdr:row>
      <xdr:rowOff>1266825</xdr:rowOff>
    </xdr:to>
    <xdr:pic>
      <xdr:nvPicPr>
        <xdr:cNvPr id="224" name="Имя " descr="Descr ">
          <a:extLst>
            <a:ext uri="{FF2B5EF4-FFF2-40B4-BE49-F238E27FC236}">
              <a16:creationId xmlns:a16="http://schemas.microsoft.com/office/drawing/2014/main" id="{00000000-0008-0000-0000-0000E0000000}"/>
            </a:ext>
          </a:extLst>
        </xdr:cNvPr>
        <xdr:cNvPicPr>
          <a:picLocks noChangeAspect="1"/>
        </xdr:cNvPicPr>
      </xdr:nvPicPr>
      <xdr:blipFill>
        <a:blip xmlns:r="http://schemas.openxmlformats.org/officeDocument/2006/relationships" r:embed="rId221"/>
        <a:stretch>
          <a:fillRect/>
        </a:stretch>
      </xdr:blipFill>
      <xdr:spPr>
        <a:prstGeom prst="rect">
          <a:avLst/>
        </a:prstGeom>
        <a:ln w="9525">
          <a:solidFill>
            <a:srgbClr val="000000"/>
          </a:solidFill>
          <a:prstDash val="solid"/>
        </a:ln>
      </xdr:spPr>
    </xdr:pic>
    <xdr:clientData/>
  </xdr:twoCellAnchor>
  <xdr:twoCellAnchor>
    <xdr:from>
      <xdr:col>3</xdr:col>
      <xdr:colOff>114300</xdr:colOff>
      <xdr:row>636</xdr:row>
      <xdr:rowOff>28575</xdr:rowOff>
    </xdr:from>
    <xdr:to>
      <xdr:col>3</xdr:col>
      <xdr:colOff>1552575</xdr:colOff>
      <xdr:row>636</xdr:row>
      <xdr:rowOff>1266825</xdr:rowOff>
    </xdr:to>
    <xdr:pic>
      <xdr:nvPicPr>
        <xdr:cNvPr id="225" name="Имя " descr="Descr ">
          <a:extLst>
            <a:ext uri="{FF2B5EF4-FFF2-40B4-BE49-F238E27FC236}">
              <a16:creationId xmlns:a16="http://schemas.microsoft.com/office/drawing/2014/main" id="{00000000-0008-0000-0000-0000E1000000}"/>
            </a:ext>
          </a:extLst>
        </xdr:cNvPr>
        <xdr:cNvPicPr>
          <a:picLocks noChangeAspect="1"/>
        </xdr:cNvPicPr>
      </xdr:nvPicPr>
      <xdr:blipFill>
        <a:blip xmlns:r="http://schemas.openxmlformats.org/officeDocument/2006/relationships" r:embed="rId222"/>
        <a:stretch>
          <a:fillRect/>
        </a:stretch>
      </xdr:blipFill>
      <xdr:spPr>
        <a:prstGeom prst="rect">
          <a:avLst/>
        </a:prstGeom>
        <a:ln w="9525">
          <a:solidFill>
            <a:srgbClr val="000000"/>
          </a:solidFill>
          <a:prstDash val="solid"/>
        </a:ln>
      </xdr:spPr>
    </xdr:pic>
    <xdr:clientData/>
  </xdr:twoCellAnchor>
  <xdr:twoCellAnchor>
    <xdr:from>
      <xdr:col>3</xdr:col>
      <xdr:colOff>114300</xdr:colOff>
      <xdr:row>637</xdr:row>
      <xdr:rowOff>28575</xdr:rowOff>
    </xdr:from>
    <xdr:to>
      <xdr:col>3</xdr:col>
      <xdr:colOff>1552575</xdr:colOff>
      <xdr:row>637</xdr:row>
      <xdr:rowOff>1266825</xdr:rowOff>
    </xdr:to>
    <xdr:pic>
      <xdr:nvPicPr>
        <xdr:cNvPr id="226" name="Имя " descr="Descr ">
          <a:extLst>
            <a:ext uri="{FF2B5EF4-FFF2-40B4-BE49-F238E27FC236}">
              <a16:creationId xmlns:a16="http://schemas.microsoft.com/office/drawing/2014/main" id="{00000000-0008-0000-0000-0000E2000000}"/>
            </a:ext>
          </a:extLst>
        </xdr:cNvPr>
        <xdr:cNvPicPr>
          <a:picLocks noChangeAspect="1"/>
        </xdr:cNvPicPr>
      </xdr:nvPicPr>
      <xdr:blipFill>
        <a:blip xmlns:r="http://schemas.openxmlformats.org/officeDocument/2006/relationships" r:embed="rId223"/>
        <a:stretch>
          <a:fillRect/>
        </a:stretch>
      </xdr:blipFill>
      <xdr:spPr>
        <a:prstGeom prst="rect">
          <a:avLst/>
        </a:prstGeom>
        <a:ln w="9525">
          <a:solidFill>
            <a:srgbClr val="000000"/>
          </a:solidFill>
          <a:prstDash val="solid"/>
        </a:ln>
      </xdr:spPr>
    </xdr:pic>
    <xdr:clientData/>
  </xdr:twoCellAnchor>
  <xdr:twoCellAnchor>
    <xdr:from>
      <xdr:col>3</xdr:col>
      <xdr:colOff>114300</xdr:colOff>
      <xdr:row>638</xdr:row>
      <xdr:rowOff>28575</xdr:rowOff>
    </xdr:from>
    <xdr:to>
      <xdr:col>3</xdr:col>
      <xdr:colOff>1552575</xdr:colOff>
      <xdr:row>638</xdr:row>
      <xdr:rowOff>1266825</xdr:rowOff>
    </xdr:to>
    <xdr:pic>
      <xdr:nvPicPr>
        <xdr:cNvPr id="227" name="Имя " descr="Descr ">
          <a:extLst>
            <a:ext uri="{FF2B5EF4-FFF2-40B4-BE49-F238E27FC236}">
              <a16:creationId xmlns:a16="http://schemas.microsoft.com/office/drawing/2014/main" id="{00000000-0008-0000-0000-0000E3000000}"/>
            </a:ext>
          </a:extLst>
        </xdr:cNvPr>
        <xdr:cNvPicPr>
          <a:picLocks noChangeAspect="1"/>
        </xdr:cNvPicPr>
      </xdr:nvPicPr>
      <xdr:blipFill>
        <a:blip xmlns:r="http://schemas.openxmlformats.org/officeDocument/2006/relationships" r:embed="rId224"/>
        <a:stretch>
          <a:fillRect/>
        </a:stretch>
      </xdr:blipFill>
      <xdr:spPr>
        <a:prstGeom prst="rect">
          <a:avLst/>
        </a:prstGeom>
        <a:ln w="9525">
          <a:solidFill>
            <a:srgbClr val="000000"/>
          </a:solidFill>
          <a:prstDash val="solid"/>
        </a:ln>
      </xdr:spPr>
    </xdr:pic>
    <xdr:clientData/>
  </xdr:twoCellAnchor>
  <xdr:twoCellAnchor>
    <xdr:from>
      <xdr:col>3</xdr:col>
      <xdr:colOff>114300</xdr:colOff>
      <xdr:row>639</xdr:row>
      <xdr:rowOff>28575</xdr:rowOff>
    </xdr:from>
    <xdr:to>
      <xdr:col>3</xdr:col>
      <xdr:colOff>1552575</xdr:colOff>
      <xdr:row>639</xdr:row>
      <xdr:rowOff>1266825</xdr:rowOff>
    </xdr:to>
    <xdr:pic>
      <xdr:nvPicPr>
        <xdr:cNvPr id="228" name="Имя " descr="Descr ">
          <a:extLst>
            <a:ext uri="{FF2B5EF4-FFF2-40B4-BE49-F238E27FC236}">
              <a16:creationId xmlns:a16="http://schemas.microsoft.com/office/drawing/2014/main" id="{00000000-0008-0000-0000-0000E4000000}"/>
            </a:ext>
          </a:extLst>
        </xdr:cNvPr>
        <xdr:cNvPicPr>
          <a:picLocks noChangeAspect="1"/>
        </xdr:cNvPicPr>
      </xdr:nvPicPr>
      <xdr:blipFill>
        <a:blip xmlns:r="http://schemas.openxmlformats.org/officeDocument/2006/relationships" r:embed="rId225"/>
        <a:stretch>
          <a:fillRect/>
        </a:stretch>
      </xdr:blipFill>
      <xdr:spPr>
        <a:prstGeom prst="rect">
          <a:avLst/>
        </a:prstGeom>
        <a:ln w="9525">
          <a:solidFill>
            <a:srgbClr val="000000"/>
          </a:solidFill>
          <a:prstDash val="solid"/>
        </a:ln>
      </xdr:spPr>
    </xdr:pic>
    <xdr:clientData/>
  </xdr:twoCellAnchor>
  <xdr:twoCellAnchor>
    <xdr:from>
      <xdr:col>3</xdr:col>
      <xdr:colOff>114300</xdr:colOff>
      <xdr:row>640</xdr:row>
      <xdr:rowOff>28575</xdr:rowOff>
    </xdr:from>
    <xdr:to>
      <xdr:col>3</xdr:col>
      <xdr:colOff>1552575</xdr:colOff>
      <xdr:row>640</xdr:row>
      <xdr:rowOff>1266825</xdr:rowOff>
    </xdr:to>
    <xdr:pic>
      <xdr:nvPicPr>
        <xdr:cNvPr id="229" name="Имя " descr="Descr ">
          <a:extLst>
            <a:ext uri="{FF2B5EF4-FFF2-40B4-BE49-F238E27FC236}">
              <a16:creationId xmlns:a16="http://schemas.microsoft.com/office/drawing/2014/main" id="{00000000-0008-0000-0000-0000E5000000}"/>
            </a:ext>
          </a:extLst>
        </xdr:cNvPr>
        <xdr:cNvPicPr>
          <a:picLocks noChangeAspect="1"/>
        </xdr:cNvPicPr>
      </xdr:nvPicPr>
      <xdr:blipFill>
        <a:blip xmlns:r="http://schemas.openxmlformats.org/officeDocument/2006/relationships" r:embed="rId226"/>
        <a:stretch>
          <a:fillRect/>
        </a:stretch>
      </xdr:blipFill>
      <xdr:spPr>
        <a:prstGeom prst="rect">
          <a:avLst/>
        </a:prstGeom>
        <a:ln w="9525">
          <a:solidFill>
            <a:srgbClr val="000000"/>
          </a:solidFill>
          <a:prstDash val="solid"/>
        </a:ln>
      </xdr:spPr>
    </xdr:pic>
    <xdr:clientData/>
  </xdr:twoCellAnchor>
  <xdr:twoCellAnchor>
    <xdr:from>
      <xdr:col>3</xdr:col>
      <xdr:colOff>114300</xdr:colOff>
      <xdr:row>641</xdr:row>
      <xdr:rowOff>28575</xdr:rowOff>
    </xdr:from>
    <xdr:to>
      <xdr:col>3</xdr:col>
      <xdr:colOff>1552575</xdr:colOff>
      <xdr:row>641</xdr:row>
      <xdr:rowOff>1266825</xdr:rowOff>
    </xdr:to>
    <xdr:pic>
      <xdr:nvPicPr>
        <xdr:cNvPr id="230" name="Имя " descr="Descr ">
          <a:extLst>
            <a:ext uri="{FF2B5EF4-FFF2-40B4-BE49-F238E27FC236}">
              <a16:creationId xmlns:a16="http://schemas.microsoft.com/office/drawing/2014/main" id="{00000000-0008-0000-0000-0000E6000000}"/>
            </a:ext>
          </a:extLst>
        </xdr:cNvPr>
        <xdr:cNvPicPr>
          <a:picLocks noChangeAspect="1"/>
        </xdr:cNvPicPr>
      </xdr:nvPicPr>
      <xdr:blipFill>
        <a:blip xmlns:r="http://schemas.openxmlformats.org/officeDocument/2006/relationships" r:embed="rId227"/>
        <a:stretch>
          <a:fillRect/>
        </a:stretch>
      </xdr:blipFill>
      <xdr:spPr>
        <a:prstGeom prst="rect">
          <a:avLst/>
        </a:prstGeom>
        <a:ln w="9525">
          <a:solidFill>
            <a:srgbClr val="000000"/>
          </a:solidFill>
          <a:prstDash val="solid"/>
        </a:ln>
      </xdr:spPr>
    </xdr:pic>
    <xdr:clientData/>
  </xdr:twoCellAnchor>
  <xdr:twoCellAnchor>
    <xdr:from>
      <xdr:col>3</xdr:col>
      <xdr:colOff>114300</xdr:colOff>
      <xdr:row>642</xdr:row>
      <xdr:rowOff>28575</xdr:rowOff>
    </xdr:from>
    <xdr:to>
      <xdr:col>3</xdr:col>
      <xdr:colOff>1552575</xdr:colOff>
      <xdr:row>642</xdr:row>
      <xdr:rowOff>1266825</xdr:rowOff>
    </xdr:to>
    <xdr:pic>
      <xdr:nvPicPr>
        <xdr:cNvPr id="231" name="Имя " descr="Descr ">
          <a:extLst>
            <a:ext uri="{FF2B5EF4-FFF2-40B4-BE49-F238E27FC236}">
              <a16:creationId xmlns:a16="http://schemas.microsoft.com/office/drawing/2014/main" id="{00000000-0008-0000-0000-0000E7000000}"/>
            </a:ext>
          </a:extLst>
        </xdr:cNvPr>
        <xdr:cNvPicPr>
          <a:picLocks noChangeAspect="1"/>
        </xdr:cNvPicPr>
      </xdr:nvPicPr>
      <xdr:blipFill>
        <a:blip xmlns:r="http://schemas.openxmlformats.org/officeDocument/2006/relationships" r:embed="rId228"/>
        <a:stretch>
          <a:fillRect/>
        </a:stretch>
      </xdr:blipFill>
      <xdr:spPr>
        <a:prstGeom prst="rect">
          <a:avLst/>
        </a:prstGeom>
        <a:ln w="9525">
          <a:solidFill>
            <a:srgbClr val="000000"/>
          </a:solidFill>
          <a:prstDash val="solid"/>
        </a:ln>
      </xdr:spPr>
    </xdr:pic>
    <xdr:clientData/>
  </xdr:twoCellAnchor>
  <xdr:twoCellAnchor>
    <xdr:from>
      <xdr:col>3</xdr:col>
      <xdr:colOff>114300</xdr:colOff>
      <xdr:row>643</xdr:row>
      <xdr:rowOff>28575</xdr:rowOff>
    </xdr:from>
    <xdr:to>
      <xdr:col>3</xdr:col>
      <xdr:colOff>1552575</xdr:colOff>
      <xdr:row>643</xdr:row>
      <xdr:rowOff>1266825</xdr:rowOff>
    </xdr:to>
    <xdr:pic>
      <xdr:nvPicPr>
        <xdr:cNvPr id="232" name="Имя " descr="Descr ">
          <a:extLst>
            <a:ext uri="{FF2B5EF4-FFF2-40B4-BE49-F238E27FC236}">
              <a16:creationId xmlns:a16="http://schemas.microsoft.com/office/drawing/2014/main" id="{00000000-0008-0000-0000-0000E8000000}"/>
            </a:ext>
          </a:extLst>
        </xdr:cNvPr>
        <xdr:cNvPicPr>
          <a:picLocks noChangeAspect="1"/>
        </xdr:cNvPicPr>
      </xdr:nvPicPr>
      <xdr:blipFill>
        <a:blip xmlns:r="http://schemas.openxmlformats.org/officeDocument/2006/relationships" r:embed="rId222"/>
        <a:stretch>
          <a:fillRect/>
        </a:stretch>
      </xdr:blipFill>
      <xdr:spPr>
        <a:prstGeom prst="rect">
          <a:avLst/>
        </a:prstGeom>
        <a:ln w="9525">
          <a:solidFill>
            <a:srgbClr val="000000"/>
          </a:solidFill>
          <a:prstDash val="solid"/>
        </a:ln>
      </xdr:spPr>
    </xdr:pic>
    <xdr:clientData/>
  </xdr:twoCellAnchor>
  <xdr:twoCellAnchor>
    <xdr:from>
      <xdr:col>3</xdr:col>
      <xdr:colOff>114300</xdr:colOff>
      <xdr:row>644</xdr:row>
      <xdr:rowOff>28575</xdr:rowOff>
    </xdr:from>
    <xdr:to>
      <xdr:col>3</xdr:col>
      <xdr:colOff>1552575</xdr:colOff>
      <xdr:row>644</xdr:row>
      <xdr:rowOff>1266825</xdr:rowOff>
    </xdr:to>
    <xdr:pic>
      <xdr:nvPicPr>
        <xdr:cNvPr id="233" name="Имя " descr="Descr ">
          <a:extLst>
            <a:ext uri="{FF2B5EF4-FFF2-40B4-BE49-F238E27FC236}">
              <a16:creationId xmlns:a16="http://schemas.microsoft.com/office/drawing/2014/main" id="{00000000-0008-0000-0000-0000E9000000}"/>
            </a:ext>
          </a:extLst>
        </xdr:cNvPr>
        <xdr:cNvPicPr>
          <a:picLocks noChangeAspect="1"/>
        </xdr:cNvPicPr>
      </xdr:nvPicPr>
      <xdr:blipFill>
        <a:blip xmlns:r="http://schemas.openxmlformats.org/officeDocument/2006/relationships" r:embed="rId229"/>
        <a:stretch>
          <a:fillRect/>
        </a:stretch>
      </xdr:blipFill>
      <xdr:spPr>
        <a:prstGeom prst="rect">
          <a:avLst/>
        </a:prstGeom>
        <a:ln w="9525">
          <a:solidFill>
            <a:srgbClr val="000000"/>
          </a:solidFill>
          <a:prstDash val="solid"/>
        </a:ln>
      </xdr:spPr>
    </xdr:pic>
    <xdr:clientData/>
  </xdr:twoCellAnchor>
  <xdr:twoCellAnchor>
    <xdr:from>
      <xdr:col>3</xdr:col>
      <xdr:colOff>114300</xdr:colOff>
      <xdr:row>645</xdr:row>
      <xdr:rowOff>38100</xdr:rowOff>
    </xdr:from>
    <xdr:to>
      <xdr:col>3</xdr:col>
      <xdr:colOff>1552575</xdr:colOff>
      <xdr:row>646</xdr:row>
      <xdr:rowOff>638175</xdr:rowOff>
    </xdr:to>
    <xdr:pic>
      <xdr:nvPicPr>
        <xdr:cNvPr id="234" name="Имя " descr="Descr ">
          <a:extLst>
            <a:ext uri="{FF2B5EF4-FFF2-40B4-BE49-F238E27FC236}">
              <a16:creationId xmlns:a16="http://schemas.microsoft.com/office/drawing/2014/main" id="{00000000-0008-0000-0000-0000EA000000}"/>
            </a:ext>
          </a:extLst>
        </xdr:cNvPr>
        <xdr:cNvPicPr>
          <a:picLocks noChangeAspect="1"/>
        </xdr:cNvPicPr>
      </xdr:nvPicPr>
      <xdr:blipFill>
        <a:blip xmlns:r="http://schemas.openxmlformats.org/officeDocument/2006/relationships" r:embed="rId230"/>
        <a:stretch>
          <a:fillRect/>
        </a:stretch>
      </xdr:blipFill>
      <xdr:spPr>
        <a:prstGeom prst="rect">
          <a:avLst/>
        </a:prstGeom>
        <a:ln w="9525">
          <a:solidFill>
            <a:srgbClr val="000000"/>
          </a:solidFill>
          <a:prstDash val="solid"/>
        </a:ln>
      </xdr:spPr>
    </xdr:pic>
    <xdr:clientData/>
  </xdr:twoCellAnchor>
  <xdr:twoCellAnchor>
    <xdr:from>
      <xdr:col>3</xdr:col>
      <xdr:colOff>114300</xdr:colOff>
      <xdr:row>647</xdr:row>
      <xdr:rowOff>28575</xdr:rowOff>
    </xdr:from>
    <xdr:to>
      <xdr:col>3</xdr:col>
      <xdr:colOff>1552575</xdr:colOff>
      <xdr:row>649</xdr:row>
      <xdr:rowOff>419100</xdr:rowOff>
    </xdr:to>
    <xdr:pic>
      <xdr:nvPicPr>
        <xdr:cNvPr id="235" name="Имя " descr="Descr ">
          <a:extLst>
            <a:ext uri="{FF2B5EF4-FFF2-40B4-BE49-F238E27FC236}">
              <a16:creationId xmlns:a16="http://schemas.microsoft.com/office/drawing/2014/main" id="{00000000-0008-0000-0000-0000EB000000}"/>
            </a:ext>
          </a:extLst>
        </xdr:cNvPr>
        <xdr:cNvPicPr>
          <a:picLocks noChangeAspect="1"/>
        </xdr:cNvPicPr>
      </xdr:nvPicPr>
      <xdr:blipFill>
        <a:blip xmlns:r="http://schemas.openxmlformats.org/officeDocument/2006/relationships" r:embed="rId231"/>
        <a:stretch>
          <a:fillRect/>
        </a:stretch>
      </xdr:blipFill>
      <xdr:spPr>
        <a:prstGeom prst="rect">
          <a:avLst/>
        </a:prstGeom>
        <a:ln w="9525">
          <a:solidFill>
            <a:srgbClr val="000000"/>
          </a:solidFill>
          <a:prstDash val="solid"/>
        </a:ln>
      </xdr:spPr>
    </xdr:pic>
    <xdr:clientData/>
  </xdr:twoCellAnchor>
  <xdr:twoCellAnchor>
    <xdr:from>
      <xdr:col>3</xdr:col>
      <xdr:colOff>114300</xdr:colOff>
      <xdr:row>650</xdr:row>
      <xdr:rowOff>38100</xdr:rowOff>
    </xdr:from>
    <xdr:to>
      <xdr:col>3</xdr:col>
      <xdr:colOff>1552575</xdr:colOff>
      <xdr:row>651</xdr:row>
      <xdr:rowOff>638175</xdr:rowOff>
    </xdr:to>
    <xdr:pic>
      <xdr:nvPicPr>
        <xdr:cNvPr id="236" name="Имя " descr="Descr ">
          <a:extLst>
            <a:ext uri="{FF2B5EF4-FFF2-40B4-BE49-F238E27FC236}">
              <a16:creationId xmlns:a16="http://schemas.microsoft.com/office/drawing/2014/main" id="{00000000-0008-0000-0000-0000EC000000}"/>
            </a:ext>
          </a:extLst>
        </xdr:cNvPr>
        <xdr:cNvPicPr>
          <a:picLocks noChangeAspect="1"/>
        </xdr:cNvPicPr>
      </xdr:nvPicPr>
      <xdr:blipFill>
        <a:blip xmlns:r="http://schemas.openxmlformats.org/officeDocument/2006/relationships" r:embed="rId232"/>
        <a:stretch>
          <a:fillRect/>
        </a:stretch>
      </xdr:blipFill>
      <xdr:spPr>
        <a:prstGeom prst="rect">
          <a:avLst/>
        </a:prstGeom>
        <a:ln w="9525">
          <a:solidFill>
            <a:srgbClr val="000000"/>
          </a:solidFill>
          <a:prstDash val="solid"/>
        </a:ln>
      </xdr:spPr>
    </xdr:pic>
    <xdr:clientData/>
  </xdr:twoCellAnchor>
  <xdr:twoCellAnchor>
    <xdr:from>
      <xdr:col>3</xdr:col>
      <xdr:colOff>114300</xdr:colOff>
      <xdr:row>652</xdr:row>
      <xdr:rowOff>28575</xdr:rowOff>
    </xdr:from>
    <xdr:to>
      <xdr:col>3</xdr:col>
      <xdr:colOff>1552575</xdr:colOff>
      <xdr:row>654</xdr:row>
      <xdr:rowOff>419100</xdr:rowOff>
    </xdr:to>
    <xdr:pic>
      <xdr:nvPicPr>
        <xdr:cNvPr id="237" name="Имя " descr="Descr ">
          <a:extLst>
            <a:ext uri="{FF2B5EF4-FFF2-40B4-BE49-F238E27FC236}">
              <a16:creationId xmlns:a16="http://schemas.microsoft.com/office/drawing/2014/main" id="{00000000-0008-0000-0000-0000ED000000}"/>
            </a:ext>
          </a:extLst>
        </xdr:cNvPr>
        <xdr:cNvPicPr>
          <a:picLocks noChangeAspect="1"/>
        </xdr:cNvPicPr>
      </xdr:nvPicPr>
      <xdr:blipFill>
        <a:blip xmlns:r="http://schemas.openxmlformats.org/officeDocument/2006/relationships" r:embed="rId233"/>
        <a:stretch>
          <a:fillRect/>
        </a:stretch>
      </xdr:blipFill>
      <xdr:spPr>
        <a:prstGeom prst="rect">
          <a:avLst/>
        </a:prstGeom>
        <a:ln w="9525">
          <a:solidFill>
            <a:srgbClr val="000000"/>
          </a:solidFill>
          <a:prstDash val="solid"/>
        </a:ln>
      </xdr:spPr>
    </xdr:pic>
    <xdr:clientData/>
  </xdr:twoCellAnchor>
  <xdr:twoCellAnchor>
    <xdr:from>
      <xdr:col>3</xdr:col>
      <xdr:colOff>114300</xdr:colOff>
      <xdr:row>655</xdr:row>
      <xdr:rowOff>38100</xdr:rowOff>
    </xdr:from>
    <xdr:to>
      <xdr:col>3</xdr:col>
      <xdr:colOff>1552575</xdr:colOff>
      <xdr:row>656</xdr:row>
      <xdr:rowOff>638175</xdr:rowOff>
    </xdr:to>
    <xdr:pic>
      <xdr:nvPicPr>
        <xdr:cNvPr id="238" name="Имя " descr="Descr ">
          <a:extLst>
            <a:ext uri="{FF2B5EF4-FFF2-40B4-BE49-F238E27FC236}">
              <a16:creationId xmlns:a16="http://schemas.microsoft.com/office/drawing/2014/main" id="{00000000-0008-0000-0000-0000EE000000}"/>
            </a:ext>
          </a:extLst>
        </xdr:cNvPr>
        <xdr:cNvPicPr>
          <a:picLocks noChangeAspect="1"/>
        </xdr:cNvPicPr>
      </xdr:nvPicPr>
      <xdr:blipFill>
        <a:blip xmlns:r="http://schemas.openxmlformats.org/officeDocument/2006/relationships" r:embed="rId234"/>
        <a:stretch>
          <a:fillRect/>
        </a:stretch>
      </xdr:blipFill>
      <xdr:spPr>
        <a:prstGeom prst="rect">
          <a:avLst/>
        </a:prstGeom>
        <a:ln w="9525">
          <a:solidFill>
            <a:srgbClr val="000000"/>
          </a:solidFill>
          <a:prstDash val="solid"/>
        </a:ln>
      </xdr:spPr>
    </xdr:pic>
    <xdr:clientData/>
  </xdr:twoCellAnchor>
  <xdr:twoCellAnchor>
    <xdr:from>
      <xdr:col>3</xdr:col>
      <xdr:colOff>114300</xdr:colOff>
      <xdr:row>657</xdr:row>
      <xdr:rowOff>28575</xdr:rowOff>
    </xdr:from>
    <xdr:to>
      <xdr:col>3</xdr:col>
      <xdr:colOff>1552575</xdr:colOff>
      <xdr:row>660</xdr:row>
      <xdr:rowOff>209550</xdr:rowOff>
    </xdr:to>
    <xdr:pic>
      <xdr:nvPicPr>
        <xdr:cNvPr id="239" name="Имя " descr="Descr ">
          <a:extLst>
            <a:ext uri="{FF2B5EF4-FFF2-40B4-BE49-F238E27FC236}">
              <a16:creationId xmlns:a16="http://schemas.microsoft.com/office/drawing/2014/main" id="{00000000-0008-0000-0000-0000EF000000}"/>
            </a:ext>
          </a:extLst>
        </xdr:cNvPr>
        <xdr:cNvPicPr>
          <a:picLocks noChangeAspect="1"/>
        </xdr:cNvPicPr>
      </xdr:nvPicPr>
      <xdr:blipFill>
        <a:blip xmlns:r="http://schemas.openxmlformats.org/officeDocument/2006/relationships" r:embed="rId235"/>
        <a:stretch>
          <a:fillRect/>
        </a:stretch>
      </xdr:blipFill>
      <xdr:spPr>
        <a:prstGeom prst="rect">
          <a:avLst/>
        </a:prstGeom>
        <a:ln w="9525">
          <a:solidFill>
            <a:srgbClr val="000000"/>
          </a:solidFill>
          <a:prstDash val="solid"/>
        </a:ln>
      </xdr:spPr>
    </xdr:pic>
    <xdr:clientData/>
  </xdr:twoCellAnchor>
  <xdr:twoCellAnchor>
    <xdr:from>
      <xdr:col>3</xdr:col>
      <xdr:colOff>114300</xdr:colOff>
      <xdr:row>661</xdr:row>
      <xdr:rowOff>28575</xdr:rowOff>
    </xdr:from>
    <xdr:to>
      <xdr:col>3</xdr:col>
      <xdr:colOff>1552575</xdr:colOff>
      <xdr:row>669</xdr:row>
      <xdr:rowOff>133350</xdr:rowOff>
    </xdr:to>
    <xdr:pic>
      <xdr:nvPicPr>
        <xdr:cNvPr id="240" name="Имя " descr="Descr ">
          <a:extLst>
            <a:ext uri="{FF2B5EF4-FFF2-40B4-BE49-F238E27FC236}">
              <a16:creationId xmlns:a16="http://schemas.microsoft.com/office/drawing/2014/main" id="{00000000-0008-0000-0000-0000F0000000}"/>
            </a:ext>
          </a:extLst>
        </xdr:cNvPr>
        <xdr:cNvPicPr>
          <a:picLocks noChangeAspect="1"/>
        </xdr:cNvPicPr>
      </xdr:nvPicPr>
      <xdr:blipFill>
        <a:blip xmlns:r="http://schemas.openxmlformats.org/officeDocument/2006/relationships" r:embed="rId236"/>
        <a:stretch>
          <a:fillRect/>
        </a:stretch>
      </xdr:blipFill>
      <xdr:spPr>
        <a:prstGeom prst="rect">
          <a:avLst/>
        </a:prstGeom>
        <a:ln w="9525">
          <a:solidFill>
            <a:srgbClr val="000000"/>
          </a:solidFill>
          <a:prstDash val="solid"/>
        </a:ln>
      </xdr:spPr>
    </xdr:pic>
    <xdr:clientData/>
  </xdr:twoCellAnchor>
  <xdr:twoCellAnchor>
    <xdr:from>
      <xdr:col>3</xdr:col>
      <xdr:colOff>114300</xdr:colOff>
      <xdr:row>670</xdr:row>
      <xdr:rowOff>28575</xdr:rowOff>
    </xdr:from>
    <xdr:to>
      <xdr:col>3</xdr:col>
      <xdr:colOff>1552575</xdr:colOff>
      <xdr:row>670</xdr:row>
      <xdr:rowOff>1266825</xdr:rowOff>
    </xdr:to>
    <xdr:pic>
      <xdr:nvPicPr>
        <xdr:cNvPr id="241" name="Имя " descr="Descr ">
          <a:extLst>
            <a:ext uri="{FF2B5EF4-FFF2-40B4-BE49-F238E27FC236}">
              <a16:creationId xmlns:a16="http://schemas.microsoft.com/office/drawing/2014/main" id="{00000000-0008-0000-0000-0000F1000000}"/>
            </a:ext>
          </a:extLst>
        </xdr:cNvPr>
        <xdr:cNvPicPr>
          <a:picLocks noChangeAspect="1"/>
        </xdr:cNvPicPr>
      </xdr:nvPicPr>
      <xdr:blipFill>
        <a:blip xmlns:r="http://schemas.openxmlformats.org/officeDocument/2006/relationships" r:embed="rId237"/>
        <a:stretch>
          <a:fillRect/>
        </a:stretch>
      </xdr:blipFill>
      <xdr:spPr>
        <a:prstGeom prst="rect">
          <a:avLst/>
        </a:prstGeom>
        <a:ln w="9525">
          <a:solidFill>
            <a:srgbClr val="000000"/>
          </a:solidFill>
          <a:prstDash val="solid"/>
        </a:ln>
      </xdr:spPr>
    </xdr:pic>
    <xdr:clientData/>
  </xdr:twoCellAnchor>
  <xdr:twoCellAnchor>
    <xdr:from>
      <xdr:col>3</xdr:col>
      <xdr:colOff>114300</xdr:colOff>
      <xdr:row>671</xdr:row>
      <xdr:rowOff>38100</xdr:rowOff>
    </xdr:from>
    <xdr:to>
      <xdr:col>3</xdr:col>
      <xdr:colOff>1552575</xdr:colOff>
      <xdr:row>672</xdr:row>
      <xdr:rowOff>638175</xdr:rowOff>
    </xdr:to>
    <xdr:pic>
      <xdr:nvPicPr>
        <xdr:cNvPr id="242" name="Имя " descr="Descr ">
          <a:extLst>
            <a:ext uri="{FF2B5EF4-FFF2-40B4-BE49-F238E27FC236}">
              <a16:creationId xmlns:a16="http://schemas.microsoft.com/office/drawing/2014/main" id="{00000000-0008-0000-0000-0000F2000000}"/>
            </a:ext>
          </a:extLst>
        </xdr:cNvPr>
        <xdr:cNvPicPr>
          <a:picLocks noChangeAspect="1"/>
        </xdr:cNvPicPr>
      </xdr:nvPicPr>
      <xdr:blipFill>
        <a:blip xmlns:r="http://schemas.openxmlformats.org/officeDocument/2006/relationships" r:embed="rId238"/>
        <a:stretch>
          <a:fillRect/>
        </a:stretch>
      </xdr:blipFill>
      <xdr:spPr>
        <a:prstGeom prst="rect">
          <a:avLst/>
        </a:prstGeom>
        <a:ln w="9525">
          <a:solidFill>
            <a:srgbClr val="000000"/>
          </a:solidFill>
          <a:prstDash val="solid"/>
        </a:ln>
      </xdr:spPr>
    </xdr:pic>
    <xdr:clientData/>
  </xdr:twoCellAnchor>
  <xdr:twoCellAnchor>
    <xdr:from>
      <xdr:col>3</xdr:col>
      <xdr:colOff>114300</xdr:colOff>
      <xdr:row>673</xdr:row>
      <xdr:rowOff>38100</xdr:rowOff>
    </xdr:from>
    <xdr:to>
      <xdr:col>3</xdr:col>
      <xdr:colOff>1552575</xdr:colOff>
      <xdr:row>674</xdr:row>
      <xdr:rowOff>638175</xdr:rowOff>
    </xdr:to>
    <xdr:pic>
      <xdr:nvPicPr>
        <xdr:cNvPr id="243" name="Имя " descr="Descr ">
          <a:extLst>
            <a:ext uri="{FF2B5EF4-FFF2-40B4-BE49-F238E27FC236}">
              <a16:creationId xmlns:a16="http://schemas.microsoft.com/office/drawing/2014/main" id="{00000000-0008-0000-0000-0000F3000000}"/>
            </a:ext>
          </a:extLst>
        </xdr:cNvPr>
        <xdr:cNvPicPr>
          <a:picLocks noChangeAspect="1"/>
        </xdr:cNvPicPr>
      </xdr:nvPicPr>
      <xdr:blipFill>
        <a:blip xmlns:r="http://schemas.openxmlformats.org/officeDocument/2006/relationships" r:embed="rId239"/>
        <a:stretch>
          <a:fillRect/>
        </a:stretch>
      </xdr:blipFill>
      <xdr:spPr>
        <a:prstGeom prst="rect">
          <a:avLst/>
        </a:prstGeom>
        <a:ln w="9525">
          <a:solidFill>
            <a:srgbClr val="000000"/>
          </a:solidFill>
          <a:prstDash val="solid"/>
        </a:ln>
      </xdr:spPr>
    </xdr:pic>
    <xdr:clientData/>
  </xdr:twoCellAnchor>
  <xdr:twoCellAnchor>
    <xdr:from>
      <xdr:col>3</xdr:col>
      <xdr:colOff>114300</xdr:colOff>
      <xdr:row>675</xdr:row>
      <xdr:rowOff>28575</xdr:rowOff>
    </xdr:from>
    <xdr:to>
      <xdr:col>3</xdr:col>
      <xdr:colOff>1552575</xdr:colOff>
      <xdr:row>675</xdr:row>
      <xdr:rowOff>1266825</xdr:rowOff>
    </xdr:to>
    <xdr:pic>
      <xdr:nvPicPr>
        <xdr:cNvPr id="244" name="Имя " descr="Descr ">
          <a:extLst>
            <a:ext uri="{FF2B5EF4-FFF2-40B4-BE49-F238E27FC236}">
              <a16:creationId xmlns:a16="http://schemas.microsoft.com/office/drawing/2014/main" id="{00000000-0008-0000-0000-0000F4000000}"/>
            </a:ext>
          </a:extLst>
        </xdr:cNvPr>
        <xdr:cNvPicPr>
          <a:picLocks noChangeAspect="1"/>
        </xdr:cNvPicPr>
      </xdr:nvPicPr>
      <xdr:blipFill>
        <a:blip xmlns:r="http://schemas.openxmlformats.org/officeDocument/2006/relationships" r:embed="rId240"/>
        <a:stretch>
          <a:fillRect/>
        </a:stretch>
      </xdr:blipFill>
      <xdr:spPr>
        <a:prstGeom prst="rect">
          <a:avLst/>
        </a:prstGeom>
        <a:ln w="9525">
          <a:solidFill>
            <a:srgbClr val="000000"/>
          </a:solidFill>
          <a:prstDash val="solid"/>
        </a:ln>
      </xdr:spPr>
    </xdr:pic>
    <xdr:clientData/>
  </xdr:twoCellAnchor>
  <xdr:twoCellAnchor>
    <xdr:from>
      <xdr:col>3</xdr:col>
      <xdr:colOff>114300</xdr:colOff>
      <xdr:row>676</xdr:row>
      <xdr:rowOff>28575</xdr:rowOff>
    </xdr:from>
    <xdr:to>
      <xdr:col>3</xdr:col>
      <xdr:colOff>1552575</xdr:colOff>
      <xdr:row>676</xdr:row>
      <xdr:rowOff>1266825</xdr:rowOff>
    </xdr:to>
    <xdr:pic>
      <xdr:nvPicPr>
        <xdr:cNvPr id="245" name="Имя " descr="Descr ">
          <a:extLst>
            <a:ext uri="{FF2B5EF4-FFF2-40B4-BE49-F238E27FC236}">
              <a16:creationId xmlns:a16="http://schemas.microsoft.com/office/drawing/2014/main" id="{00000000-0008-0000-0000-0000F5000000}"/>
            </a:ext>
          </a:extLst>
        </xdr:cNvPr>
        <xdr:cNvPicPr>
          <a:picLocks noChangeAspect="1"/>
        </xdr:cNvPicPr>
      </xdr:nvPicPr>
      <xdr:blipFill>
        <a:blip xmlns:r="http://schemas.openxmlformats.org/officeDocument/2006/relationships" r:embed="rId241"/>
        <a:stretch>
          <a:fillRect/>
        </a:stretch>
      </xdr:blipFill>
      <xdr:spPr>
        <a:prstGeom prst="rect">
          <a:avLst/>
        </a:prstGeom>
        <a:ln w="9525">
          <a:solidFill>
            <a:srgbClr val="000000"/>
          </a:solidFill>
          <a:prstDash val="solid"/>
        </a:ln>
      </xdr:spPr>
    </xdr:pic>
    <xdr:clientData/>
  </xdr:twoCellAnchor>
  <xdr:twoCellAnchor>
    <xdr:from>
      <xdr:col>3</xdr:col>
      <xdr:colOff>114300</xdr:colOff>
      <xdr:row>677</xdr:row>
      <xdr:rowOff>28575</xdr:rowOff>
    </xdr:from>
    <xdr:to>
      <xdr:col>3</xdr:col>
      <xdr:colOff>1552575</xdr:colOff>
      <xdr:row>679</xdr:row>
      <xdr:rowOff>419100</xdr:rowOff>
    </xdr:to>
    <xdr:pic>
      <xdr:nvPicPr>
        <xdr:cNvPr id="246" name="Имя " descr="Descr ">
          <a:extLst>
            <a:ext uri="{FF2B5EF4-FFF2-40B4-BE49-F238E27FC236}">
              <a16:creationId xmlns:a16="http://schemas.microsoft.com/office/drawing/2014/main" id="{00000000-0008-0000-0000-0000F6000000}"/>
            </a:ext>
          </a:extLst>
        </xdr:cNvPr>
        <xdr:cNvPicPr>
          <a:picLocks noChangeAspect="1"/>
        </xdr:cNvPicPr>
      </xdr:nvPicPr>
      <xdr:blipFill>
        <a:blip xmlns:r="http://schemas.openxmlformats.org/officeDocument/2006/relationships" r:embed="rId242"/>
        <a:stretch>
          <a:fillRect/>
        </a:stretch>
      </xdr:blipFill>
      <xdr:spPr>
        <a:prstGeom prst="rect">
          <a:avLst/>
        </a:prstGeom>
        <a:ln w="9525">
          <a:solidFill>
            <a:srgbClr val="000000"/>
          </a:solidFill>
          <a:prstDash val="solid"/>
        </a:ln>
      </xdr:spPr>
    </xdr:pic>
    <xdr:clientData/>
  </xdr:twoCellAnchor>
  <xdr:twoCellAnchor>
    <xdr:from>
      <xdr:col>3</xdr:col>
      <xdr:colOff>114300</xdr:colOff>
      <xdr:row>680</xdr:row>
      <xdr:rowOff>28575</xdr:rowOff>
    </xdr:from>
    <xdr:to>
      <xdr:col>3</xdr:col>
      <xdr:colOff>1552575</xdr:colOff>
      <xdr:row>682</xdr:row>
      <xdr:rowOff>419100</xdr:rowOff>
    </xdr:to>
    <xdr:pic>
      <xdr:nvPicPr>
        <xdr:cNvPr id="247" name="Имя " descr="Descr ">
          <a:extLst>
            <a:ext uri="{FF2B5EF4-FFF2-40B4-BE49-F238E27FC236}">
              <a16:creationId xmlns:a16="http://schemas.microsoft.com/office/drawing/2014/main" id="{00000000-0008-0000-0000-0000F7000000}"/>
            </a:ext>
          </a:extLst>
        </xdr:cNvPr>
        <xdr:cNvPicPr>
          <a:picLocks noChangeAspect="1"/>
        </xdr:cNvPicPr>
      </xdr:nvPicPr>
      <xdr:blipFill>
        <a:blip xmlns:r="http://schemas.openxmlformats.org/officeDocument/2006/relationships" r:embed="rId243"/>
        <a:stretch>
          <a:fillRect/>
        </a:stretch>
      </xdr:blipFill>
      <xdr:spPr>
        <a:prstGeom prst="rect">
          <a:avLst/>
        </a:prstGeom>
        <a:ln w="9525">
          <a:solidFill>
            <a:srgbClr val="000000"/>
          </a:solidFill>
          <a:prstDash val="solid"/>
        </a:ln>
      </xdr:spPr>
    </xdr:pic>
    <xdr:clientData/>
  </xdr:twoCellAnchor>
  <xdr:twoCellAnchor>
    <xdr:from>
      <xdr:col>3</xdr:col>
      <xdr:colOff>114300</xdr:colOff>
      <xdr:row>683</xdr:row>
      <xdr:rowOff>38100</xdr:rowOff>
    </xdr:from>
    <xdr:to>
      <xdr:col>3</xdr:col>
      <xdr:colOff>1552575</xdr:colOff>
      <xdr:row>684</xdr:row>
      <xdr:rowOff>638175</xdr:rowOff>
    </xdr:to>
    <xdr:pic>
      <xdr:nvPicPr>
        <xdr:cNvPr id="248" name="Имя " descr="Descr ">
          <a:extLst>
            <a:ext uri="{FF2B5EF4-FFF2-40B4-BE49-F238E27FC236}">
              <a16:creationId xmlns:a16="http://schemas.microsoft.com/office/drawing/2014/main" id="{00000000-0008-0000-0000-0000F8000000}"/>
            </a:ext>
          </a:extLst>
        </xdr:cNvPr>
        <xdr:cNvPicPr>
          <a:picLocks noChangeAspect="1"/>
        </xdr:cNvPicPr>
      </xdr:nvPicPr>
      <xdr:blipFill>
        <a:blip xmlns:r="http://schemas.openxmlformats.org/officeDocument/2006/relationships" r:embed="rId244"/>
        <a:stretch>
          <a:fillRect/>
        </a:stretch>
      </xdr:blipFill>
      <xdr:spPr>
        <a:prstGeom prst="rect">
          <a:avLst/>
        </a:prstGeom>
        <a:ln w="9525">
          <a:solidFill>
            <a:srgbClr val="000000"/>
          </a:solidFill>
          <a:prstDash val="solid"/>
        </a:ln>
      </xdr:spPr>
    </xdr:pic>
    <xdr:clientData/>
  </xdr:twoCellAnchor>
  <xdr:twoCellAnchor>
    <xdr:from>
      <xdr:col>3</xdr:col>
      <xdr:colOff>114300</xdr:colOff>
      <xdr:row>685</xdr:row>
      <xdr:rowOff>38100</xdr:rowOff>
    </xdr:from>
    <xdr:to>
      <xdr:col>3</xdr:col>
      <xdr:colOff>1552575</xdr:colOff>
      <xdr:row>686</xdr:row>
      <xdr:rowOff>638175</xdr:rowOff>
    </xdr:to>
    <xdr:pic>
      <xdr:nvPicPr>
        <xdr:cNvPr id="249" name="Имя " descr="Descr ">
          <a:extLst>
            <a:ext uri="{FF2B5EF4-FFF2-40B4-BE49-F238E27FC236}">
              <a16:creationId xmlns:a16="http://schemas.microsoft.com/office/drawing/2014/main" id="{00000000-0008-0000-0000-0000F9000000}"/>
            </a:ext>
          </a:extLst>
        </xdr:cNvPr>
        <xdr:cNvPicPr>
          <a:picLocks noChangeAspect="1"/>
        </xdr:cNvPicPr>
      </xdr:nvPicPr>
      <xdr:blipFill>
        <a:blip xmlns:r="http://schemas.openxmlformats.org/officeDocument/2006/relationships" r:embed="rId245"/>
        <a:stretch>
          <a:fillRect/>
        </a:stretch>
      </xdr:blipFill>
      <xdr:spPr>
        <a:prstGeom prst="rect">
          <a:avLst/>
        </a:prstGeom>
        <a:ln w="9525">
          <a:solidFill>
            <a:srgbClr val="000000"/>
          </a:solidFill>
          <a:prstDash val="solid"/>
        </a:ln>
      </xdr:spPr>
    </xdr:pic>
    <xdr:clientData/>
  </xdr:twoCellAnchor>
  <xdr:twoCellAnchor>
    <xdr:from>
      <xdr:col>3</xdr:col>
      <xdr:colOff>114300</xdr:colOff>
      <xdr:row>687</xdr:row>
      <xdr:rowOff>28575</xdr:rowOff>
    </xdr:from>
    <xdr:to>
      <xdr:col>3</xdr:col>
      <xdr:colOff>1552575</xdr:colOff>
      <xdr:row>687</xdr:row>
      <xdr:rowOff>1266825</xdr:rowOff>
    </xdr:to>
    <xdr:pic>
      <xdr:nvPicPr>
        <xdr:cNvPr id="250" name="Имя " descr="Descr ">
          <a:extLst>
            <a:ext uri="{FF2B5EF4-FFF2-40B4-BE49-F238E27FC236}">
              <a16:creationId xmlns:a16="http://schemas.microsoft.com/office/drawing/2014/main" id="{00000000-0008-0000-0000-0000FA000000}"/>
            </a:ext>
          </a:extLst>
        </xdr:cNvPr>
        <xdr:cNvPicPr>
          <a:picLocks noChangeAspect="1"/>
        </xdr:cNvPicPr>
      </xdr:nvPicPr>
      <xdr:blipFill>
        <a:blip xmlns:r="http://schemas.openxmlformats.org/officeDocument/2006/relationships" r:embed="rId246"/>
        <a:stretch>
          <a:fillRect/>
        </a:stretch>
      </xdr:blipFill>
      <xdr:spPr>
        <a:prstGeom prst="rect">
          <a:avLst/>
        </a:prstGeom>
        <a:ln w="9525">
          <a:solidFill>
            <a:srgbClr val="000000"/>
          </a:solidFill>
          <a:prstDash val="solid"/>
        </a:ln>
      </xdr:spPr>
    </xdr:pic>
    <xdr:clientData/>
  </xdr:twoCellAnchor>
  <xdr:twoCellAnchor>
    <xdr:from>
      <xdr:col>3</xdr:col>
      <xdr:colOff>114300</xdr:colOff>
      <xdr:row>688</xdr:row>
      <xdr:rowOff>28575</xdr:rowOff>
    </xdr:from>
    <xdr:to>
      <xdr:col>3</xdr:col>
      <xdr:colOff>1552575</xdr:colOff>
      <xdr:row>688</xdr:row>
      <xdr:rowOff>1266825</xdr:rowOff>
    </xdr:to>
    <xdr:pic>
      <xdr:nvPicPr>
        <xdr:cNvPr id="251" name="Имя " descr="Descr ">
          <a:extLst>
            <a:ext uri="{FF2B5EF4-FFF2-40B4-BE49-F238E27FC236}">
              <a16:creationId xmlns:a16="http://schemas.microsoft.com/office/drawing/2014/main" id="{00000000-0008-0000-0000-0000FB000000}"/>
            </a:ext>
          </a:extLst>
        </xdr:cNvPr>
        <xdr:cNvPicPr>
          <a:picLocks noChangeAspect="1"/>
        </xdr:cNvPicPr>
      </xdr:nvPicPr>
      <xdr:blipFill>
        <a:blip xmlns:r="http://schemas.openxmlformats.org/officeDocument/2006/relationships" r:embed="rId247"/>
        <a:stretch>
          <a:fillRect/>
        </a:stretch>
      </xdr:blipFill>
      <xdr:spPr>
        <a:prstGeom prst="rect">
          <a:avLst/>
        </a:prstGeom>
        <a:ln w="9525">
          <a:solidFill>
            <a:srgbClr val="000000"/>
          </a:solidFill>
          <a:prstDash val="solid"/>
        </a:ln>
      </xdr:spPr>
    </xdr:pic>
    <xdr:clientData/>
  </xdr:twoCellAnchor>
  <xdr:twoCellAnchor>
    <xdr:from>
      <xdr:col>3</xdr:col>
      <xdr:colOff>114300</xdr:colOff>
      <xdr:row>689</xdr:row>
      <xdr:rowOff>28575</xdr:rowOff>
    </xdr:from>
    <xdr:to>
      <xdr:col>3</xdr:col>
      <xdr:colOff>1552575</xdr:colOff>
      <xdr:row>689</xdr:row>
      <xdr:rowOff>1266825</xdr:rowOff>
    </xdr:to>
    <xdr:pic>
      <xdr:nvPicPr>
        <xdr:cNvPr id="252" name="Имя " descr="Descr ">
          <a:extLst>
            <a:ext uri="{FF2B5EF4-FFF2-40B4-BE49-F238E27FC236}">
              <a16:creationId xmlns:a16="http://schemas.microsoft.com/office/drawing/2014/main" id="{00000000-0008-0000-0000-0000FC000000}"/>
            </a:ext>
          </a:extLst>
        </xdr:cNvPr>
        <xdr:cNvPicPr>
          <a:picLocks noChangeAspect="1"/>
        </xdr:cNvPicPr>
      </xdr:nvPicPr>
      <xdr:blipFill>
        <a:blip xmlns:r="http://schemas.openxmlformats.org/officeDocument/2006/relationships" r:embed="rId248"/>
        <a:stretch>
          <a:fillRect/>
        </a:stretch>
      </xdr:blipFill>
      <xdr:spPr>
        <a:prstGeom prst="rect">
          <a:avLst/>
        </a:prstGeom>
        <a:ln w="9525">
          <a:solidFill>
            <a:srgbClr val="000000"/>
          </a:solidFill>
          <a:prstDash val="solid"/>
        </a:ln>
      </xdr:spPr>
    </xdr:pic>
    <xdr:clientData/>
  </xdr:twoCellAnchor>
  <xdr:twoCellAnchor>
    <xdr:from>
      <xdr:col>3</xdr:col>
      <xdr:colOff>114300</xdr:colOff>
      <xdr:row>690</xdr:row>
      <xdr:rowOff>28575</xdr:rowOff>
    </xdr:from>
    <xdr:to>
      <xdr:col>3</xdr:col>
      <xdr:colOff>1552575</xdr:colOff>
      <xdr:row>690</xdr:row>
      <xdr:rowOff>1266825</xdr:rowOff>
    </xdr:to>
    <xdr:pic>
      <xdr:nvPicPr>
        <xdr:cNvPr id="253" name="Имя " descr="Descr ">
          <a:extLst>
            <a:ext uri="{FF2B5EF4-FFF2-40B4-BE49-F238E27FC236}">
              <a16:creationId xmlns:a16="http://schemas.microsoft.com/office/drawing/2014/main" id="{00000000-0008-0000-0000-0000FD000000}"/>
            </a:ext>
          </a:extLst>
        </xdr:cNvPr>
        <xdr:cNvPicPr>
          <a:picLocks noChangeAspect="1"/>
        </xdr:cNvPicPr>
      </xdr:nvPicPr>
      <xdr:blipFill>
        <a:blip xmlns:r="http://schemas.openxmlformats.org/officeDocument/2006/relationships" r:embed="rId249"/>
        <a:stretch>
          <a:fillRect/>
        </a:stretch>
      </xdr:blipFill>
      <xdr:spPr>
        <a:prstGeom prst="rect">
          <a:avLst/>
        </a:prstGeom>
        <a:ln w="9525">
          <a:solidFill>
            <a:srgbClr val="000000"/>
          </a:solidFill>
          <a:prstDash val="solid"/>
        </a:ln>
      </xdr:spPr>
    </xdr:pic>
    <xdr:clientData/>
  </xdr:twoCellAnchor>
  <xdr:twoCellAnchor>
    <xdr:from>
      <xdr:col>3</xdr:col>
      <xdr:colOff>114300</xdr:colOff>
      <xdr:row>691</xdr:row>
      <xdr:rowOff>28575</xdr:rowOff>
    </xdr:from>
    <xdr:to>
      <xdr:col>3</xdr:col>
      <xdr:colOff>1552575</xdr:colOff>
      <xdr:row>696</xdr:row>
      <xdr:rowOff>209550</xdr:rowOff>
    </xdr:to>
    <xdr:pic>
      <xdr:nvPicPr>
        <xdr:cNvPr id="254" name="Имя " descr="Descr ">
          <a:extLst>
            <a:ext uri="{FF2B5EF4-FFF2-40B4-BE49-F238E27FC236}">
              <a16:creationId xmlns:a16="http://schemas.microsoft.com/office/drawing/2014/main" id="{00000000-0008-0000-0000-0000FE000000}"/>
            </a:ext>
          </a:extLst>
        </xdr:cNvPr>
        <xdr:cNvPicPr>
          <a:picLocks noChangeAspect="1"/>
        </xdr:cNvPicPr>
      </xdr:nvPicPr>
      <xdr:blipFill>
        <a:blip xmlns:r="http://schemas.openxmlformats.org/officeDocument/2006/relationships" r:embed="rId250"/>
        <a:stretch>
          <a:fillRect/>
        </a:stretch>
      </xdr:blipFill>
      <xdr:spPr>
        <a:prstGeom prst="rect">
          <a:avLst/>
        </a:prstGeom>
        <a:ln w="9525">
          <a:solidFill>
            <a:srgbClr val="000000"/>
          </a:solidFill>
          <a:prstDash val="solid"/>
        </a:ln>
      </xdr:spPr>
    </xdr:pic>
    <xdr:clientData/>
  </xdr:twoCellAnchor>
  <xdr:twoCellAnchor>
    <xdr:from>
      <xdr:col>3</xdr:col>
      <xdr:colOff>114300</xdr:colOff>
      <xdr:row>697</xdr:row>
      <xdr:rowOff>28575</xdr:rowOff>
    </xdr:from>
    <xdr:to>
      <xdr:col>3</xdr:col>
      <xdr:colOff>1552575</xdr:colOff>
      <xdr:row>699</xdr:row>
      <xdr:rowOff>419100</xdr:rowOff>
    </xdr:to>
    <xdr:pic>
      <xdr:nvPicPr>
        <xdr:cNvPr id="255" name="Имя " descr="Descr ">
          <a:extLst>
            <a:ext uri="{FF2B5EF4-FFF2-40B4-BE49-F238E27FC236}">
              <a16:creationId xmlns:a16="http://schemas.microsoft.com/office/drawing/2014/main" id="{00000000-0008-0000-0000-0000FF000000}"/>
            </a:ext>
          </a:extLst>
        </xdr:cNvPr>
        <xdr:cNvPicPr>
          <a:picLocks noChangeAspect="1"/>
        </xdr:cNvPicPr>
      </xdr:nvPicPr>
      <xdr:blipFill>
        <a:blip xmlns:r="http://schemas.openxmlformats.org/officeDocument/2006/relationships" r:embed="rId251"/>
        <a:stretch>
          <a:fillRect/>
        </a:stretch>
      </xdr:blipFill>
      <xdr:spPr>
        <a:prstGeom prst="rect">
          <a:avLst/>
        </a:prstGeom>
        <a:ln w="9525">
          <a:solidFill>
            <a:srgbClr val="000000"/>
          </a:solidFill>
          <a:prstDash val="solid"/>
        </a:ln>
      </xdr:spPr>
    </xdr:pic>
    <xdr:clientData/>
  </xdr:twoCellAnchor>
  <xdr:twoCellAnchor>
    <xdr:from>
      <xdr:col>3</xdr:col>
      <xdr:colOff>114300</xdr:colOff>
      <xdr:row>700</xdr:row>
      <xdr:rowOff>28575</xdr:rowOff>
    </xdr:from>
    <xdr:to>
      <xdr:col>3</xdr:col>
      <xdr:colOff>1552575</xdr:colOff>
      <xdr:row>704</xdr:row>
      <xdr:rowOff>333375</xdr:rowOff>
    </xdr:to>
    <xdr:pic>
      <xdr:nvPicPr>
        <xdr:cNvPr id="256" name="Имя " descr="Descr ">
          <a:extLst>
            <a:ext uri="{FF2B5EF4-FFF2-40B4-BE49-F238E27FC236}">
              <a16:creationId xmlns:a16="http://schemas.microsoft.com/office/drawing/2014/main" id="{00000000-0008-0000-0000-000000010000}"/>
            </a:ext>
          </a:extLst>
        </xdr:cNvPr>
        <xdr:cNvPicPr>
          <a:picLocks noChangeAspect="1"/>
        </xdr:cNvPicPr>
      </xdr:nvPicPr>
      <xdr:blipFill>
        <a:blip xmlns:r="http://schemas.openxmlformats.org/officeDocument/2006/relationships" r:embed="rId252"/>
        <a:stretch>
          <a:fillRect/>
        </a:stretch>
      </xdr:blipFill>
      <xdr:spPr>
        <a:prstGeom prst="rect">
          <a:avLst/>
        </a:prstGeom>
        <a:ln w="9525">
          <a:solidFill>
            <a:srgbClr val="000000"/>
          </a:solidFill>
          <a:prstDash val="solid"/>
        </a:ln>
      </xdr:spPr>
    </xdr:pic>
    <xdr:clientData/>
  </xdr:twoCellAnchor>
  <xdr:twoCellAnchor>
    <xdr:from>
      <xdr:col>3</xdr:col>
      <xdr:colOff>114300</xdr:colOff>
      <xdr:row>705</xdr:row>
      <xdr:rowOff>28575</xdr:rowOff>
    </xdr:from>
    <xdr:to>
      <xdr:col>3</xdr:col>
      <xdr:colOff>1552575</xdr:colOff>
      <xdr:row>708</xdr:row>
      <xdr:rowOff>209550</xdr:rowOff>
    </xdr:to>
    <xdr:pic>
      <xdr:nvPicPr>
        <xdr:cNvPr id="257" name="Имя " descr="Descr ">
          <a:extLst>
            <a:ext uri="{FF2B5EF4-FFF2-40B4-BE49-F238E27FC236}">
              <a16:creationId xmlns:a16="http://schemas.microsoft.com/office/drawing/2014/main" id="{00000000-0008-0000-0000-000001010000}"/>
            </a:ext>
          </a:extLst>
        </xdr:cNvPr>
        <xdr:cNvPicPr>
          <a:picLocks noChangeAspect="1"/>
        </xdr:cNvPicPr>
      </xdr:nvPicPr>
      <xdr:blipFill>
        <a:blip xmlns:r="http://schemas.openxmlformats.org/officeDocument/2006/relationships" r:embed="rId253"/>
        <a:stretch>
          <a:fillRect/>
        </a:stretch>
      </xdr:blipFill>
      <xdr:spPr>
        <a:prstGeom prst="rect">
          <a:avLst/>
        </a:prstGeom>
        <a:ln w="9525">
          <a:solidFill>
            <a:srgbClr val="000000"/>
          </a:solidFill>
          <a:prstDash val="solid"/>
        </a:ln>
      </xdr:spPr>
    </xdr:pic>
    <xdr:clientData/>
  </xdr:twoCellAnchor>
  <xdr:twoCellAnchor>
    <xdr:from>
      <xdr:col>3</xdr:col>
      <xdr:colOff>114300</xdr:colOff>
      <xdr:row>709</xdr:row>
      <xdr:rowOff>28575</xdr:rowOff>
    </xdr:from>
    <xdr:to>
      <xdr:col>3</xdr:col>
      <xdr:colOff>1552575</xdr:colOff>
      <xdr:row>717</xdr:row>
      <xdr:rowOff>133350</xdr:rowOff>
    </xdr:to>
    <xdr:pic>
      <xdr:nvPicPr>
        <xdr:cNvPr id="258" name="Имя " descr="Descr ">
          <a:extLst>
            <a:ext uri="{FF2B5EF4-FFF2-40B4-BE49-F238E27FC236}">
              <a16:creationId xmlns:a16="http://schemas.microsoft.com/office/drawing/2014/main" id="{00000000-0008-0000-0000-000002010000}"/>
            </a:ext>
          </a:extLst>
        </xdr:cNvPr>
        <xdr:cNvPicPr>
          <a:picLocks noChangeAspect="1"/>
        </xdr:cNvPicPr>
      </xdr:nvPicPr>
      <xdr:blipFill>
        <a:blip xmlns:r="http://schemas.openxmlformats.org/officeDocument/2006/relationships" r:embed="rId254"/>
        <a:stretch>
          <a:fillRect/>
        </a:stretch>
      </xdr:blipFill>
      <xdr:spPr>
        <a:prstGeom prst="rect">
          <a:avLst/>
        </a:prstGeom>
        <a:ln w="9525">
          <a:solidFill>
            <a:srgbClr val="000000"/>
          </a:solidFill>
          <a:prstDash val="solid"/>
        </a:ln>
      </xdr:spPr>
    </xdr:pic>
    <xdr:clientData/>
  </xdr:twoCellAnchor>
  <xdr:twoCellAnchor>
    <xdr:from>
      <xdr:col>3</xdr:col>
      <xdr:colOff>114300</xdr:colOff>
      <xdr:row>718</xdr:row>
      <xdr:rowOff>28575</xdr:rowOff>
    </xdr:from>
    <xdr:to>
      <xdr:col>3</xdr:col>
      <xdr:colOff>1552575</xdr:colOff>
      <xdr:row>724</xdr:row>
      <xdr:rowOff>171450</xdr:rowOff>
    </xdr:to>
    <xdr:pic>
      <xdr:nvPicPr>
        <xdr:cNvPr id="259" name="Имя " descr="Descr ">
          <a:extLst>
            <a:ext uri="{FF2B5EF4-FFF2-40B4-BE49-F238E27FC236}">
              <a16:creationId xmlns:a16="http://schemas.microsoft.com/office/drawing/2014/main" id="{00000000-0008-0000-0000-000003010000}"/>
            </a:ext>
          </a:extLst>
        </xdr:cNvPr>
        <xdr:cNvPicPr>
          <a:picLocks noChangeAspect="1"/>
        </xdr:cNvPicPr>
      </xdr:nvPicPr>
      <xdr:blipFill>
        <a:blip xmlns:r="http://schemas.openxmlformats.org/officeDocument/2006/relationships" r:embed="rId255"/>
        <a:stretch>
          <a:fillRect/>
        </a:stretch>
      </xdr:blipFill>
      <xdr:spPr>
        <a:prstGeom prst="rect">
          <a:avLst/>
        </a:prstGeom>
        <a:ln w="9525">
          <a:solidFill>
            <a:srgbClr val="000000"/>
          </a:solidFill>
          <a:prstDash val="solid"/>
        </a:ln>
      </xdr:spPr>
    </xdr:pic>
    <xdr:clientData/>
  </xdr:twoCellAnchor>
  <xdr:twoCellAnchor>
    <xdr:from>
      <xdr:col>3</xdr:col>
      <xdr:colOff>114300</xdr:colOff>
      <xdr:row>725</xdr:row>
      <xdr:rowOff>38100</xdr:rowOff>
    </xdr:from>
    <xdr:to>
      <xdr:col>3</xdr:col>
      <xdr:colOff>1552575</xdr:colOff>
      <xdr:row>726</xdr:row>
      <xdr:rowOff>638175</xdr:rowOff>
    </xdr:to>
    <xdr:pic>
      <xdr:nvPicPr>
        <xdr:cNvPr id="260" name="Имя " descr="Descr ">
          <a:extLst>
            <a:ext uri="{FF2B5EF4-FFF2-40B4-BE49-F238E27FC236}">
              <a16:creationId xmlns:a16="http://schemas.microsoft.com/office/drawing/2014/main" id="{00000000-0008-0000-0000-000004010000}"/>
            </a:ext>
          </a:extLst>
        </xdr:cNvPr>
        <xdr:cNvPicPr>
          <a:picLocks noChangeAspect="1"/>
        </xdr:cNvPicPr>
      </xdr:nvPicPr>
      <xdr:blipFill>
        <a:blip xmlns:r="http://schemas.openxmlformats.org/officeDocument/2006/relationships" r:embed="rId256"/>
        <a:stretch>
          <a:fillRect/>
        </a:stretch>
      </xdr:blipFill>
      <xdr:spPr>
        <a:prstGeom prst="rect">
          <a:avLst/>
        </a:prstGeom>
        <a:ln w="9525">
          <a:solidFill>
            <a:srgbClr val="000000"/>
          </a:solidFill>
          <a:prstDash val="solid"/>
        </a:ln>
      </xdr:spPr>
    </xdr:pic>
    <xdr:clientData/>
  </xdr:twoCellAnchor>
  <xdr:twoCellAnchor>
    <xdr:from>
      <xdr:col>3</xdr:col>
      <xdr:colOff>114300</xdr:colOff>
      <xdr:row>727</xdr:row>
      <xdr:rowOff>38100</xdr:rowOff>
    </xdr:from>
    <xdr:to>
      <xdr:col>3</xdr:col>
      <xdr:colOff>1552575</xdr:colOff>
      <xdr:row>728</xdr:row>
      <xdr:rowOff>638175</xdr:rowOff>
    </xdr:to>
    <xdr:pic>
      <xdr:nvPicPr>
        <xdr:cNvPr id="261" name="Имя " descr="Descr ">
          <a:extLst>
            <a:ext uri="{FF2B5EF4-FFF2-40B4-BE49-F238E27FC236}">
              <a16:creationId xmlns:a16="http://schemas.microsoft.com/office/drawing/2014/main" id="{00000000-0008-0000-0000-000005010000}"/>
            </a:ext>
          </a:extLst>
        </xdr:cNvPr>
        <xdr:cNvPicPr>
          <a:picLocks noChangeAspect="1"/>
        </xdr:cNvPicPr>
      </xdr:nvPicPr>
      <xdr:blipFill>
        <a:blip xmlns:r="http://schemas.openxmlformats.org/officeDocument/2006/relationships" r:embed="rId257"/>
        <a:stretch>
          <a:fillRect/>
        </a:stretch>
      </xdr:blipFill>
      <xdr:spPr>
        <a:prstGeom prst="rect">
          <a:avLst/>
        </a:prstGeom>
        <a:ln w="9525">
          <a:solidFill>
            <a:srgbClr val="000000"/>
          </a:solidFill>
          <a:prstDash val="solid"/>
        </a:ln>
      </xdr:spPr>
    </xdr:pic>
    <xdr:clientData/>
  </xdr:twoCellAnchor>
  <xdr:twoCellAnchor>
    <xdr:from>
      <xdr:col>3</xdr:col>
      <xdr:colOff>114300</xdr:colOff>
      <xdr:row>729</xdr:row>
      <xdr:rowOff>28575</xdr:rowOff>
    </xdr:from>
    <xdr:to>
      <xdr:col>3</xdr:col>
      <xdr:colOff>1552575</xdr:colOff>
      <xdr:row>731</xdr:row>
      <xdr:rowOff>419100</xdr:rowOff>
    </xdr:to>
    <xdr:pic>
      <xdr:nvPicPr>
        <xdr:cNvPr id="262" name="Имя " descr="Descr ">
          <a:extLst>
            <a:ext uri="{FF2B5EF4-FFF2-40B4-BE49-F238E27FC236}">
              <a16:creationId xmlns:a16="http://schemas.microsoft.com/office/drawing/2014/main" id="{00000000-0008-0000-0000-000006010000}"/>
            </a:ext>
          </a:extLst>
        </xdr:cNvPr>
        <xdr:cNvPicPr>
          <a:picLocks noChangeAspect="1"/>
        </xdr:cNvPicPr>
      </xdr:nvPicPr>
      <xdr:blipFill>
        <a:blip xmlns:r="http://schemas.openxmlformats.org/officeDocument/2006/relationships" r:embed="rId258"/>
        <a:stretch>
          <a:fillRect/>
        </a:stretch>
      </xdr:blipFill>
      <xdr:spPr>
        <a:prstGeom prst="rect">
          <a:avLst/>
        </a:prstGeom>
        <a:ln w="9525">
          <a:solidFill>
            <a:srgbClr val="000000"/>
          </a:solidFill>
          <a:prstDash val="solid"/>
        </a:ln>
      </xdr:spPr>
    </xdr:pic>
    <xdr:clientData/>
  </xdr:twoCellAnchor>
  <xdr:twoCellAnchor>
    <xdr:from>
      <xdr:col>3</xdr:col>
      <xdr:colOff>114300</xdr:colOff>
      <xdr:row>732</xdr:row>
      <xdr:rowOff>28575</xdr:rowOff>
    </xdr:from>
    <xdr:to>
      <xdr:col>3</xdr:col>
      <xdr:colOff>1552575</xdr:colOff>
      <xdr:row>737</xdr:row>
      <xdr:rowOff>209550</xdr:rowOff>
    </xdr:to>
    <xdr:pic>
      <xdr:nvPicPr>
        <xdr:cNvPr id="263" name="Имя " descr="Descr ">
          <a:extLst>
            <a:ext uri="{FF2B5EF4-FFF2-40B4-BE49-F238E27FC236}">
              <a16:creationId xmlns:a16="http://schemas.microsoft.com/office/drawing/2014/main" id="{00000000-0008-0000-0000-000007010000}"/>
            </a:ext>
          </a:extLst>
        </xdr:cNvPr>
        <xdr:cNvPicPr>
          <a:picLocks noChangeAspect="1"/>
        </xdr:cNvPicPr>
      </xdr:nvPicPr>
      <xdr:blipFill>
        <a:blip xmlns:r="http://schemas.openxmlformats.org/officeDocument/2006/relationships" r:embed="rId259"/>
        <a:stretch>
          <a:fillRect/>
        </a:stretch>
      </xdr:blipFill>
      <xdr:spPr>
        <a:prstGeom prst="rect">
          <a:avLst/>
        </a:prstGeom>
        <a:ln w="9525">
          <a:solidFill>
            <a:srgbClr val="000000"/>
          </a:solidFill>
          <a:prstDash val="solid"/>
        </a:ln>
      </xdr:spPr>
    </xdr:pic>
    <xdr:clientData/>
  </xdr:twoCellAnchor>
  <xdr:twoCellAnchor>
    <xdr:from>
      <xdr:col>3</xdr:col>
      <xdr:colOff>114300</xdr:colOff>
      <xdr:row>738</xdr:row>
      <xdr:rowOff>28575</xdr:rowOff>
    </xdr:from>
    <xdr:to>
      <xdr:col>3</xdr:col>
      <xdr:colOff>1552575</xdr:colOff>
      <xdr:row>741</xdr:row>
      <xdr:rowOff>209550</xdr:rowOff>
    </xdr:to>
    <xdr:pic>
      <xdr:nvPicPr>
        <xdr:cNvPr id="264" name="Имя " descr="Descr ">
          <a:extLst>
            <a:ext uri="{FF2B5EF4-FFF2-40B4-BE49-F238E27FC236}">
              <a16:creationId xmlns:a16="http://schemas.microsoft.com/office/drawing/2014/main" id="{00000000-0008-0000-0000-000008010000}"/>
            </a:ext>
          </a:extLst>
        </xdr:cNvPr>
        <xdr:cNvPicPr>
          <a:picLocks noChangeAspect="1"/>
        </xdr:cNvPicPr>
      </xdr:nvPicPr>
      <xdr:blipFill>
        <a:blip xmlns:r="http://schemas.openxmlformats.org/officeDocument/2006/relationships" r:embed="rId260"/>
        <a:stretch>
          <a:fillRect/>
        </a:stretch>
      </xdr:blipFill>
      <xdr:spPr>
        <a:prstGeom prst="rect">
          <a:avLst/>
        </a:prstGeom>
        <a:ln w="9525">
          <a:solidFill>
            <a:srgbClr val="000000"/>
          </a:solidFill>
          <a:prstDash val="solid"/>
        </a:ln>
      </xdr:spPr>
    </xdr:pic>
    <xdr:clientData/>
  </xdr:twoCellAnchor>
  <xdr:twoCellAnchor>
    <xdr:from>
      <xdr:col>3</xdr:col>
      <xdr:colOff>114300</xdr:colOff>
      <xdr:row>742</xdr:row>
      <xdr:rowOff>38100</xdr:rowOff>
    </xdr:from>
    <xdr:to>
      <xdr:col>3</xdr:col>
      <xdr:colOff>1552575</xdr:colOff>
      <xdr:row>743</xdr:row>
      <xdr:rowOff>638175</xdr:rowOff>
    </xdr:to>
    <xdr:pic>
      <xdr:nvPicPr>
        <xdr:cNvPr id="265" name="Имя " descr="Descr ">
          <a:extLst>
            <a:ext uri="{FF2B5EF4-FFF2-40B4-BE49-F238E27FC236}">
              <a16:creationId xmlns:a16="http://schemas.microsoft.com/office/drawing/2014/main" id="{00000000-0008-0000-0000-000009010000}"/>
            </a:ext>
          </a:extLst>
        </xdr:cNvPr>
        <xdr:cNvPicPr>
          <a:picLocks noChangeAspect="1"/>
        </xdr:cNvPicPr>
      </xdr:nvPicPr>
      <xdr:blipFill>
        <a:blip xmlns:r="http://schemas.openxmlformats.org/officeDocument/2006/relationships" r:embed="rId261"/>
        <a:stretch>
          <a:fillRect/>
        </a:stretch>
      </xdr:blipFill>
      <xdr:spPr>
        <a:prstGeom prst="rect">
          <a:avLst/>
        </a:prstGeom>
        <a:ln w="9525">
          <a:solidFill>
            <a:srgbClr val="000000"/>
          </a:solidFill>
          <a:prstDash val="solid"/>
        </a:ln>
      </xdr:spPr>
    </xdr:pic>
    <xdr:clientData/>
  </xdr:twoCellAnchor>
  <xdr:twoCellAnchor>
    <xdr:from>
      <xdr:col>3</xdr:col>
      <xdr:colOff>114300</xdr:colOff>
      <xdr:row>744</xdr:row>
      <xdr:rowOff>38100</xdr:rowOff>
    </xdr:from>
    <xdr:to>
      <xdr:col>3</xdr:col>
      <xdr:colOff>1552575</xdr:colOff>
      <xdr:row>745</xdr:row>
      <xdr:rowOff>638175</xdr:rowOff>
    </xdr:to>
    <xdr:pic>
      <xdr:nvPicPr>
        <xdr:cNvPr id="266" name="Имя " descr="Descr ">
          <a:extLst>
            <a:ext uri="{FF2B5EF4-FFF2-40B4-BE49-F238E27FC236}">
              <a16:creationId xmlns:a16="http://schemas.microsoft.com/office/drawing/2014/main" id="{00000000-0008-0000-0000-00000A010000}"/>
            </a:ext>
          </a:extLst>
        </xdr:cNvPr>
        <xdr:cNvPicPr>
          <a:picLocks noChangeAspect="1"/>
        </xdr:cNvPicPr>
      </xdr:nvPicPr>
      <xdr:blipFill>
        <a:blip xmlns:r="http://schemas.openxmlformats.org/officeDocument/2006/relationships" r:embed="rId262"/>
        <a:stretch>
          <a:fillRect/>
        </a:stretch>
      </xdr:blipFill>
      <xdr:spPr>
        <a:prstGeom prst="rect">
          <a:avLst/>
        </a:prstGeom>
        <a:ln w="9525">
          <a:solidFill>
            <a:srgbClr val="000000"/>
          </a:solidFill>
          <a:prstDash val="solid"/>
        </a:ln>
      </xdr:spPr>
    </xdr:pic>
    <xdr:clientData/>
  </xdr:twoCellAnchor>
  <xdr:twoCellAnchor>
    <xdr:from>
      <xdr:col>3</xdr:col>
      <xdr:colOff>114300</xdr:colOff>
      <xdr:row>746</xdr:row>
      <xdr:rowOff>28575</xdr:rowOff>
    </xdr:from>
    <xdr:to>
      <xdr:col>3</xdr:col>
      <xdr:colOff>1552575</xdr:colOff>
      <xdr:row>749</xdr:row>
      <xdr:rowOff>209550</xdr:rowOff>
    </xdr:to>
    <xdr:pic>
      <xdr:nvPicPr>
        <xdr:cNvPr id="267" name="Имя " descr="Descr ">
          <a:extLst>
            <a:ext uri="{FF2B5EF4-FFF2-40B4-BE49-F238E27FC236}">
              <a16:creationId xmlns:a16="http://schemas.microsoft.com/office/drawing/2014/main" id="{00000000-0008-0000-0000-00000B010000}"/>
            </a:ext>
          </a:extLst>
        </xdr:cNvPr>
        <xdr:cNvPicPr>
          <a:picLocks noChangeAspect="1"/>
        </xdr:cNvPicPr>
      </xdr:nvPicPr>
      <xdr:blipFill>
        <a:blip xmlns:r="http://schemas.openxmlformats.org/officeDocument/2006/relationships" r:embed="rId263"/>
        <a:stretch>
          <a:fillRect/>
        </a:stretch>
      </xdr:blipFill>
      <xdr:spPr>
        <a:prstGeom prst="rect">
          <a:avLst/>
        </a:prstGeom>
        <a:ln w="9525">
          <a:solidFill>
            <a:srgbClr val="000000"/>
          </a:solidFill>
          <a:prstDash val="solid"/>
        </a:ln>
      </xdr:spPr>
    </xdr:pic>
    <xdr:clientData/>
  </xdr:twoCellAnchor>
  <xdr:twoCellAnchor>
    <xdr:from>
      <xdr:col>3</xdr:col>
      <xdr:colOff>114300</xdr:colOff>
      <xdr:row>750</xdr:row>
      <xdr:rowOff>28575</xdr:rowOff>
    </xdr:from>
    <xdr:to>
      <xdr:col>3</xdr:col>
      <xdr:colOff>1552575</xdr:colOff>
      <xdr:row>757</xdr:row>
      <xdr:rowOff>152400</xdr:rowOff>
    </xdr:to>
    <xdr:pic>
      <xdr:nvPicPr>
        <xdr:cNvPr id="268" name="Имя " descr="Descr ">
          <a:extLst>
            <a:ext uri="{FF2B5EF4-FFF2-40B4-BE49-F238E27FC236}">
              <a16:creationId xmlns:a16="http://schemas.microsoft.com/office/drawing/2014/main" id="{00000000-0008-0000-0000-00000C010000}"/>
            </a:ext>
          </a:extLst>
        </xdr:cNvPr>
        <xdr:cNvPicPr>
          <a:picLocks noChangeAspect="1"/>
        </xdr:cNvPicPr>
      </xdr:nvPicPr>
      <xdr:blipFill>
        <a:blip xmlns:r="http://schemas.openxmlformats.org/officeDocument/2006/relationships" r:embed="rId264"/>
        <a:stretch>
          <a:fillRect/>
        </a:stretch>
      </xdr:blipFill>
      <xdr:spPr>
        <a:prstGeom prst="rect">
          <a:avLst/>
        </a:prstGeom>
        <a:ln w="9525">
          <a:solidFill>
            <a:srgbClr val="000000"/>
          </a:solidFill>
          <a:prstDash val="solid"/>
        </a:ln>
      </xdr:spPr>
    </xdr:pic>
    <xdr:clientData/>
  </xdr:twoCellAnchor>
  <xdr:twoCellAnchor>
    <xdr:from>
      <xdr:col>3</xdr:col>
      <xdr:colOff>114300</xdr:colOff>
      <xdr:row>758</xdr:row>
      <xdr:rowOff>28575</xdr:rowOff>
    </xdr:from>
    <xdr:to>
      <xdr:col>3</xdr:col>
      <xdr:colOff>1552575</xdr:colOff>
      <xdr:row>761</xdr:row>
      <xdr:rowOff>209550</xdr:rowOff>
    </xdr:to>
    <xdr:pic>
      <xdr:nvPicPr>
        <xdr:cNvPr id="269" name="Имя " descr="Descr ">
          <a:extLst>
            <a:ext uri="{FF2B5EF4-FFF2-40B4-BE49-F238E27FC236}">
              <a16:creationId xmlns:a16="http://schemas.microsoft.com/office/drawing/2014/main" id="{00000000-0008-0000-0000-00000D010000}"/>
            </a:ext>
          </a:extLst>
        </xdr:cNvPr>
        <xdr:cNvPicPr>
          <a:picLocks noChangeAspect="1"/>
        </xdr:cNvPicPr>
      </xdr:nvPicPr>
      <xdr:blipFill>
        <a:blip xmlns:r="http://schemas.openxmlformats.org/officeDocument/2006/relationships" r:embed="rId265"/>
        <a:stretch>
          <a:fillRect/>
        </a:stretch>
      </xdr:blipFill>
      <xdr:spPr>
        <a:prstGeom prst="rect">
          <a:avLst/>
        </a:prstGeom>
        <a:ln w="9525">
          <a:solidFill>
            <a:srgbClr val="000000"/>
          </a:solidFill>
          <a:prstDash val="solid"/>
        </a:ln>
      </xdr:spPr>
    </xdr:pic>
    <xdr:clientData/>
  </xdr:twoCellAnchor>
  <xdr:twoCellAnchor>
    <xdr:from>
      <xdr:col>3</xdr:col>
      <xdr:colOff>114300</xdr:colOff>
      <xdr:row>762</xdr:row>
      <xdr:rowOff>28575</xdr:rowOff>
    </xdr:from>
    <xdr:to>
      <xdr:col>3</xdr:col>
      <xdr:colOff>1552575</xdr:colOff>
      <xdr:row>770</xdr:row>
      <xdr:rowOff>133350</xdr:rowOff>
    </xdr:to>
    <xdr:pic>
      <xdr:nvPicPr>
        <xdr:cNvPr id="270" name="Имя " descr="Descr ">
          <a:extLst>
            <a:ext uri="{FF2B5EF4-FFF2-40B4-BE49-F238E27FC236}">
              <a16:creationId xmlns:a16="http://schemas.microsoft.com/office/drawing/2014/main" id="{00000000-0008-0000-0000-00000E010000}"/>
            </a:ext>
          </a:extLst>
        </xdr:cNvPr>
        <xdr:cNvPicPr>
          <a:picLocks noChangeAspect="1"/>
        </xdr:cNvPicPr>
      </xdr:nvPicPr>
      <xdr:blipFill>
        <a:blip xmlns:r="http://schemas.openxmlformats.org/officeDocument/2006/relationships" r:embed="rId266"/>
        <a:stretch>
          <a:fillRect/>
        </a:stretch>
      </xdr:blipFill>
      <xdr:spPr>
        <a:prstGeom prst="rect">
          <a:avLst/>
        </a:prstGeom>
        <a:ln w="9525">
          <a:solidFill>
            <a:srgbClr val="000000"/>
          </a:solidFill>
          <a:prstDash val="solid"/>
        </a:ln>
      </xdr:spPr>
    </xdr:pic>
    <xdr:clientData/>
  </xdr:twoCellAnchor>
  <xdr:twoCellAnchor>
    <xdr:from>
      <xdr:col>3</xdr:col>
      <xdr:colOff>114300</xdr:colOff>
      <xdr:row>771</xdr:row>
      <xdr:rowOff>28575</xdr:rowOff>
    </xdr:from>
    <xdr:to>
      <xdr:col>3</xdr:col>
      <xdr:colOff>1552575</xdr:colOff>
      <xdr:row>775</xdr:row>
      <xdr:rowOff>333375</xdr:rowOff>
    </xdr:to>
    <xdr:pic>
      <xdr:nvPicPr>
        <xdr:cNvPr id="271" name="Имя " descr="Descr ">
          <a:extLst>
            <a:ext uri="{FF2B5EF4-FFF2-40B4-BE49-F238E27FC236}">
              <a16:creationId xmlns:a16="http://schemas.microsoft.com/office/drawing/2014/main" id="{00000000-0008-0000-0000-00000F010000}"/>
            </a:ext>
          </a:extLst>
        </xdr:cNvPr>
        <xdr:cNvPicPr>
          <a:picLocks noChangeAspect="1"/>
        </xdr:cNvPicPr>
      </xdr:nvPicPr>
      <xdr:blipFill>
        <a:blip xmlns:r="http://schemas.openxmlformats.org/officeDocument/2006/relationships" r:embed="rId267"/>
        <a:stretch>
          <a:fillRect/>
        </a:stretch>
      </xdr:blipFill>
      <xdr:spPr>
        <a:prstGeom prst="rect">
          <a:avLst/>
        </a:prstGeom>
        <a:ln w="9525">
          <a:solidFill>
            <a:srgbClr val="000000"/>
          </a:solidFill>
          <a:prstDash val="solid"/>
        </a:ln>
      </xdr:spPr>
    </xdr:pic>
    <xdr:clientData/>
  </xdr:twoCellAnchor>
  <xdr:twoCellAnchor>
    <xdr:from>
      <xdr:col>3</xdr:col>
      <xdr:colOff>114300</xdr:colOff>
      <xdr:row>776</xdr:row>
      <xdr:rowOff>28575</xdr:rowOff>
    </xdr:from>
    <xdr:to>
      <xdr:col>3</xdr:col>
      <xdr:colOff>1552575</xdr:colOff>
      <xdr:row>783</xdr:row>
      <xdr:rowOff>152400</xdr:rowOff>
    </xdr:to>
    <xdr:pic>
      <xdr:nvPicPr>
        <xdr:cNvPr id="272" name="Имя " descr="Descr ">
          <a:extLst>
            <a:ext uri="{FF2B5EF4-FFF2-40B4-BE49-F238E27FC236}">
              <a16:creationId xmlns:a16="http://schemas.microsoft.com/office/drawing/2014/main" id="{00000000-0008-0000-0000-000010010000}"/>
            </a:ext>
          </a:extLst>
        </xdr:cNvPr>
        <xdr:cNvPicPr>
          <a:picLocks noChangeAspect="1"/>
        </xdr:cNvPicPr>
      </xdr:nvPicPr>
      <xdr:blipFill>
        <a:blip xmlns:r="http://schemas.openxmlformats.org/officeDocument/2006/relationships" r:embed="rId268"/>
        <a:stretch>
          <a:fillRect/>
        </a:stretch>
      </xdr:blipFill>
      <xdr:spPr>
        <a:prstGeom prst="rect">
          <a:avLst/>
        </a:prstGeom>
        <a:ln w="9525">
          <a:solidFill>
            <a:srgbClr val="000000"/>
          </a:solidFill>
          <a:prstDash val="solid"/>
        </a:ln>
      </xdr:spPr>
    </xdr:pic>
    <xdr:clientData/>
  </xdr:twoCellAnchor>
  <xdr:twoCellAnchor>
    <xdr:from>
      <xdr:col>3</xdr:col>
      <xdr:colOff>114300</xdr:colOff>
      <xdr:row>784</xdr:row>
      <xdr:rowOff>28575</xdr:rowOff>
    </xdr:from>
    <xdr:to>
      <xdr:col>3</xdr:col>
      <xdr:colOff>1552575</xdr:colOff>
      <xdr:row>790</xdr:row>
      <xdr:rowOff>171450</xdr:rowOff>
    </xdr:to>
    <xdr:pic>
      <xdr:nvPicPr>
        <xdr:cNvPr id="273" name="Имя " descr="Descr ">
          <a:extLst>
            <a:ext uri="{FF2B5EF4-FFF2-40B4-BE49-F238E27FC236}">
              <a16:creationId xmlns:a16="http://schemas.microsoft.com/office/drawing/2014/main" id="{00000000-0008-0000-0000-000011010000}"/>
            </a:ext>
          </a:extLst>
        </xdr:cNvPr>
        <xdr:cNvPicPr>
          <a:picLocks noChangeAspect="1"/>
        </xdr:cNvPicPr>
      </xdr:nvPicPr>
      <xdr:blipFill>
        <a:blip xmlns:r="http://schemas.openxmlformats.org/officeDocument/2006/relationships" r:embed="rId269"/>
        <a:stretch>
          <a:fillRect/>
        </a:stretch>
      </xdr:blipFill>
      <xdr:spPr>
        <a:prstGeom prst="rect">
          <a:avLst/>
        </a:prstGeom>
        <a:ln w="9525">
          <a:solidFill>
            <a:srgbClr val="000000"/>
          </a:solidFill>
          <a:prstDash val="solid"/>
        </a:ln>
      </xdr:spPr>
    </xdr:pic>
    <xdr:clientData/>
  </xdr:twoCellAnchor>
  <xdr:twoCellAnchor>
    <xdr:from>
      <xdr:col>3</xdr:col>
      <xdr:colOff>114300</xdr:colOff>
      <xdr:row>791</xdr:row>
      <xdr:rowOff>28575</xdr:rowOff>
    </xdr:from>
    <xdr:to>
      <xdr:col>3</xdr:col>
      <xdr:colOff>1552575</xdr:colOff>
      <xdr:row>795</xdr:row>
      <xdr:rowOff>333375</xdr:rowOff>
    </xdr:to>
    <xdr:pic>
      <xdr:nvPicPr>
        <xdr:cNvPr id="274" name="Имя " descr="Descr ">
          <a:extLst>
            <a:ext uri="{FF2B5EF4-FFF2-40B4-BE49-F238E27FC236}">
              <a16:creationId xmlns:a16="http://schemas.microsoft.com/office/drawing/2014/main" id="{00000000-0008-0000-0000-000012010000}"/>
            </a:ext>
          </a:extLst>
        </xdr:cNvPr>
        <xdr:cNvPicPr>
          <a:picLocks noChangeAspect="1"/>
        </xdr:cNvPicPr>
      </xdr:nvPicPr>
      <xdr:blipFill>
        <a:blip xmlns:r="http://schemas.openxmlformats.org/officeDocument/2006/relationships" r:embed="rId270"/>
        <a:stretch>
          <a:fillRect/>
        </a:stretch>
      </xdr:blipFill>
      <xdr:spPr>
        <a:prstGeom prst="rect">
          <a:avLst/>
        </a:prstGeom>
        <a:ln w="9525">
          <a:solidFill>
            <a:srgbClr val="000000"/>
          </a:solidFill>
          <a:prstDash val="solid"/>
        </a:ln>
      </xdr:spPr>
    </xdr:pic>
    <xdr:clientData/>
  </xdr:twoCellAnchor>
  <xdr:twoCellAnchor>
    <xdr:from>
      <xdr:col>3</xdr:col>
      <xdr:colOff>114300</xdr:colOff>
      <xdr:row>796</xdr:row>
      <xdr:rowOff>28575</xdr:rowOff>
    </xdr:from>
    <xdr:to>
      <xdr:col>3</xdr:col>
      <xdr:colOff>1552575</xdr:colOff>
      <xdr:row>803</xdr:row>
      <xdr:rowOff>152400</xdr:rowOff>
    </xdr:to>
    <xdr:pic>
      <xdr:nvPicPr>
        <xdr:cNvPr id="275" name="Имя " descr="Descr ">
          <a:extLst>
            <a:ext uri="{FF2B5EF4-FFF2-40B4-BE49-F238E27FC236}">
              <a16:creationId xmlns:a16="http://schemas.microsoft.com/office/drawing/2014/main" id="{00000000-0008-0000-0000-000013010000}"/>
            </a:ext>
          </a:extLst>
        </xdr:cNvPr>
        <xdr:cNvPicPr>
          <a:picLocks noChangeAspect="1"/>
        </xdr:cNvPicPr>
      </xdr:nvPicPr>
      <xdr:blipFill>
        <a:blip xmlns:r="http://schemas.openxmlformats.org/officeDocument/2006/relationships" r:embed="rId271"/>
        <a:stretch>
          <a:fillRect/>
        </a:stretch>
      </xdr:blipFill>
      <xdr:spPr>
        <a:prstGeom prst="rect">
          <a:avLst/>
        </a:prstGeom>
        <a:ln w="9525">
          <a:solidFill>
            <a:srgbClr val="000000"/>
          </a:solidFill>
          <a:prstDash val="solid"/>
        </a:ln>
      </xdr:spPr>
    </xdr:pic>
    <xdr:clientData/>
  </xdr:twoCellAnchor>
  <xdr:twoCellAnchor>
    <xdr:from>
      <xdr:col>3</xdr:col>
      <xdr:colOff>114300</xdr:colOff>
      <xdr:row>804</xdr:row>
      <xdr:rowOff>28575</xdr:rowOff>
    </xdr:from>
    <xdr:to>
      <xdr:col>3</xdr:col>
      <xdr:colOff>1552575</xdr:colOff>
      <xdr:row>806</xdr:row>
      <xdr:rowOff>419100</xdr:rowOff>
    </xdr:to>
    <xdr:pic>
      <xdr:nvPicPr>
        <xdr:cNvPr id="276" name="Имя " descr="Descr ">
          <a:extLst>
            <a:ext uri="{FF2B5EF4-FFF2-40B4-BE49-F238E27FC236}">
              <a16:creationId xmlns:a16="http://schemas.microsoft.com/office/drawing/2014/main" id="{00000000-0008-0000-0000-000014010000}"/>
            </a:ext>
          </a:extLst>
        </xdr:cNvPr>
        <xdr:cNvPicPr>
          <a:picLocks noChangeAspect="1"/>
        </xdr:cNvPicPr>
      </xdr:nvPicPr>
      <xdr:blipFill>
        <a:blip xmlns:r="http://schemas.openxmlformats.org/officeDocument/2006/relationships" r:embed="rId272"/>
        <a:stretch>
          <a:fillRect/>
        </a:stretch>
      </xdr:blipFill>
      <xdr:spPr>
        <a:prstGeom prst="rect">
          <a:avLst/>
        </a:prstGeom>
        <a:ln w="9525">
          <a:solidFill>
            <a:srgbClr val="000000"/>
          </a:solidFill>
          <a:prstDash val="solid"/>
        </a:ln>
      </xdr:spPr>
    </xdr:pic>
    <xdr:clientData/>
  </xdr:twoCellAnchor>
  <xdr:twoCellAnchor>
    <xdr:from>
      <xdr:col>3</xdr:col>
      <xdr:colOff>114300</xdr:colOff>
      <xdr:row>807</xdr:row>
      <xdr:rowOff>28575</xdr:rowOff>
    </xdr:from>
    <xdr:to>
      <xdr:col>3</xdr:col>
      <xdr:colOff>1552575</xdr:colOff>
      <xdr:row>809</xdr:row>
      <xdr:rowOff>419100</xdr:rowOff>
    </xdr:to>
    <xdr:pic>
      <xdr:nvPicPr>
        <xdr:cNvPr id="277" name="Имя " descr="Descr ">
          <a:extLst>
            <a:ext uri="{FF2B5EF4-FFF2-40B4-BE49-F238E27FC236}">
              <a16:creationId xmlns:a16="http://schemas.microsoft.com/office/drawing/2014/main" id="{00000000-0008-0000-0000-000015010000}"/>
            </a:ext>
          </a:extLst>
        </xdr:cNvPr>
        <xdr:cNvPicPr>
          <a:picLocks noChangeAspect="1"/>
        </xdr:cNvPicPr>
      </xdr:nvPicPr>
      <xdr:blipFill>
        <a:blip xmlns:r="http://schemas.openxmlformats.org/officeDocument/2006/relationships" r:embed="rId273"/>
        <a:stretch>
          <a:fillRect/>
        </a:stretch>
      </xdr:blipFill>
      <xdr:spPr>
        <a:prstGeom prst="rect">
          <a:avLst/>
        </a:prstGeom>
        <a:ln w="9525">
          <a:solidFill>
            <a:srgbClr val="000000"/>
          </a:solidFill>
          <a:prstDash val="solid"/>
        </a:ln>
      </xdr:spPr>
    </xdr:pic>
    <xdr:clientData/>
  </xdr:twoCellAnchor>
  <xdr:twoCellAnchor>
    <xdr:from>
      <xdr:col>3</xdr:col>
      <xdr:colOff>114300</xdr:colOff>
      <xdr:row>810</xdr:row>
      <xdr:rowOff>28575</xdr:rowOff>
    </xdr:from>
    <xdr:to>
      <xdr:col>3</xdr:col>
      <xdr:colOff>1552575</xdr:colOff>
      <xdr:row>810</xdr:row>
      <xdr:rowOff>1266825</xdr:rowOff>
    </xdr:to>
    <xdr:pic>
      <xdr:nvPicPr>
        <xdr:cNvPr id="278" name="Имя " descr="Descr ">
          <a:extLst>
            <a:ext uri="{FF2B5EF4-FFF2-40B4-BE49-F238E27FC236}">
              <a16:creationId xmlns:a16="http://schemas.microsoft.com/office/drawing/2014/main" id="{00000000-0008-0000-0000-000016010000}"/>
            </a:ext>
          </a:extLst>
        </xdr:cNvPr>
        <xdr:cNvPicPr>
          <a:picLocks noChangeAspect="1"/>
        </xdr:cNvPicPr>
      </xdr:nvPicPr>
      <xdr:blipFill>
        <a:blip xmlns:r="http://schemas.openxmlformats.org/officeDocument/2006/relationships" r:embed="rId274"/>
        <a:stretch>
          <a:fillRect/>
        </a:stretch>
      </xdr:blipFill>
      <xdr:spPr>
        <a:prstGeom prst="rect">
          <a:avLst/>
        </a:prstGeom>
        <a:ln w="9525">
          <a:solidFill>
            <a:srgbClr val="000000"/>
          </a:solidFill>
          <a:prstDash val="solid"/>
        </a:ln>
      </xdr:spPr>
    </xdr:pic>
    <xdr:clientData/>
  </xdr:twoCellAnchor>
  <xdr:twoCellAnchor>
    <xdr:from>
      <xdr:col>3</xdr:col>
      <xdr:colOff>114300</xdr:colOff>
      <xdr:row>811</xdr:row>
      <xdr:rowOff>28575</xdr:rowOff>
    </xdr:from>
    <xdr:to>
      <xdr:col>3</xdr:col>
      <xdr:colOff>1552575</xdr:colOff>
      <xdr:row>811</xdr:row>
      <xdr:rowOff>1266825</xdr:rowOff>
    </xdr:to>
    <xdr:pic>
      <xdr:nvPicPr>
        <xdr:cNvPr id="279" name="Имя " descr="Descr ">
          <a:extLst>
            <a:ext uri="{FF2B5EF4-FFF2-40B4-BE49-F238E27FC236}">
              <a16:creationId xmlns:a16="http://schemas.microsoft.com/office/drawing/2014/main" id="{00000000-0008-0000-0000-000017010000}"/>
            </a:ext>
          </a:extLst>
        </xdr:cNvPr>
        <xdr:cNvPicPr>
          <a:picLocks noChangeAspect="1"/>
        </xdr:cNvPicPr>
      </xdr:nvPicPr>
      <xdr:blipFill>
        <a:blip xmlns:r="http://schemas.openxmlformats.org/officeDocument/2006/relationships" r:embed="rId275"/>
        <a:stretch>
          <a:fillRect/>
        </a:stretch>
      </xdr:blipFill>
      <xdr:spPr>
        <a:prstGeom prst="rect">
          <a:avLst/>
        </a:prstGeom>
        <a:ln w="9525">
          <a:solidFill>
            <a:srgbClr val="000000"/>
          </a:solidFill>
          <a:prstDash val="solid"/>
        </a:ln>
      </xdr:spPr>
    </xdr:pic>
    <xdr:clientData/>
  </xdr:twoCellAnchor>
  <xdr:twoCellAnchor>
    <xdr:from>
      <xdr:col>3</xdr:col>
      <xdr:colOff>114300</xdr:colOff>
      <xdr:row>812</xdr:row>
      <xdr:rowOff>38100</xdr:rowOff>
    </xdr:from>
    <xdr:to>
      <xdr:col>3</xdr:col>
      <xdr:colOff>1552575</xdr:colOff>
      <xdr:row>813</xdr:row>
      <xdr:rowOff>638175</xdr:rowOff>
    </xdr:to>
    <xdr:pic>
      <xdr:nvPicPr>
        <xdr:cNvPr id="280" name="Имя " descr="Descr ">
          <a:extLst>
            <a:ext uri="{FF2B5EF4-FFF2-40B4-BE49-F238E27FC236}">
              <a16:creationId xmlns:a16="http://schemas.microsoft.com/office/drawing/2014/main" id="{00000000-0008-0000-0000-000018010000}"/>
            </a:ext>
          </a:extLst>
        </xdr:cNvPr>
        <xdr:cNvPicPr>
          <a:picLocks noChangeAspect="1"/>
        </xdr:cNvPicPr>
      </xdr:nvPicPr>
      <xdr:blipFill>
        <a:blip xmlns:r="http://schemas.openxmlformats.org/officeDocument/2006/relationships" r:embed="rId276"/>
        <a:stretch>
          <a:fillRect/>
        </a:stretch>
      </xdr:blipFill>
      <xdr:spPr>
        <a:prstGeom prst="rect">
          <a:avLst/>
        </a:prstGeom>
        <a:ln w="9525">
          <a:solidFill>
            <a:srgbClr val="000000"/>
          </a:solidFill>
          <a:prstDash val="solid"/>
        </a:ln>
      </xdr:spPr>
    </xdr:pic>
    <xdr:clientData/>
  </xdr:twoCellAnchor>
  <xdr:twoCellAnchor>
    <xdr:from>
      <xdr:col>3</xdr:col>
      <xdr:colOff>114300</xdr:colOff>
      <xdr:row>814</xdr:row>
      <xdr:rowOff>28575</xdr:rowOff>
    </xdr:from>
    <xdr:to>
      <xdr:col>3</xdr:col>
      <xdr:colOff>1552575</xdr:colOff>
      <xdr:row>814</xdr:row>
      <xdr:rowOff>1266825</xdr:rowOff>
    </xdr:to>
    <xdr:pic>
      <xdr:nvPicPr>
        <xdr:cNvPr id="281" name="Имя " descr="Descr ">
          <a:extLst>
            <a:ext uri="{FF2B5EF4-FFF2-40B4-BE49-F238E27FC236}">
              <a16:creationId xmlns:a16="http://schemas.microsoft.com/office/drawing/2014/main" id="{00000000-0008-0000-0000-000019010000}"/>
            </a:ext>
          </a:extLst>
        </xdr:cNvPr>
        <xdr:cNvPicPr>
          <a:picLocks noChangeAspect="1"/>
        </xdr:cNvPicPr>
      </xdr:nvPicPr>
      <xdr:blipFill>
        <a:blip xmlns:r="http://schemas.openxmlformats.org/officeDocument/2006/relationships" r:embed="rId277"/>
        <a:stretch>
          <a:fillRect/>
        </a:stretch>
      </xdr:blipFill>
      <xdr:spPr>
        <a:prstGeom prst="rect">
          <a:avLst/>
        </a:prstGeom>
        <a:ln w="9525">
          <a:solidFill>
            <a:srgbClr val="000000"/>
          </a:solidFill>
          <a:prstDash val="solid"/>
        </a:ln>
      </xdr:spPr>
    </xdr:pic>
    <xdr:clientData/>
  </xdr:twoCellAnchor>
  <xdr:twoCellAnchor>
    <xdr:from>
      <xdr:col>3</xdr:col>
      <xdr:colOff>114300</xdr:colOff>
      <xdr:row>815</xdr:row>
      <xdr:rowOff>28575</xdr:rowOff>
    </xdr:from>
    <xdr:to>
      <xdr:col>3</xdr:col>
      <xdr:colOff>1552575</xdr:colOff>
      <xdr:row>815</xdr:row>
      <xdr:rowOff>1266825</xdr:rowOff>
    </xdr:to>
    <xdr:pic>
      <xdr:nvPicPr>
        <xdr:cNvPr id="282" name="Имя " descr="Descr ">
          <a:extLst>
            <a:ext uri="{FF2B5EF4-FFF2-40B4-BE49-F238E27FC236}">
              <a16:creationId xmlns:a16="http://schemas.microsoft.com/office/drawing/2014/main" id="{00000000-0008-0000-0000-00001A010000}"/>
            </a:ext>
          </a:extLst>
        </xdr:cNvPr>
        <xdr:cNvPicPr>
          <a:picLocks noChangeAspect="1"/>
        </xdr:cNvPicPr>
      </xdr:nvPicPr>
      <xdr:blipFill>
        <a:blip xmlns:r="http://schemas.openxmlformats.org/officeDocument/2006/relationships" r:embed="rId278"/>
        <a:stretch>
          <a:fillRect/>
        </a:stretch>
      </xdr:blipFill>
      <xdr:spPr>
        <a:prstGeom prst="rect">
          <a:avLst/>
        </a:prstGeom>
        <a:ln w="9525">
          <a:solidFill>
            <a:srgbClr val="000000"/>
          </a:solidFill>
          <a:prstDash val="solid"/>
        </a:ln>
      </xdr:spPr>
    </xdr:pic>
    <xdr:clientData/>
  </xdr:twoCellAnchor>
  <xdr:twoCellAnchor>
    <xdr:from>
      <xdr:col>3</xdr:col>
      <xdr:colOff>114300</xdr:colOff>
      <xdr:row>816</xdr:row>
      <xdr:rowOff>28575</xdr:rowOff>
    </xdr:from>
    <xdr:to>
      <xdr:col>3</xdr:col>
      <xdr:colOff>1552575</xdr:colOff>
      <xdr:row>816</xdr:row>
      <xdr:rowOff>1266825</xdr:rowOff>
    </xdr:to>
    <xdr:pic>
      <xdr:nvPicPr>
        <xdr:cNvPr id="283" name="Имя " descr="Descr ">
          <a:extLst>
            <a:ext uri="{FF2B5EF4-FFF2-40B4-BE49-F238E27FC236}">
              <a16:creationId xmlns:a16="http://schemas.microsoft.com/office/drawing/2014/main" id="{00000000-0008-0000-0000-00001B010000}"/>
            </a:ext>
          </a:extLst>
        </xdr:cNvPr>
        <xdr:cNvPicPr>
          <a:picLocks noChangeAspect="1"/>
        </xdr:cNvPicPr>
      </xdr:nvPicPr>
      <xdr:blipFill>
        <a:blip xmlns:r="http://schemas.openxmlformats.org/officeDocument/2006/relationships" r:embed="rId279"/>
        <a:stretch>
          <a:fillRect/>
        </a:stretch>
      </xdr:blipFill>
      <xdr:spPr>
        <a:prstGeom prst="rect">
          <a:avLst/>
        </a:prstGeom>
        <a:ln w="9525">
          <a:solidFill>
            <a:srgbClr val="000000"/>
          </a:solidFill>
          <a:prstDash val="solid"/>
        </a:ln>
      </xdr:spPr>
    </xdr:pic>
    <xdr:clientData/>
  </xdr:twoCellAnchor>
  <xdr:twoCellAnchor>
    <xdr:from>
      <xdr:col>3</xdr:col>
      <xdr:colOff>114300</xdr:colOff>
      <xdr:row>817</xdr:row>
      <xdr:rowOff>28575</xdr:rowOff>
    </xdr:from>
    <xdr:to>
      <xdr:col>3</xdr:col>
      <xdr:colOff>1552575</xdr:colOff>
      <xdr:row>817</xdr:row>
      <xdr:rowOff>1266825</xdr:rowOff>
    </xdr:to>
    <xdr:pic>
      <xdr:nvPicPr>
        <xdr:cNvPr id="284" name="Имя " descr="Descr ">
          <a:extLst>
            <a:ext uri="{FF2B5EF4-FFF2-40B4-BE49-F238E27FC236}">
              <a16:creationId xmlns:a16="http://schemas.microsoft.com/office/drawing/2014/main" id="{00000000-0008-0000-0000-00001C010000}"/>
            </a:ext>
          </a:extLst>
        </xdr:cNvPr>
        <xdr:cNvPicPr>
          <a:picLocks noChangeAspect="1"/>
        </xdr:cNvPicPr>
      </xdr:nvPicPr>
      <xdr:blipFill>
        <a:blip xmlns:r="http://schemas.openxmlformats.org/officeDocument/2006/relationships" r:embed="rId280"/>
        <a:stretch>
          <a:fillRect/>
        </a:stretch>
      </xdr:blipFill>
      <xdr:spPr>
        <a:prstGeom prst="rect">
          <a:avLst/>
        </a:prstGeom>
        <a:ln w="9525">
          <a:solidFill>
            <a:srgbClr val="000000"/>
          </a:solidFill>
          <a:prstDash val="solid"/>
        </a:ln>
      </xdr:spPr>
    </xdr:pic>
    <xdr:clientData/>
  </xdr:twoCellAnchor>
  <xdr:twoCellAnchor>
    <xdr:from>
      <xdr:col>3</xdr:col>
      <xdr:colOff>114300</xdr:colOff>
      <xdr:row>818</xdr:row>
      <xdr:rowOff>28575</xdr:rowOff>
    </xdr:from>
    <xdr:to>
      <xdr:col>3</xdr:col>
      <xdr:colOff>1552575</xdr:colOff>
      <xdr:row>818</xdr:row>
      <xdr:rowOff>1266825</xdr:rowOff>
    </xdr:to>
    <xdr:pic>
      <xdr:nvPicPr>
        <xdr:cNvPr id="285" name="Имя " descr="Descr ">
          <a:extLst>
            <a:ext uri="{FF2B5EF4-FFF2-40B4-BE49-F238E27FC236}">
              <a16:creationId xmlns:a16="http://schemas.microsoft.com/office/drawing/2014/main" id="{00000000-0008-0000-0000-00001D010000}"/>
            </a:ext>
          </a:extLst>
        </xdr:cNvPr>
        <xdr:cNvPicPr>
          <a:picLocks noChangeAspect="1"/>
        </xdr:cNvPicPr>
      </xdr:nvPicPr>
      <xdr:blipFill>
        <a:blip xmlns:r="http://schemas.openxmlformats.org/officeDocument/2006/relationships" r:embed="rId281"/>
        <a:stretch>
          <a:fillRect/>
        </a:stretch>
      </xdr:blipFill>
      <xdr:spPr>
        <a:prstGeom prst="rect">
          <a:avLst/>
        </a:prstGeom>
        <a:ln w="9525">
          <a:solidFill>
            <a:srgbClr val="000000"/>
          </a:solidFill>
          <a:prstDash val="solid"/>
        </a:ln>
      </xdr:spPr>
    </xdr:pic>
    <xdr:clientData/>
  </xdr:twoCellAnchor>
  <xdr:twoCellAnchor>
    <xdr:from>
      <xdr:col>3</xdr:col>
      <xdr:colOff>114300</xdr:colOff>
      <xdr:row>819</xdr:row>
      <xdr:rowOff>38100</xdr:rowOff>
    </xdr:from>
    <xdr:to>
      <xdr:col>3</xdr:col>
      <xdr:colOff>1552575</xdr:colOff>
      <xdr:row>820</xdr:row>
      <xdr:rowOff>638175</xdr:rowOff>
    </xdr:to>
    <xdr:pic>
      <xdr:nvPicPr>
        <xdr:cNvPr id="286" name="Имя " descr="Descr ">
          <a:extLst>
            <a:ext uri="{FF2B5EF4-FFF2-40B4-BE49-F238E27FC236}">
              <a16:creationId xmlns:a16="http://schemas.microsoft.com/office/drawing/2014/main" id="{00000000-0008-0000-0000-00001E010000}"/>
            </a:ext>
          </a:extLst>
        </xdr:cNvPr>
        <xdr:cNvPicPr>
          <a:picLocks noChangeAspect="1"/>
        </xdr:cNvPicPr>
      </xdr:nvPicPr>
      <xdr:blipFill>
        <a:blip xmlns:r="http://schemas.openxmlformats.org/officeDocument/2006/relationships" r:embed="rId282"/>
        <a:stretch>
          <a:fillRect/>
        </a:stretch>
      </xdr:blipFill>
      <xdr:spPr>
        <a:prstGeom prst="rect">
          <a:avLst/>
        </a:prstGeom>
        <a:ln w="9525">
          <a:solidFill>
            <a:srgbClr val="000000"/>
          </a:solidFill>
          <a:prstDash val="solid"/>
        </a:ln>
      </xdr:spPr>
    </xdr:pic>
    <xdr:clientData/>
  </xdr:twoCellAnchor>
  <xdr:twoCellAnchor>
    <xdr:from>
      <xdr:col>3</xdr:col>
      <xdr:colOff>114300</xdr:colOff>
      <xdr:row>821</xdr:row>
      <xdr:rowOff>28575</xdr:rowOff>
    </xdr:from>
    <xdr:to>
      <xdr:col>3</xdr:col>
      <xdr:colOff>1552575</xdr:colOff>
      <xdr:row>821</xdr:row>
      <xdr:rowOff>1266825</xdr:rowOff>
    </xdr:to>
    <xdr:pic>
      <xdr:nvPicPr>
        <xdr:cNvPr id="287" name="Имя " descr="Descr ">
          <a:extLst>
            <a:ext uri="{FF2B5EF4-FFF2-40B4-BE49-F238E27FC236}">
              <a16:creationId xmlns:a16="http://schemas.microsoft.com/office/drawing/2014/main" id="{00000000-0008-0000-0000-00001F010000}"/>
            </a:ext>
          </a:extLst>
        </xdr:cNvPr>
        <xdr:cNvPicPr>
          <a:picLocks noChangeAspect="1"/>
        </xdr:cNvPicPr>
      </xdr:nvPicPr>
      <xdr:blipFill>
        <a:blip xmlns:r="http://schemas.openxmlformats.org/officeDocument/2006/relationships" r:embed="rId283"/>
        <a:stretch>
          <a:fillRect/>
        </a:stretch>
      </xdr:blipFill>
      <xdr:spPr>
        <a:prstGeom prst="rect">
          <a:avLst/>
        </a:prstGeom>
        <a:ln w="9525">
          <a:solidFill>
            <a:srgbClr val="000000"/>
          </a:solidFill>
          <a:prstDash val="solid"/>
        </a:ln>
      </xdr:spPr>
    </xdr:pic>
    <xdr:clientData/>
  </xdr:twoCellAnchor>
  <xdr:twoCellAnchor>
    <xdr:from>
      <xdr:col>3</xdr:col>
      <xdr:colOff>114300</xdr:colOff>
      <xdr:row>822</xdr:row>
      <xdr:rowOff>28575</xdr:rowOff>
    </xdr:from>
    <xdr:to>
      <xdr:col>3</xdr:col>
      <xdr:colOff>1552575</xdr:colOff>
      <xdr:row>822</xdr:row>
      <xdr:rowOff>1266825</xdr:rowOff>
    </xdr:to>
    <xdr:pic>
      <xdr:nvPicPr>
        <xdr:cNvPr id="288" name="Имя " descr="Descr ">
          <a:extLst>
            <a:ext uri="{FF2B5EF4-FFF2-40B4-BE49-F238E27FC236}">
              <a16:creationId xmlns:a16="http://schemas.microsoft.com/office/drawing/2014/main" id="{00000000-0008-0000-0000-000020010000}"/>
            </a:ext>
          </a:extLst>
        </xdr:cNvPr>
        <xdr:cNvPicPr>
          <a:picLocks noChangeAspect="1"/>
        </xdr:cNvPicPr>
      </xdr:nvPicPr>
      <xdr:blipFill>
        <a:blip xmlns:r="http://schemas.openxmlformats.org/officeDocument/2006/relationships" r:embed="rId284"/>
        <a:stretch>
          <a:fillRect/>
        </a:stretch>
      </xdr:blipFill>
      <xdr:spPr>
        <a:prstGeom prst="rect">
          <a:avLst/>
        </a:prstGeom>
        <a:ln w="9525">
          <a:solidFill>
            <a:srgbClr val="000000"/>
          </a:solidFill>
          <a:prstDash val="solid"/>
        </a:ln>
      </xdr:spPr>
    </xdr:pic>
    <xdr:clientData/>
  </xdr:twoCellAnchor>
  <xdr:twoCellAnchor>
    <xdr:from>
      <xdr:col>3</xdr:col>
      <xdr:colOff>114300</xdr:colOff>
      <xdr:row>823</xdr:row>
      <xdr:rowOff>28575</xdr:rowOff>
    </xdr:from>
    <xdr:to>
      <xdr:col>3</xdr:col>
      <xdr:colOff>1552575</xdr:colOff>
      <xdr:row>823</xdr:row>
      <xdr:rowOff>1266825</xdr:rowOff>
    </xdr:to>
    <xdr:pic>
      <xdr:nvPicPr>
        <xdr:cNvPr id="289" name="Имя " descr="Descr ">
          <a:extLst>
            <a:ext uri="{FF2B5EF4-FFF2-40B4-BE49-F238E27FC236}">
              <a16:creationId xmlns:a16="http://schemas.microsoft.com/office/drawing/2014/main" id="{00000000-0008-0000-0000-000021010000}"/>
            </a:ext>
          </a:extLst>
        </xdr:cNvPr>
        <xdr:cNvPicPr>
          <a:picLocks noChangeAspect="1"/>
        </xdr:cNvPicPr>
      </xdr:nvPicPr>
      <xdr:blipFill>
        <a:blip xmlns:r="http://schemas.openxmlformats.org/officeDocument/2006/relationships" r:embed="rId285"/>
        <a:stretch>
          <a:fillRect/>
        </a:stretch>
      </xdr:blipFill>
      <xdr:spPr>
        <a:prstGeom prst="rect">
          <a:avLst/>
        </a:prstGeom>
        <a:ln w="9525">
          <a:solidFill>
            <a:srgbClr val="000000"/>
          </a:solidFill>
          <a:prstDash val="solid"/>
        </a:ln>
      </xdr:spPr>
    </xdr:pic>
    <xdr:clientData/>
  </xdr:twoCellAnchor>
  <xdr:twoCellAnchor>
    <xdr:from>
      <xdr:col>3</xdr:col>
      <xdr:colOff>114300</xdr:colOff>
      <xdr:row>824</xdr:row>
      <xdr:rowOff>28575</xdr:rowOff>
    </xdr:from>
    <xdr:to>
      <xdr:col>3</xdr:col>
      <xdr:colOff>1552575</xdr:colOff>
      <xdr:row>826</xdr:row>
      <xdr:rowOff>419100</xdr:rowOff>
    </xdr:to>
    <xdr:pic>
      <xdr:nvPicPr>
        <xdr:cNvPr id="290" name="Имя " descr="Descr ">
          <a:extLst>
            <a:ext uri="{FF2B5EF4-FFF2-40B4-BE49-F238E27FC236}">
              <a16:creationId xmlns:a16="http://schemas.microsoft.com/office/drawing/2014/main" id="{00000000-0008-0000-0000-000022010000}"/>
            </a:ext>
          </a:extLst>
        </xdr:cNvPr>
        <xdr:cNvPicPr>
          <a:picLocks noChangeAspect="1"/>
        </xdr:cNvPicPr>
      </xdr:nvPicPr>
      <xdr:blipFill>
        <a:blip xmlns:r="http://schemas.openxmlformats.org/officeDocument/2006/relationships" r:embed="rId286"/>
        <a:stretch>
          <a:fillRect/>
        </a:stretch>
      </xdr:blipFill>
      <xdr:spPr>
        <a:prstGeom prst="rect">
          <a:avLst/>
        </a:prstGeom>
        <a:ln w="9525">
          <a:solidFill>
            <a:srgbClr val="000000"/>
          </a:solidFill>
          <a:prstDash val="solid"/>
        </a:ln>
      </xdr:spPr>
    </xdr:pic>
    <xdr:clientData/>
  </xdr:twoCellAnchor>
  <xdr:twoCellAnchor>
    <xdr:from>
      <xdr:col>3</xdr:col>
      <xdr:colOff>114300</xdr:colOff>
      <xdr:row>827</xdr:row>
      <xdr:rowOff>28575</xdr:rowOff>
    </xdr:from>
    <xdr:to>
      <xdr:col>3</xdr:col>
      <xdr:colOff>1552575</xdr:colOff>
      <xdr:row>831</xdr:row>
      <xdr:rowOff>333375</xdr:rowOff>
    </xdr:to>
    <xdr:pic>
      <xdr:nvPicPr>
        <xdr:cNvPr id="291" name="Имя " descr="Descr ">
          <a:extLst>
            <a:ext uri="{FF2B5EF4-FFF2-40B4-BE49-F238E27FC236}">
              <a16:creationId xmlns:a16="http://schemas.microsoft.com/office/drawing/2014/main" id="{00000000-0008-0000-0000-000023010000}"/>
            </a:ext>
          </a:extLst>
        </xdr:cNvPr>
        <xdr:cNvPicPr>
          <a:picLocks noChangeAspect="1"/>
        </xdr:cNvPicPr>
      </xdr:nvPicPr>
      <xdr:blipFill>
        <a:blip xmlns:r="http://schemas.openxmlformats.org/officeDocument/2006/relationships" r:embed="rId287"/>
        <a:stretch>
          <a:fillRect/>
        </a:stretch>
      </xdr:blipFill>
      <xdr:spPr>
        <a:prstGeom prst="rect">
          <a:avLst/>
        </a:prstGeom>
        <a:ln w="9525">
          <a:solidFill>
            <a:srgbClr val="000000"/>
          </a:solidFill>
          <a:prstDash val="solid"/>
        </a:ln>
      </xdr:spPr>
    </xdr:pic>
    <xdr:clientData/>
  </xdr:twoCellAnchor>
  <xdr:twoCellAnchor>
    <xdr:from>
      <xdr:col>3</xdr:col>
      <xdr:colOff>114300</xdr:colOff>
      <xdr:row>832</xdr:row>
      <xdr:rowOff>28575</xdr:rowOff>
    </xdr:from>
    <xdr:to>
      <xdr:col>3</xdr:col>
      <xdr:colOff>1552575</xdr:colOff>
      <xdr:row>837</xdr:row>
      <xdr:rowOff>209550</xdr:rowOff>
    </xdr:to>
    <xdr:pic>
      <xdr:nvPicPr>
        <xdr:cNvPr id="292" name="Имя " descr="Descr ">
          <a:extLst>
            <a:ext uri="{FF2B5EF4-FFF2-40B4-BE49-F238E27FC236}">
              <a16:creationId xmlns:a16="http://schemas.microsoft.com/office/drawing/2014/main" id="{00000000-0008-0000-0000-000024010000}"/>
            </a:ext>
          </a:extLst>
        </xdr:cNvPr>
        <xdr:cNvPicPr>
          <a:picLocks noChangeAspect="1"/>
        </xdr:cNvPicPr>
      </xdr:nvPicPr>
      <xdr:blipFill>
        <a:blip xmlns:r="http://schemas.openxmlformats.org/officeDocument/2006/relationships" r:embed="rId288"/>
        <a:stretch>
          <a:fillRect/>
        </a:stretch>
      </xdr:blipFill>
      <xdr:spPr>
        <a:prstGeom prst="rect">
          <a:avLst/>
        </a:prstGeom>
        <a:ln w="9525">
          <a:solidFill>
            <a:srgbClr val="000000"/>
          </a:solidFill>
          <a:prstDash val="solid"/>
        </a:ln>
      </xdr:spPr>
    </xdr:pic>
    <xdr:clientData/>
  </xdr:twoCellAnchor>
  <xdr:twoCellAnchor>
    <xdr:from>
      <xdr:col>3</xdr:col>
      <xdr:colOff>114300</xdr:colOff>
      <xdr:row>838</xdr:row>
      <xdr:rowOff>28575</xdr:rowOff>
    </xdr:from>
    <xdr:to>
      <xdr:col>3</xdr:col>
      <xdr:colOff>1552575</xdr:colOff>
      <xdr:row>843</xdr:row>
      <xdr:rowOff>209550</xdr:rowOff>
    </xdr:to>
    <xdr:pic>
      <xdr:nvPicPr>
        <xdr:cNvPr id="293" name="Имя " descr="Descr ">
          <a:extLst>
            <a:ext uri="{FF2B5EF4-FFF2-40B4-BE49-F238E27FC236}">
              <a16:creationId xmlns:a16="http://schemas.microsoft.com/office/drawing/2014/main" id="{00000000-0008-0000-0000-000025010000}"/>
            </a:ext>
          </a:extLst>
        </xdr:cNvPr>
        <xdr:cNvPicPr>
          <a:picLocks noChangeAspect="1"/>
        </xdr:cNvPicPr>
      </xdr:nvPicPr>
      <xdr:blipFill>
        <a:blip xmlns:r="http://schemas.openxmlformats.org/officeDocument/2006/relationships" r:embed="rId289"/>
        <a:stretch>
          <a:fillRect/>
        </a:stretch>
      </xdr:blipFill>
      <xdr:spPr>
        <a:prstGeom prst="rect">
          <a:avLst/>
        </a:prstGeom>
        <a:ln w="9525">
          <a:solidFill>
            <a:srgbClr val="000000"/>
          </a:solidFill>
          <a:prstDash val="solid"/>
        </a:ln>
      </xdr:spPr>
    </xdr:pic>
    <xdr:clientData/>
  </xdr:twoCellAnchor>
  <xdr:twoCellAnchor>
    <xdr:from>
      <xdr:col>3</xdr:col>
      <xdr:colOff>114300</xdr:colOff>
      <xdr:row>844</xdr:row>
      <xdr:rowOff>28575</xdr:rowOff>
    </xdr:from>
    <xdr:to>
      <xdr:col>3</xdr:col>
      <xdr:colOff>1552575</xdr:colOff>
      <xdr:row>850</xdr:row>
      <xdr:rowOff>171450</xdr:rowOff>
    </xdr:to>
    <xdr:pic>
      <xdr:nvPicPr>
        <xdr:cNvPr id="294" name="Имя " descr="Descr ">
          <a:extLst>
            <a:ext uri="{FF2B5EF4-FFF2-40B4-BE49-F238E27FC236}">
              <a16:creationId xmlns:a16="http://schemas.microsoft.com/office/drawing/2014/main" id="{00000000-0008-0000-0000-000026010000}"/>
            </a:ext>
          </a:extLst>
        </xdr:cNvPr>
        <xdr:cNvPicPr>
          <a:picLocks noChangeAspect="1"/>
        </xdr:cNvPicPr>
      </xdr:nvPicPr>
      <xdr:blipFill>
        <a:blip xmlns:r="http://schemas.openxmlformats.org/officeDocument/2006/relationships" r:embed="rId290"/>
        <a:stretch>
          <a:fillRect/>
        </a:stretch>
      </xdr:blipFill>
      <xdr:spPr>
        <a:prstGeom prst="rect">
          <a:avLst/>
        </a:prstGeom>
        <a:ln w="9525">
          <a:solidFill>
            <a:srgbClr val="000000"/>
          </a:solidFill>
          <a:prstDash val="solid"/>
        </a:ln>
      </xdr:spPr>
    </xdr:pic>
    <xdr:clientData/>
  </xdr:twoCellAnchor>
  <xdr:twoCellAnchor>
    <xdr:from>
      <xdr:col>3</xdr:col>
      <xdr:colOff>114300</xdr:colOff>
      <xdr:row>851</xdr:row>
      <xdr:rowOff>28575</xdr:rowOff>
    </xdr:from>
    <xdr:to>
      <xdr:col>3</xdr:col>
      <xdr:colOff>1552575</xdr:colOff>
      <xdr:row>856</xdr:row>
      <xdr:rowOff>209550</xdr:rowOff>
    </xdr:to>
    <xdr:pic>
      <xdr:nvPicPr>
        <xdr:cNvPr id="295" name="Имя " descr="Descr ">
          <a:extLst>
            <a:ext uri="{FF2B5EF4-FFF2-40B4-BE49-F238E27FC236}">
              <a16:creationId xmlns:a16="http://schemas.microsoft.com/office/drawing/2014/main" id="{00000000-0008-0000-0000-000027010000}"/>
            </a:ext>
          </a:extLst>
        </xdr:cNvPr>
        <xdr:cNvPicPr>
          <a:picLocks noChangeAspect="1"/>
        </xdr:cNvPicPr>
      </xdr:nvPicPr>
      <xdr:blipFill>
        <a:blip xmlns:r="http://schemas.openxmlformats.org/officeDocument/2006/relationships" r:embed="rId291"/>
        <a:stretch>
          <a:fillRect/>
        </a:stretch>
      </xdr:blipFill>
      <xdr:spPr>
        <a:prstGeom prst="rect">
          <a:avLst/>
        </a:prstGeom>
        <a:ln w="9525">
          <a:solidFill>
            <a:srgbClr val="000000"/>
          </a:solidFill>
          <a:prstDash val="solid"/>
        </a:ln>
      </xdr:spPr>
    </xdr:pic>
    <xdr:clientData/>
  </xdr:twoCellAnchor>
  <xdr:twoCellAnchor>
    <xdr:from>
      <xdr:col>3</xdr:col>
      <xdr:colOff>114300</xdr:colOff>
      <xdr:row>857</xdr:row>
      <xdr:rowOff>28575</xdr:rowOff>
    </xdr:from>
    <xdr:to>
      <xdr:col>3</xdr:col>
      <xdr:colOff>1552575</xdr:colOff>
      <xdr:row>862</xdr:row>
      <xdr:rowOff>209550</xdr:rowOff>
    </xdr:to>
    <xdr:pic>
      <xdr:nvPicPr>
        <xdr:cNvPr id="296" name="Имя " descr="Descr ">
          <a:extLst>
            <a:ext uri="{FF2B5EF4-FFF2-40B4-BE49-F238E27FC236}">
              <a16:creationId xmlns:a16="http://schemas.microsoft.com/office/drawing/2014/main" id="{00000000-0008-0000-0000-000028010000}"/>
            </a:ext>
          </a:extLst>
        </xdr:cNvPr>
        <xdr:cNvPicPr>
          <a:picLocks noChangeAspect="1"/>
        </xdr:cNvPicPr>
      </xdr:nvPicPr>
      <xdr:blipFill>
        <a:blip xmlns:r="http://schemas.openxmlformats.org/officeDocument/2006/relationships" r:embed="rId292"/>
        <a:stretch>
          <a:fillRect/>
        </a:stretch>
      </xdr:blipFill>
      <xdr:spPr>
        <a:prstGeom prst="rect">
          <a:avLst/>
        </a:prstGeom>
        <a:ln w="9525">
          <a:solidFill>
            <a:srgbClr val="000000"/>
          </a:solidFill>
          <a:prstDash val="solid"/>
        </a:ln>
      </xdr:spPr>
    </xdr:pic>
    <xdr:clientData/>
  </xdr:twoCellAnchor>
  <xdr:twoCellAnchor>
    <xdr:from>
      <xdr:col>3</xdr:col>
      <xdr:colOff>114300</xdr:colOff>
      <xdr:row>863</xdr:row>
      <xdr:rowOff>28575</xdr:rowOff>
    </xdr:from>
    <xdr:to>
      <xdr:col>3</xdr:col>
      <xdr:colOff>1552575</xdr:colOff>
      <xdr:row>870</xdr:row>
      <xdr:rowOff>152400</xdr:rowOff>
    </xdr:to>
    <xdr:pic>
      <xdr:nvPicPr>
        <xdr:cNvPr id="297" name="Имя " descr="Descr ">
          <a:extLst>
            <a:ext uri="{FF2B5EF4-FFF2-40B4-BE49-F238E27FC236}">
              <a16:creationId xmlns:a16="http://schemas.microsoft.com/office/drawing/2014/main" id="{00000000-0008-0000-0000-000029010000}"/>
            </a:ext>
          </a:extLst>
        </xdr:cNvPr>
        <xdr:cNvPicPr>
          <a:picLocks noChangeAspect="1"/>
        </xdr:cNvPicPr>
      </xdr:nvPicPr>
      <xdr:blipFill>
        <a:blip xmlns:r="http://schemas.openxmlformats.org/officeDocument/2006/relationships" r:embed="rId293"/>
        <a:stretch>
          <a:fillRect/>
        </a:stretch>
      </xdr:blipFill>
      <xdr:spPr>
        <a:prstGeom prst="rect">
          <a:avLst/>
        </a:prstGeom>
        <a:ln w="9525">
          <a:solidFill>
            <a:srgbClr val="000000"/>
          </a:solidFill>
          <a:prstDash val="solid"/>
        </a:ln>
      </xdr:spPr>
    </xdr:pic>
    <xdr:clientData/>
  </xdr:twoCellAnchor>
  <xdr:twoCellAnchor>
    <xdr:from>
      <xdr:col>3</xdr:col>
      <xdr:colOff>114300</xdr:colOff>
      <xdr:row>871</xdr:row>
      <xdr:rowOff>28575</xdr:rowOff>
    </xdr:from>
    <xdr:to>
      <xdr:col>3</xdr:col>
      <xdr:colOff>1552575</xdr:colOff>
      <xdr:row>879</xdr:row>
      <xdr:rowOff>133350</xdr:rowOff>
    </xdr:to>
    <xdr:pic>
      <xdr:nvPicPr>
        <xdr:cNvPr id="298" name="Имя " descr="Descr ">
          <a:extLst>
            <a:ext uri="{FF2B5EF4-FFF2-40B4-BE49-F238E27FC236}">
              <a16:creationId xmlns:a16="http://schemas.microsoft.com/office/drawing/2014/main" id="{00000000-0008-0000-0000-00002A010000}"/>
            </a:ext>
          </a:extLst>
        </xdr:cNvPr>
        <xdr:cNvPicPr>
          <a:picLocks noChangeAspect="1"/>
        </xdr:cNvPicPr>
      </xdr:nvPicPr>
      <xdr:blipFill>
        <a:blip xmlns:r="http://schemas.openxmlformats.org/officeDocument/2006/relationships" r:embed="rId294"/>
        <a:stretch>
          <a:fillRect/>
        </a:stretch>
      </xdr:blipFill>
      <xdr:spPr>
        <a:prstGeom prst="rect">
          <a:avLst/>
        </a:prstGeom>
        <a:ln w="9525">
          <a:solidFill>
            <a:srgbClr val="000000"/>
          </a:solidFill>
          <a:prstDash val="solid"/>
        </a:ln>
      </xdr:spPr>
    </xdr:pic>
    <xdr:clientData/>
  </xdr:twoCellAnchor>
  <xdr:twoCellAnchor>
    <xdr:from>
      <xdr:col>3</xdr:col>
      <xdr:colOff>114300</xdr:colOff>
      <xdr:row>881</xdr:row>
      <xdr:rowOff>28575</xdr:rowOff>
    </xdr:from>
    <xdr:to>
      <xdr:col>3</xdr:col>
      <xdr:colOff>1552575</xdr:colOff>
      <xdr:row>889</xdr:row>
      <xdr:rowOff>133350</xdr:rowOff>
    </xdr:to>
    <xdr:pic>
      <xdr:nvPicPr>
        <xdr:cNvPr id="299" name="Имя " descr="Descr ">
          <a:extLst>
            <a:ext uri="{FF2B5EF4-FFF2-40B4-BE49-F238E27FC236}">
              <a16:creationId xmlns:a16="http://schemas.microsoft.com/office/drawing/2014/main" id="{00000000-0008-0000-0000-00002B010000}"/>
            </a:ext>
          </a:extLst>
        </xdr:cNvPr>
        <xdr:cNvPicPr>
          <a:picLocks noChangeAspect="1"/>
        </xdr:cNvPicPr>
      </xdr:nvPicPr>
      <xdr:blipFill>
        <a:blip xmlns:r="http://schemas.openxmlformats.org/officeDocument/2006/relationships" r:embed="rId295"/>
        <a:stretch>
          <a:fillRect/>
        </a:stretch>
      </xdr:blipFill>
      <xdr:spPr>
        <a:prstGeom prst="rect">
          <a:avLst/>
        </a:prstGeom>
        <a:ln w="9525">
          <a:solidFill>
            <a:srgbClr val="000000"/>
          </a:solidFill>
          <a:prstDash val="solid"/>
        </a:ln>
      </xdr:spPr>
    </xdr:pic>
    <xdr:clientData/>
  </xdr:twoCellAnchor>
  <xdr:twoCellAnchor>
    <xdr:from>
      <xdr:col>3</xdr:col>
      <xdr:colOff>114300</xdr:colOff>
      <xdr:row>892</xdr:row>
      <xdr:rowOff>28575</xdr:rowOff>
    </xdr:from>
    <xdr:to>
      <xdr:col>3</xdr:col>
      <xdr:colOff>1552575</xdr:colOff>
      <xdr:row>898</xdr:row>
      <xdr:rowOff>171450</xdr:rowOff>
    </xdr:to>
    <xdr:pic>
      <xdr:nvPicPr>
        <xdr:cNvPr id="300" name="Имя " descr="Descr ">
          <a:extLst>
            <a:ext uri="{FF2B5EF4-FFF2-40B4-BE49-F238E27FC236}">
              <a16:creationId xmlns:a16="http://schemas.microsoft.com/office/drawing/2014/main" id="{00000000-0008-0000-0000-00002C010000}"/>
            </a:ext>
          </a:extLst>
        </xdr:cNvPr>
        <xdr:cNvPicPr>
          <a:picLocks noChangeAspect="1"/>
        </xdr:cNvPicPr>
      </xdr:nvPicPr>
      <xdr:blipFill>
        <a:blip xmlns:r="http://schemas.openxmlformats.org/officeDocument/2006/relationships" r:embed="rId296"/>
        <a:stretch>
          <a:fillRect/>
        </a:stretch>
      </xdr:blipFill>
      <xdr:spPr>
        <a:prstGeom prst="rect">
          <a:avLst/>
        </a:prstGeom>
        <a:ln w="9525">
          <a:solidFill>
            <a:srgbClr val="000000"/>
          </a:solidFill>
          <a:prstDash val="solid"/>
        </a:ln>
      </xdr:spPr>
    </xdr:pic>
    <xdr:clientData/>
  </xdr:twoCellAnchor>
  <xdr:twoCellAnchor>
    <xdr:from>
      <xdr:col>3</xdr:col>
      <xdr:colOff>114300</xdr:colOff>
      <xdr:row>899</xdr:row>
      <xdr:rowOff>28575</xdr:rowOff>
    </xdr:from>
    <xdr:to>
      <xdr:col>3</xdr:col>
      <xdr:colOff>1552575</xdr:colOff>
      <xdr:row>907</xdr:row>
      <xdr:rowOff>133350</xdr:rowOff>
    </xdr:to>
    <xdr:pic>
      <xdr:nvPicPr>
        <xdr:cNvPr id="301" name="Имя " descr="Descr ">
          <a:extLst>
            <a:ext uri="{FF2B5EF4-FFF2-40B4-BE49-F238E27FC236}">
              <a16:creationId xmlns:a16="http://schemas.microsoft.com/office/drawing/2014/main" id="{00000000-0008-0000-0000-00002D010000}"/>
            </a:ext>
          </a:extLst>
        </xdr:cNvPr>
        <xdr:cNvPicPr>
          <a:picLocks noChangeAspect="1"/>
        </xdr:cNvPicPr>
      </xdr:nvPicPr>
      <xdr:blipFill>
        <a:blip xmlns:r="http://schemas.openxmlformats.org/officeDocument/2006/relationships" r:embed="rId297"/>
        <a:stretch>
          <a:fillRect/>
        </a:stretch>
      </xdr:blipFill>
      <xdr:spPr>
        <a:prstGeom prst="rect">
          <a:avLst/>
        </a:prstGeom>
        <a:ln w="9525">
          <a:solidFill>
            <a:srgbClr val="000000"/>
          </a:solidFill>
          <a:prstDash val="solid"/>
        </a:ln>
      </xdr:spPr>
    </xdr:pic>
    <xdr:clientData/>
  </xdr:twoCellAnchor>
  <xdr:twoCellAnchor>
    <xdr:from>
      <xdr:col>3</xdr:col>
      <xdr:colOff>114300</xdr:colOff>
      <xdr:row>911</xdr:row>
      <xdr:rowOff>28575</xdr:rowOff>
    </xdr:from>
    <xdr:to>
      <xdr:col>3</xdr:col>
      <xdr:colOff>1552575</xdr:colOff>
      <xdr:row>919</xdr:row>
      <xdr:rowOff>133350</xdr:rowOff>
    </xdr:to>
    <xdr:pic>
      <xdr:nvPicPr>
        <xdr:cNvPr id="302" name="Имя " descr="Descr ">
          <a:extLst>
            <a:ext uri="{FF2B5EF4-FFF2-40B4-BE49-F238E27FC236}">
              <a16:creationId xmlns:a16="http://schemas.microsoft.com/office/drawing/2014/main" id="{00000000-0008-0000-0000-00002E010000}"/>
            </a:ext>
          </a:extLst>
        </xdr:cNvPr>
        <xdr:cNvPicPr>
          <a:picLocks noChangeAspect="1"/>
        </xdr:cNvPicPr>
      </xdr:nvPicPr>
      <xdr:blipFill>
        <a:blip xmlns:r="http://schemas.openxmlformats.org/officeDocument/2006/relationships" r:embed="rId298"/>
        <a:stretch>
          <a:fillRect/>
        </a:stretch>
      </xdr:blipFill>
      <xdr:spPr>
        <a:prstGeom prst="rect">
          <a:avLst/>
        </a:prstGeom>
        <a:ln w="9525">
          <a:solidFill>
            <a:srgbClr val="000000"/>
          </a:solidFill>
          <a:prstDash val="solid"/>
        </a:ln>
      </xdr:spPr>
    </xdr:pic>
    <xdr:clientData/>
  </xdr:twoCellAnchor>
  <xdr:twoCellAnchor>
    <xdr:from>
      <xdr:col>3</xdr:col>
      <xdr:colOff>114300</xdr:colOff>
      <xdr:row>921</xdr:row>
      <xdr:rowOff>28575</xdr:rowOff>
    </xdr:from>
    <xdr:to>
      <xdr:col>3</xdr:col>
      <xdr:colOff>1552575</xdr:colOff>
      <xdr:row>928</xdr:row>
      <xdr:rowOff>152400</xdr:rowOff>
    </xdr:to>
    <xdr:pic>
      <xdr:nvPicPr>
        <xdr:cNvPr id="303" name="Имя " descr="Descr ">
          <a:extLst>
            <a:ext uri="{FF2B5EF4-FFF2-40B4-BE49-F238E27FC236}">
              <a16:creationId xmlns:a16="http://schemas.microsoft.com/office/drawing/2014/main" id="{00000000-0008-0000-0000-00002F010000}"/>
            </a:ext>
          </a:extLst>
        </xdr:cNvPr>
        <xdr:cNvPicPr>
          <a:picLocks noChangeAspect="1"/>
        </xdr:cNvPicPr>
      </xdr:nvPicPr>
      <xdr:blipFill>
        <a:blip xmlns:r="http://schemas.openxmlformats.org/officeDocument/2006/relationships" r:embed="rId299"/>
        <a:stretch>
          <a:fillRect/>
        </a:stretch>
      </xdr:blipFill>
      <xdr:spPr>
        <a:prstGeom prst="rect">
          <a:avLst/>
        </a:prstGeom>
        <a:ln w="9525">
          <a:solidFill>
            <a:srgbClr val="000000"/>
          </a:solidFill>
          <a:prstDash val="solid"/>
        </a:ln>
      </xdr:spPr>
    </xdr:pic>
    <xdr:clientData/>
  </xdr:twoCellAnchor>
  <xdr:twoCellAnchor>
    <xdr:from>
      <xdr:col>3</xdr:col>
      <xdr:colOff>114300</xdr:colOff>
      <xdr:row>929</xdr:row>
      <xdr:rowOff>28575</xdr:rowOff>
    </xdr:from>
    <xdr:to>
      <xdr:col>3</xdr:col>
      <xdr:colOff>1552575</xdr:colOff>
      <xdr:row>937</xdr:row>
      <xdr:rowOff>133350</xdr:rowOff>
    </xdr:to>
    <xdr:pic>
      <xdr:nvPicPr>
        <xdr:cNvPr id="304" name="Имя " descr="Descr ">
          <a:extLst>
            <a:ext uri="{FF2B5EF4-FFF2-40B4-BE49-F238E27FC236}">
              <a16:creationId xmlns:a16="http://schemas.microsoft.com/office/drawing/2014/main" id="{00000000-0008-0000-0000-000030010000}"/>
            </a:ext>
          </a:extLst>
        </xdr:cNvPr>
        <xdr:cNvPicPr>
          <a:picLocks noChangeAspect="1"/>
        </xdr:cNvPicPr>
      </xdr:nvPicPr>
      <xdr:blipFill>
        <a:blip xmlns:r="http://schemas.openxmlformats.org/officeDocument/2006/relationships" r:embed="rId300"/>
        <a:stretch>
          <a:fillRect/>
        </a:stretch>
      </xdr:blipFill>
      <xdr:spPr>
        <a:prstGeom prst="rect">
          <a:avLst/>
        </a:prstGeom>
        <a:ln w="9525">
          <a:solidFill>
            <a:srgbClr val="000000"/>
          </a:solidFill>
          <a:prstDash val="solid"/>
        </a:ln>
      </xdr:spPr>
    </xdr:pic>
    <xdr:clientData/>
  </xdr:twoCellAnchor>
  <xdr:twoCellAnchor>
    <xdr:from>
      <xdr:col>3</xdr:col>
      <xdr:colOff>114300</xdr:colOff>
      <xdr:row>938</xdr:row>
      <xdr:rowOff>28575</xdr:rowOff>
    </xdr:from>
    <xdr:to>
      <xdr:col>3</xdr:col>
      <xdr:colOff>1552575</xdr:colOff>
      <xdr:row>946</xdr:row>
      <xdr:rowOff>133350</xdr:rowOff>
    </xdr:to>
    <xdr:pic>
      <xdr:nvPicPr>
        <xdr:cNvPr id="305" name="Имя " descr="Descr ">
          <a:extLst>
            <a:ext uri="{FF2B5EF4-FFF2-40B4-BE49-F238E27FC236}">
              <a16:creationId xmlns:a16="http://schemas.microsoft.com/office/drawing/2014/main" id="{00000000-0008-0000-0000-000031010000}"/>
            </a:ext>
          </a:extLst>
        </xdr:cNvPr>
        <xdr:cNvPicPr>
          <a:picLocks noChangeAspect="1"/>
        </xdr:cNvPicPr>
      </xdr:nvPicPr>
      <xdr:blipFill>
        <a:blip xmlns:r="http://schemas.openxmlformats.org/officeDocument/2006/relationships" r:embed="rId301"/>
        <a:stretch>
          <a:fillRect/>
        </a:stretch>
      </xdr:blipFill>
      <xdr:spPr>
        <a:prstGeom prst="rect">
          <a:avLst/>
        </a:prstGeom>
        <a:ln w="9525">
          <a:solidFill>
            <a:srgbClr val="000000"/>
          </a:solidFill>
          <a:prstDash val="solid"/>
        </a:ln>
      </xdr:spPr>
    </xdr:pic>
    <xdr:clientData/>
  </xdr:twoCellAnchor>
  <xdr:twoCellAnchor>
    <xdr:from>
      <xdr:col>3</xdr:col>
      <xdr:colOff>114300</xdr:colOff>
      <xdr:row>949</xdr:row>
      <xdr:rowOff>28575</xdr:rowOff>
    </xdr:from>
    <xdr:to>
      <xdr:col>3</xdr:col>
      <xdr:colOff>1552575</xdr:colOff>
      <xdr:row>954</xdr:row>
      <xdr:rowOff>209550</xdr:rowOff>
    </xdr:to>
    <xdr:pic>
      <xdr:nvPicPr>
        <xdr:cNvPr id="306" name="Имя " descr="Descr ">
          <a:extLst>
            <a:ext uri="{FF2B5EF4-FFF2-40B4-BE49-F238E27FC236}">
              <a16:creationId xmlns:a16="http://schemas.microsoft.com/office/drawing/2014/main" id="{00000000-0008-0000-0000-000032010000}"/>
            </a:ext>
          </a:extLst>
        </xdr:cNvPr>
        <xdr:cNvPicPr>
          <a:picLocks noChangeAspect="1"/>
        </xdr:cNvPicPr>
      </xdr:nvPicPr>
      <xdr:blipFill>
        <a:blip xmlns:r="http://schemas.openxmlformats.org/officeDocument/2006/relationships" r:embed="rId302"/>
        <a:stretch>
          <a:fillRect/>
        </a:stretch>
      </xdr:blipFill>
      <xdr:spPr>
        <a:prstGeom prst="rect">
          <a:avLst/>
        </a:prstGeom>
        <a:ln w="9525">
          <a:solidFill>
            <a:srgbClr val="000000"/>
          </a:solidFill>
          <a:prstDash val="solid"/>
        </a:ln>
      </xdr:spPr>
    </xdr:pic>
    <xdr:clientData/>
  </xdr:twoCellAnchor>
  <xdr:twoCellAnchor>
    <xdr:from>
      <xdr:col>3</xdr:col>
      <xdr:colOff>114300</xdr:colOff>
      <xdr:row>955</xdr:row>
      <xdr:rowOff>28575</xdr:rowOff>
    </xdr:from>
    <xdr:to>
      <xdr:col>3</xdr:col>
      <xdr:colOff>1552575</xdr:colOff>
      <xdr:row>957</xdr:row>
      <xdr:rowOff>419100</xdr:rowOff>
    </xdr:to>
    <xdr:pic>
      <xdr:nvPicPr>
        <xdr:cNvPr id="307" name="Имя " descr="Descr ">
          <a:extLst>
            <a:ext uri="{FF2B5EF4-FFF2-40B4-BE49-F238E27FC236}">
              <a16:creationId xmlns:a16="http://schemas.microsoft.com/office/drawing/2014/main" id="{00000000-0008-0000-0000-000033010000}"/>
            </a:ext>
          </a:extLst>
        </xdr:cNvPr>
        <xdr:cNvPicPr>
          <a:picLocks noChangeAspect="1"/>
        </xdr:cNvPicPr>
      </xdr:nvPicPr>
      <xdr:blipFill>
        <a:blip xmlns:r="http://schemas.openxmlformats.org/officeDocument/2006/relationships" r:embed="rId303"/>
        <a:stretch>
          <a:fillRect/>
        </a:stretch>
      </xdr:blipFill>
      <xdr:spPr>
        <a:prstGeom prst="rect">
          <a:avLst/>
        </a:prstGeom>
        <a:ln w="9525">
          <a:solidFill>
            <a:srgbClr val="000000"/>
          </a:solidFill>
          <a:prstDash val="solid"/>
        </a:ln>
      </xdr:spPr>
    </xdr:pic>
    <xdr:clientData/>
  </xdr:twoCellAnchor>
  <xdr:twoCellAnchor>
    <xdr:from>
      <xdr:col>3</xdr:col>
      <xdr:colOff>114300</xdr:colOff>
      <xdr:row>958</xdr:row>
      <xdr:rowOff>38100</xdr:rowOff>
    </xdr:from>
    <xdr:to>
      <xdr:col>3</xdr:col>
      <xdr:colOff>1552575</xdr:colOff>
      <xdr:row>959</xdr:row>
      <xdr:rowOff>638175</xdr:rowOff>
    </xdr:to>
    <xdr:pic>
      <xdr:nvPicPr>
        <xdr:cNvPr id="308" name="Имя " descr="Descr ">
          <a:extLst>
            <a:ext uri="{FF2B5EF4-FFF2-40B4-BE49-F238E27FC236}">
              <a16:creationId xmlns:a16="http://schemas.microsoft.com/office/drawing/2014/main" id="{00000000-0008-0000-0000-000034010000}"/>
            </a:ext>
          </a:extLst>
        </xdr:cNvPr>
        <xdr:cNvPicPr>
          <a:picLocks noChangeAspect="1"/>
        </xdr:cNvPicPr>
      </xdr:nvPicPr>
      <xdr:blipFill>
        <a:blip xmlns:r="http://schemas.openxmlformats.org/officeDocument/2006/relationships" r:embed="rId304"/>
        <a:stretch>
          <a:fillRect/>
        </a:stretch>
      </xdr:blipFill>
      <xdr:spPr>
        <a:prstGeom prst="rect">
          <a:avLst/>
        </a:prstGeom>
        <a:ln w="9525">
          <a:solidFill>
            <a:srgbClr val="000000"/>
          </a:solidFill>
          <a:prstDash val="solid"/>
        </a:ln>
      </xdr:spPr>
    </xdr:pic>
    <xdr:clientData/>
  </xdr:twoCellAnchor>
  <xdr:twoCellAnchor>
    <xdr:from>
      <xdr:col>3</xdr:col>
      <xdr:colOff>114300</xdr:colOff>
      <xdr:row>960</xdr:row>
      <xdr:rowOff>28575</xdr:rowOff>
    </xdr:from>
    <xdr:to>
      <xdr:col>3</xdr:col>
      <xdr:colOff>1552575</xdr:colOff>
      <xdr:row>963</xdr:row>
      <xdr:rowOff>209550</xdr:rowOff>
    </xdr:to>
    <xdr:pic>
      <xdr:nvPicPr>
        <xdr:cNvPr id="309" name="Имя " descr="Descr ">
          <a:extLst>
            <a:ext uri="{FF2B5EF4-FFF2-40B4-BE49-F238E27FC236}">
              <a16:creationId xmlns:a16="http://schemas.microsoft.com/office/drawing/2014/main" id="{00000000-0008-0000-0000-000035010000}"/>
            </a:ext>
          </a:extLst>
        </xdr:cNvPr>
        <xdr:cNvPicPr>
          <a:picLocks noChangeAspect="1"/>
        </xdr:cNvPicPr>
      </xdr:nvPicPr>
      <xdr:blipFill>
        <a:blip xmlns:r="http://schemas.openxmlformats.org/officeDocument/2006/relationships" r:embed="rId305"/>
        <a:stretch>
          <a:fillRect/>
        </a:stretch>
      </xdr:blipFill>
      <xdr:spPr>
        <a:prstGeom prst="rect">
          <a:avLst/>
        </a:prstGeom>
        <a:ln w="9525">
          <a:solidFill>
            <a:srgbClr val="000000"/>
          </a:solidFill>
          <a:prstDash val="solid"/>
        </a:ln>
      </xdr:spPr>
    </xdr:pic>
    <xdr:clientData/>
  </xdr:twoCellAnchor>
  <xdr:twoCellAnchor>
    <xdr:from>
      <xdr:col>3</xdr:col>
      <xdr:colOff>114300</xdr:colOff>
      <xdr:row>964</xdr:row>
      <xdr:rowOff>28575</xdr:rowOff>
    </xdr:from>
    <xdr:to>
      <xdr:col>3</xdr:col>
      <xdr:colOff>1552575</xdr:colOff>
      <xdr:row>968</xdr:row>
      <xdr:rowOff>333375</xdr:rowOff>
    </xdr:to>
    <xdr:pic>
      <xdr:nvPicPr>
        <xdr:cNvPr id="310" name="Имя " descr="Descr ">
          <a:extLst>
            <a:ext uri="{FF2B5EF4-FFF2-40B4-BE49-F238E27FC236}">
              <a16:creationId xmlns:a16="http://schemas.microsoft.com/office/drawing/2014/main" id="{00000000-0008-0000-0000-000036010000}"/>
            </a:ext>
          </a:extLst>
        </xdr:cNvPr>
        <xdr:cNvPicPr>
          <a:picLocks noChangeAspect="1"/>
        </xdr:cNvPicPr>
      </xdr:nvPicPr>
      <xdr:blipFill>
        <a:blip xmlns:r="http://schemas.openxmlformats.org/officeDocument/2006/relationships" r:embed="rId306"/>
        <a:stretch>
          <a:fillRect/>
        </a:stretch>
      </xdr:blipFill>
      <xdr:spPr>
        <a:prstGeom prst="rect">
          <a:avLst/>
        </a:prstGeom>
        <a:ln w="9525">
          <a:solidFill>
            <a:srgbClr val="000000"/>
          </a:solidFill>
          <a:prstDash val="solid"/>
        </a:ln>
      </xdr:spPr>
    </xdr:pic>
    <xdr:clientData/>
  </xdr:twoCellAnchor>
  <xdr:twoCellAnchor>
    <xdr:from>
      <xdr:col>3</xdr:col>
      <xdr:colOff>114300</xdr:colOff>
      <xdr:row>969</xdr:row>
      <xdr:rowOff>28575</xdr:rowOff>
    </xdr:from>
    <xdr:to>
      <xdr:col>3</xdr:col>
      <xdr:colOff>1552575</xdr:colOff>
      <xdr:row>977</xdr:row>
      <xdr:rowOff>133350</xdr:rowOff>
    </xdr:to>
    <xdr:pic>
      <xdr:nvPicPr>
        <xdr:cNvPr id="311" name="Имя " descr="Descr ">
          <a:extLst>
            <a:ext uri="{FF2B5EF4-FFF2-40B4-BE49-F238E27FC236}">
              <a16:creationId xmlns:a16="http://schemas.microsoft.com/office/drawing/2014/main" id="{00000000-0008-0000-0000-000037010000}"/>
            </a:ext>
          </a:extLst>
        </xdr:cNvPr>
        <xdr:cNvPicPr>
          <a:picLocks noChangeAspect="1"/>
        </xdr:cNvPicPr>
      </xdr:nvPicPr>
      <xdr:blipFill>
        <a:blip xmlns:r="http://schemas.openxmlformats.org/officeDocument/2006/relationships" r:embed="rId307"/>
        <a:stretch>
          <a:fillRect/>
        </a:stretch>
      </xdr:blipFill>
      <xdr:spPr>
        <a:prstGeom prst="rect">
          <a:avLst/>
        </a:prstGeom>
        <a:ln w="9525">
          <a:solidFill>
            <a:srgbClr val="000000"/>
          </a:solidFill>
          <a:prstDash val="solid"/>
        </a:ln>
      </xdr:spPr>
    </xdr:pic>
    <xdr:clientData/>
  </xdr:twoCellAnchor>
  <xdr:twoCellAnchor>
    <xdr:from>
      <xdr:col>3</xdr:col>
      <xdr:colOff>114300</xdr:colOff>
      <xdr:row>980</xdr:row>
      <xdr:rowOff>28575</xdr:rowOff>
    </xdr:from>
    <xdr:to>
      <xdr:col>3</xdr:col>
      <xdr:colOff>1552575</xdr:colOff>
      <xdr:row>988</xdr:row>
      <xdr:rowOff>133350</xdr:rowOff>
    </xdr:to>
    <xdr:pic>
      <xdr:nvPicPr>
        <xdr:cNvPr id="312" name="Имя " descr="Descr ">
          <a:extLst>
            <a:ext uri="{FF2B5EF4-FFF2-40B4-BE49-F238E27FC236}">
              <a16:creationId xmlns:a16="http://schemas.microsoft.com/office/drawing/2014/main" id="{00000000-0008-0000-0000-000038010000}"/>
            </a:ext>
          </a:extLst>
        </xdr:cNvPr>
        <xdr:cNvPicPr>
          <a:picLocks noChangeAspect="1"/>
        </xdr:cNvPicPr>
      </xdr:nvPicPr>
      <xdr:blipFill>
        <a:blip xmlns:r="http://schemas.openxmlformats.org/officeDocument/2006/relationships" r:embed="rId308"/>
        <a:stretch>
          <a:fillRect/>
        </a:stretch>
      </xdr:blipFill>
      <xdr:spPr>
        <a:prstGeom prst="rect">
          <a:avLst/>
        </a:prstGeom>
        <a:ln w="9525">
          <a:solidFill>
            <a:srgbClr val="000000"/>
          </a:solidFill>
          <a:prstDash val="solid"/>
        </a:ln>
      </xdr:spPr>
    </xdr:pic>
    <xdr:clientData/>
  </xdr:twoCellAnchor>
  <xdr:twoCellAnchor>
    <xdr:from>
      <xdr:col>3</xdr:col>
      <xdr:colOff>114300</xdr:colOff>
      <xdr:row>991</xdr:row>
      <xdr:rowOff>28575</xdr:rowOff>
    </xdr:from>
    <xdr:to>
      <xdr:col>3</xdr:col>
      <xdr:colOff>1552575</xdr:colOff>
      <xdr:row>999</xdr:row>
      <xdr:rowOff>133350</xdr:rowOff>
    </xdr:to>
    <xdr:pic>
      <xdr:nvPicPr>
        <xdr:cNvPr id="313" name="Имя " descr="Descr ">
          <a:extLst>
            <a:ext uri="{FF2B5EF4-FFF2-40B4-BE49-F238E27FC236}">
              <a16:creationId xmlns:a16="http://schemas.microsoft.com/office/drawing/2014/main" id="{00000000-0008-0000-0000-000039010000}"/>
            </a:ext>
          </a:extLst>
        </xdr:cNvPr>
        <xdr:cNvPicPr>
          <a:picLocks noChangeAspect="1"/>
        </xdr:cNvPicPr>
      </xdr:nvPicPr>
      <xdr:blipFill>
        <a:blip xmlns:r="http://schemas.openxmlformats.org/officeDocument/2006/relationships" r:embed="rId309"/>
        <a:stretch>
          <a:fillRect/>
        </a:stretch>
      </xdr:blipFill>
      <xdr:spPr>
        <a:prstGeom prst="rect">
          <a:avLst/>
        </a:prstGeom>
        <a:ln w="9525">
          <a:solidFill>
            <a:srgbClr val="000000"/>
          </a:solidFill>
          <a:prstDash val="solid"/>
        </a:ln>
      </xdr:spPr>
    </xdr:pic>
    <xdr:clientData/>
  </xdr:twoCellAnchor>
  <xdr:twoCellAnchor>
    <xdr:from>
      <xdr:col>3</xdr:col>
      <xdr:colOff>114300</xdr:colOff>
      <xdr:row>1002</xdr:row>
      <xdr:rowOff>28575</xdr:rowOff>
    </xdr:from>
    <xdr:to>
      <xdr:col>3</xdr:col>
      <xdr:colOff>1552575</xdr:colOff>
      <xdr:row>1005</xdr:row>
      <xdr:rowOff>209550</xdr:rowOff>
    </xdr:to>
    <xdr:pic>
      <xdr:nvPicPr>
        <xdr:cNvPr id="314" name="Имя " descr="Descr ">
          <a:extLst>
            <a:ext uri="{FF2B5EF4-FFF2-40B4-BE49-F238E27FC236}">
              <a16:creationId xmlns:a16="http://schemas.microsoft.com/office/drawing/2014/main" id="{00000000-0008-0000-0000-00003A010000}"/>
            </a:ext>
          </a:extLst>
        </xdr:cNvPr>
        <xdr:cNvPicPr>
          <a:picLocks noChangeAspect="1"/>
        </xdr:cNvPicPr>
      </xdr:nvPicPr>
      <xdr:blipFill>
        <a:blip xmlns:r="http://schemas.openxmlformats.org/officeDocument/2006/relationships" r:embed="rId310"/>
        <a:stretch>
          <a:fillRect/>
        </a:stretch>
      </xdr:blipFill>
      <xdr:spPr>
        <a:prstGeom prst="rect">
          <a:avLst/>
        </a:prstGeom>
        <a:ln w="9525">
          <a:solidFill>
            <a:srgbClr val="000000"/>
          </a:solidFill>
          <a:prstDash val="solid"/>
        </a:ln>
      </xdr:spPr>
    </xdr:pic>
    <xdr:clientData/>
  </xdr:twoCellAnchor>
  <xdr:twoCellAnchor>
    <xdr:from>
      <xdr:col>3</xdr:col>
      <xdr:colOff>114300</xdr:colOff>
      <xdr:row>1006</xdr:row>
      <xdr:rowOff>28575</xdr:rowOff>
    </xdr:from>
    <xdr:to>
      <xdr:col>3</xdr:col>
      <xdr:colOff>1552575</xdr:colOff>
      <xdr:row>1011</xdr:row>
      <xdr:rowOff>209550</xdr:rowOff>
    </xdr:to>
    <xdr:pic>
      <xdr:nvPicPr>
        <xdr:cNvPr id="315" name="Имя " descr="Descr ">
          <a:extLst>
            <a:ext uri="{FF2B5EF4-FFF2-40B4-BE49-F238E27FC236}">
              <a16:creationId xmlns:a16="http://schemas.microsoft.com/office/drawing/2014/main" id="{00000000-0008-0000-0000-00003B010000}"/>
            </a:ext>
          </a:extLst>
        </xdr:cNvPr>
        <xdr:cNvPicPr>
          <a:picLocks noChangeAspect="1"/>
        </xdr:cNvPicPr>
      </xdr:nvPicPr>
      <xdr:blipFill>
        <a:blip xmlns:r="http://schemas.openxmlformats.org/officeDocument/2006/relationships" r:embed="rId311"/>
        <a:stretch>
          <a:fillRect/>
        </a:stretch>
      </xdr:blipFill>
      <xdr:spPr>
        <a:prstGeom prst="rect">
          <a:avLst/>
        </a:prstGeom>
        <a:ln w="9525">
          <a:solidFill>
            <a:srgbClr val="000000"/>
          </a:solidFill>
          <a:prstDash val="solid"/>
        </a:ln>
      </xdr:spPr>
    </xdr:pic>
    <xdr:clientData/>
  </xdr:twoCellAnchor>
  <xdr:twoCellAnchor>
    <xdr:from>
      <xdr:col>3</xdr:col>
      <xdr:colOff>114300</xdr:colOff>
      <xdr:row>1012</xdr:row>
      <xdr:rowOff>28575</xdr:rowOff>
    </xdr:from>
    <xdr:to>
      <xdr:col>3</xdr:col>
      <xdr:colOff>1552575</xdr:colOff>
      <xdr:row>1018</xdr:row>
      <xdr:rowOff>171450</xdr:rowOff>
    </xdr:to>
    <xdr:pic>
      <xdr:nvPicPr>
        <xdr:cNvPr id="316" name="Имя " descr="Descr ">
          <a:extLst>
            <a:ext uri="{FF2B5EF4-FFF2-40B4-BE49-F238E27FC236}">
              <a16:creationId xmlns:a16="http://schemas.microsoft.com/office/drawing/2014/main" id="{00000000-0008-0000-0000-00003C010000}"/>
            </a:ext>
          </a:extLst>
        </xdr:cNvPr>
        <xdr:cNvPicPr>
          <a:picLocks noChangeAspect="1"/>
        </xdr:cNvPicPr>
      </xdr:nvPicPr>
      <xdr:blipFill>
        <a:blip xmlns:r="http://schemas.openxmlformats.org/officeDocument/2006/relationships" r:embed="rId312"/>
        <a:stretch>
          <a:fillRect/>
        </a:stretch>
      </xdr:blipFill>
      <xdr:spPr>
        <a:prstGeom prst="rect">
          <a:avLst/>
        </a:prstGeom>
        <a:ln w="9525">
          <a:solidFill>
            <a:srgbClr val="000000"/>
          </a:solidFill>
          <a:prstDash val="solid"/>
        </a:ln>
      </xdr:spPr>
    </xdr:pic>
    <xdr:clientData/>
  </xdr:twoCellAnchor>
  <xdr:twoCellAnchor>
    <xdr:from>
      <xdr:col>3</xdr:col>
      <xdr:colOff>114300</xdr:colOff>
      <xdr:row>1019</xdr:row>
      <xdr:rowOff>28575</xdr:rowOff>
    </xdr:from>
    <xdr:to>
      <xdr:col>3</xdr:col>
      <xdr:colOff>1552575</xdr:colOff>
      <xdr:row>1027</xdr:row>
      <xdr:rowOff>133350</xdr:rowOff>
    </xdr:to>
    <xdr:pic>
      <xdr:nvPicPr>
        <xdr:cNvPr id="317" name="Имя " descr="Descr ">
          <a:extLst>
            <a:ext uri="{FF2B5EF4-FFF2-40B4-BE49-F238E27FC236}">
              <a16:creationId xmlns:a16="http://schemas.microsoft.com/office/drawing/2014/main" id="{00000000-0008-0000-0000-00003D010000}"/>
            </a:ext>
          </a:extLst>
        </xdr:cNvPr>
        <xdr:cNvPicPr>
          <a:picLocks noChangeAspect="1"/>
        </xdr:cNvPicPr>
      </xdr:nvPicPr>
      <xdr:blipFill>
        <a:blip xmlns:r="http://schemas.openxmlformats.org/officeDocument/2006/relationships" r:embed="rId313"/>
        <a:stretch>
          <a:fillRect/>
        </a:stretch>
      </xdr:blipFill>
      <xdr:spPr>
        <a:prstGeom prst="rect">
          <a:avLst/>
        </a:prstGeom>
        <a:ln w="9525">
          <a:solidFill>
            <a:srgbClr val="000000"/>
          </a:solidFill>
          <a:prstDash val="solid"/>
        </a:ln>
      </xdr:spPr>
    </xdr:pic>
    <xdr:clientData/>
  </xdr:twoCellAnchor>
  <xdr:twoCellAnchor>
    <xdr:from>
      <xdr:col>3</xdr:col>
      <xdr:colOff>114300</xdr:colOff>
      <xdr:row>1028</xdr:row>
      <xdr:rowOff>28575</xdr:rowOff>
    </xdr:from>
    <xdr:to>
      <xdr:col>3</xdr:col>
      <xdr:colOff>1552575</xdr:colOff>
      <xdr:row>1036</xdr:row>
      <xdr:rowOff>133350</xdr:rowOff>
    </xdr:to>
    <xdr:pic>
      <xdr:nvPicPr>
        <xdr:cNvPr id="318" name="Имя " descr="Descr ">
          <a:extLst>
            <a:ext uri="{FF2B5EF4-FFF2-40B4-BE49-F238E27FC236}">
              <a16:creationId xmlns:a16="http://schemas.microsoft.com/office/drawing/2014/main" id="{00000000-0008-0000-0000-00003E010000}"/>
            </a:ext>
          </a:extLst>
        </xdr:cNvPr>
        <xdr:cNvPicPr>
          <a:picLocks noChangeAspect="1"/>
        </xdr:cNvPicPr>
      </xdr:nvPicPr>
      <xdr:blipFill>
        <a:blip xmlns:r="http://schemas.openxmlformats.org/officeDocument/2006/relationships" r:embed="rId314"/>
        <a:stretch>
          <a:fillRect/>
        </a:stretch>
      </xdr:blipFill>
      <xdr:spPr>
        <a:prstGeom prst="rect">
          <a:avLst/>
        </a:prstGeom>
        <a:ln w="9525">
          <a:solidFill>
            <a:srgbClr val="000000"/>
          </a:solidFill>
          <a:prstDash val="solid"/>
        </a:ln>
      </xdr:spPr>
    </xdr:pic>
    <xdr:clientData/>
  </xdr:twoCellAnchor>
  <xdr:twoCellAnchor>
    <xdr:from>
      <xdr:col>3</xdr:col>
      <xdr:colOff>114300</xdr:colOff>
      <xdr:row>1040</xdr:row>
      <xdr:rowOff>28575</xdr:rowOff>
    </xdr:from>
    <xdr:to>
      <xdr:col>3</xdr:col>
      <xdr:colOff>1552575</xdr:colOff>
      <xdr:row>1046</xdr:row>
      <xdr:rowOff>171450</xdr:rowOff>
    </xdr:to>
    <xdr:pic>
      <xdr:nvPicPr>
        <xdr:cNvPr id="319" name="Имя " descr="Descr ">
          <a:extLst>
            <a:ext uri="{FF2B5EF4-FFF2-40B4-BE49-F238E27FC236}">
              <a16:creationId xmlns:a16="http://schemas.microsoft.com/office/drawing/2014/main" id="{00000000-0008-0000-0000-00003F010000}"/>
            </a:ext>
          </a:extLst>
        </xdr:cNvPr>
        <xdr:cNvPicPr>
          <a:picLocks noChangeAspect="1"/>
        </xdr:cNvPicPr>
      </xdr:nvPicPr>
      <xdr:blipFill>
        <a:blip xmlns:r="http://schemas.openxmlformats.org/officeDocument/2006/relationships" r:embed="rId315"/>
        <a:stretch>
          <a:fillRect/>
        </a:stretch>
      </xdr:blipFill>
      <xdr:spPr>
        <a:prstGeom prst="rect">
          <a:avLst/>
        </a:prstGeom>
        <a:ln w="9525">
          <a:solidFill>
            <a:srgbClr val="000000"/>
          </a:solidFill>
          <a:prstDash val="solid"/>
        </a:ln>
      </xdr:spPr>
    </xdr:pic>
    <xdr:clientData/>
  </xdr:twoCellAnchor>
  <xdr:twoCellAnchor>
    <xdr:from>
      <xdr:col>3</xdr:col>
      <xdr:colOff>114300</xdr:colOff>
      <xdr:row>1047</xdr:row>
      <xdr:rowOff>28575</xdr:rowOff>
    </xdr:from>
    <xdr:to>
      <xdr:col>3</xdr:col>
      <xdr:colOff>1552575</xdr:colOff>
      <xdr:row>1054</xdr:row>
      <xdr:rowOff>152400</xdr:rowOff>
    </xdr:to>
    <xdr:pic>
      <xdr:nvPicPr>
        <xdr:cNvPr id="320" name="Имя " descr="Descr ">
          <a:extLst>
            <a:ext uri="{FF2B5EF4-FFF2-40B4-BE49-F238E27FC236}">
              <a16:creationId xmlns:a16="http://schemas.microsoft.com/office/drawing/2014/main" id="{00000000-0008-0000-0000-000040010000}"/>
            </a:ext>
          </a:extLst>
        </xdr:cNvPr>
        <xdr:cNvPicPr>
          <a:picLocks noChangeAspect="1"/>
        </xdr:cNvPicPr>
      </xdr:nvPicPr>
      <xdr:blipFill>
        <a:blip xmlns:r="http://schemas.openxmlformats.org/officeDocument/2006/relationships" r:embed="rId316"/>
        <a:stretch>
          <a:fillRect/>
        </a:stretch>
      </xdr:blipFill>
      <xdr:spPr>
        <a:prstGeom prst="rect">
          <a:avLst/>
        </a:prstGeom>
        <a:ln w="9525">
          <a:solidFill>
            <a:srgbClr val="000000"/>
          </a:solidFill>
          <a:prstDash val="solid"/>
        </a:ln>
      </xdr:spPr>
    </xdr:pic>
    <xdr:clientData/>
  </xdr:twoCellAnchor>
  <xdr:twoCellAnchor>
    <xdr:from>
      <xdr:col>3</xdr:col>
      <xdr:colOff>114300</xdr:colOff>
      <xdr:row>1055</xdr:row>
      <xdr:rowOff>28575</xdr:rowOff>
    </xdr:from>
    <xdr:to>
      <xdr:col>3</xdr:col>
      <xdr:colOff>1552575</xdr:colOff>
      <xdr:row>1060</xdr:row>
      <xdr:rowOff>209550</xdr:rowOff>
    </xdr:to>
    <xdr:pic>
      <xdr:nvPicPr>
        <xdr:cNvPr id="321" name="Имя " descr="Descr ">
          <a:extLst>
            <a:ext uri="{FF2B5EF4-FFF2-40B4-BE49-F238E27FC236}">
              <a16:creationId xmlns:a16="http://schemas.microsoft.com/office/drawing/2014/main" id="{00000000-0008-0000-0000-000041010000}"/>
            </a:ext>
          </a:extLst>
        </xdr:cNvPr>
        <xdr:cNvPicPr>
          <a:picLocks noChangeAspect="1"/>
        </xdr:cNvPicPr>
      </xdr:nvPicPr>
      <xdr:blipFill>
        <a:blip xmlns:r="http://schemas.openxmlformats.org/officeDocument/2006/relationships" r:embed="rId317"/>
        <a:stretch>
          <a:fillRect/>
        </a:stretch>
      </xdr:blipFill>
      <xdr:spPr>
        <a:prstGeom prst="rect">
          <a:avLst/>
        </a:prstGeom>
        <a:ln w="9525">
          <a:solidFill>
            <a:srgbClr val="000000"/>
          </a:solidFill>
          <a:prstDash val="solid"/>
        </a:ln>
      </xdr:spPr>
    </xdr:pic>
    <xdr:clientData/>
  </xdr:twoCellAnchor>
  <xdr:twoCellAnchor>
    <xdr:from>
      <xdr:col>3</xdr:col>
      <xdr:colOff>114300</xdr:colOff>
      <xdr:row>1061</xdr:row>
      <xdr:rowOff>28575</xdr:rowOff>
    </xdr:from>
    <xdr:to>
      <xdr:col>3</xdr:col>
      <xdr:colOff>1552575</xdr:colOff>
      <xdr:row>1068</xdr:row>
      <xdr:rowOff>152400</xdr:rowOff>
    </xdr:to>
    <xdr:pic>
      <xdr:nvPicPr>
        <xdr:cNvPr id="322" name="Имя " descr="Descr ">
          <a:extLst>
            <a:ext uri="{FF2B5EF4-FFF2-40B4-BE49-F238E27FC236}">
              <a16:creationId xmlns:a16="http://schemas.microsoft.com/office/drawing/2014/main" id="{00000000-0008-0000-0000-000042010000}"/>
            </a:ext>
          </a:extLst>
        </xdr:cNvPr>
        <xdr:cNvPicPr>
          <a:picLocks noChangeAspect="1"/>
        </xdr:cNvPicPr>
      </xdr:nvPicPr>
      <xdr:blipFill>
        <a:blip xmlns:r="http://schemas.openxmlformats.org/officeDocument/2006/relationships" r:embed="rId318"/>
        <a:stretch>
          <a:fillRect/>
        </a:stretch>
      </xdr:blipFill>
      <xdr:spPr>
        <a:prstGeom prst="rect">
          <a:avLst/>
        </a:prstGeom>
        <a:ln w="9525">
          <a:solidFill>
            <a:srgbClr val="000000"/>
          </a:solidFill>
          <a:prstDash val="solid"/>
        </a:ln>
      </xdr:spPr>
    </xdr:pic>
    <xdr:clientData/>
  </xdr:twoCellAnchor>
  <xdr:twoCellAnchor>
    <xdr:from>
      <xdr:col>3</xdr:col>
      <xdr:colOff>114300</xdr:colOff>
      <xdr:row>1069</xdr:row>
      <xdr:rowOff>28575</xdr:rowOff>
    </xdr:from>
    <xdr:to>
      <xdr:col>3</xdr:col>
      <xdr:colOff>1552575</xdr:colOff>
      <xdr:row>1076</xdr:row>
      <xdr:rowOff>152400</xdr:rowOff>
    </xdr:to>
    <xdr:pic>
      <xdr:nvPicPr>
        <xdr:cNvPr id="323" name="Имя " descr="Descr ">
          <a:extLst>
            <a:ext uri="{FF2B5EF4-FFF2-40B4-BE49-F238E27FC236}">
              <a16:creationId xmlns:a16="http://schemas.microsoft.com/office/drawing/2014/main" id="{00000000-0008-0000-0000-000043010000}"/>
            </a:ext>
          </a:extLst>
        </xdr:cNvPr>
        <xdr:cNvPicPr>
          <a:picLocks noChangeAspect="1"/>
        </xdr:cNvPicPr>
      </xdr:nvPicPr>
      <xdr:blipFill>
        <a:blip xmlns:r="http://schemas.openxmlformats.org/officeDocument/2006/relationships" r:embed="rId319"/>
        <a:stretch>
          <a:fillRect/>
        </a:stretch>
      </xdr:blipFill>
      <xdr:spPr>
        <a:prstGeom prst="rect">
          <a:avLst/>
        </a:prstGeom>
        <a:ln w="9525">
          <a:solidFill>
            <a:srgbClr val="000000"/>
          </a:solidFill>
          <a:prstDash val="solid"/>
        </a:ln>
      </xdr:spPr>
    </xdr:pic>
    <xdr:clientData/>
  </xdr:twoCellAnchor>
  <xdr:twoCellAnchor>
    <xdr:from>
      <xdr:col>3</xdr:col>
      <xdr:colOff>114300</xdr:colOff>
      <xdr:row>1077</xdr:row>
      <xdr:rowOff>28575</xdr:rowOff>
    </xdr:from>
    <xdr:to>
      <xdr:col>3</xdr:col>
      <xdr:colOff>1552575</xdr:colOff>
      <xdr:row>1077</xdr:row>
      <xdr:rowOff>1266825</xdr:rowOff>
    </xdr:to>
    <xdr:pic>
      <xdr:nvPicPr>
        <xdr:cNvPr id="324" name="Имя " descr="Descr ">
          <a:extLst>
            <a:ext uri="{FF2B5EF4-FFF2-40B4-BE49-F238E27FC236}">
              <a16:creationId xmlns:a16="http://schemas.microsoft.com/office/drawing/2014/main" id="{00000000-0008-0000-0000-000044010000}"/>
            </a:ext>
          </a:extLst>
        </xdr:cNvPr>
        <xdr:cNvPicPr>
          <a:picLocks noChangeAspect="1"/>
        </xdr:cNvPicPr>
      </xdr:nvPicPr>
      <xdr:blipFill>
        <a:blip xmlns:r="http://schemas.openxmlformats.org/officeDocument/2006/relationships" r:embed="rId320"/>
        <a:stretch>
          <a:fillRect/>
        </a:stretch>
      </xdr:blipFill>
      <xdr:spPr>
        <a:prstGeom prst="rect">
          <a:avLst/>
        </a:prstGeom>
        <a:ln w="9525">
          <a:solidFill>
            <a:srgbClr val="000000"/>
          </a:solidFill>
          <a:prstDash val="solid"/>
        </a:ln>
      </xdr:spPr>
    </xdr:pic>
    <xdr:clientData/>
  </xdr:twoCellAnchor>
  <xdr:twoCellAnchor>
    <xdr:from>
      <xdr:col>3</xdr:col>
      <xdr:colOff>114300</xdr:colOff>
      <xdr:row>1078</xdr:row>
      <xdr:rowOff>28575</xdr:rowOff>
    </xdr:from>
    <xdr:to>
      <xdr:col>3</xdr:col>
      <xdr:colOff>1552575</xdr:colOff>
      <xdr:row>1078</xdr:row>
      <xdr:rowOff>1266825</xdr:rowOff>
    </xdr:to>
    <xdr:pic>
      <xdr:nvPicPr>
        <xdr:cNvPr id="325" name="Имя " descr="Descr ">
          <a:extLst>
            <a:ext uri="{FF2B5EF4-FFF2-40B4-BE49-F238E27FC236}">
              <a16:creationId xmlns:a16="http://schemas.microsoft.com/office/drawing/2014/main" id="{00000000-0008-0000-0000-000045010000}"/>
            </a:ext>
          </a:extLst>
        </xdr:cNvPr>
        <xdr:cNvPicPr>
          <a:picLocks noChangeAspect="1"/>
        </xdr:cNvPicPr>
      </xdr:nvPicPr>
      <xdr:blipFill>
        <a:blip xmlns:r="http://schemas.openxmlformats.org/officeDocument/2006/relationships" r:embed="rId321"/>
        <a:stretch>
          <a:fillRect/>
        </a:stretch>
      </xdr:blipFill>
      <xdr:spPr>
        <a:prstGeom prst="rect">
          <a:avLst/>
        </a:prstGeom>
        <a:ln w="9525">
          <a:solidFill>
            <a:srgbClr val="000000"/>
          </a:solidFill>
          <a:prstDash val="solid"/>
        </a:ln>
      </xdr:spPr>
    </xdr:pic>
    <xdr:clientData/>
  </xdr:twoCellAnchor>
  <xdr:twoCellAnchor>
    <xdr:from>
      <xdr:col>3</xdr:col>
      <xdr:colOff>114300</xdr:colOff>
      <xdr:row>1079</xdr:row>
      <xdr:rowOff>28575</xdr:rowOff>
    </xdr:from>
    <xdr:to>
      <xdr:col>3</xdr:col>
      <xdr:colOff>1552575</xdr:colOff>
      <xdr:row>1079</xdr:row>
      <xdr:rowOff>1266825</xdr:rowOff>
    </xdr:to>
    <xdr:pic>
      <xdr:nvPicPr>
        <xdr:cNvPr id="326" name="Имя " descr="Descr ">
          <a:extLst>
            <a:ext uri="{FF2B5EF4-FFF2-40B4-BE49-F238E27FC236}">
              <a16:creationId xmlns:a16="http://schemas.microsoft.com/office/drawing/2014/main" id="{00000000-0008-0000-0000-000046010000}"/>
            </a:ext>
          </a:extLst>
        </xdr:cNvPr>
        <xdr:cNvPicPr>
          <a:picLocks noChangeAspect="1"/>
        </xdr:cNvPicPr>
      </xdr:nvPicPr>
      <xdr:blipFill>
        <a:blip xmlns:r="http://schemas.openxmlformats.org/officeDocument/2006/relationships" r:embed="rId322"/>
        <a:stretch>
          <a:fillRect/>
        </a:stretch>
      </xdr:blipFill>
      <xdr:spPr>
        <a:prstGeom prst="rect">
          <a:avLst/>
        </a:prstGeom>
        <a:ln w="9525">
          <a:solidFill>
            <a:srgbClr val="000000"/>
          </a:solidFill>
          <a:prstDash val="solid"/>
        </a:ln>
      </xdr:spPr>
    </xdr:pic>
    <xdr:clientData/>
  </xdr:twoCellAnchor>
  <xdr:twoCellAnchor>
    <xdr:from>
      <xdr:col>3</xdr:col>
      <xdr:colOff>114300</xdr:colOff>
      <xdr:row>1080</xdr:row>
      <xdr:rowOff>28575</xdr:rowOff>
    </xdr:from>
    <xdr:to>
      <xdr:col>3</xdr:col>
      <xdr:colOff>1552575</xdr:colOff>
      <xdr:row>1080</xdr:row>
      <xdr:rowOff>1266825</xdr:rowOff>
    </xdr:to>
    <xdr:pic>
      <xdr:nvPicPr>
        <xdr:cNvPr id="327" name="Имя " descr="Descr ">
          <a:extLst>
            <a:ext uri="{FF2B5EF4-FFF2-40B4-BE49-F238E27FC236}">
              <a16:creationId xmlns:a16="http://schemas.microsoft.com/office/drawing/2014/main" id="{00000000-0008-0000-0000-000047010000}"/>
            </a:ext>
          </a:extLst>
        </xdr:cNvPr>
        <xdr:cNvPicPr>
          <a:picLocks noChangeAspect="1"/>
        </xdr:cNvPicPr>
      </xdr:nvPicPr>
      <xdr:blipFill>
        <a:blip xmlns:r="http://schemas.openxmlformats.org/officeDocument/2006/relationships" r:embed="rId323"/>
        <a:stretch>
          <a:fillRect/>
        </a:stretch>
      </xdr:blipFill>
      <xdr:spPr>
        <a:prstGeom prst="rect">
          <a:avLst/>
        </a:prstGeom>
        <a:ln w="9525">
          <a:solidFill>
            <a:srgbClr val="000000"/>
          </a:solidFill>
          <a:prstDash val="solid"/>
        </a:ln>
      </xdr:spPr>
    </xdr:pic>
    <xdr:clientData/>
  </xdr:twoCellAnchor>
  <xdr:twoCellAnchor>
    <xdr:from>
      <xdr:col>3</xdr:col>
      <xdr:colOff>114300</xdr:colOff>
      <xdr:row>1081</xdr:row>
      <xdr:rowOff>28575</xdr:rowOff>
    </xdr:from>
    <xdr:to>
      <xdr:col>3</xdr:col>
      <xdr:colOff>1552575</xdr:colOff>
      <xdr:row>1081</xdr:row>
      <xdr:rowOff>1266825</xdr:rowOff>
    </xdr:to>
    <xdr:pic>
      <xdr:nvPicPr>
        <xdr:cNvPr id="328" name="Имя " descr="Descr ">
          <a:extLst>
            <a:ext uri="{FF2B5EF4-FFF2-40B4-BE49-F238E27FC236}">
              <a16:creationId xmlns:a16="http://schemas.microsoft.com/office/drawing/2014/main" id="{00000000-0008-0000-0000-000048010000}"/>
            </a:ext>
          </a:extLst>
        </xdr:cNvPr>
        <xdr:cNvPicPr>
          <a:picLocks noChangeAspect="1"/>
        </xdr:cNvPicPr>
      </xdr:nvPicPr>
      <xdr:blipFill>
        <a:blip xmlns:r="http://schemas.openxmlformats.org/officeDocument/2006/relationships" r:embed="rId324"/>
        <a:stretch>
          <a:fillRect/>
        </a:stretch>
      </xdr:blipFill>
      <xdr:spPr>
        <a:prstGeom prst="rect">
          <a:avLst/>
        </a:prstGeom>
        <a:ln w="9525">
          <a:solidFill>
            <a:srgbClr val="000000"/>
          </a:solidFill>
          <a:prstDash val="solid"/>
        </a:ln>
      </xdr:spPr>
    </xdr:pic>
    <xdr:clientData/>
  </xdr:twoCellAnchor>
  <xdr:twoCellAnchor>
    <xdr:from>
      <xdr:col>3</xdr:col>
      <xdr:colOff>114300</xdr:colOff>
      <xdr:row>1082</xdr:row>
      <xdr:rowOff>28575</xdr:rowOff>
    </xdr:from>
    <xdr:to>
      <xdr:col>3</xdr:col>
      <xdr:colOff>1552575</xdr:colOff>
      <xdr:row>1082</xdr:row>
      <xdr:rowOff>1266825</xdr:rowOff>
    </xdr:to>
    <xdr:pic>
      <xdr:nvPicPr>
        <xdr:cNvPr id="329" name="Имя " descr="Descr ">
          <a:extLst>
            <a:ext uri="{FF2B5EF4-FFF2-40B4-BE49-F238E27FC236}">
              <a16:creationId xmlns:a16="http://schemas.microsoft.com/office/drawing/2014/main" id="{00000000-0008-0000-0000-000049010000}"/>
            </a:ext>
          </a:extLst>
        </xdr:cNvPr>
        <xdr:cNvPicPr>
          <a:picLocks noChangeAspect="1"/>
        </xdr:cNvPicPr>
      </xdr:nvPicPr>
      <xdr:blipFill>
        <a:blip xmlns:r="http://schemas.openxmlformats.org/officeDocument/2006/relationships" r:embed="rId325"/>
        <a:stretch>
          <a:fillRect/>
        </a:stretch>
      </xdr:blipFill>
      <xdr:spPr>
        <a:prstGeom prst="rect">
          <a:avLst/>
        </a:prstGeom>
        <a:ln w="9525">
          <a:solidFill>
            <a:srgbClr val="000000"/>
          </a:solidFill>
          <a:prstDash val="solid"/>
        </a:ln>
      </xdr:spPr>
    </xdr:pic>
    <xdr:clientData/>
  </xdr:twoCellAnchor>
  <xdr:twoCellAnchor>
    <xdr:from>
      <xdr:col>3</xdr:col>
      <xdr:colOff>114300</xdr:colOff>
      <xdr:row>1083</xdr:row>
      <xdr:rowOff>28575</xdr:rowOff>
    </xdr:from>
    <xdr:to>
      <xdr:col>3</xdr:col>
      <xdr:colOff>1552575</xdr:colOff>
      <xdr:row>1083</xdr:row>
      <xdr:rowOff>1266825</xdr:rowOff>
    </xdr:to>
    <xdr:pic>
      <xdr:nvPicPr>
        <xdr:cNvPr id="330" name="Имя " descr="Descr ">
          <a:extLst>
            <a:ext uri="{FF2B5EF4-FFF2-40B4-BE49-F238E27FC236}">
              <a16:creationId xmlns:a16="http://schemas.microsoft.com/office/drawing/2014/main" id="{00000000-0008-0000-0000-00004A010000}"/>
            </a:ext>
          </a:extLst>
        </xdr:cNvPr>
        <xdr:cNvPicPr>
          <a:picLocks noChangeAspect="1"/>
        </xdr:cNvPicPr>
      </xdr:nvPicPr>
      <xdr:blipFill>
        <a:blip xmlns:r="http://schemas.openxmlformats.org/officeDocument/2006/relationships" r:embed="rId326"/>
        <a:stretch>
          <a:fillRect/>
        </a:stretch>
      </xdr:blipFill>
      <xdr:spPr>
        <a:prstGeom prst="rect">
          <a:avLst/>
        </a:prstGeom>
        <a:ln w="9525">
          <a:solidFill>
            <a:srgbClr val="000000"/>
          </a:solidFill>
          <a:prstDash val="solid"/>
        </a:ln>
      </xdr:spPr>
    </xdr:pic>
    <xdr:clientData/>
  </xdr:twoCellAnchor>
  <xdr:twoCellAnchor>
    <xdr:from>
      <xdr:col>3</xdr:col>
      <xdr:colOff>114300</xdr:colOff>
      <xdr:row>1084</xdr:row>
      <xdr:rowOff>28575</xdr:rowOff>
    </xdr:from>
    <xdr:to>
      <xdr:col>3</xdr:col>
      <xdr:colOff>1552575</xdr:colOff>
      <xdr:row>1084</xdr:row>
      <xdr:rowOff>1266825</xdr:rowOff>
    </xdr:to>
    <xdr:pic>
      <xdr:nvPicPr>
        <xdr:cNvPr id="331" name="Имя " descr="Descr ">
          <a:extLst>
            <a:ext uri="{FF2B5EF4-FFF2-40B4-BE49-F238E27FC236}">
              <a16:creationId xmlns:a16="http://schemas.microsoft.com/office/drawing/2014/main" id="{00000000-0008-0000-0000-00004B010000}"/>
            </a:ext>
          </a:extLst>
        </xdr:cNvPr>
        <xdr:cNvPicPr>
          <a:picLocks noChangeAspect="1"/>
        </xdr:cNvPicPr>
      </xdr:nvPicPr>
      <xdr:blipFill>
        <a:blip xmlns:r="http://schemas.openxmlformats.org/officeDocument/2006/relationships" r:embed="rId327"/>
        <a:stretch>
          <a:fillRect/>
        </a:stretch>
      </xdr:blipFill>
      <xdr:spPr>
        <a:prstGeom prst="rect">
          <a:avLst/>
        </a:prstGeom>
        <a:ln w="9525">
          <a:solidFill>
            <a:srgbClr val="000000"/>
          </a:solidFill>
          <a:prstDash val="solid"/>
        </a:ln>
      </xdr:spPr>
    </xdr:pic>
    <xdr:clientData/>
  </xdr:twoCellAnchor>
  <xdr:twoCellAnchor>
    <xdr:from>
      <xdr:col>3</xdr:col>
      <xdr:colOff>114300</xdr:colOff>
      <xdr:row>1085</xdr:row>
      <xdr:rowOff>28575</xdr:rowOff>
    </xdr:from>
    <xdr:to>
      <xdr:col>3</xdr:col>
      <xdr:colOff>1552575</xdr:colOff>
      <xdr:row>1085</xdr:row>
      <xdr:rowOff>1266825</xdr:rowOff>
    </xdr:to>
    <xdr:pic>
      <xdr:nvPicPr>
        <xdr:cNvPr id="332" name="Имя " descr="Descr ">
          <a:extLst>
            <a:ext uri="{FF2B5EF4-FFF2-40B4-BE49-F238E27FC236}">
              <a16:creationId xmlns:a16="http://schemas.microsoft.com/office/drawing/2014/main" id="{00000000-0008-0000-0000-00004C010000}"/>
            </a:ext>
          </a:extLst>
        </xdr:cNvPr>
        <xdr:cNvPicPr>
          <a:picLocks noChangeAspect="1"/>
        </xdr:cNvPicPr>
      </xdr:nvPicPr>
      <xdr:blipFill>
        <a:blip xmlns:r="http://schemas.openxmlformats.org/officeDocument/2006/relationships" r:embed="rId328"/>
        <a:stretch>
          <a:fillRect/>
        </a:stretch>
      </xdr:blipFill>
      <xdr:spPr>
        <a:prstGeom prst="rect">
          <a:avLst/>
        </a:prstGeom>
        <a:ln w="9525">
          <a:solidFill>
            <a:srgbClr val="000000"/>
          </a:solidFill>
          <a:prstDash val="solid"/>
        </a:ln>
      </xdr:spPr>
    </xdr:pic>
    <xdr:clientData/>
  </xdr:twoCellAnchor>
  <xdr:twoCellAnchor>
    <xdr:from>
      <xdr:col>3</xdr:col>
      <xdr:colOff>114300</xdr:colOff>
      <xdr:row>1086</xdr:row>
      <xdr:rowOff>28575</xdr:rowOff>
    </xdr:from>
    <xdr:to>
      <xdr:col>3</xdr:col>
      <xdr:colOff>1552575</xdr:colOff>
      <xdr:row>1086</xdr:row>
      <xdr:rowOff>1266825</xdr:rowOff>
    </xdr:to>
    <xdr:pic>
      <xdr:nvPicPr>
        <xdr:cNvPr id="333" name="Имя " descr="Descr ">
          <a:extLst>
            <a:ext uri="{FF2B5EF4-FFF2-40B4-BE49-F238E27FC236}">
              <a16:creationId xmlns:a16="http://schemas.microsoft.com/office/drawing/2014/main" id="{00000000-0008-0000-0000-00004D010000}"/>
            </a:ext>
          </a:extLst>
        </xdr:cNvPr>
        <xdr:cNvPicPr>
          <a:picLocks noChangeAspect="1"/>
        </xdr:cNvPicPr>
      </xdr:nvPicPr>
      <xdr:blipFill>
        <a:blip xmlns:r="http://schemas.openxmlformats.org/officeDocument/2006/relationships" r:embed="rId329"/>
        <a:stretch>
          <a:fillRect/>
        </a:stretch>
      </xdr:blipFill>
      <xdr:spPr>
        <a:prstGeom prst="rect">
          <a:avLst/>
        </a:prstGeom>
        <a:ln w="9525">
          <a:solidFill>
            <a:srgbClr val="000000"/>
          </a:solidFill>
          <a:prstDash val="solid"/>
        </a:ln>
      </xdr:spPr>
    </xdr:pic>
    <xdr:clientData/>
  </xdr:twoCellAnchor>
  <xdr:twoCellAnchor>
    <xdr:from>
      <xdr:col>3</xdr:col>
      <xdr:colOff>114300</xdr:colOff>
      <xdr:row>1087</xdr:row>
      <xdr:rowOff>28575</xdr:rowOff>
    </xdr:from>
    <xdr:to>
      <xdr:col>3</xdr:col>
      <xdr:colOff>1552575</xdr:colOff>
      <xdr:row>1087</xdr:row>
      <xdr:rowOff>1266825</xdr:rowOff>
    </xdr:to>
    <xdr:pic>
      <xdr:nvPicPr>
        <xdr:cNvPr id="334" name="Имя " descr="Descr ">
          <a:extLst>
            <a:ext uri="{FF2B5EF4-FFF2-40B4-BE49-F238E27FC236}">
              <a16:creationId xmlns:a16="http://schemas.microsoft.com/office/drawing/2014/main" id="{00000000-0008-0000-0000-00004E010000}"/>
            </a:ext>
          </a:extLst>
        </xdr:cNvPr>
        <xdr:cNvPicPr>
          <a:picLocks noChangeAspect="1"/>
        </xdr:cNvPicPr>
      </xdr:nvPicPr>
      <xdr:blipFill>
        <a:blip xmlns:r="http://schemas.openxmlformats.org/officeDocument/2006/relationships" r:embed="rId330"/>
        <a:stretch>
          <a:fillRect/>
        </a:stretch>
      </xdr:blipFill>
      <xdr:spPr>
        <a:prstGeom prst="rect">
          <a:avLst/>
        </a:prstGeom>
        <a:ln w="9525">
          <a:solidFill>
            <a:srgbClr val="000000"/>
          </a:solidFill>
          <a:prstDash val="solid"/>
        </a:ln>
      </xdr:spPr>
    </xdr:pic>
    <xdr:clientData/>
  </xdr:twoCellAnchor>
  <xdr:twoCellAnchor>
    <xdr:from>
      <xdr:col>3</xdr:col>
      <xdr:colOff>114300</xdr:colOff>
      <xdr:row>1088</xdr:row>
      <xdr:rowOff>28575</xdr:rowOff>
    </xdr:from>
    <xdr:to>
      <xdr:col>3</xdr:col>
      <xdr:colOff>1552575</xdr:colOff>
      <xdr:row>1091</xdr:row>
      <xdr:rowOff>209550</xdr:rowOff>
    </xdr:to>
    <xdr:pic>
      <xdr:nvPicPr>
        <xdr:cNvPr id="335" name="Имя " descr="Descr ">
          <a:extLst>
            <a:ext uri="{FF2B5EF4-FFF2-40B4-BE49-F238E27FC236}">
              <a16:creationId xmlns:a16="http://schemas.microsoft.com/office/drawing/2014/main" id="{00000000-0008-0000-0000-00004F010000}"/>
            </a:ext>
          </a:extLst>
        </xdr:cNvPr>
        <xdr:cNvPicPr>
          <a:picLocks noChangeAspect="1"/>
        </xdr:cNvPicPr>
      </xdr:nvPicPr>
      <xdr:blipFill>
        <a:blip xmlns:r="http://schemas.openxmlformats.org/officeDocument/2006/relationships" r:embed="rId331"/>
        <a:stretch>
          <a:fillRect/>
        </a:stretch>
      </xdr:blipFill>
      <xdr:spPr>
        <a:prstGeom prst="rect">
          <a:avLst/>
        </a:prstGeom>
        <a:ln w="9525">
          <a:solidFill>
            <a:srgbClr val="000000"/>
          </a:solidFill>
          <a:prstDash val="solid"/>
        </a:ln>
      </xdr:spPr>
    </xdr:pic>
    <xdr:clientData/>
  </xdr:twoCellAnchor>
  <xdr:twoCellAnchor>
    <xdr:from>
      <xdr:col>3</xdr:col>
      <xdr:colOff>114300</xdr:colOff>
      <xdr:row>1092</xdr:row>
      <xdr:rowOff>28575</xdr:rowOff>
    </xdr:from>
    <xdr:to>
      <xdr:col>3</xdr:col>
      <xdr:colOff>1552575</xdr:colOff>
      <xdr:row>1092</xdr:row>
      <xdr:rowOff>1266825</xdr:rowOff>
    </xdr:to>
    <xdr:pic>
      <xdr:nvPicPr>
        <xdr:cNvPr id="336" name="Имя " descr="Descr ">
          <a:extLst>
            <a:ext uri="{FF2B5EF4-FFF2-40B4-BE49-F238E27FC236}">
              <a16:creationId xmlns:a16="http://schemas.microsoft.com/office/drawing/2014/main" id="{00000000-0008-0000-0000-000050010000}"/>
            </a:ext>
          </a:extLst>
        </xdr:cNvPr>
        <xdr:cNvPicPr>
          <a:picLocks noChangeAspect="1"/>
        </xdr:cNvPicPr>
      </xdr:nvPicPr>
      <xdr:blipFill>
        <a:blip xmlns:r="http://schemas.openxmlformats.org/officeDocument/2006/relationships" r:embed="rId332"/>
        <a:stretch>
          <a:fillRect/>
        </a:stretch>
      </xdr:blipFill>
      <xdr:spPr>
        <a:prstGeom prst="rect">
          <a:avLst/>
        </a:prstGeom>
        <a:ln w="9525">
          <a:solidFill>
            <a:srgbClr val="000000"/>
          </a:solidFill>
          <a:prstDash val="solid"/>
        </a:ln>
      </xdr:spPr>
    </xdr:pic>
    <xdr:clientData/>
  </xdr:twoCellAnchor>
  <xdr:twoCellAnchor>
    <xdr:from>
      <xdr:col>3</xdr:col>
      <xdr:colOff>114300</xdr:colOff>
      <xdr:row>1093</xdr:row>
      <xdr:rowOff>28575</xdr:rowOff>
    </xdr:from>
    <xdr:to>
      <xdr:col>3</xdr:col>
      <xdr:colOff>1552575</xdr:colOff>
      <xdr:row>1096</xdr:row>
      <xdr:rowOff>209550</xdr:rowOff>
    </xdr:to>
    <xdr:pic>
      <xdr:nvPicPr>
        <xdr:cNvPr id="337" name="Имя " descr="Descr ">
          <a:extLst>
            <a:ext uri="{FF2B5EF4-FFF2-40B4-BE49-F238E27FC236}">
              <a16:creationId xmlns:a16="http://schemas.microsoft.com/office/drawing/2014/main" id="{00000000-0008-0000-0000-000051010000}"/>
            </a:ext>
          </a:extLst>
        </xdr:cNvPr>
        <xdr:cNvPicPr>
          <a:picLocks noChangeAspect="1"/>
        </xdr:cNvPicPr>
      </xdr:nvPicPr>
      <xdr:blipFill>
        <a:blip xmlns:r="http://schemas.openxmlformats.org/officeDocument/2006/relationships" r:embed="rId333"/>
        <a:stretch>
          <a:fillRect/>
        </a:stretch>
      </xdr:blipFill>
      <xdr:spPr>
        <a:prstGeom prst="rect">
          <a:avLst/>
        </a:prstGeom>
        <a:ln w="9525">
          <a:solidFill>
            <a:srgbClr val="000000"/>
          </a:solidFill>
          <a:prstDash val="solid"/>
        </a:ln>
      </xdr:spPr>
    </xdr:pic>
    <xdr:clientData/>
  </xdr:twoCellAnchor>
  <xdr:twoCellAnchor>
    <xdr:from>
      <xdr:col>3</xdr:col>
      <xdr:colOff>114300</xdr:colOff>
      <xdr:row>1097</xdr:row>
      <xdr:rowOff>38100</xdr:rowOff>
    </xdr:from>
    <xdr:to>
      <xdr:col>3</xdr:col>
      <xdr:colOff>1552575</xdr:colOff>
      <xdr:row>1098</xdr:row>
      <xdr:rowOff>638175</xdr:rowOff>
    </xdr:to>
    <xdr:pic>
      <xdr:nvPicPr>
        <xdr:cNvPr id="338" name="Имя " descr="Descr ">
          <a:extLst>
            <a:ext uri="{FF2B5EF4-FFF2-40B4-BE49-F238E27FC236}">
              <a16:creationId xmlns:a16="http://schemas.microsoft.com/office/drawing/2014/main" id="{00000000-0008-0000-0000-000052010000}"/>
            </a:ext>
          </a:extLst>
        </xdr:cNvPr>
        <xdr:cNvPicPr>
          <a:picLocks noChangeAspect="1"/>
        </xdr:cNvPicPr>
      </xdr:nvPicPr>
      <xdr:blipFill>
        <a:blip xmlns:r="http://schemas.openxmlformats.org/officeDocument/2006/relationships" r:embed="rId334"/>
        <a:stretch>
          <a:fillRect/>
        </a:stretch>
      </xdr:blipFill>
      <xdr:spPr>
        <a:prstGeom prst="rect">
          <a:avLst/>
        </a:prstGeom>
        <a:ln w="9525">
          <a:solidFill>
            <a:srgbClr val="000000"/>
          </a:solidFill>
          <a:prstDash val="solid"/>
        </a:ln>
      </xdr:spPr>
    </xdr:pic>
    <xdr:clientData/>
  </xdr:twoCellAnchor>
  <xdr:twoCellAnchor>
    <xdr:from>
      <xdr:col>3</xdr:col>
      <xdr:colOff>114300</xdr:colOff>
      <xdr:row>1099</xdr:row>
      <xdr:rowOff>28575</xdr:rowOff>
    </xdr:from>
    <xdr:to>
      <xdr:col>3</xdr:col>
      <xdr:colOff>1552575</xdr:colOff>
      <xdr:row>1099</xdr:row>
      <xdr:rowOff>1266825</xdr:rowOff>
    </xdr:to>
    <xdr:pic>
      <xdr:nvPicPr>
        <xdr:cNvPr id="339" name="Имя " descr="Descr ">
          <a:extLst>
            <a:ext uri="{FF2B5EF4-FFF2-40B4-BE49-F238E27FC236}">
              <a16:creationId xmlns:a16="http://schemas.microsoft.com/office/drawing/2014/main" id="{00000000-0008-0000-0000-000053010000}"/>
            </a:ext>
          </a:extLst>
        </xdr:cNvPr>
        <xdr:cNvPicPr>
          <a:picLocks noChangeAspect="1"/>
        </xdr:cNvPicPr>
      </xdr:nvPicPr>
      <xdr:blipFill>
        <a:blip xmlns:r="http://schemas.openxmlformats.org/officeDocument/2006/relationships" r:embed="rId335"/>
        <a:stretch>
          <a:fillRect/>
        </a:stretch>
      </xdr:blipFill>
      <xdr:spPr>
        <a:prstGeom prst="rect">
          <a:avLst/>
        </a:prstGeom>
        <a:ln w="9525">
          <a:solidFill>
            <a:srgbClr val="000000"/>
          </a:solidFill>
          <a:prstDash val="solid"/>
        </a:ln>
      </xdr:spPr>
    </xdr:pic>
    <xdr:clientData/>
  </xdr:twoCellAnchor>
  <xdr:twoCellAnchor>
    <xdr:from>
      <xdr:col>3</xdr:col>
      <xdr:colOff>114300</xdr:colOff>
      <xdr:row>1100</xdr:row>
      <xdr:rowOff>28575</xdr:rowOff>
    </xdr:from>
    <xdr:to>
      <xdr:col>3</xdr:col>
      <xdr:colOff>1552575</xdr:colOff>
      <xdr:row>1102</xdr:row>
      <xdr:rowOff>419100</xdr:rowOff>
    </xdr:to>
    <xdr:pic>
      <xdr:nvPicPr>
        <xdr:cNvPr id="340" name="Имя " descr="Descr ">
          <a:extLst>
            <a:ext uri="{FF2B5EF4-FFF2-40B4-BE49-F238E27FC236}">
              <a16:creationId xmlns:a16="http://schemas.microsoft.com/office/drawing/2014/main" id="{00000000-0008-0000-0000-000054010000}"/>
            </a:ext>
          </a:extLst>
        </xdr:cNvPr>
        <xdr:cNvPicPr>
          <a:picLocks noChangeAspect="1"/>
        </xdr:cNvPicPr>
      </xdr:nvPicPr>
      <xdr:blipFill>
        <a:blip xmlns:r="http://schemas.openxmlformats.org/officeDocument/2006/relationships" r:embed="rId336"/>
        <a:stretch>
          <a:fillRect/>
        </a:stretch>
      </xdr:blipFill>
      <xdr:spPr>
        <a:prstGeom prst="rect">
          <a:avLst/>
        </a:prstGeom>
        <a:ln w="9525">
          <a:solidFill>
            <a:srgbClr val="000000"/>
          </a:solidFill>
          <a:prstDash val="solid"/>
        </a:ln>
      </xdr:spPr>
    </xdr:pic>
    <xdr:clientData/>
  </xdr:twoCellAnchor>
  <xdr:twoCellAnchor>
    <xdr:from>
      <xdr:col>3</xdr:col>
      <xdr:colOff>114300</xdr:colOff>
      <xdr:row>1103</xdr:row>
      <xdr:rowOff>28575</xdr:rowOff>
    </xdr:from>
    <xdr:to>
      <xdr:col>3</xdr:col>
      <xdr:colOff>1552575</xdr:colOff>
      <xdr:row>1103</xdr:row>
      <xdr:rowOff>1266825</xdr:rowOff>
    </xdr:to>
    <xdr:pic>
      <xdr:nvPicPr>
        <xdr:cNvPr id="341" name="Имя " descr="Descr ">
          <a:extLst>
            <a:ext uri="{FF2B5EF4-FFF2-40B4-BE49-F238E27FC236}">
              <a16:creationId xmlns:a16="http://schemas.microsoft.com/office/drawing/2014/main" id="{00000000-0008-0000-0000-000055010000}"/>
            </a:ext>
          </a:extLst>
        </xdr:cNvPr>
        <xdr:cNvPicPr>
          <a:picLocks noChangeAspect="1"/>
        </xdr:cNvPicPr>
      </xdr:nvPicPr>
      <xdr:blipFill>
        <a:blip xmlns:r="http://schemas.openxmlformats.org/officeDocument/2006/relationships" r:embed="rId337"/>
        <a:stretch>
          <a:fillRect/>
        </a:stretch>
      </xdr:blipFill>
      <xdr:spPr>
        <a:prstGeom prst="rect">
          <a:avLst/>
        </a:prstGeom>
        <a:ln w="9525">
          <a:solidFill>
            <a:srgbClr val="000000"/>
          </a:solidFill>
          <a:prstDash val="solid"/>
        </a:ln>
      </xdr:spPr>
    </xdr:pic>
    <xdr:clientData/>
  </xdr:twoCellAnchor>
  <xdr:twoCellAnchor>
    <xdr:from>
      <xdr:col>3</xdr:col>
      <xdr:colOff>114300</xdr:colOff>
      <xdr:row>1104</xdr:row>
      <xdr:rowOff>28575</xdr:rowOff>
    </xdr:from>
    <xdr:to>
      <xdr:col>3</xdr:col>
      <xdr:colOff>1552575</xdr:colOff>
      <xdr:row>1108</xdr:row>
      <xdr:rowOff>333375</xdr:rowOff>
    </xdr:to>
    <xdr:pic>
      <xdr:nvPicPr>
        <xdr:cNvPr id="342" name="Имя " descr="Descr ">
          <a:extLst>
            <a:ext uri="{FF2B5EF4-FFF2-40B4-BE49-F238E27FC236}">
              <a16:creationId xmlns:a16="http://schemas.microsoft.com/office/drawing/2014/main" id="{00000000-0008-0000-0000-000056010000}"/>
            </a:ext>
          </a:extLst>
        </xdr:cNvPr>
        <xdr:cNvPicPr>
          <a:picLocks noChangeAspect="1"/>
        </xdr:cNvPicPr>
      </xdr:nvPicPr>
      <xdr:blipFill>
        <a:blip xmlns:r="http://schemas.openxmlformats.org/officeDocument/2006/relationships" r:embed="rId338"/>
        <a:stretch>
          <a:fillRect/>
        </a:stretch>
      </xdr:blipFill>
      <xdr:spPr>
        <a:prstGeom prst="rect">
          <a:avLst/>
        </a:prstGeom>
        <a:ln w="9525">
          <a:solidFill>
            <a:srgbClr val="000000"/>
          </a:solidFill>
          <a:prstDash val="solid"/>
        </a:ln>
      </xdr:spPr>
    </xdr:pic>
    <xdr:clientData/>
  </xdr:twoCellAnchor>
  <xdr:twoCellAnchor>
    <xdr:from>
      <xdr:col>3</xdr:col>
      <xdr:colOff>114300</xdr:colOff>
      <xdr:row>1109</xdr:row>
      <xdr:rowOff>28575</xdr:rowOff>
    </xdr:from>
    <xdr:to>
      <xdr:col>3</xdr:col>
      <xdr:colOff>1552575</xdr:colOff>
      <xdr:row>1113</xdr:row>
      <xdr:rowOff>333375</xdr:rowOff>
    </xdr:to>
    <xdr:pic>
      <xdr:nvPicPr>
        <xdr:cNvPr id="343" name="Имя " descr="Descr ">
          <a:extLst>
            <a:ext uri="{FF2B5EF4-FFF2-40B4-BE49-F238E27FC236}">
              <a16:creationId xmlns:a16="http://schemas.microsoft.com/office/drawing/2014/main" id="{00000000-0008-0000-0000-000057010000}"/>
            </a:ext>
          </a:extLst>
        </xdr:cNvPr>
        <xdr:cNvPicPr>
          <a:picLocks noChangeAspect="1"/>
        </xdr:cNvPicPr>
      </xdr:nvPicPr>
      <xdr:blipFill>
        <a:blip xmlns:r="http://schemas.openxmlformats.org/officeDocument/2006/relationships" r:embed="rId339"/>
        <a:stretch>
          <a:fillRect/>
        </a:stretch>
      </xdr:blipFill>
      <xdr:spPr>
        <a:prstGeom prst="rect">
          <a:avLst/>
        </a:prstGeom>
        <a:ln w="9525">
          <a:solidFill>
            <a:srgbClr val="000000"/>
          </a:solidFill>
          <a:prstDash val="solid"/>
        </a:ln>
      </xdr:spPr>
    </xdr:pic>
    <xdr:clientData/>
  </xdr:twoCellAnchor>
  <xdr:twoCellAnchor>
    <xdr:from>
      <xdr:col>3</xdr:col>
      <xdr:colOff>114300</xdr:colOff>
      <xdr:row>1114</xdr:row>
      <xdr:rowOff>28575</xdr:rowOff>
    </xdr:from>
    <xdr:to>
      <xdr:col>3</xdr:col>
      <xdr:colOff>1552575</xdr:colOff>
      <xdr:row>1114</xdr:row>
      <xdr:rowOff>1266825</xdr:rowOff>
    </xdr:to>
    <xdr:pic>
      <xdr:nvPicPr>
        <xdr:cNvPr id="344" name="Имя " descr="Descr ">
          <a:extLst>
            <a:ext uri="{FF2B5EF4-FFF2-40B4-BE49-F238E27FC236}">
              <a16:creationId xmlns:a16="http://schemas.microsoft.com/office/drawing/2014/main" id="{00000000-0008-0000-0000-000058010000}"/>
            </a:ext>
          </a:extLst>
        </xdr:cNvPr>
        <xdr:cNvPicPr>
          <a:picLocks noChangeAspect="1"/>
        </xdr:cNvPicPr>
      </xdr:nvPicPr>
      <xdr:blipFill>
        <a:blip xmlns:r="http://schemas.openxmlformats.org/officeDocument/2006/relationships" r:embed="rId340"/>
        <a:stretch>
          <a:fillRect/>
        </a:stretch>
      </xdr:blipFill>
      <xdr:spPr>
        <a:prstGeom prst="rect">
          <a:avLst/>
        </a:prstGeom>
        <a:ln w="9525">
          <a:solidFill>
            <a:srgbClr val="000000"/>
          </a:solidFill>
          <a:prstDash val="solid"/>
        </a:ln>
      </xdr:spPr>
    </xdr:pic>
    <xdr:clientData/>
  </xdr:twoCellAnchor>
  <xdr:twoCellAnchor>
    <xdr:from>
      <xdr:col>3</xdr:col>
      <xdr:colOff>114300</xdr:colOff>
      <xdr:row>1115</xdr:row>
      <xdr:rowOff>28575</xdr:rowOff>
    </xdr:from>
    <xdr:to>
      <xdr:col>3</xdr:col>
      <xdr:colOff>1552575</xdr:colOff>
      <xdr:row>1119</xdr:row>
      <xdr:rowOff>333375</xdr:rowOff>
    </xdr:to>
    <xdr:pic>
      <xdr:nvPicPr>
        <xdr:cNvPr id="345" name="Имя " descr="Descr ">
          <a:extLst>
            <a:ext uri="{FF2B5EF4-FFF2-40B4-BE49-F238E27FC236}">
              <a16:creationId xmlns:a16="http://schemas.microsoft.com/office/drawing/2014/main" id="{00000000-0008-0000-0000-000059010000}"/>
            </a:ext>
          </a:extLst>
        </xdr:cNvPr>
        <xdr:cNvPicPr>
          <a:picLocks noChangeAspect="1"/>
        </xdr:cNvPicPr>
      </xdr:nvPicPr>
      <xdr:blipFill>
        <a:blip xmlns:r="http://schemas.openxmlformats.org/officeDocument/2006/relationships" r:embed="rId341"/>
        <a:stretch>
          <a:fillRect/>
        </a:stretch>
      </xdr:blipFill>
      <xdr:spPr>
        <a:prstGeom prst="rect">
          <a:avLst/>
        </a:prstGeom>
        <a:ln w="9525">
          <a:solidFill>
            <a:srgbClr val="000000"/>
          </a:solidFill>
          <a:prstDash val="solid"/>
        </a:ln>
      </xdr:spPr>
    </xdr:pic>
    <xdr:clientData/>
  </xdr:twoCellAnchor>
  <xdr:twoCellAnchor>
    <xdr:from>
      <xdr:col>3</xdr:col>
      <xdr:colOff>114300</xdr:colOff>
      <xdr:row>1120</xdr:row>
      <xdr:rowOff>28575</xdr:rowOff>
    </xdr:from>
    <xdr:to>
      <xdr:col>3</xdr:col>
      <xdr:colOff>1552575</xdr:colOff>
      <xdr:row>1123</xdr:row>
      <xdr:rowOff>209550</xdr:rowOff>
    </xdr:to>
    <xdr:pic>
      <xdr:nvPicPr>
        <xdr:cNvPr id="346" name="Имя " descr="Descr ">
          <a:extLst>
            <a:ext uri="{FF2B5EF4-FFF2-40B4-BE49-F238E27FC236}">
              <a16:creationId xmlns:a16="http://schemas.microsoft.com/office/drawing/2014/main" id="{00000000-0008-0000-0000-00005A010000}"/>
            </a:ext>
          </a:extLst>
        </xdr:cNvPr>
        <xdr:cNvPicPr>
          <a:picLocks noChangeAspect="1"/>
        </xdr:cNvPicPr>
      </xdr:nvPicPr>
      <xdr:blipFill>
        <a:blip xmlns:r="http://schemas.openxmlformats.org/officeDocument/2006/relationships" r:embed="rId342"/>
        <a:stretch>
          <a:fillRect/>
        </a:stretch>
      </xdr:blipFill>
      <xdr:spPr>
        <a:prstGeom prst="rect">
          <a:avLst/>
        </a:prstGeom>
        <a:ln w="9525">
          <a:solidFill>
            <a:srgbClr val="000000"/>
          </a:solidFill>
          <a:prstDash val="solid"/>
        </a:ln>
      </xdr:spPr>
    </xdr:pic>
    <xdr:clientData/>
  </xdr:twoCellAnchor>
  <xdr:twoCellAnchor>
    <xdr:from>
      <xdr:col>3</xdr:col>
      <xdr:colOff>114300</xdr:colOff>
      <xdr:row>1124</xdr:row>
      <xdr:rowOff>28575</xdr:rowOff>
    </xdr:from>
    <xdr:to>
      <xdr:col>3</xdr:col>
      <xdr:colOff>1552575</xdr:colOff>
      <xdr:row>1126</xdr:row>
      <xdr:rowOff>419100</xdr:rowOff>
    </xdr:to>
    <xdr:pic>
      <xdr:nvPicPr>
        <xdr:cNvPr id="347" name="Имя " descr="Descr ">
          <a:extLst>
            <a:ext uri="{FF2B5EF4-FFF2-40B4-BE49-F238E27FC236}">
              <a16:creationId xmlns:a16="http://schemas.microsoft.com/office/drawing/2014/main" id="{00000000-0008-0000-0000-00005B010000}"/>
            </a:ext>
          </a:extLst>
        </xdr:cNvPr>
        <xdr:cNvPicPr>
          <a:picLocks noChangeAspect="1"/>
        </xdr:cNvPicPr>
      </xdr:nvPicPr>
      <xdr:blipFill>
        <a:blip xmlns:r="http://schemas.openxmlformats.org/officeDocument/2006/relationships" r:embed="rId343"/>
        <a:stretch>
          <a:fillRect/>
        </a:stretch>
      </xdr:blipFill>
      <xdr:spPr>
        <a:prstGeom prst="rect">
          <a:avLst/>
        </a:prstGeom>
        <a:ln w="9525">
          <a:solidFill>
            <a:srgbClr val="000000"/>
          </a:solidFill>
          <a:prstDash val="solid"/>
        </a:ln>
      </xdr:spPr>
    </xdr:pic>
    <xdr:clientData/>
  </xdr:twoCellAnchor>
  <xdr:twoCellAnchor>
    <xdr:from>
      <xdr:col>3</xdr:col>
      <xdr:colOff>114300</xdr:colOff>
      <xdr:row>1127</xdr:row>
      <xdr:rowOff>38100</xdr:rowOff>
    </xdr:from>
    <xdr:to>
      <xdr:col>3</xdr:col>
      <xdr:colOff>1552575</xdr:colOff>
      <xdr:row>1128</xdr:row>
      <xdr:rowOff>638175</xdr:rowOff>
    </xdr:to>
    <xdr:pic>
      <xdr:nvPicPr>
        <xdr:cNvPr id="348" name="Имя " descr="Descr ">
          <a:extLst>
            <a:ext uri="{FF2B5EF4-FFF2-40B4-BE49-F238E27FC236}">
              <a16:creationId xmlns:a16="http://schemas.microsoft.com/office/drawing/2014/main" id="{00000000-0008-0000-0000-00005C010000}"/>
            </a:ext>
          </a:extLst>
        </xdr:cNvPr>
        <xdr:cNvPicPr>
          <a:picLocks noChangeAspect="1"/>
        </xdr:cNvPicPr>
      </xdr:nvPicPr>
      <xdr:blipFill>
        <a:blip xmlns:r="http://schemas.openxmlformats.org/officeDocument/2006/relationships" r:embed="rId344"/>
        <a:stretch>
          <a:fillRect/>
        </a:stretch>
      </xdr:blipFill>
      <xdr:spPr>
        <a:prstGeom prst="rect">
          <a:avLst/>
        </a:prstGeom>
        <a:ln w="9525">
          <a:solidFill>
            <a:srgbClr val="000000"/>
          </a:solidFill>
          <a:prstDash val="solid"/>
        </a:ln>
      </xdr:spPr>
    </xdr:pic>
    <xdr:clientData/>
  </xdr:twoCellAnchor>
  <xdr:twoCellAnchor>
    <xdr:from>
      <xdr:col>3</xdr:col>
      <xdr:colOff>114300</xdr:colOff>
      <xdr:row>1129</xdr:row>
      <xdr:rowOff>28575</xdr:rowOff>
    </xdr:from>
    <xdr:to>
      <xdr:col>3</xdr:col>
      <xdr:colOff>1552575</xdr:colOff>
      <xdr:row>1129</xdr:row>
      <xdr:rowOff>1266825</xdr:rowOff>
    </xdr:to>
    <xdr:pic>
      <xdr:nvPicPr>
        <xdr:cNvPr id="349" name="Имя " descr="Descr ">
          <a:extLst>
            <a:ext uri="{FF2B5EF4-FFF2-40B4-BE49-F238E27FC236}">
              <a16:creationId xmlns:a16="http://schemas.microsoft.com/office/drawing/2014/main" id="{00000000-0008-0000-0000-00005D010000}"/>
            </a:ext>
          </a:extLst>
        </xdr:cNvPr>
        <xdr:cNvPicPr>
          <a:picLocks noChangeAspect="1"/>
        </xdr:cNvPicPr>
      </xdr:nvPicPr>
      <xdr:blipFill>
        <a:blip xmlns:r="http://schemas.openxmlformats.org/officeDocument/2006/relationships" r:embed="rId345"/>
        <a:stretch>
          <a:fillRect/>
        </a:stretch>
      </xdr:blipFill>
      <xdr:spPr>
        <a:prstGeom prst="rect">
          <a:avLst/>
        </a:prstGeom>
        <a:ln w="9525">
          <a:solidFill>
            <a:srgbClr val="000000"/>
          </a:solidFill>
          <a:prstDash val="solid"/>
        </a:ln>
      </xdr:spPr>
    </xdr:pic>
    <xdr:clientData/>
  </xdr:twoCellAnchor>
  <xdr:twoCellAnchor>
    <xdr:from>
      <xdr:col>3</xdr:col>
      <xdr:colOff>114300</xdr:colOff>
      <xdr:row>1130</xdr:row>
      <xdr:rowOff>28575</xdr:rowOff>
    </xdr:from>
    <xdr:to>
      <xdr:col>3</xdr:col>
      <xdr:colOff>1552575</xdr:colOff>
      <xdr:row>1130</xdr:row>
      <xdr:rowOff>1266825</xdr:rowOff>
    </xdr:to>
    <xdr:pic>
      <xdr:nvPicPr>
        <xdr:cNvPr id="350" name="Имя " descr="Descr ">
          <a:extLst>
            <a:ext uri="{FF2B5EF4-FFF2-40B4-BE49-F238E27FC236}">
              <a16:creationId xmlns:a16="http://schemas.microsoft.com/office/drawing/2014/main" id="{00000000-0008-0000-0000-00005E010000}"/>
            </a:ext>
          </a:extLst>
        </xdr:cNvPr>
        <xdr:cNvPicPr>
          <a:picLocks noChangeAspect="1"/>
        </xdr:cNvPicPr>
      </xdr:nvPicPr>
      <xdr:blipFill>
        <a:blip xmlns:r="http://schemas.openxmlformats.org/officeDocument/2006/relationships" r:embed="rId346"/>
        <a:stretch>
          <a:fillRect/>
        </a:stretch>
      </xdr:blipFill>
      <xdr:spPr>
        <a:prstGeom prst="rect">
          <a:avLst/>
        </a:prstGeom>
        <a:ln w="9525">
          <a:solidFill>
            <a:srgbClr val="000000"/>
          </a:solidFill>
          <a:prstDash val="solid"/>
        </a:ln>
      </xdr:spPr>
    </xdr:pic>
    <xdr:clientData/>
  </xdr:twoCellAnchor>
  <xdr:twoCellAnchor>
    <xdr:from>
      <xdr:col>3</xdr:col>
      <xdr:colOff>114300</xdr:colOff>
      <xdr:row>1131</xdr:row>
      <xdr:rowOff>28575</xdr:rowOff>
    </xdr:from>
    <xdr:to>
      <xdr:col>3</xdr:col>
      <xdr:colOff>1552575</xdr:colOff>
      <xdr:row>1135</xdr:row>
      <xdr:rowOff>333375</xdr:rowOff>
    </xdr:to>
    <xdr:pic>
      <xdr:nvPicPr>
        <xdr:cNvPr id="351" name="Имя " descr="Descr ">
          <a:extLst>
            <a:ext uri="{FF2B5EF4-FFF2-40B4-BE49-F238E27FC236}">
              <a16:creationId xmlns:a16="http://schemas.microsoft.com/office/drawing/2014/main" id="{00000000-0008-0000-0000-00005F010000}"/>
            </a:ext>
          </a:extLst>
        </xdr:cNvPr>
        <xdr:cNvPicPr>
          <a:picLocks noChangeAspect="1"/>
        </xdr:cNvPicPr>
      </xdr:nvPicPr>
      <xdr:blipFill>
        <a:blip xmlns:r="http://schemas.openxmlformats.org/officeDocument/2006/relationships" r:embed="rId347"/>
        <a:stretch>
          <a:fillRect/>
        </a:stretch>
      </xdr:blipFill>
      <xdr:spPr>
        <a:prstGeom prst="rect">
          <a:avLst/>
        </a:prstGeom>
        <a:ln w="9525">
          <a:solidFill>
            <a:srgbClr val="000000"/>
          </a:solidFill>
          <a:prstDash val="solid"/>
        </a:ln>
      </xdr:spPr>
    </xdr:pic>
    <xdr:clientData/>
  </xdr:twoCellAnchor>
  <xdr:twoCellAnchor>
    <xdr:from>
      <xdr:col>3</xdr:col>
      <xdr:colOff>114300</xdr:colOff>
      <xdr:row>1136</xdr:row>
      <xdr:rowOff>38100</xdr:rowOff>
    </xdr:from>
    <xdr:to>
      <xdr:col>3</xdr:col>
      <xdr:colOff>1552575</xdr:colOff>
      <xdr:row>1137</xdr:row>
      <xdr:rowOff>638175</xdr:rowOff>
    </xdr:to>
    <xdr:pic>
      <xdr:nvPicPr>
        <xdr:cNvPr id="352" name="Имя " descr="Descr ">
          <a:extLst>
            <a:ext uri="{FF2B5EF4-FFF2-40B4-BE49-F238E27FC236}">
              <a16:creationId xmlns:a16="http://schemas.microsoft.com/office/drawing/2014/main" id="{00000000-0008-0000-0000-000060010000}"/>
            </a:ext>
          </a:extLst>
        </xdr:cNvPr>
        <xdr:cNvPicPr>
          <a:picLocks noChangeAspect="1"/>
        </xdr:cNvPicPr>
      </xdr:nvPicPr>
      <xdr:blipFill>
        <a:blip xmlns:r="http://schemas.openxmlformats.org/officeDocument/2006/relationships" r:embed="rId348"/>
        <a:stretch>
          <a:fillRect/>
        </a:stretch>
      </xdr:blipFill>
      <xdr:spPr>
        <a:prstGeom prst="rect">
          <a:avLst/>
        </a:prstGeom>
        <a:ln w="9525">
          <a:solidFill>
            <a:srgbClr val="000000"/>
          </a:solidFill>
          <a:prstDash val="solid"/>
        </a:ln>
      </xdr:spPr>
    </xdr:pic>
    <xdr:clientData/>
  </xdr:twoCellAnchor>
  <xdr:twoCellAnchor>
    <xdr:from>
      <xdr:col>3</xdr:col>
      <xdr:colOff>114300</xdr:colOff>
      <xdr:row>1138</xdr:row>
      <xdr:rowOff>28575</xdr:rowOff>
    </xdr:from>
    <xdr:to>
      <xdr:col>3</xdr:col>
      <xdr:colOff>1552575</xdr:colOff>
      <xdr:row>1142</xdr:row>
      <xdr:rowOff>333375</xdr:rowOff>
    </xdr:to>
    <xdr:pic>
      <xdr:nvPicPr>
        <xdr:cNvPr id="353" name="Имя " descr="Descr ">
          <a:extLst>
            <a:ext uri="{FF2B5EF4-FFF2-40B4-BE49-F238E27FC236}">
              <a16:creationId xmlns:a16="http://schemas.microsoft.com/office/drawing/2014/main" id="{00000000-0008-0000-0000-000061010000}"/>
            </a:ext>
          </a:extLst>
        </xdr:cNvPr>
        <xdr:cNvPicPr>
          <a:picLocks noChangeAspect="1"/>
        </xdr:cNvPicPr>
      </xdr:nvPicPr>
      <xdr:blipFill>
        <a:blip xmlns:r="http://schemas.openxmlformats.org/officeDocument/2006/relationships" r:embed="rId349"/>
        <a:stretch>
          <a:fillRect/>
        </a:stretch>
      </xdr:blipFill>
      <xdr:spPr>
        <a:prstGeom prst="rect">
          <a:avLst/>
        </a:prstGeom>
        <a:ln w="9525">
          <a:solidFill>
            <a:srgbClr val="000000"/>
          </a:solidFill>
          <a:prstDash val="solid"/>
        </a:ln>
      </xdr:spPr>
    </xdr:pic>
    <xdr:clientData/>
  </xdr:twoCellAnchor>
  <xdr:twoCellAnchor>
    <xdr:from>
      <xdr:col>3</xdr:col>
      <xdr:colOff>114300</xdr:colOff>
      <xdr:row>1143</xdr:row>
      <xdr:rowOff>28575</xdr:rowOff>
    </xdr:from>
    <xdr:to>
      <xdr:col>3</xdr:col>
      <xdr:colOff>1552575</xdr:colOff>
      <xdr:row>1143</xdr:row>
      <xdr:rowOff>1266825</xdr:rowOff>
    </xdr:to>
    <xdr:pic>
      <xdr:nvPicPr>
        <xdr:cNvPr id="354" name="Имя " descr="Descr ">
          <a:extLst>
            <a:ext uri="{FF2B5EF4-FFF2-40B4-BE49-F238E27FC236}">
              <a16:creationId xmlns:a16="http://schemas.microsoft.com/office/drawing/2014/main" id="{00000000-0008-0000-0000-000062010000}"/>
            </a:ext>
          </a:extLst>
        </xdr:cNvPr>
        <xdr:cNvPicPr>
          <a:picLocks noChangeAspect="1"/>
        </xdr:cNvPicPr>
      </xdr:nvPicPr>
      <xdr:blipFill>
        <a:blip xmlns:r="http://schemas.openxmlformats.org/officeDocument/2006/relationships" r:embed="rId350"/>
        <a:stretch>
          <a:fillRect/>
        </a:stretch>
      </xdr:blipFill>
      <xdr:spPr>
        <a:prstGeom prst="rect">
          <a:avLst/>
        </a:prstGeom>
        <a:ln w="9525">
          <a:solidFill>
            <a:srgbClr val="000000"/>
          </a:solidFill>
          <a:prstDash val="solid"/>
        </a:ln>
      </xdr:spPr>
    </xdr:pic>
    <xdr:clientData/>
  </xdr:twoCellAnchor>
  <xdr:twoCellAnchor>
    <xdr:from>
      <xdr:col>3</xdr:col>
      <xdr:colOff>114300</xdr:colOff>
      <xdr:row>1144</xdr:row>
      <xdr:rowOff>28575</xdr:rowOff>
    </xdr:from>
    <xdr:to>
      <xdr:col>3</xdr:col>
      <xdr:colOff>1552575</xdr:colOff>
      <xdr:row>1148</xdr:row>
      <xdr:rowOff>333375</xdr:rowOff>
    </xdr:to>
    <xdr:pic>
      <xdr:nvPicPr>
        <xdr:cNvPr id="355" name="Имя " descr="Descr ">
          <a:extLst>
            <a:ext uri="{FF2B5EF4-FFF2-40B4-BE49-F238E27FC236}">
              <a16:creationId xmlns:a16="http://schemas.microsoft.com/office/drawing/2014/main" id="{00000000-0008-0000-0000-000063010000}"/>
            </a:ext>
          </a:extLst>
        </xdr:cNvPr>
        <xdr:cNvPicPr>
          <a:picLocks noChangeAspect="1"/>
        </xdr:cNvPicPr>
      </xdr:nvPicPr>
      <xdr:blipFill>
        <a:blip xmlns:r="http://schemas.openxmlformats.org/officeDocument/2006/relationships" r:embed="rId351"/>
        <a:stretch>
          <a:fillRect/>
        </a:stretch>
      </xdr:blipFill>
      <xdr:spPr>
        <a:prstGeom prst="rect">
          <a:avLst/>
        </a:prstGeom>
        <a:ln w="9525">
          <a:solidFill>
            <a:srgbClr val="000000"/>
          </a:solidFill>
          <a:prstDash val="solid"/>
        </a:ln>
      </xdr:spPr>
    </xdr:pic>
    <xdr:clientData/>
  </xdr:twoCellAnchor>
  <xdr:twoCellAnchor>
    <xdr:from>
      <xdr:col>3</xdr:col>
      <xdr:colOff>114300</xdr:colOff>
      <xdr:row>1149</xdr:row>
      <xdr:rowOff>38100</xdr:rowOff>
    </xdr:from>
    <xdr:to>
      <xdr:col>3</xdr:col>
      <xdr:colOff>1552575</xdr:colOff>
      <xdr:row>1150</xdr:row>
      <xdr:rowOff>638175</xdr:rowOff>
    </xdr:to>
    <xdr:pic>
      <xdr:nvPicPr>
        <xdr:cNvPr id="356" name="Имя " descr="Descr ">
          <a:extLst>
            <a:ext uri="{FF2B5EF4-FFF2-40B4-BE49-F238E27FC236}">
              <a16:creationId xmlns:a16="http://schemas.microsoft.com/office/drawing/2014/main" id="{00000000-0008-0000-0000-000064010000}"/>
            </a:ext>
          </a:extLst>
        </xdr:cNvPr>
        <xdr:cNvPicPr>
          <a:picLocks noChangeAspect="1"/>
        </xdr:cNvPicPr>
      </xdr:nvPicPr>
      <xdr:blipFill>
        <a:blip xmlns:r="http://schemas.openxmlformats.org/officeDocument/2006/relationships" r:embed="rId352"/>
        <a:stretch>
          <a:fillRect/>
        </a:stretch>
      </xdr:blipFill>
      <xdr:spPr>
        <a:prstGeom prst="rect">
          <a:avLst/>
        </a:prstGeom>
        <a:ln w="9525">
          <a:solidFill>
            <a:srgbClr val="000000"/>
          </a:solidFill>
          <a:prstDash val="solid"/>
        </a:ln>
      </xdr:spPr>
    </xdr:pic>
    <xdr:clientData/>
  </xdr:twoCellAnchor>
  <xdr:twoCellAnchor>
    <xdr:from>
      <xdr:col>3</xdr:col>
      <xdr:colOff>114300</xdr:colOff>
      <xdr:row>1151</xdr:row>
      <xdr:rowOff>28575</xdr:rowOff>
    </xdr:from>
    <xdr:to>
      <xdr:col>3</xdr:col>
      <xdr:colOff>1552575</xdr:colOff>
      <xdr:row>1153</xdr:row>
      <xdr:rowOff>419100</xdr:rowOff>
    </xdr:to>
    <xdr:pic>
      <xdr:nvPicPr>
        <xdr:cNvPr id="357" name="Имя " descr="Descr ">
          <a:extLst>
            <a:ext uri="{FF2B5EF4-FFF2-40B4-BE49-F238E27FC236}">
              <a16:creationId xmlns:a16="http://schemas.microsoft.com/office/drawing/2014/main" id="{00000000-0008-0000-0000-000065010000}"/>
            </a:ext>
          </a:extLst>
        </xdr:cNvPr>
        <xdr:cNvPicPr>
          <a:picLocks noChangeAspect="1"/>
        </xdr:cNvPicPr>
      </xdr:nvPicPr>
      <xdr:blipFill>
        <a:blip xmlns:r="http://schemas.openxmlformats.org/officeDocument/2006/relationships" r:embed="rId353"/>
        <a:stretch>
          <a:fillRect/>
        </a:stretch>
      </xdr:blipFill>
      <xdr:spPr>
        <a:prstGeom prst="rect">
          <a:avLst/>
        </a:prstGeom>
        <a:ln w="9525">
          <a:solidFill>
            <a:srgbClr val="000000"/>
          </a:solidFill>
          <a:prstDash val="solid"/>
        </a:ln>
      </xdr:spPr>
    </xdr:pic>
    <xdr:clientData/>
  </xdr:twoCellAnchor>
  <xdr:twoCellAnchor>
    <xdr:from>
      <xdr:col>3</xdr:col>
      <xdr:colOff>114300</xdr:colOff>
      <xdr:row>1154</xdr:row>
      <xdr:rowOff>28575</xdr:rowOff>
    </xdr:from>
    <xdr:to>
      <xdr:col>3</xdr:col>
      <xdr:colOff>1552575</xdr:colOff>
      <xdr:row>1154</xdr:row>
      <xdr:rowOff>1266825</xdr:rowOff>
    </xdr:to>
    <xdr:pic>
      <xdr:nvPicPr>
        <xdr:cNvPr id="358" name="Имя " descr="Descr ">
          <a:extLst>
            <a:ext uri="{FF2B5EF4-FFF2-40B4-BE49-F238E27FC236}">
              <a16:creationId xmlns:a16="http://schemas.microsoft.com/office/drawing/2014/main" id="{00000000-0008-0000-0000-000066010000}"/>
            </a:ext>
          </a:extLst>
        </xdr:cNvPr>
        <xdr:cNvPicPr>
          <a:picLocks noChangeAspect="1"/>
        </xdr:cNvPicPr>
      </xdr:nvPicPr>
      <xdr:blipFill>
        <a:blip xmlns:r="http://schemas.openxmlformats.org/officeDocument/2006/relationships" r:embed="rId354"/>
        <a:stretch>
          <a:fillRect/>
        </a:stretch>
      </xdr:blipFill>
      <xdr:spPr>
        <a:prstGeom prst="rect">
          <a:avLst/>
        </a:prstGeom>
        <a:ln w="9525">
          <a:solidFill>
            <a:srgbClr val="000000"/>
          </a:solidFill>
          <a:prstDash val="solid"/>
        </a:ln>
      </xdr:spPr>
    </xdr:pic>
    <xdr:clientData/>
  </xdr:twoCellAnchor>
  <xdr:twoCellAnchor>
    <xdr:from>
      <xdr:col>3</xdr:col>
      <xdr:colOff>114300</xdr:colOff>
      <xdr:row>1155</xdr:row>
      <xdr:rowOff>28575</xdr:rowOff>
    </xdr:from>
    <xdr:to>
      <xdr:col>3</xdr:col>
      <xdr:colOff>1552575</xdr:colOff>
      <xdr:row>1158</xdr:row>
      <xdr:rowOff>209550</xdr:rowOff>
    </xdr:to>
    <xdr:pic>
      <xdr:nvPicPr>
        <xdr:cNvPr id="359" name="Имя " descr="Descr ">
          <a:extLst>
            <a:ext uri="{FF2B5EF4-FFF2-40B4-BE49-F238E27FC236}">
              <a16:creationId xmlns:a16="http://schemas.microsoft.com/office/drawing/2014/main" id="{00000000-0008-0000-0000-000067010000}"/>
            </a:ext>
          </a:extLst>
        </xdr:cNvPr>
        <xdr:cNvPicPr>
          <a:picLocks noChangeAspect="1"/>
        </xdr:cNvPicPr>
      </xdr:nvPicPr>
      <xdr:blipFill>
        <a:blip xmlns:r="http://schemas.openxmlformats.org/officeDocument/2006/relationships" r:embed="rId355"/>
        <a:stretch>
          <a:fillRect/>
        </a:stretch>
      </xdr:blipFill>
      <xdr:spPr>
        <a:prstGeom prst="rect">
          <a:avLst/>
        </a:prstGeom>
        <a:ln w="9525">
          <a:solidFill>
            <a:srgbClr val="000000"/>
          </a:solidFill>
          <a:prstDash val="solid"/>
        </a:ln>
      </xdr:spPr>
    </xdr:pic>
    <xdr:clientData/>
  </xdr:twoCellAnchor>
  <xdr:twoCellAnchor>
    <xdr:from>
      <xdr:col>3</xdr:col>
      <xdr:colOff>114300</xdr:colOff>
      <xdr:row>1159</xdr:row>
      <xdr:rowOff>28575</xdr:rowOff>
    </xdr:from>
    <xdr:to>
      <xdr:col>3</xdr:col>
      <xdr:colOff>1552575</xdr:colOff>
      <xdr:row>1163</xdr:row>
      <xdr:rowOff>333375</xdr:rowOff>
    </xdr:to>
    <xdr:pic>
      <xdr:nvPicPr>
        <xdr:cNvPr id="360" name="Имя " descr="Descr ">
          <a:extLst>
            <a:ext uri="{FF2B5EF4-FFF2-40B4-BE49-F238E27FC236}">
              <a16:creationId xmlns:a16="http://schemas.microsoft.com/office/drawing/2014/main" id="{00000000-0008-0000-0000-000068010000}"/>
            </a:ext>
          </a:extLst>
        </xdr:cNvPr>
        <xdr:cNvPicPr>
          <a:picLocks noChangeAspect="1"/>
        </xdr:cNvPicPr>
      </xdr:nvPicPr>
      <xdr:blipFill>
        <a:blip xmlns:r="http://schemas.openxmlformats.org/officeDocument/2006/relationships" r:embed="rId356"/>
        <a:stretch>
          <a:fillRect/>
        </a:stretch>
      </xdr:blipFill>
      <xdr:spPr>
        <a:prstGeom prst="rect">
          <a:avLst/>
        </a:prstGeom>
        <a:ln w="9525">
          <a:solidFill>
            <a:srgbClr val="000000"/>
          </a:solidFill>
          <a:prstDash val="solid"/>
        </a:ln>
      </xdr:spPr>
    </xdr:pic>
    <xdr:clientData/>
  </xdr:twoCellAnchor>
  <xdr:twoCellAnchor>
    <xdr:from>
      <xdr:col>3</xdr:col>
      <xdr:colOff>114300</xdr:colOff>
      <xdr:row>1164</xdr:row>
      <xdr:rowOff>28575</xdr:rowOff>
    </xdr:from>
    <xdr:to>
      <xdr:col>3</xdr:col>
      <xdr:colOff>1552575</xdr:colOff>
      <xdr:row>1164</xdr:row>
      <xdr:rowOff>1266825</xdr:rowOff>
    </xdr:to>
    <xdr:pic>
      <xdr:nvPicPr>
        <xdr:cNvPr id="361" name="Имя " descr="Descr ">
          <a:extLst>
            <a:ext uri="{FF2B5EF4-FFF2-40B4-BE49-F238E27FC236}">
              <a16:creationId xmlns:a16="http://schemas.microsoft.com/office/drawing/2014/main" id="{00000000-0008-0000-0000-000069010000}"/>
            </a:ext>
          </a:extLst>
        </xdr:cNvPr>
        <xdr:cNvPicPr>
          <a:picLocks noChangeAspect="1"/>
        </xdr:cNvPicPr>
      </xdr:nvPicPr>
      <xdr:blipFill>
        <a:blip xmlns:r="http://schemas.openxmlformats.org/officeDocument/2006/relationships" r:embed="rId357"/>
        <a:stretch>
          <a:fillRect/>
        </a:stretch>
      </xdr:blipFill>
      <xdr:spPr>
        <a:prstGeom prst="rect">
          <a:avLst/>
        </a:prstGeom>
        <a:ln w="9525">
          <a:solidFill>
            <a:srgbClr val="000000"/>
          </a:solidFill>
          <a:prstDash val="solid"/>
        </a:ln>
      </xdr:spPr>
    </xdr:pic>
    <xdr:clientData/>
  </xdr:twoCellAnchor>
  <xdr:twoCellAnchor>
    <xdr:from>
      <xdr:col>3</xdr:col>
      <xdr:colOff>114300</xdr:colOff>
      <xdr:row>1165</xdr:row>
      <xdr:rowOff>28575</xdr:rowOff>
    </xdr:from>
    <xdr:to>
      <xdr:col>3</xdr:col>
      <xdr:colOff>1552575</xdr:colOff>
      <xdr:row>1165</xdr:row>
      <xdr:rowOff>1266825</xdr:rowOff>
    </xdr:to>
    <xdr:pic>
      <xdr:nvPicPr>
        <xdr:cNvPr id="362" name="Имя " descr="Descr ">
          <a:extLst>
            <a:ext uri="{FF2B5EF4-FFF2-40B4-BE49-F238E27FC236}">
              <a16:creationId xmlns:a16="http://schemas.microsoft.com/office/drawing/2014/main" id="{00000000-0008-0000-0000-00006A010000}"/>
            </a:ext>
          </a:extLst>
        </xdr:cNvPr>
        <xdr:cNvPicPr>
          <a:picLocks noChangeAspect="1"/>
        </xdr:cNvPicPr>
      </xdr:nvPicPr>
      <xdr:blipFill>
        <a:blip xmlns:r="http://schemas.openxmlformats.org/officeDocument/2006/relationships" r:embed="rId358"/>
        <a:stretch>
          <a:fillRect/>
        </a:stretch>
      </xdr:blipFill>
      <xdr:spPr>
        <a:prstGeom prst="rect">
          <a:avLst/>
        </a:prstGeom>
        <a:ln w="9525">
          <a:solidFill>
            <a:srgbClr val="000000"/>
          </a:solidFill>
          <a:prstDash val="solid"/>
        </a:ln>
      </xdr:spPr>
    </xdr:pic>
    <xdr:clientData/>
  </xdr:twoCellAnchor>
  <xdr:twoCellAnchor>
    <xdr:from>
      <xdr:col>3</xdr:col>
      <xdr:colOff>114300</xdr:colOff>
      <xdr:row>1166</xdr:row>
      <xdr:rowOff>28575</xdr:rowOff>
    </xdr:from>
    <xdr:to>
      <xdr:col>3</xdr:col>
      <xdr:colOff>1552575</xdr:colOff>
      <xdr:row>1169</xdr:row>
      <xdr:rowOff>209550</xdr:rowOff>
    </xdr:to>
    <xdr:pic>
      <xdr:nvPicPr>
        <xdr:cNvPr id="363" name="Имя " descr="Descr ">
          <a:extLst>
            <a:ext uri="{FF2B5EF4-FFF2-40B4-BE49-F238E27FC236}">
              <a16:creationId xmlns:a16="http://schemas.microsoft.com/office/drawing/2014/main" id="{00000000-0008-0000-0000-00006B010000}"/>
            </a:ext>
          </a:extLst>
        </xdr:cNvPr>
        <xdr:cNvPicPr>
          <a:picLocks noChangeAspect="1"/>
        </xdr:cNvPicPr>
      </xdr:nvPicPr>
      <xdr:blipFill>
        <a:blip xmlns:r="http://schemas.openxmlformats.org/officeDocument/2006/relationships" r:embed="rId359"/>
        <a:stretch>
          <a:fillRect/>
        </a:stretch>
      </xdr:blipFill>
      <xdr:spPr>
        <a:prstGeom prst="rect">
          <a:avLst/>
        </a:prstGeom>
        <a:ln w="9525">
          <a:solidFill>
            <a:srgbClr val="000000"/>
          </a:solidFill>
          <a:prstDash val="solid"/>
        </a:ln>
      </xdr:spPr>
    </xdr:pic>
    <xdr:clientData/>
  </xdr:twoCellAnchor>
  <xdr:twoCellAnchor>
    <xdr:from>
      <xdr:col>3</xdr:col>
      <xdr:colOff>114300</xdr:colOff>
      <xdr:row>1170</xdr:row>
      <xdr:rowOff>28575</xdr:rowOff>
    </xdr:from>
    <xdr:to>
      <xdr:col>3</xdr:col>
      <xdr:colOff>1552575</xdr:colOff>
      <xdr:row>1175</xdr:row>
      <xdr:rowOff>209550</xdr:rowOff>
    </xdr:to>
    <xdr:pic>
      <xdr:nvPicPr>
        <xdr:cNvPr id="364" name="Имя " descr="Descr ">
          <a:extLst>
            <a:ext uri="{FF2B5EF4-FFF2-40B4-BE49-F238E27FC236}">
              <a16:creationId xmlns:a16="http://schemas.microsoft.com/office/drawing/2014/main" id="{00000000-0008-0000-0000-00006C010000}"/>
            </a:ext>
          </a:extLst>
        </xdr:cNvPr>
        <xdr:cNvPicPr>
          <a:picLocks noChangeAspect="1"/>
        </xdr:cNvPicPr>
      </xdr:nvPicPr>
      <xdr:blipFill>
        <a:blip xmlns:r="http://schemas.openxmlformats.org/officeDocument/2006/relationships" r:embed="rId360"/>
        <a:stretch>
          <a:fillRect/>
        </a:stretch>
      </xdr:blipFill>
      <xdr:spPr>
        <a:prstGeom prst="rect">
          <a:avLst/>
        </a:prstGeom>
        <a:ln w="9525">
          <a:solidFill>
            <a:srgbClr val="000000"/>
          </a:solidFill>
          <a:prstDash val="solid"/>
        </a:ln>
      </xdr:spPr>
    </xdr:pic>
    <xdr:clientData/>
  </xdr:twoCellAnchor>
  <xdr:twoCellAnchor>
    <xdr:from>
      <xdr:col>3</xdr:col>
      <xdr:colOff>114300</xdr:colOff>
      <xdr:row>1176</xdr:row>
      <xdr:rowOff>28575</xdr:rowOff>
    </xdr:from>
    <xdr:to>
      <xdr:col>3</xdr:col>
      <xdr:colOff>1552575</xdr:colOff>
      <xdr:row>1181</xdr:row>
      <xdr:rowOff>209550</xdr:rowOff>
    </xdr:to>
    <xdr:pic>
      <xdr:nvPicPr>
        <xdr:cNvPr id="365" name="Имя " descr="Descr ">
          <a:extLst>
            <a:ext uri="{FF2B5EF4-FFF2-40B4-BE49-F238E27FC236}">
              <a16:creationId xmlns:a16="http://schemas.microsoft.com/office/drawing/2014/main" id="{00000000-0008-0000-0000-00006D010000}"/>
            </a:ext>
          </a:extLst>
        </xdr:cNvPr>
        <xdr:cNvPicPr>
          <a:picLocks noChangeAspect="1"/>
        </xdr:cNvPicPr>
      </xdr:nvPicPr>
      <xdr:blipFill>
        <a:blip xmlns:r="http://schemas.openxmlformats.org/officeDocument/2006/relationships" r:embed="rId361"/>
        <a:stretch>
          <a:fillRect/>
        </a:stretch>
      </xdr:blipFill>
      <xdr:spPr>
        <a:prstGeom prst="rect">
          <a:avLst/>
        </a:prstGeom>
        <a:ln w="9525">
          <a:solidFill>
            <a:srgbClr val="000000"/>
          </a:solidFill>
          <a:prstDash val="solid"/>
        </a:ln>
      </xdr:spPr>
    </xdr:pic>
    <xdr:clientData/>
  </xdr:twoCellAnchor>
  <xdr:twoCellAnchor>
    <xdr:from>
      <xdr:col>3</xdr:col>
      <xdr:colOff>114300</xdr:colOff>
      <xdr:row>1182</xdr:row>
      <xdr:rowOff>28575</xdr:rowOff>
    </xdr:from>
    <xdr:to>
      <xdr:col>3</xdr:col>
      <xdr:colOff>1552575</xdr:colOff>
      <xdr:row>1184</xdr:row>
      <xdr:rowOff>419100</xdr:rowOff>
    </xdr:to>
    <xdr:pic>
      <xdr:nvPicPr>
        <xdr:cNvPr id="366" name="Имя " descr="Descr ">
          <a:extLst>
            <a:ext uri="{FF2B5EF4-FFF2-40B4-BE49-F238E27FC236}">
              <a16:creationId xmlns:a16="http://schemas.microsoft.com/office/drawing/2014/main" id="{00000000-0008-0000-0000-00006E010000}"/>
            </a:ext>
          </a:extLst>
        </xdr:cNvPr>
        <xdr:cNvPicPr>
          <a:picLocks noChangeAspect="1"/>
        </xdr:cNvPicPr>
      </xdr:nvPicPr>
      <xdr:blipFill>
        <a:blip xmlns:r="http://schemas.openxmlformats.org/officeDocument/2006/relationships" r:embed="rId362"/>
        <a:stretch>
          <a:fillRect/>
        </a:stretch>
      </xdr:blipFill>
      <xdr:spPr>
        <a:prstGeom prst="rect">
          <a:avLst/>
        </a:prstGeom>
        <a:ln w="9525">
          <a:solidFill>
            <a:srgbClr val="000000"/>
          </a:solidFill>
          <a:prstDash val="solid"/>
        </a:ln>
      </xdr:spPr>
    </xdr:pic>
    <xdr:clientData/>
  </xdr:twoCellAnchor>
  <xdr:twoCellAnchor>
    <xdr:from>
      <xdr:col>3</xdr:col>
      <xdr:colOff>114300</xdr:colOff>
      <xdr:row>1185</xdr:row>
      <xdr:rowOff>28575</xdr:rowOff>
    </xdr:from>
    <xdr:to>
      <xdr:col>3</xdr:col>
      <xdr:colOff>1552575</xdr:colOff>
      <xdr:row>1185</xdr:row>
      <xdr:rowOff>1266825</xdr:rowOff>
    </xdr:to>
    <xdr:pic>
      <xdr:nvPicPr>
        <xdr:cNvPr id="367" name="Имя " descr="Descr ">
          <a:extLst>
            <a:ext uri="{FF2B5EF4-FFF2-40B4-BE49-F238E27FC236}">
              <a16:creationId xmlns:a16="http://schemas.microsoft.com/office/drawing/2014/main" id="{00000000-0008-0000-0000-00006F010000}"/>
            </a:ext>
          </a:extLst>
        </xdr:cNvPr>
        <xdr:cNvPicPr>
          <a:picLocks noChangeAspect="1"/>
        </xdr:cNvPicPr>
      </xdr:nvPicPr>
      <xdr:blipFill>
        <a:blip xmlns:r="http://schemas.openxmlformats.org/officeDocument/2006/relationships" r:embed="rId363"/>
        <a:stretch>
          <a:fillRect/>
        </a:stretch>
      </xdr:blipFill>
      <xdr:spPr>
        <a:prstGeom prst="rect">
          <a:avLst/>
        </a:prstGeom>
        <a:ln w="9525">
          <a:solidFill>
            <a:srgbClr val="000000"/>
          </a:solidFill>
          <a:prstDash val="solid"/>
        </a:ln>
      </xdr:spPr>
    </xdr:pic>
    <xdr:clientData/>
  </xdr:twoCellAnchor>
  <xdr:twoCellAnchor>
    <xdr:from>
      <xdr:col>3</xdr:col>
      <xdr:colOff>114300</xdr:colOff>
      <xdr:row>1186</xdr:row>
      <xdr:rowOff>28575</xdr:rowOff>
    </xdr:from>
    <xdr:to>
      <xdr:col>3</xdr:col>
      <xdr:colOff>1552575</xdr:colOff>
      <xdr:row>1188</xdr:row>
      <xdr:rowOff>419100</xdr:rowOff>
    </xdr:to>
    <xdr:pic>
      <xdr:nvPicPr>
        <xdr:cNvPr id="368" name="Имя " descr="Descr ">
          <a:extLst>
            <a:ext uri="{FF2B5EF4-FFF2-40B4-BE49-F238E27FC236}">
              <a16:creationId xmlns:a16="http://schemas.microsoft.com/office/drawing/2014/main" id="{00000000-0008-0000-0000-000070010000}"/>
            </a:ext>
          </a:extLst>
        </xdr:cNvPr>
        <xdr:cNvPicPr>
          <a:picLocks noChangeAspect="1"/>
        </xdr:cNvPicPr>
      </xdr:nvPicPr>
      <xdr:blipFill>
        <a:blip xmlns:r="http://schemas.openxmlformats.org/officeDocument/2006/relationships" r:embed="rId364"/>
        <a:stretch>
          <a:fillRect/>
        </a:stretch>
      </xdr:blipFill>
      <xdr:spPr>
        <a:prstGeom prst="rect">
          <a:avLst/>
        </a:prstGeom>
        <a:ln w="9525">
          <a:solidFill>
            <a:srgbClr val="000000"/>
          </a:solidFill>
          <a:prstDash val="solid"/>
        </a:ln>
      </xdr:spPr>
    </xdr:pic>
    <xdr:clientData/>
  </xdr:twoCellAnchor>
  <xdr:twoCellAnchor>
    <xdr:from>
      <xdr:col>3</xdr:col>
      <xdr:colOff>114300</xdr:colOff>
      <xdr:row>1189</xdr:row>
      <xdr:rowOff>28575</xdr:rowOff>
    </xdr:from>
    <xdr:to>
      <xdr:col>3</xdr:col>
      <xdr:colOff>1552575</xdr:colOff>
      <xdr:row>1189</xdr:row>
      <xdr:rowOff>1266825</xdr:rowOff>
    </xdr:to>
    <xdr:pic>
      <xdr:nvPicPr>
        <xdr:cNvPr id="369" name="Имя " descr="Descr ">
          <a:extLst>
            <a:ext uri="{FF2B5EF4-FFF2-40B4-BE49-F238E27FC236}">
              <a16:creationId xmlns:a16="http://schemas.microsoft.com/office/drawing/2014/main" id="{00000000-0008-0000-0000-000071010000}"/>
            </a:ext>
          </a:extLst>
        </xdr:cNvPr>
        <xdr:cNvPicPr>
          <a:picLocks noChangeAspect="1"/>
        </xdr:cNvPicPr>
      </xdr:nvPicPr>
      <xdr:blipFill>
        <a:blip xmlns:r="http://schemas.openxmlformats.org/officeDocument/2006/relationships" r:embed="rId365"/>
        <a:stretch>
          <a:fillRect/>
        </a:stretch>
      </xdr:blipFill>
      <xdr:spPr>
        <a:prstGeom prst="rect">
          <a:avLst/>
        </a:prstGeom>
        <a:ln w="9525">
          <a:solidFill>
            <a:srgbClr val="000000"/>
          </a:solidFill>
          <a:prstDash val="solid"/>
        </a:ln>
      </xdr:spPr>
    </xdr:pic>
    <xdr:clientData/>
  </xdr:twoCellAnchor>
  <xdr:twoCellAnchor>
    <xdr:from>
      <xdr:col>3</xdr:col>
      <xdr:colOff>114300</xdr:colOff>
      <xdr:row>1190</xdr:row>
      <xdr:rowOff>28575</xdr:rowOff>
    </xdr:from>
    <xdr:to>
      <xdr:col>3</xdr:col>
      <xdr:colOff>1552575</xdr:colOff>
      <xdr:row>1190</xdr:row>
      <xdr:rowOff>1266825</xdr:rowOff>
    </xdr:to>
    <xdr:pic>
      <xdr:nvPicPr>
        <xdr:cNvPr id="370" name="Имя " descr="Descr ">
          <a:extLst>
            <a:ext uri="{FF2B5EF4-FFF2-40B4-BE49-F238E27FC236}">
              <a16:creationId xmlns:a16="http://schemas.microsoft.com/office/drawing/2014/main" id="{00000000-0008-0000-0000-000072010000}"/>
            </a:ext>
          </a:extLst>
        </xdr:cNvPr>
        <xdr:cNvPicPr>
          <a:picLocks noChangeAspect="1"/>
        </xdr:cNvPicPr>
      </xdr:nvPicPr>
      <xdr:blipFill>
        <a:blip xmlns:r="http://schemas.openxmlformats.org/officeDocument/2006/relationships" r:embed="rId366"/>
        <a:stretch>
          <a:fillRect/>
        </a:stretch>
      </xdr:blipFill>
      <xdr:spPr>
        <a:prstGeom prst="rect">
          <a:avLst/>
        </a:prstGeom>
        <a:ln w="9525">
          <a:solidFill>
            <a:srgbClr val="000000"/>
          </a:solidFill>
          <a:prstDash val="solid"/>
        </a:ln>
      </xdr:spPr>
    </xdr:pic>
    <xdr:clientData/>
  </xdr:twoCellAnchor>
  <xdr:twoCellAnchor>
    <xdr:from>
      <xdr:col>3</xdr:col>
      <xdr:colOff>114300</xdr:colOff>
      <xdr:row>1191</xdr:row>
      <xdr:rowOff>28575</xdr:rowOff>
    </xdr:from>
    <xdr:to>
      <xdr:col>3</xdr:col>
      <xdr:colOff>1552575</xdr:colOff>
      <xdr:row>1191</xdr:row>
      <xdr:rowOff>1266825</xdr:rowOff>
    </xdr:to>
    <xdr:pic>
      <xdr:nvPicPr>
        <xdr:cNvPr id="371" name="Имя " descr="Descr ">
          <a:extLst>
            <a:ext uri="{FF2B5EF4-FFF2-40B4-BE49-F238E27FC236}">
              <a16:creationId xmlns:a16="http://schemas.microsoft.com/office/drawing/2014/main" id="{00000000-0008-0000-0000-000073010000}"/>
            </a:ext>
          </a:extLst>
        </xdr:cNvPr>
        <xdr:cNvPicPr>
          <a:picLocks noChangeAspect="1"/>
        </xdr:cNvPicPr>
      </xdr:nvPicPr>
      <xdr:blipFill>
        <a:blip xmlns:r="http://schemas.openxmlformats.org/officeDocument/2006/relationships" r:embed="rId367"/>
        <a:stretch>
          <a:fillRect/>
        </a:stretch>
      </xdr:blipFill>
      <xdr:spPr>
        <a:prstGeom prst="rect">
          <a:avLst/>
        </a:prstGeom>
        <a:ln w="9525">
          <a:solidFill>
            <a:srgbClr val="000000"/>
          </a:solidFill>
          <a:prstDash val="solid"/>
        </a:ln>
      </xdr:spPr>
    </xdr:pic>
    <xdr:clientData/>
  </xdr:twoCellAnchor>
  <xdr:twoCellAnchor>
    <xdr:from>
      <xdr:col>3</xdr:col>
      <xdr:colOff>114300</xdr:colOff>
      <xdr:row>1192</xdr:row>
      <xdr:rowOff>28575</xdr:rowOff>
    </xdr:from>
    <xdr:to>
      <xdr:col>3</xdr:col>
      <xdr:colOff>1552575</xdr:colOff>
      <xdr:row>1192</xdr:row>
      <xdr:rowOff>1266825</xdr:rowOff>
    </xdr:to>
    <xdr:pic>
      <xdr:nvPicPr>
        <xdr:cNvPr id="372" name="Имя " descr="Descr ">
          <a:extLst>
            <a:ext uri="{FF2B5EF4-FFF2-40B4-BE49-F238E27FC236}">
              <a16:creationId xmlns:a16="http://schemas.microsoft.com/office/drawing/2014/main" id="{00000000-0008-0000-0000-000074010000}"/>
            </a:ext>
          </a:extLst>
        </xdr:cNvPr>
        <xdr:cNvPicPr>
          <a:picLocks noChangeAspect="1"/>
        </xdr:cNvPicPr>
      </xdr:nvPicPr>
      <xdr:blipFill>
        <a:blip xmlns:r="http://schemas.openxmlformats.org/officeDocument/2006/relationships" r:embed="rId368"/>
        <a:stretch>
          <a:fillRect/>
        </a:stretch>
      </xdr:blipFill>
      <xdr:spPr>
        <a:prstGeom prst="rect">
          <a:avLst/>
        </a:prstGeom>
        <a:ln w="9525">
          <a:solidFill>
            <a:srgbClr val="000000"/>
          </a:solidFill>
          <a:prstDash val="solid"/>
        </a:ln>
      </xdr:spPr>
    </xdr:pic>
    <xdr:clientData/>
  </xdr:twoCellAnchor>
  <xdr:twoCellAnchor>
    <xdr:from>
      <xdr:col>3</xdr:col>
      <xdr:colOff>114300</xdr:colOff>
      <xdr:row>1193</xdr:row>
      <xdr:rowOff>28575</xdr:rowOff>
    </xdr:from>
    <xdr:to>
      <xdr:col>3</xdr:col>
      <xdr:colOff>1552575</xdr:colOff>
      <xdr:row>1193</xdr:row>
      <xdr:rowOff>1266825</xdr:rowOff>
    </xdr:to>
    <xdr:pic>
      <xdr:nvPicPr>
        <xdr:cNvPr id="373" name="Имя " descr="Descr ">
          <a:extLst>
            <a:ext uri="{FF2B5EF4-FFF2-40B4-BE49-F238E27FC236}">
              <a16:creationId xmlns:a16="http://schemas.microsoft.com/office/drawing/2014/main" id="{00000000-0008-0000-0000-000075010000}"/>
            </a:ext>
          </a:extLst>
        </xdr:cNvPr>
        <xdr:cNvPicPr>
          <a:picLocks noChangeAspect="1"/>
        </xdr:cNvPicPr>
      </xdr:nvPicPr>
      <xdr:blipFill>
        <a:blip xmlns:r="http://schemas.openxmlformats.org/officeDocument/2006/relationships" r:embed="rId369"/>
        <a:stretch>
          <a:fillRect/>
        </a:stretch>
      </xdr:blipFill>
      <xdr:spPr>
        <a:prstGeom prst="rect">
          <a:avLst/>
        </a:prstGeom>
        <a:ln w="9525">
          <a:solidFill>
            <a:srgbClr val="000000"/>
          </a:solidFill>
          <a:prstDash val="solid"/>
        </a:ln>
      </xdr:spPr>
    </xdr:pic>
    <xdr:clientData/>
  </xdr:twoCellAnchor>
  <xdr:twoCellAnchor>
    <xdr:from>
      <xdr:col>3</xdr:col>
      <xdr:colOff>114300</xdr:colOff>
      <xdr:row>1194</xdr:row>
      <xdr:rowOff>28575</xdr:rowOff>
    </xdr:from>
    <xdr:to>
      <xdr:col>3</xdr:col>
      <xdr:colOff>1552575</xdr:colOff>
      <xdr:row>1194</xdr:row>
      <xdr:rowOff>1266825</xdr:rowOff>
    </xdr:to>
    <xdr:pic>
      <xdr:nvPicPr>
        <xdr:cNvPr id="374" name="Имя " descr="Descr ">
          <a:extLst>
            <a:ext uri="{FF2B5EF4-FFF2-40B4-BE49-F238E27FC236}">
              <a16:creationId xmlns:a16="http://schemas.microsoft.com/office/drawing/2014/main" id="{00000000-0008-0000-0000-000076010000}"/>
            </a:ext>
          </a:extLst>
        </xdr:cNvPr>
        <xdr:cNvPicPr>
          <a:picLocks noChangeAspect="1"/>
        </xdr:cNvPicPr>
      </xdr:nvPicPr>
      <xdr:blipFill>
        <a:blip xmlns:r="http://schemas.openxmlformats.org/officeDocument/2006/relationships" r:embed="rId370"/>
        <a:stretch>
          <a:fillRect/>
        </a:stretch>
      </xdr:blipFill>
      <xdr:spPr>
        <a:prstGeom prst="rect">
          <a:avLst/>
        </a:prstGeom>
        <a:ln w="9525">
          <a:solidFill>
            <a:srgbClr val="000000"/>
          </a:solidFill>
          <a:prstDash val="solid"/>
        </a:ln>
      </xdr:spPr>
    </xdr:pic>
    <xdr:clientData/>
  </xdr:twoCellAnchor>
  <xdr:twoCellAnchor>
    <xdr:from>
      <xdr:col>3</xdr:col>
      <xdr:colOff>114300</xdr:colOff>
      <xdr:row>1195</xdr:row>
      <xdr:rowOff>28575</xdr:rowOff>
    </xdr:from>
    <xdr:to>
      <xdr:col>3</xdr:col>
      <xdr:colOff>1552575</xdr:colOff>
      <xdr:row>1195</xdr:row>
      <xdr:rowOff>1266825</xdr:rowOff>
    </xdr:to>
    <xdr:pic>
      <xdr:nvPicPr>
        <xdr:cNvPr id="375" name="Имя " descr="Descr ">
          <a:extLst>
            <a:ext uri="{FF2B5EF4-FFF2-40B4-BE49-F238E27FC236}">
              <a16:creationId xmlns:a16="http://schemas.microsoft.com/office/drawing/2014/main" id="{00000000-0008-0000-0000-000077010000}"/>
            </a:ext>
          </a:extLst>
        </xdr:cNvPr>
        <xdr:cNvPicPr>
          <a:picLocks noChangeAspect="1"/>
        </xdr:cNvPicPr>
      </xdr:nvPicPr>
      <xdr:blipFill>
        <a:blip xmlns:r="http://schemas.openxmlformats.org/officeDocument/2006/relationships" r:embed="rId371"/>
        <a:stretch>
          <a:fillRect/>
        </a:stretch>
      </xdr:blipFill>
      <xdr:spPr>
        <a:prstGeom prst="rect">
          <a:avLst/>
        </a:prstGeom>
        <a:ln w="9525">
          <a:solidFill>
            <a:srgbClr val="000000"/>
          </a:solidFill>
          <a:prstDash val="solid"/>
        </a:ln>
      </xdr:spPr>
    </xdr:pic>
    <xdr:clientData/>
  </xdr:twoCellAnchor>
  <xdr:twoCellAnchor>
    <xdr:from>
      <xdr:col>3</xdr:col>
      <xdr:colOff>114300</xdr:colOff>
      <xdr:row>1196</xdr:row>
      <xdr:rowOff>28575</xdr:rowOff>
    </xdr:from>
    <xdr:to>
      <xdr:col>3</xdr:col>
      <xdr:colOff>1552575</xdr:colOff>
      <xdr:row>1196</xdr:row>
      <xdr:rowOff>1266825</xdr:rowOff>
    </xdr:to>
    <xdr:pic>
      <xdr:nvPicPr>
        <xdr:cNvPr id="376" name="Имя " descr="Descr ">
          <a:extLst>
            <a:ext uri="{FF2B5EF4-FFF2-40B4-BE49-F238E27FC236}">
              <a16:creationId xmlns:a16="http://schemas.microsoft.com/office/drawing/2014/main" id="{00000000-0008-0000-0000-000078010000}"/>
            </a:ext>
          </a:extLst>
        </xdr:cNvPr>
        <xdr:cNvPicPr>
          <a:picLocks noChangeAspect="1"/>
        </xdr:cNvPicPr>
      </xdr:nvPicPr>
      <xdr:blipFill>
        <a:blip xmlns:r="http://schemas.openxmlformats.org/officeDocument/2006/relationships" r:embed="rId372"/>
        <a:stretch>
          <a:fillRect/>
        </a:stretch>
      </xdr:blipFill>
      <xdr:spPr>
        <a:prstGeom prst="rect">
          <a:avLst/>
        </a:prstGeom>
        <a:ln w="9525">
          <a:solidFill>
            <a:srgbClr val="000000"/>
          </a:solidFill>
          <a:prstDash val="solid"/>
        </a:ln>
      </xdr:spPr>
    </xdr:pic>
    <xdr:clientData/>
  </xdr:twoCellAnchor>
  <xdr:twoCellAnchor>
    <xdr:from>
      <xdr:col>3</xdr:col>
      <xdr:colOff>114300</xdr:colOff>
      <xdr:row>1197</xdr:row>
      <xdr:rowOff>28575</xdr:rowOff>
    </xdr:from>
    <xdr:to>
      <xdr:col>3</xdr:col>
      <xdr:colOff>1552575</xdr:colOff>
      <xdr:row>1197</xdr:row>
      <xdr:rowOff>1266825</xdr:rowOff>
    </xdr:to>
    <xdr:pic>
      <xdr:nvPicPr>
        <xdr:cNvPr id="377" name="Имя " descr="Descr ">
          <a:extLst>
            <a:ext uri="{FF2B5EF4-FFF2-40B4-BE49-F238E27FC236}">
              <a16:creationId xmlns:a16="http://schemas.microsoft.com/office/drawing/2014/main" id="{00000000-0008-0000-0000-000079010000}"/>
            </a:ext>
          </a:extLst>
        </xdr:cNvPr>
        <xdr:cNvPicPr>
          <a:picLocks noChangeAspect="1"/>
        </xdr:cNvPicPr>
      </xdr:nvPicPr>
      <xdr:blipFill>
        <a:blip xmlns:r="http://schemas.openxmlformats.org/officeDocument/2006/relationships" r:embed="rId373"/>
        <a:stretch>
          <a:fillRect/>
        </a:stretch>
      </xdr:blipFill>
      <xdr:spPr>
        <a:prstGeom prst="rect">
          <a:avLst/>
        </a:prstGeom>
        <a:ln w="9525">
          <a:solidFill>
            <a:srgbClr val="000000"/>
          </a:solidFill>
          <a:prstDash val="solid"/>
        </a:ln>
      </xdr:spPr>
    </xdr:pic>
    <xdr:clientData/>
  </xdr:twoCellAnchor>
  <xdr:twoCellAnchor>
    <xdr:from>
      <xdr:col>3</xdr:col>
      <xdr:colOff>114300</xdr:colOff>
      <xdr:row>1198</xdr:row>
      <xdr:rowOff>28575</xdr:rowOff>
    </xdr:from>
    <xdr:to>
      <xdr:col>3</xdr:col>
      <xdr:colOff>1552575</xdr:colOff>
      <xdr:row>1200</xdr:row>
      <xdr:rowOff>419100</xdr:rowOff>
    </xdr:to>
    <xdr:pic>
      <xdr:nvPicPr>
        <xdr:cNvPr id="378" name="Имя " descr="Descr ">
          <a:extLst>
            <a:ext uri="{FF2B5EF4-FFF2-40B4-BE49-F238E27FC236}">
              <a16:creationId xmlns:a16="http://schemas.microsoft.com/office/drawing/2014/main" id="{00000000-0008-0000-0000-00007A010000}"/>
            </a:ext>
          </a:extLst>
        </xdr:cNvPr>
        <xdr:cNvPicPr>
          <a:picLocks noChangeAspect="1"/>
        </xdr:cNvPicPr>
      </xdr:nvPicPr>
      <xdr:blipFill>
        <a:blip xmlns:r="http://schemas.openxmlformats.org/officeDocument/2006/relationships" r:embed="rId374"/>
        <a:stretch>
          <a:fillRect/>
        </a:stretch>
      </xdr:blipFill>
      <xdr:spPr>
        <a:prstGeom prst="rect">
          <a:avLst/>
        </a:prstGeom>
        <a:ln w="9525">
          <a:solidFill>
            <a:srgbClr val="000000"/>
          </a:solidFill>
          <a:prstDash val="solid"/>
        </a:ln>
      </xdr:spPr>
    </xdr:pic>
    <xdr:clientData/>
  </xdr:twoCellAnchor>
  <xdr:twoCellAnchor>
    <xdr:from>
      <xdr:col>3</xdr:col>
      <xdr:colOff>114300</xdr:colOff>
      <xdr:row>1201</xdr:row>
      <xdr:rowOff>38100</xdr:rowOff>
    </xdr:from>
    <xdr:to>
      <xdr:col>3</xdr:col>
      <xdr:colOff>1552575</xdr:colOff>
      <xdr:row>1202</xdr:row>
      <xdr:rowOff>638175</xdr:rowOff>
    </xdr:to>
    <xdr:pic>
      <xdr:nvPicPr>
        <xdr:cNvPr id="379" name="Имя " descr="Descr ">
          <a:extLst>
            <a:ext uri="{FF2B5EF4-FFF2-40B4-BE49-F238E27FC236}">
              <a16:creationId xmlns:a16="http://schemas.microsoft.com/office/drawing/2014/main" id="{00000000-0008-0000-0000-00007B010000}"/>
            </a:ext>
          </a:extLst>
        </xdr:cNvPr>
        <xdr:cNvPicPr>
          <a:picLocks noChangeAspect="1"/>
        </xdr:cNvPicPr>
      </xdr:nvPicPr>
      <xdr:blipFill>
        <a:blip xmlns:r="http://schemas.openxmlformats.org/officeDocument/2006/relationships" r:embed="rId375"/>
        <a:stretch>
          <a:fillRect/>
        </a:stretch>
      </xdr:blipFill>
      <xdr:spPr>
        <a:prstGeom prst="rect">
          <a:avLst/>
        </a:prstGeom>
        <a:ln w="9525">
          <a:solidFill>
            <a:srgbClr val="000000"/>
          </a:solidFill>
          <a:prstDash val="solid"/>
        </a:ln>
      </xdr:spPr>
    </xdr:pic>
    <xdr:clientData/>
  </xdr:twoCellAnchor>
  <xdr:twoCellAnchor>
    <xdr:from>
      <xdr:col>3</xdr:col>
      <xdr:colOff>114300</xdr:colOff>
      <xdr:row>1203</xdr:row>
      <xdr:rowOff>28575</xdr:rowOff>
    </xdr:from>
    <xdr:to>
      <xdr:col>3</xdr:col>
      <xdr:colOff>1552575</xdr:colOff>
      <xdr:row>1208</xdr:row>
      <xdr:rowOff>209550</xdr:rowOff>
    </xdr:to>
    <xdr:pic>
      <xdr:nvPicPr>
        <xdr:cNvPr id="380" name="Имя " descr="Descr ">
          <a:extLst>
            <a:ext uri="{FF2B5EF4-FFF2-40B4-BE49-F238E27FC236}">
              <a16:creationId xmlns:a16="http://schemas.microsoft.com/office/drawing/2014/main" id="{00000000-0008-0000-0000-00007C010000}"/>
            </a:ext>
          </a:extLst>
        </xdr:cNvPr>
        <xdr:cNvPicPr>
          <a:picLocks noChangeAspect="1"/>
        </xdr:cNvPicPr>
      </xdr:nvPicPr>
      <xdr:blipFill>
        <a:blip xmlns:r="http://schemas.openxmlformats.org/officeDocument/2006/relationships" r:embed="rId376"/>
        <a:stretch>
          <a:fillRect/>
        </a:stretch>
      </xdr:blipFill>
      <xdr:spPr>
        <a:prstGeom prst="rect">
          <a:avLst/>
        </a:prstGeom>
        <a:ln w="9525">
          <a:solidFill>
            <a:srgbClr val="000000"/>
          </a:solidFill>
          <a:prstDash val="solid"/>
        </a:ln>
      </xdr:spPr>
    </xdr:pic>
    <xdr:clientData/>
  </xdr:twoCellAnchor>
  <xdr:twoCellAnchor>
    <xdr:from>
      <xdr:col>3</xdr:col>
      <xdr:colOff>114300</xdr:colOff>
      <xdr:row>1209</xdr:row>
      <xdr:rowOff>28575</xdr:rowOff>
    </xdr:from>
    <xdr:to>
      <xdr:col>3</xdr:col>
      <xdr:colOff>1552575</xdr:colOff>
      <xdr:row>1213</xdr:row>
      <xdr:rowOff>333375</xdr:rowOff>
    </xdr:to>
    <xdr:pic>
      <xdr:nvPicPr>
        <xdr:cNvPr id="381" name="Имя " descr="Descr ">
          <a:extLst>
            <a:ext uri="{FF2B5EF4-FFF2-40B4-BE49-F238E27FC236}">
              <a16:creationId xmlns:a16="http://schemas.microsoft.com/office/drawing/2014/main" id="{00000000-0008-0000-0000-00007D010000}"/>
            </a:ext>
          </a:extLst>
        </xdr:cNvPr>
        <xdr:cNvPicPr>
          <a:picLocks noChangeAspect="1"/>
        </xdr:cNvPicPr>
      </xdr:nvPicPr>
      <xdr:blipFill>
        <a:blip xmlns:r="http://schemas.openxmlformats.org/officeDocument/2006/relationships" r:embed="rId377"/>
        <a:stretch>
          <a:fillRect/>
        </a:stretch>
      </xdr:blipFill>
      <xdr:spPr>
        <a:prstGeom prst="rect">
          <a:avLst/>
        </a:prstGeom>
        <a:ln w="9525">
          <a:solidFill>
            <a:srgbClr val="000000"/>
          </a:solidFill>
          <a:prstDash val="solid"/>
        </a:ln>
      </xdr:spPr>
    </xdr:pic>
    <xdr:clientData/>
  </xdr:twoCellAnchor>
  <xdr:twoCellAnchor>
    <xdr:from>
      <xdr:col>3</xdr:col>
      <xdr:colOff>114300</xdr:colOff>
      <xdr:row>1214</xdr:row>
      <xdr:rowOff>28575</xdr:rowOff>
    </xdr:from>
    <xdr:to>
      <xdr:col>3</xdr:col>
      <xdr:colOff>1552575</xdr:colOff>
      <xdr:row>1214</xdr:row>
      <xdr:rowOff>1266825</xdr:rowOff>
    </xdr:to>
    <xdr:pic>
      <xdr:nvPicPr>
        <xdr:cNvPr id="382" name="Имя " descr="Descr ">
          <a:extLst>
            <a:ext uri="{FF2B5EF4-FFF2-40B4-BE49-F238E27FC236}">
              <a16:creationId xmlns:a16="http://schemas.microsoft.com/office/drawing/2014/main" id="{00000000-0008-0000-0000-00007E010000}"/>
            </a:ext>
          </a:extLst>
        </xdr:cNvPr>
        <xdr:cNvPicPr>
          <a:picLocks noChangeAspect="1"/>
        </xdr:cNvPicPr>
      </xdr:nvPicPr>
      <xdr:blipFill>
        <a:blip xmlns:r="http://schemas.openxmlformats.org/officeDocument/2006/relationships" r:embed="rId378"/>
        <a:stretch>
          <a:fillRect/>
        </a:stretch>
      </xdr:blipFill>
      <xdr:spPr>
        <a:prstGeom prst="rect">
          <a:avLst/>
        </a:prstGeom>
        <a:ln w="9525">
          <a:solidFill>
            <a:srgbClr val="000000"/>
          </a:solidFill>
          <a:prstDash val="solid"/>
        </a:ln>
      </xdr:spPr>
    </xdr:pic>
    <xdr:clientData/>
  </xdr:twoCellAnchor>
  <xdr:twoCellAnchor>
    <xdr:from>
      <xdr:col>3</xdr:col>
      <xdr:colOff>114300</xdr:colOff>
      <xdr:row>1215</xdr:row>
      <xdr:rowOff>28575</xdr:rowOff>
    </xdr:from>
    <xdr:to>
      <xdr:col>3</xdr:col>
      <xdr:colOff>1552575</xdr:colOff>
      <xdr:row>1215</xdr:row>
      <xdr:rowOff>1266825</xdr:rowOff>
    </xdr:to>
    <xdr:pic>
      <xdr:nvPicPr>
        <xdr:cNvPr id="383" name="Имя " descr="Descr ">
          <a:extLst>
            <a:ext uri="{FF2B5EF4-FFF2-40B4-BE49-F238E27FC236}">
              <a16:creationId xmlns:a16="http://schemas.microsoft.com/office/drawing/2014/main" id="{00000000-0008-0000-0000-00007F010000}"/>
            </a:ext>
          </a:extLst>
        </xdr:cNvPr>
        <xdr:cNvPicPr>
          <a:picLocks noChangeAspect="1"/>
        </xdr:cNvPicPr>
      </xdr:nvPicPr>
      <xdr:blipFill>
        <a:blip xmlns:r="http://schemas.openxmlformats.org/officeDocument/2006/relationships" r:embed="rId379"/>
        <a:stretch>
          <a:fillRect/>
        </a:stretch>
      </xdr:blipFill>
      <xdr:spPr>
        <a:prstGeom prst="rect">
          <a:avLst/>
        </a:prstGeom>
        <a:ln w="9525">
          <a:solidFill>
            <a:srgbClr val="000000"/>
          </a:solidFill>
          <a:prstDash val="solid"/>
        </a:ln>
      </xdr:spPr>
    </xdr:pic>
    <xdr:clientData/>
  </xdr:twoCellAnchor>
  <xdr:twoCellAnchor>
    <xdr:from>
      <xdr:col>3</xdr:col>
      <xdr:colOff>114300</xdr:colOff>
      <xdr:row>1216</xdr:row>
      <xdr:rowOff>28575</xdr:rowOff>
    </xdr:from>
    <xdr:to>
      <xdr:col>3</xdr:col>
      <xdr:colOff>1552575</xdr:colOff>
      <xdr:row>1216</xdr:row>
      <xdr:rowOff>1266825</xdr:rowOff>
    </xdr:to>
    <xdr:pic>
      <xdr:nvPicPr>
        <xdr:cNvPr id="384" name="Имя " descr="Descr ">
          <a:extLst>
            <a:ext uri="{FF2B5EF4-FFF2-40B4-BE49-F238E27FC236}">
              <a16:creationId xmlns:a16="http://schemas.microsoft.com/office/drawing/2014/main" id="{00000000-0008-0000-0000-000080010000}"/>
            </a:ext>
          </a:extLst>
        </xdr:cNvPr>
        <xdr:cNvPicPr>
          <a:picLocks noChangeAspect="1"/>
        </xdr:cNvPicPr>
      </xdr:nvPicPr>
      <xdr:blipFill>
        <a:blip xmlns:r="http://schemas.openxmlformats.org/officeDocument/2006/relationships" r:embed="rId380"/>
        <a:stretch>
          <a:fillRect/>
        </a:stretch>
      </xdr:blipFill>
      <xdr:spPr>
        <a:prstGeom prst="rect">
          <a:avLst/>
        </a:prstGeom>
        <a:ln w="9525">
          <a:solidFill>
            <a:srgbClr val="000000"/>
          </a:solidFill>
          <a:prstDash val="solid"/>
        </a:ln>
      </xdr:spPr>
    </xdr:pic>
    <xdr:clientData/>
  </xdr:twoCellAnchor>
  <xdr:twoCellAnchor>
    <xdr:from>
      <xdr:col>3</xdr:col>
      <xdr:colOff>114300</xdr:colOff>
      <xdr:row>1217</xdr:row>
      <xdr:rowOff>28575</xdr:rowOff>
    </xdr:from>
    <xdr:to>
      <xdr:col>3</xdr:col>
      <xdr:colOff>1552575</xdr:colOff>
      <xdr:row>1219</xdr:row>
      <xdr:rowOff>419100</xdr:rowOff>
    </xdr:to>
    <xdr:pic>
      <xdr:nvPicPr>
        <xdr:cNvPr id="385" name="Имя " descr="Descr ">
          <a:extLst>
            <a:ext uri="{FF2B5EF4-FFF2-40B4-BE49-F238E27FC236}">
              <a16:creationId xmlns:a16="http://schemas.microsoft.com/office/drawing/2014/main" id="{00000000-0008-0000-0000-000081010000}"/>
            </a:ext>
          </a:extLst>
        </xdr:cNvPr>
        <xdr:cNvPicPr>
          <a:picLocks noChangeAspect="1"/>
        </xdr:cNvPicPr>
      </xdr:nvPicPr>
      <xdr:blipFill>
        <a:blip xmlns:r="http://schemas.openxmlformats.org/officeDocument/2006/relationships" r:embed="rId381"/>
        <a:stretch>
          <a:fillRect/>
        </a:stretch>
      </xdr:blipFill>
      <xdr:spPr>
        <a:prstGeom prst="rect">
          <a:avLst/>
        </a:prstGeom>
        <a:ln w="9525">
          <a:solidFill>
            <a:srgbClr val="000000"/>
          </a:solidFill>
          <a:prstDash val="solid"/>
        </a:ln>
      </xdr:spPr>
    </xdr:pic>
    <xdr:clientData/>
  </xdr:twoCellAnchor>
  <xdr:twoCellAnchor>
    <xdr:from>
      <xdr:col>3</xdr:col>
      <xdr:colOff>114300</xdr:colOff>
      <xdr:row>1220</xdr:row>
      <xdr:rowOff>28575</xdr:rowOff>
    </xdr:from>
    <xdr:to>
      <xdr:col>3</xdr:col>
      <xdr:colOff>1552575</xdr:colOff>
      <xdr:row>1222</xdr:row>
      <xdr:rowOff>419100</xdr:rowOff>
    </xdr:to>
    <xdr:pic>
      <xdr:nvPicPr>
        <xdr:cNvPr id="386" name="Имя " descr="Descr ">
          <a:extLst>
            <a:ext uri="{FF2B5EF4-FFF2-40B4-BE49-F238E27FC236}">
              <a16:creationId xmlns:a16="http://schemas.microsoft.com/office/drawing/2014/main" id="{00000000-0008-0000-0000-000082010000}"/>
            </a:ext>
          </a:extLst>
        </xdr:cNvPr>
        <xdr:cNvPicPr>
          <a:picLocks noChangeAspect="1"/>
        </xdr:cNvPicPr>
      </xdr:nvPicPr>
      <xdr:blipFill>
        <a:blip xmlns:r="http://schemas.openxmlformats.org/officeDocument/2006/relationships" r:embed="rId382"/>
        <a:stretch>
          <a:fillRect/>
        </a:stretch>
      </xdr:blipFill>
      <xdr:spPr>
        <a:prstGeom prst="rect">
          <a:avLst/>
        </a:prstGeom>
        <a:ln w="9525">
          <a:solidFill>
            <a:srgbClr val="000000"/>
          </a:solidFill>
          <a:prstDash val="solid"/>
        </a:ln>
      </xdr:spPr>
    </xdr:pic>
    <xdr:clientData/>
  </xdr:twoCellAnchor>
  <xdr:twoCellAnchor>
    <xdr:from>
      <xdr:col>3</xdr:col>
      <xdr:colOff>114300</xdr:colOff>
      <xdr:row>1223</xdr:row>
      <xdr:rowOff>28575</xdr:rowOff>
    </xdr:from>
    <xdr:to>
      <xdr:col>3</xdr:col>
      <xdr:colOff>1552575</xdr:colOff>
      <xdr:row>1223</xdr:row>
      <xdr:rowOff>1266825</xdr:rowOff>
    </xdr:to>
    <xdr:pic>
      <xdr:nvPicPr>
        <xdr:cNvPr id="387" name="Имя " descr="Descr ">
          <a:extLst>
            <a:ext uri="{FF2B5EF4-FFF2-40B4-BE49-F238E27FC236}">
              <a16:creationId xmlns:a16="http://schemas.microsoft.com/office/drawing/2014/main" id="{00000000-0008-0000-0000-000083010000}"/>
            </a:ext>
          </a:extLst>
        </xdr:cNvPr>
        <xdr:cNvPicPr>
          <a:picLocks noChangeAspect="1"/>
        </xdr:cNvPicPr>
      </xdr:nvPicPr>
      <xdr:blipFill>
        <a:blip xmlns:r="http://schemas.openxmlformats.org/officeDocument/2006/relationships" r:embed="rId383"/>
        <a:stretch>
          <a:fillRect/>
        </a:stretch>
      </xdr:blipFill>
      <xdr:spPr>
        <a:prstGeom prst="rect">
          <a:avLst/>
        </a:prstGeom>
        <a:ln w="9525">
          <a:solidFill>
            <a:srgbClr val="000000"/>
          </a:solidFill>
          <a:prstDash val="solid"/>
        </a:ln>
      </xdr:spPr>
    </xdr:pic>
    <xdr:clientData/>
  </xdr:twoCellAnchor>
  <xdr:twoCellAnchor>
    <xdr:from>
      <xdr:col>3</xdr:col>
      <xdr:colOff>114300</xdr:colOff>
      <xdr:row>1224</xdr:row>
      <xdr:rowOff>28575</xdr:rowOff>
    </xdr:from>
    <xdr:to>
      <xdr:col>3</xdr:col>
      <xdr:colOff>1552575</xdr:colOff>
      <xdr:row>1224</xdr:row>
      <xdr:rowOff>1266825</xdr:rowOff>
    </xdr:to>
    <xdr:pic>
      <xdr:nvPicPr>
        <xdr:cNvPr id="388" name="Имя " descr="Descr ">
          <a:extLst>
            <a:ext uri="{FF2B5EF4-FFF2-40B4-BE49-F238E27FC236}">
              <a16:creationId xmlns:a16="http://schemas.microsoft.com/office/drawing/2014/main" id="{00000000-0008-0000-0000-000084010000}"/>
            </a:ext>
          </a:extLst>
        </xdr:cNvPr>
        <xdr:cNvPicPr>
          <a:picLocks noChangeAspect="1"/>
        </xdr:cNvPicPr>
      </xdr:nvPicPr>
      <xdr:blipFill>
        <a:blip xmlns:r="http://schemas.openxmlformats.org/officeDocument/2006/relationships" r:embed="rId384"/>
        <a:stretch>
          <a:fillRect/>
        </a:stretch>
      </xdr:blipFill>
      <xdr:spPr>
        <a:prstGeom prst="rect">
          <a:avLst/>
        </a:prstGeom>
        <a:ln w="9525">
          <a:solidFill>
            <a:srgbClr val="000000"/>
          </a:solidFill>
          <a:prstDash val="solid"/>
        </a:ln>
      </xdr:spPr>
    </xdr:pic>
    <xdr:clientData/>
  </xdr:twoCellAnchor>
  <xdr:twoCellAnchor>
    <xdr:from>
      <xdr:col>3</xdr:col>
      <xdr:colOff>114300</xdr:colOff>
      <xdr:row>1225</xdr:row>
      <xdr:rowOff>28575</xdr:rowOff>
    </xdr:from>
    <xdr:to>
      <xdr:col>3</xdr:col>
      <xdr:colOff>1552575</xdr:colOff>
      <xdr:row>1225</xdr:row>
      <xdr:rowOff>1266825</xdr:rowOff>
    </xdr:to>
    <xdr:pic>
      <xdr:nvPicPr>
        <xdr:cNvPr id="389" name="Имя " descr="Descr ">
          <a:extLst>
            <a:ext uri="{FF2B5EF4-FFF2-40B4-BE49-F238E27FC236}">
              <a16:creationId xmlns:a16="http://schemas.microsoft.com/office/drawing/2014/main" id="{00000000-0008-0000-0000-000085010000}"/>
            </a:ext>
          </a:extLst>
        </xdr:cNvPr>
        <xdr:cNvPicPr>
          <a:picLocks noChangeAspect="1"/>
        </xdr:cNvPicPr>
      </xdr:nvPicPr>
      <xdr:blipFill>
        <a:blip xmlns:r="http://schemas.openxmlformats.org/officeDocument/2006/relationships" r:embed="rId385"/>
        <a:stretch>
          <a:fillRect/>
        </a:stretch>
      </xdr:blipFill>
      <xdr:spPr>
        <a:prstGeom prst="rect">
          <a:avLst/>
        </a:prstGeom>
        <a:ln w="9525">
          <a:solidFill>
            <a:srgbClr val="000000"/>
          </a:solidFill>
          <a:prstDash val="solid"/>
        </a:ln>
      </xdr:spPr>
    </xdr:pic>
    <xdr:clientData/>
  </xdr:twoCellAnchor>
  <xdr:twoCellAnchor>
    <xdr:from>
      <xdr:col>3</xdr:col>
      <xdr:colOff>114300</xdr:colOff>
      <xdr:row>1226</xdr:row>
      <xdr:rowOff>28575</xdr:rowOff>
    </xdr:from>
    <xdr:to>
      <xdr:col>3</xdr:col>
      <xdr:colOff>1552575</xdr:colOff>
      <xdr:row>1226</xdr:row>
      <xdr:rowOff>1266825</xdr:rowOff>
    </xdr:to>
    <xdr:pic>
      <xdr:nvPicPr>
        <xdr:cNvPr id="390" name="Имя " descr="Descr ">
          <a:extLst>
            <a:ext uri="{FF2B5EF4-FFF2-40B4-BE49-F238E27FC236}">
              <a16:creationId xmlns:a16="http://schemas.microsoft.com/office/drawing/2014/main" id="{00000000-0008-0000-0000-000086010000}"/>
            </a:ext>
          </a:extLst>
        </xdr:cNvPr>
        <xdr:cNvPicPr>
          <a:picLocks noChangeAspect="1"/>
        </xdr:cNvPicPr>
      </xdr:nvPicPr>
      <xdr:blipFill>
        <a:blip xmlns:r="http://schemas.openxmlformats.org/officeDocument/2006/relationships" r:embed="rId386"/>
        <a:stretch>
          <a:fillRect/>
        </a:stretch>
      </xdr:blipFill>
      <xdr:spPr>
        <a:prstGeom prst="rect">
          <a:avLst/>
        </a:prstGeom>
        <a:ln w="9525">
          <a:solidFill>
            <a:srgbClr val="000000"/>
          </a:solidFill>
          <a:prstDash val="solid"/>
        </a:ln>
      </xdr:spPr>
    </xdr:pic>
    <xdr:clientData/>
  </xdr:twoCellAnchor>
  <xdr:twoCellAnchor>
    <xdr:from>
      <xdr:col>3</xdr:col>
      <xdr:colOff>114300</xdr:colOff>
      <xdr:row>1227</xdr:row>
      <xdr:rowOff>38100</xdr:rowOff>
    </xdr:from>
    <xdr:to>
      <xdr:col>3</xdr:col>
      <xdr:colOff>1552575</xdr:colOff>
      <xdr:row>1228</xdr:row>
      <xdr:rowOff>638175</xdr:rowOff>
    </xdr:to>
    <xdr:pic>
      <xdr:nvPicPr>
        <xdr:cNvPr id="391" name="Имя " descr="Descr ">
          <a:extLst>
            <a:ext uri="{FF2B5EF4-FFF2-40B4-BE49-F238E27FC236}">
              <a16:creationId xmlns:a16="http://schemas.microsoft.com/office/drawing/2014/main" id="{00000000-0008-0000-0000-000087010000}"/>
            </a:ext>
          </a:extLst>
        </xdr:cNvPr>
        <xdr:cNvPicPr>
          <a:picLocks noChangeAspect="1"/>
        </xdr:cNvPicPr>
      </xdr:nvPicPr>
      <xdr:blipFill>
        <a:blip xmlns:r="http://schemas.openxmlformats.org/officeDocument/2006/relationships" r:embed="rId387"/>
        <a:stretch>
          <a:fillRect/>
        </a:stretch>
      </xdr:blipFill>
      <xdr:spPr>
        <a:prstGeom prst="rect">
          <a:avLst/>
        </a:prstGeom>
        <a:ln w="9525">
          <a:solidFill>
            <a:srgbClr val="000000"/>
          </a:solidFill>
          <a:prstDash val="solid"/>
        </a:ln>
      </xdr:spPr>
    </xdr:pic>
    <xdr:clientData/>
  </xdr:twoCellAnchor>
  <xdr:twoCellAnchor>
    <xdr:from>
      <xdr:col>3</xdr:col>
      <xdr:colOff>114300</xdr:colOff>
      <xdr:row>1229</xdr:row>
      <xdr:rowOff>28575</xdr:rowOff>
    </xdr:from>
    <xdr:to>
      <xdr:col>3</xdr:col>
      <xdr:colOff>1552575</xdr:colOff>
      <xdr:row>1229</xdr:row>
      <xdr:rowOff>1266825</xdr:rowOff>
    </xdr:to>
    <xdr:pic>
      <xdr:nvPicPr>
        <xdr:cNvPr id="392" name="Имя " descr="Descr ">
          <a:extLst>
            <a:ext uri="{FF2B5EF4-FFF2-40B4-BE49-F238E27FC236}">
              <a16:creationId xmlns:a16="http://schemas.microsoft.com/office/drawing/2014/main" id="{00000000-0008-0000-0000-000088010000}"/>
            </a:ext>
          </a:extLst>
        </xdr:cNvPr>
        <xdr:cNvPicPr>
          <a:picLocks noChangeAspect="1"/>
        </xdr:cNvPicPr>
      </xdr:nvPicPr>
      <xdr:blipFill>
        <a:blip xmlns:r="http://schemas.openxmlformats.org/officeDocument/2006/relationships" r:embed="rId388"/>
        <a:stretch>
          <a:fillRect/>
        </a:stretch>
      </xdr:blipFill>
      <xdr:spPr>
        <a:prstGeom prst="rect">
          <a:avLst/>
        </a:prstGeom>
        <a:ln w="9525">
          <a:solidFill>
            <a:srgbClr val="000000"/>
          </a:solidFill>
          <a:prstDash val="solid"/>
        </a:ln>
      </xdr:spPr>
    </xdr:pic>
    <xdr:clientData/>
  </xdr:twoCellAnchor>
  <xdr:twoCellAnchor>
    <xdr:from>
      <xdr:col>3</xdr:col>
      <xdr:colOff>114300</xdr:colOff>
      <xdr:row>1230</xdr:row>
      <xdr:rowOff>38100</xdr:rowOff>
    </xdr:from>
    <xdr:to>
      <xdr:col>3</xdr:col>
      <xdr:colOff>1552575</xdr:colOff>
      <xdr:row>1231</xdr:row>
      <xdr:rowOff>638175</xdr:rowOff>
    </xdr:to>
    <xdr:pic>
      <xdr:nvPicPr>
        <xdr:cNvPr id="393" name="Имя " descr="Descr ">
          <a:extLst>
            <a:ext uri="{FF2B5EF4-FFF2-40B4-BE49-F238E27FC236}">
              <a16:creationId xmlns:a16="http://schemas.microsoft.com/office/drawing/2014/main" id="{00000000-0008-0000-0000-000089010000}"/>
            </a:ext>
          </a:extLst>
        </xdr:cNvPr>
        <xdr:cNvPicPr>
          <a:picLocks noChangeAspect="1"/>
        </xdr:cNvPicPr>
      </xdr:nvPicPr>
      <xdr:blipFill>
        <a:blip xmlns:r="http://schemas.openxmlformats.org/officeDocument/2006/relationships" r:embed="rId389"/>
        <a:stretch>
          <a:fillRect/>
        </a:stretch>
      </xdr:blipFill>
      <xdr:spPr>
        <a:prstGeom prst="rect">
          <a:avLst/>
        </a:prstGeom>
        <a:ln w="9525">
          <a:solidFill>
            <a:srgbClr val="000000"/>
          </a:solidFill>
          <a:prstDash val="solid"/>
        </a:ln>
      </xdr:spPr>
    </xdr:pic>
    <xdr:clientData/>
  </xdr:twoCellAnchor>
  <xdr:twoCellAnchor>
    <xdr:from>
      <xdr:col>3</xdr:col>
      <xdr:colOff>114300</xdr:colOff>
      <xdr:row>1232</xdr:row>
      <xdr:rowOff>28575</xdr:rowOff>
    </xdr:from>
    <xdr:to>
      <xdr:col>3</xdr:col>
      <xdr:colOff>1552575</xdr:colOff>
      <xdr:row>1234</xdr:row>
      <xdr:rowOff>419100</xdr:rowOff>
    </xdr:to>
    <xdr:pic>
      <xdr:nvPicPr>
        <xdr:cNvPr id="394" name="Имя " descr="Descr ">
          <a:extLst>
            <a:ext uri="{FF2B5EF4-FFF2-40B4-BE49-F238E27FC236}">
              <a16:creationId xmlns:a16="http://schemas.microsoft.com/office/drawing/2014/main" id="{00000000-0008-0000-0000-00008A010000}"/>
            </a:ext>
          </a:extLst>
        </xdr:cNvPr>
        <xdr:cNvPicPr>
          <a:picLocks noChangeAspect="1"/>
        </xdr:cNvPicPr>
      </xdr:nvPicPr>
      <xdr:blipFill>
        <a:blip xmlns:r="http://schemas.openxmlformats.org/officeDocument/2006/relationships" r:embed="rId390"/>
        <a:stretch>
          <a:fillRect/>
        </a:stretch>
      </xdr:blipFill>
      <xdr:spPr>
        <a:prstGeom prst="rect">
          <a:avLst/>
        </a:prstGeom>
        <a:ln w="9525">
          <a:solidFill>
            <a:srgbClr val="000000"/>
          </a:solidFill>
          <a:prstDash val="solid"/>
        </a:ln>
      </xdr:spPr>
    </xdr:pic>
    <xdr:clientData/>
  </xdr:twoCellAnchor>
  <xdr:twoCellAnchor>
    <xdr:from>
      <xdr:col>3</xdr:col>
      <xdr:colOff>114300</xdr:colOff>
      <xdr:row>1235</xdr:row>
      <xdr:rowOff>28575</xdr:rowOff>
    </xdr:from>
    <xdr:to>
      <xdr:col>3</xdr:col>
      <xdr:colOff>1552575</xdr:colOff>
      <xdr:row>1237</xdr:row>
      <xdr:rowOff>419100</xdr:rowOff>
    </xdr:to>
    <xdr:pic>
      <xdr:nvPicPr>
        <xdr:cNvPr id="395" name="Имя " descr="Descr ">
          <a:extLst>
            <a:ext uri="{FF2B5EF4-FFF2-40B4-BE49-F238E27FC236}">
              <a16:creationId xmlns:a16="http://schemas.microsoft.com/office/drawing/2014/main" id="{00000000-0008-0000-0000-00008B010000}"/>
            </a:ext>
          </a:extLst>
        </xdr:cNvPr>
        <xdr:cNvPicPr>
          <a:picLocks noChangeAspect="1"/>
        </xdr:cNvPicPr>
      </xdr:nvPicPr>
      <xdr:blipFill>
        <a:blip xmlns:r="http://schemas.openxmlformats.org/officeDocument/2006/relationships" r:embed="rId391"/>
        <a:stretch>
          <a:fillRect/>
        </a:stretch>
      </xdr:blipFill>
      <xdr:spPr>
        <a:prstGeom prst="rect">
          <a:avLst/>
        </a:prstGeom>
        <a:ln w="9525">
          <a:solidFill>
            <a:srgbClr val="000000"/>
          </a:solidFill>
          <a:prstDash val="solid"/>
        </a:ln>
      </xdr:spPr>
    </xdr:pic>
    <xdr:clientData/>
  </xdr:twoCellAnchor>
  <xdr:twoCellAnchor>
    <xdr:from>
      <xdr:col>3</xdr:col>
      <xdr:colOff>114300</xdr:colOff>
      <xdr:row>1238</xdr:row>
      <xdr:rowOff>38100</xdr:rowOff>
    </xdr:from>
    <xdr:to>
      <xdr:col>3</xdr:col>
      <xdr:colOff>1552575</xdr:colOff>
      <xdr:row>1239</xdr:row>
      <xdr:rowOff>638175</xdr:rowOff>
    </xdr:to>
    <xdr:pic>
      <xdr:nvPicPr>
        <xdr:cNvPr id="396" name="Имя " descr="Descr ">
          <a:extLst>
            <a:ext uri="{FF2B5EF4-FFF2-40B4-BE49-F238E27FC236}">
              <a16:creationId xmlns:a16="http://schemas.microsoft.com/office/drawing/2014/main" id="{00000000-0008-0000-0000-00008C010000}"/>
            </a:ext>
          </a:extLst>
        </xdr:cNvPr>
        <xdr:cNvPicPr>
          <a:picLocks noChangeAspect="1"/>
        </xdr:cNvPicPr>
      </xdr:nvPicPr>
      <xdr:blipFill>
        <a:blip xmlns:r="http://schemas.openxmlformats.org/officeDocument/2006/relationships" r:embed="rId392"/>
        <a:stretch>
          <a:fillRect/>
        </a:stretch>
      </xdr:blipFill>
      <xdr:spPr>
        <a:prstGeom prst="rect">
          <a:avLst/>
        </a:prstGeom>
        <a:ln w="9525">
          <a:solidFill>
            <a:srgbClr val="000000"/>
          </a:solidFill>
          <a:prstDash val="solid"/>
        </a:ln>
      </xdr:spPr>
    </xdr:pic>
    <xdr:clientData/>
  </xdr:twoCellAnchor>
  <xdr:twoCellAnchor>
    <xdr:from>
      <xdr:col>3</xdr:col>
      <xdr:colOff>114300</xdr:colOff>
      <xdr:row>1240</xdr:row>
      <xdr:rowOff>28575</xdr:rowOff>
    </xdr:from>
    <xdr:to>
      <xdr:col>3</xdr:col>
      <xdr:colOff>1552575</xdr:colOff>
      <xdr:row>1240</xdr:row>
      <xdr:rowOff>1266825</xdr:rowOff>
    </xdr:to>
    <xdr:pic>
      <xdr:nvPicPr>
        <xdr:cNvPr id="397" name="Имя " descr="Descr ">
          <a:extLst>
            <a:ext uri="{FF2B5EF4-FFF2-40B4-BE49-F238E27FC236}">
              <a16:creationId xmlns:a16="http://schemas.microsoft.com/office/drawing/2014/main" id="{00000000-0008-0000-0000-00008D010000}"/>
            </a:ext>
          </a:extLst>
        </xdr:cNvPr>
        <xdr:cNvPicPr>
          <a:picLocks noChangeAspect="1"/>
        </xdr:cNvPicPr>
      </xdr:nvPicPr>
      <xdr:blipFill>
        <a:blip xmlns:r="http://schemas.openxmlformats.org/officeDocument/2006/relationships" r:embed="rId393"/>
        <a:stretch>
          <a:fillRect/>
        </a:stretch>
      </xdr:blipFill>
      <xdr:spPr>
        <a:prstGeom prst="rect">
          <a:avLst/>
        </a:prstGeom>
        <a:ln w="9525">
          <a:solidFill>
            <a:srgbClr val="000000"/>
          </a:solidFill>
          <a:prstDash val="solid"/>
        </a:ln>
      </xdr:spPr>
    </xdr:pic>
    <xdr:clientData/>
  </xdr:twoCellAnchor>
  <xdr:twoCellAnchor>
    <xdr:from>
      <xdr:col>3</xdr:col>
      <xdr:colOff>114300</xdr:colOff>
      <xdr:row>1241</xdr:row>
      <xdr:rowOff>28575</xdr:rowOff>
    </xdr:from>
    <xdr:to>
      <xdr:col>3</xdr:col>
      <xdr:colOff>1552575</xdr:colOff>
      <xdr:row>1241</xdr:row>
      <xdr:rowOff>1266825</xdr:rowOff>
    </xdr:to>
    <xdr:pic>
      <xdr:nvPicPr>
        <xdr:cNvPr id="398" name="Имя " descr="Descr ">
          <a:extLst>
            <a:ext uri="{FF2B5EF4-FFF2-40B4-BE49-F238E27FC236}">
              <a16:creationId xmlns:a16="http://schemas.microsoft.com/office/drawing/2014/main" id="{00000000-0008-0000-0000-00008E010000}"/>
            </a:ext>
          </a:extLst>
        </xdr:cNvPr>
        <xdr:cNvPicPr>
          <a:picLocks noChangeAspect="1"/>
        </xdr:cNvPicPr>
      </xdr:nvPicPr>
      <xdr:blipFill>
        <a:blip xmlns:r="http://schemas.openxmlformats.org/officeDocument/2006/relationships" r:embed="rId394"/>
        <a:stretch>
          <a:fillRect/>
        </a:stretch>
      </xdr:blipFill>
      <xdr:spPr>
        <a:prstGeom prst="rect">
          <a:avLst/>
        </a:prstGeom>
        <a:ln w="9525">
          <a:solidFill>
            <a:srgbClr val="000000"/>
          </a:solidFill>
          <a:prstDash val="solid"/>
        </a:ln>
      </xdr:spPr>
    </xdr:pic>
    <xdr:clientData/>
  </xdr:twoCellAnchor>
  <xdr:twoCellAnchor>
    <xdr:from>
      <xdr:col>3</xdr:col>
      <xdr:colOff>114300</xdr:colOff>
      <xdr:row>1242</xdr:row>
      <xdr:rowOff>38100</xdr:rowOff>
    </xdr:from>
    <xdr:to>
      <xdr:col>3</xdr:col>
      <xdr:colOff>1552575</xdr:colOff>
      <xdr:row>1243</xdr:row>
      <xdr:rowOff>638175</xdr:rowOff>
    </xdr:to>
    <xdr:pic>
      <xdr:nvPicPr>
        <xdr:cNvPr id="399" name="Имя " descr="Descr ">
          <a:extLst>
            <a:ext uri="{FF2B5EF4-FFF2-40B4-BE49-F238E27FC236}">
              <a16:creationId xmlns:a16="http://schemas.microsoft.com/office/drawing/2014/main" id="{00000000-0008-0000-0000-00008F010000}"/>
            </a:ext>
          </a:extLst>
        </xdr:cNvPr>
        <xdr:cNvPicPr>
          <a:picLocks noChangeAspect="1"/>
        </xdr:cNvPicPr>
      </xdr:nvPicPr>
      <xdr:blipFill>
        <a:blip xmlns:r="http://schemas.openxmlformats.org/officeDocument/2006/relationships" r:embed="rId395"/>
        <a:stretch>
          <a:fillRect/>
        </a:stretch>
      </xdr:blipFill>
      <xdr:spPr>
        <a:prstGeom prst="rect">
          <a:avLst/>
        </a:prstGeom>
        <a:ln w="9525">
          <a:solidFill>
            <a:srgbClr val="000000"/>
          </a:solidFill>
          <a:prstDash val="solid"/>
        </a:ln>
      </xdr:spPr>
    </xdr:pic>
    <xdr:clientData/>
  </xdr:twoCellAnchor>
  <xdr:twoCellAnchor>
    <xdr:from>
      <xdr:col>3</xdr:col>
      <xdr:colOff>114300</xdr:colOff>
      <xdr:row>1244</xdr:row>
      <xdr:rowOff>28575</xdr:rowOff>
    </xdr:from>
    <xdr:to>
      <xdr:col>3</xdr:col>
      <xdr:colOff>1552575</xdr:colOff>
      <xdr:row>1244</xdr:row>
      <xdr:rowOff>1266825</xdr:rowOff>
    </xdr:to>
    <xdr:pic>
      <xdr:nvPicPr>
        <xdr:cNvPr id="400" name="Имя " descr="Descr ">
          <a:extLst>
            <a:ext uri="{FF2B5EF4-FFF2-40B4-BE49-F238E27FC236}">
              <a16:creationId xmlns:a16="http://schemas.microsoft.com/office/drawing/2014/main" id="{00000000-0008-0000-0000-000090010000}"/>
            </a:ext>
          </a:extLst>
        </xdr:cNvPr>
        <xdr:cNvPicPr>
          <a:picLocks noChangeAspect="1"/>
        </xdr:cNvPicPr>
      </xdr:nvPicPr>
      <xdr:blipFill>
        <a:blip xmlns:r="http://schemas.openxmlformats.org/officeDocument/2006/relationships" r:embed="rId396"/>
        <a:stretch>
          <a:fillRect/>
        </a:stretch>
      </xdr:blipFill>
      <xdr:spPr>
        <a:prstGeom prst="rect">
          <a:avLst/>
        </a:prstGeom>
        <a:ln w="9525">
          <a:solidFill>
            <a:srgbClr val="000000"/>
          </a:solidFill>
          <a:prstDash val="solid"/>
        </a:ln>
      </xdr:spPr>
    </xdr:pic>
    <xdr:clientData/>
  </xdr:twoCellAnchor>
  <xdr:twoCellAnchor>
    <xdr:from>
      <xdr:col>3</xdr:col>
      <xdr:colOff>114300</xdr:colOff>
      <xdr:row>1245</xdr:row>
      <xdr:rowOff>28575</xdr:rowOff>
    </xdr:from>
    <xdr:to>
      <xdr:col>3</xdr:col>
      <xdr:colOff>1552575</xdr:colOff>
      <xdr:row>1245</xdr:row>
      <xdr:rowOff>1266825</xdr:rowOff>
    </xdr:to>
    <xdr:pic>
      <xdr:nvPicPr>
        <xdr:cNvPr id="401" name="Имя " descr="Descr ">
          <a:extLst>
            <a:ext uri="{FF2B5EF4-FFF2-40B4-BE49-F238E27FC236}">
              <a16:creationId xmlns:a16="http://schemas.microsoft.com/office/drawing/2014/main" id="{00000000-0008-0000-0000-000091010000}"/>
            </a:ext>
          </a:extLst>
        </xdr:cNvPr>
        <xdr:cNvPicPr>
          <a:picLocks noChangeAspect="1"/>
        </xdr:cNvPicPr>
      </xdr:nvPicPr>
      <xdr:blipFill>
        <a:blip xmlns:r="http://schemas.openxmlformats.org/officeDocument/2006/relationships" r:embed="rId397"/>
        <a:stretch>
          <a:fillRect/>
        </a:stretch>
      </xdr:blipFill>
      <xdr:spPr>
        <a:prstGeom prst="rect">
          <a:avLst/>
        </a:prstGeom>
        <a:ln w="9525">
          <a:solidFill>
            <a:srgbClr val="000000"/>
          </a:solidFill>
          <a:prstDash val="solid"/>
        </a:ln>
      </xdr:spPr>
    </xdr:pic>
    <xdr:clientData/>
  </xdr:twoCellAnchor>
  <xdr:twoCellAnchor>
    <xdr:from>
      <xdr:col>3</xdr:col>
      <xdr:colOff>114300</xdr:colOff>
      <xdr:row>1246</xdr:row>
      <xdr:rowOff>28575</xdr:rowOff>
    </xdr:from>
    <xdr:to>
      <xdr:col>3</xdr:col>
      <xdr:colOff>1552575</xdr:colOff>
      <xdr:row>1246</xdr:row>
      <xdr:rowOff>1266825</xdr:rowOff>
    </xdr:to>
    <xdr:pic>
      <xdr:nvPicPr>
        <xdr:cNvPr id="402" name="Имя " descr="Descr ">
          <a:extLst>
            <a:ext uri="{FF2B5EF4-FFF2-40B4-BE49-F238E27FC236}">
              <a16:creationId xmlns:a16="http://schemas.microsoft.com/office/drawing/2014/main" id="{00000000-0008-0000-0000-000092010000}"/>
            </a:ext>
          </a:extLst>
        </xdr:cNvPr>
        <xdr:cNvPicPr>
          <a:picLocks noChangeAspect="1"/>
        </xdr:cNvPicPr>
      </xdr:nvPicPr>
      <xdr:blipFill>
        <a:blip xmlns:r="http://schemas.openxmlformats.org/officeDocument/2006/relationships" r:embed="rId398"/>
        <a:stretch>
          <a:fillRect/>
        </a:stretch>
      </xdr:blipFill>
      <xdr:spPr>
        <a:prstGeom prst="rect">
          <a:avLst/>
        </a:prstGeom>
        <a:ln w="9525">
          <a:solidFill>
            <a:srgbClr val="000000"/>
          </a:solidFill>
          <a:prstDash val="solid"/>
        </a:ln>
      </xdr:spPr>
    </xdr:pic>
    <xdr:clientData/>
  </xdr:twoCellAnchor>
  <xdr:twoCellAnchor>
    <xdr:from>
      <xdr:col>3</xdr:col>
      <xdr:colOff>114300</xdr:colOff>
      <xdr:row>1247</xdr:row>
      <xdr:rowOff>28575</xdr:rowOff>
    </xdr:from>
    <xdr:to>
      <xdr:col>3</xdr:col>
      <xdr:colOff>1552575</xdr:colOff>
      <xdr:row>1250</xdr:row>
      <xdr:rowOff>209550</xdr:rowOff>
    </xdr:to>
    <xdr:pic>
      <xdr:nvPicPr>
        <xdr:cNvPr id="403" name="Имя " descr="Descr ">
          <a:extLst>
            <a:ext uri="{FF2B5EF4-FFF2-40B4-BE49-F238E27FC236}">
              <a16:creationId xmlns:a16="http://schemas.microsoft.com/office/drawing/2014/main" id="{00000000-0008-0000-0000-000093010000}"/>
            </a:ext>
          </a:extLst>
        </xdr:cNvPr>
        <xdr:cNvPicPr>
          <a:picLocks noChangeAspect="1"/>
        </xdr:cNvPicPr>
      </xdr:nvPicPr>
      <xdr:blipFill>
        <a:blip xmlns:r="http://schemas.openxmlformats.org/officeDocument/2006/relationships" r:embed="rId399"/>
        <a:stretch>
          <a:fillRect/>
        </a:stretch>
      </xdr:blipFill>
      <xdr:spPr>
        <a:prstGeom prst="rect">
          <a:avLst/>
        </a:prstGeom>
        <a:ln w="9525">
          <a:solidFill>
            <a:srgbClr val="000000"/>
          </a:solidFill>
          <a:prstDash val="solid"/>
        </a:ln>
      </xdr:spPr>
    </xdr:pic>
    <xdr:clientData/>
  </xdr:twoCellAnchor>
  <xdr:twoCellAnchor>
    <xdr:from>
      <xdr:col>3</xdr:col>
      <xdr:colOff>114300</xdr:colOff>
      <xdr:row>1251</xdr:row>
      <xdr:rowOff>28575</xdr:rowOff>
    </xdr:from>
    <xdr:to>
      <xdr:col>3</xdr:col>
      <xdr:colOff>1552575</xdr:colOff>
      <xdr:row>1251</xdr:row>
      <xdr:rowOff>1266825</xdr:rowOff>
    </xdr:to>
    <xdr:pic>
      <xdr:nvPicPr>
        <xdr:cNvPr id="404" name="Имя " descr="Descr ">
          <a:extLst>
            <a:ext uri="{FF2B5EF4-FFF2-40B4-BE49-F238E27FC236}">
              <a16:creationId xmlns:a16="http://schemas.microsoft.com/office/drawing/2014/main" id="{00000000-0008-0000-0000-000094010000}"/>
            </a:ext>
          </a:extLst>
        </xdr:cNvPr>
        <xdr:cNvPicPr>
          <a:picLocks noChangeAspect="1"/>
        </xdr:cNvPicPr>
      </xdr:nvPicPr>
      <xdr:blipFill>
        <a:blip xmlns:r="http://schemas.openxmlformats.org/officeDocument/2006/relationships" r:embed="rId400"/>
        <a:stretch>
          <a:fillRect/>
        </a:stretch>
      </xdr:blipFill>
      <xdr:spPr>
        <a:prstGeom prst="rect">
          <a:avLst/>
        </a:prstGeom>
        <a:ln w="9525">
          <a:solidFill>
            <a:srgbClr val="000000"/>
          </a:solidFill>
          <a:prstDash val="solid"/>
        </a:ln>
      </xdr:spPr>
    </xdr:pic>
    <xdr:clientData/>
  </xdr:twoCellAnchor>
  <xdr:twoCellAnchor>
    <xdr:from>
      <xdr:col>3</xdr:col>
      <xdr:colOff>114300</xdr:colOff>
      <xdr:row>1252</xdr:row>
      <xdr:rowOff>28575</xdr:rowOff>
    </xdr:from>
    <xdr:to>
      <xdr:col>3</xdr:col>
      <xdr:colOff>1552575</xdr:colOff>
      <xdr:row>1252</xdr:row>
      <xdr:rowOff>1266825</xdr:rowOff>
    </xdr:to>
    <xdr:pic>
      <xdr:nvPicPr>
        <xdr:cNvPr id="405" name="Имя " descr="Descr ">
          <a:extLst>
            <a:ext uri="{FF2B5EF4-FFF2-40B4-BE49-F238E27FC236}">
              <a16:creationId xmlns:a16="http://schemas.microsoft.com/office/drawing/2014/main" id="{00000000-0008-0000-0000-000095010000}"/>
            </a:ext>
          </a:extLst>
        </xdr:cNvPr>
        <xdr:cNvPicPr>
          <a:picLocks noChangeAspect="1"/>
        </xdr:cNvPicPr>
      </xdr:nvPicPr>
      <xdr:blipFill>
        <a:blip xmlns:r="http://schemas.openxmlformats.org/officeDocument/2006/relationships" r:embed="rId401"/>
        <a:stretch>
          <a:fillRect/>
        </a:stretch>
      </xdr:blipFill>
      <xdr:spPr>
        <a:prstGeom prst="rect">
          <a:avLst/>
        </a:prstGeom>
        <a:ln w="9525">
          <a:solidFill>
            <a:srgbClr val="000000"/>
          </a:solidFill>
          <a:prstDash val="solid"/>
        </a:ln>
      </xdr:spPr>
    </xdr:pic>
    <xdr:clientData/>
  </xdr:twoCellAnchor>
  <xdr:twoCellAnchor>
    <xdr:from>
      <xdr:col>3</xdr:col>
      <xdr:colOff>114300</xdr:colOff>
      <xdr:row>1253</xdr:row>
      <xdr:rowOff>28575</xdr:rowOff>
    </xdr:from>
    <xdr:to>
      <xdr:col>3</xdr:col>
      <xdr:colOff>1552575</xdr:colOff>
      <xdr:row>1255</xdr:row>
      <xdr:rowOff>419100</xdr:rowOff>
    </xdr:to>
    <xdr:pic>
      <xdr:nvPicPr>
        <xdr:cNvPr id="406" name="Имя " descr="Descr ">
          <a:extLst>
            <a:ext uri="{FF2B5EF4-FFF2-40B4-BE49-F238E27FC236}">
              <a16:creationId xmlns:a16="http://schemas.microsoft.com/office/drawing/2014/main" id="{00000000-0008-0000-0000-000096010000}"/>
            </a:ext>
          </a:extLst>
        </xdr:cNvPr>
        <xdr:cNvPicPr>
          <a:picLocks noChangeAspect="1"/>
        </xdr:cNvPicPr>
      </xdr:nvPicPr>
      <xdr:blipFill>
        <a:blip xmlns:r="http://schemas.openxmlformats.org/officeDocument/2006/relationships" r:embed="rId402"/>
        <a:stretch>
          <a:fillRect/>
        </a:stretch>
      </xdr:blipFill>
      <xdr:spPr>
        <a:prstGeom prst="rect">
          <a:avLst/>
        </a:prstGeom>
        <a:ln w="9525">
          <a:solidFill>
            <a:srgbClr val="000000"/>
          </a:solidFill>
          <a:prstDash val="solid"/>
        </a:ln>
      </xdr:spPr>
    </xdr:pic>
    <xdr:clientData/>
  </xdr:twoCellAnchor>
  <xdr:twoCellAnchor>
    <xdr:from>
      <xdr:col>3</xdr:col>
      <xdr:colOff>114300</xdr:colOff>
      <xdr:row>1256</xdr:row>
      <xdr:rowOff>28575</xdr:rowOff>
    </xdr:from>
    <xdr:to>
      <xdr:col>3</xdr:col>
      <xdr:colOff>1552575</xdr:colOff>
      <xdr:row>1256</xdr:row>
      <xdr:rowOff>1266825</xdr:rowOff>
    </xdr:to>
    <xdr:pic>
      <xdr:nvPicPr>
        <xdr:cNvPr id="407" name="Имя " descr="Descr ">
          <a:extLst>
            <a:ext uri="{FF2B5EF4-FFF2-40B4-BE49-F238E27FC236}">
              <a16:creationId xmlns:a16="http://schemas.microsoft.com/office/drawing/2014/main" id="{00000000-0008-0000-0000-000097010000}"/>
            </a:ext>
          </a:extLst>
        </xdr:cNvPr>
        <xdr:cNvPicPr>
          <a:picLocks noChangeAspect="1"/>
        </xdr:cNvPicPr>
      </xdr:nvPicPr>
      <xdr:blipFill>
        <a:blip xmlns:r="http://schemas.openxmlformats.org/officeDocument/2006/relationships" r:embed="rId403"/>
        <a:stretch>
          <a:fillRect/>
        </a:stretch>
      </xdr:blipFill>
      <xdr:spPr>
        <a:prstGeom prst="rect">
          <a:avLst/>
        </a:prstGeom>
        <a:ln w="9525">
          <a:solidFill>
            <a:srgbClr val="000000"/>
          </a:solidFill>
          <a:prstDash val="solid"/>
        </a:ln>
      </xdr:spPr>
    </xdr:pic>
    <xdr:clientData/>
  </xdr:twoCellAnchor>
  <xdr:twoCellAnchor>
    <xdr:from>
      <xdr:col>3</xdr:col>
      <xdr:colOff>114300</xdr:colOff>
      <xdr:row>1257</xdr:row>
      <xdr:rowOff>28575</xdr:rowOff>
    </xdr:from>
    <xdr:to>
      <xdr:col>3</xdr:col>
      <xdr:colOff>1552575</xdr:colOff>
      <xdr:row>1257</xdr:row>
      <xdr:rowOff>1266825</xdr:rowOff>
    </xdr:to>
    <xdr:pic>
      <xdr:nvPicPr>
        <xdr:cNvPr id="408" name="Имя " descr="Descr ">
          <a:extLst>
            <a:ext uri="{FF2B5EF4-FFF2-40B4-BE49-F238E27FC236}">
              <a16:creationId xmlns:a16="http://schemas.microsoft.com/office/drawing/2014/main" id="{00000000-0008-0000-0000-000098010000}"/>
            </a:ext>
          </a:extLst>
        </xdr:cNvPr>
        <xdr:cNvPicPr>
          <a:picLocks noChangeAspect="1"/>
        </xdr:cNvPicPr>
      </xdr:nvPicPr>
      <xdr:blipFill>
        <a:blip xmlns:r="http://schemas.openxmlformats.org/officeDocument/2006/relationships" r:embed="rId404"/>
        <a:stretch>
          <a:fillRect/>
        </a:stretch>
      </xdr:blipFill>
      <xdr:spPr>
        <a:prstGeom prst="rect">
          <a:avLst/>
        </a:prstGeom>
        <a:ln w="9525">
          <a:solidFill>
            <a:srgbClr val="000000"/>
          </a:solidFill>
          <a:prstDash val="solid"/>
        </a:ln>
      </xdr:spPr>
    </xdr:pic>
    <xdr:clientData/>
  </xdr:twoCellAnchor>
  <xdr:twoCellAnchor>
    <xdr:from>
      <xdr:col>3</xdr:col>
      <xdr:colOff>114300</xdr:colOff>
      <xdr:row>1258</xdr:row>
      <xdr:rowOff>28575</xdr:rowOff>
    </xdr:from>
    <xdr:to>
      <xdr:col>3</xdr:col>
      <xdr:colOff>1552575</xdr:colOff>
      <xdr:row>1258</xdr:row>
      <xdr:rowOff>1266825</xdr:rowOff>
    </xdr:to>
    <xdr:pic>
      <xdr:nvPicPr>
        <xdr:cNvPr id="409" name="Имя " descr="Descr ">
          <a:extLst>
            <a:ext uri="{FF2B5EF4-FFF2-40B4-BE49-F238E27FC236}">
              <a16:creationId xmlns:a16="http://schemas.microsoft.com/office/drawing/2014/main" id="{00000000-0008-0000-0000-000099010000}"/>
            </a:ext>
          </a:extLst>
        </xdr:cNvPr>
        <xdr:cNvPicPr>
          <a:picLocks noChangeAspect="1"/>
        </xdr:cNvPicPr>
      </xdr:nvPicPr>
      <xdr:blipFill>
        <a:blip xmlns:r="http://schemas.openxmlformats.org/officeDocument/2006/relationships" r:embed="rId405"/>
        <a:stretch>
          <a:fillRect/>
        </a:stretch>
      </xdr:blipFill>
      <xdr:spPr>
        <a:prstGeom prst="rect">
          <a:avLst/>
        </a:prstGeom>
        <a:ln w="9525">
          <a:solidFill>
            <a:srgbClr val="000000"/>
          </a:solidFill>
          <a:prstDash val="solid"/>
        </a:ln>
      </xdr:spPr>
    </xdr:pic>
    <xdr:clientData/>
  </xdr:twoCellAnchor>
  <xdr:twoCellAnchor>
    <xdr:from>
      <xdr:col>3</xdr:col>
      <xdr:colOff>114300</xdr:colOff>
      <xdr:row>1259</xdr:row>
      <xdr:rowOff>38100</xdr:rowOff>
    </xdr:from>
    <xdr:to>
      <xdr:col>3</xdr:col>
      <xdr:colOff>1552575</xdr:colOff>
      <xdr:row>1260</xdr:row>
      <xdr:rowOff>638175</xdr:rowOff>
    </xdr:to>
    <xdr:pic>
      <xdr:nvPicPr>
        <xdr:cNvPr id="410" name="Имя " descr="Descr ">
          <a:extLst>
            <a:ext uri="{FF2B5EF4-FFF2-40B4-BE49-F238E27FC236}">
              <a16:creationId xmlns:a16="http://schemas.microsoft.com/office/drawing/2014/main" id="{00000000-0008-0000-0000-00009A010000}"/>
            </a:ext>
          </a:extLst>
        </xdr:cNvPr>
        <xdr:cNvPicPr>
          <a:picLocks noChangeAspect="1"/>
        </xdr:cNvPicPr>
      </xdr:nvPicPr>
      <xdr:blipFill>
        <a:blip xmlns:r="http://schemas.openxmlformats.org/officeDocument/2006/relationships" r:embed="rId406"/>
        <a:stretch>
          <a:fillRect/>
        </a:stretch>
      </xdr:blipFill>
      <xdr:spPr>
        <a:prstGeom prst="rect">
          <a:avLst/>
        </a:prstGeom>
        <a:ln w="9525">
          <a:solidFill>
            <a:srgbClr val="000000"/>
          </a:solidFill>
          <a:prstDash val="solid"/>
        </a:ln>
      </xdr:spPr>
    </xdr:pic>
    <xdr:clientData/>
  </xdr:twoCellAnchor>
  <xdr:twoCellAnchor>
    <xdr:from>
      <xdr:col>3</xdr:col>
      <xdr:colOff>114300</xdr:colOff>
      <xdr:row>1261</xdr:row>
      <xdr:rowOff>28575</xdr:rowOff>
    </xdr:from>
    <xdr:to>
      <xdr:col>3</xdr:col>
      <xdr:colOff>1552575</xdr:colOff>
      <xdr:row>1261</xdr:row>
      <xdr:rowOff>1266825</xdr:rowOff>
    </xdr:to>
    <xdr:pic>
      <xdr:nvPicPr>
        <xdr:cNvPr id="411" name="Имя " descr="Descr ">
          <a:extLst>
            <a:ext uri="{FF2B5EF4-FFF2-40B4-BE49-F238E27FC236}">
              <a16:creationId xmlns:a16="http://schemas.microsoft.com/office/drawing/2014/main" id="{00000000-0008-0000-0000-00009B010000}"/>
            </a:ext>
          </a:extLst>
        </xdr:cNvPr>
        <xdr:cNvPicPr>
          <a:picLocks noChangeAspect="1"/>
        </xdr:cNvPicPr>
      </xdr:nvPicPr>
      <xdr:blipFill>
        <a:blip xmlns:r="http://schemas.openxmlformats.org/officeDocument/2006/relationships" r:embed="rId407"/>
        <a:stretch>
          <a:fillRect/>
        </a:stretch>
      </xdr:blipFill>
      <xdr:spPr>
        <a:prstGeom prst="rect">
          <a:avLst/>
        </a:prstGeom>
        <a:ln w="9525">
          <a:solidFill>
            <a:srgbClr val="000000"/>
          </a:solidFill>
          <a:prstDash val="solid"/>
        </a:ln>
      </xdr:spPr>
    </xdr:pic>
    <xdr:clientData/>
  </xdr:twoCellAnchor>
  <xdr:twoCellAnchor>
    <xdr:from>
      <xdr:col>3</xdr:col>
      <xdr:colOff>114300</xdr:colOff>
      <xdr:row>1262</xdr:row>
      <xdr:rowOff>28575</xdr:rowOff>
    </xdr:from>
    <xdr:to>
      <xdr:col>3</xdr:col>
      <xdr:colOff>1552575</xdr:colOff>
      <xdr:row>1262</xdr:row>
      <xdr:rowOff>1266825</xdr:rowOff>
    </xdr:to>
    <xdr:pic>
      <xdr:nvPicPr>
        <xdr:cNvPr id="412" name="Имя " descr="Descr ">
          <a:extLst>
            <a:ext uri="{FF2B5EF4-FFF2-40B4-BE49-F238E27FC236}">
              <a16:creationId xmlns:a16="http://schemas.microsoft.com/office/drawing/2014/main" id="{00000000-0008-0000-0000-00009C010000}"/>
            </a:ext>
          </a:extLst>
        </xdr:cNvPr>
        <xdr:cNvPicPr>
          <a:picLocks noChangeAspect="1"/>
        </xdr:cNvPicPr>
      </xdr:nvPicPr>
      <xdr:blipFill>
        <a:blip xmlns:r="http://schemas.openxmlformats.org/officeDocument/2006/relationships" r:embed="rId408"/>
        <a:stretch>
          <a:fillRect/>
        </a:stretch>
      </xdr:blipFill>
      <xdr:spPr>
        <a:prstGeom prst="rect">
          <a:avLst/>
        </a:prstGeom>
        <a:ln w="9525">
          <a:solidFill>
            <a:srgbClr val="000000"/>
          </a:solidFill>
          <a:prstDash val="solid"/>
        </a:ln>
      </xdr:spPr>
    </xdr:pic>
    <xdr:clientData/>
  </xdr:twoCellAnchor>
  <xdr:twoCellAnchor>
    <xdr:from>
      <xdr:col>3</xdr:col>
      <xdr:colOff>114300</xdr:colOff>
      <xdr:row>1263</xdr:row>
      <xdr:rowOff>28575</xdr:rowOff>
    </xdr:from>
    <xdr:to>
      <xdr:col>3</xdr:col>
      <xdr:colOff>1552575</xdr:colOff>
      <xdr:row>1263</xdr:row>
      <xdr:rowOff>1266825</xdr:rowOff>
    </xdr:to>
    <xdr:pic>
      <xdr:nvPicPr>
        <xdr:cNvPr id="413" name="Имя " descr="Descr ">
          <a:extLst>
            <a:ext uri="{FF2B5EF4-FFF2-40B4-BE49-F238E27FC236}">
              <a16:creationId xmlns:a16="http://schemas.microsoft.com/office/drawing/2014/main" id="{00000000-0008-0000-0000-00009D010000}"/>
            </a:ext>
          </a:extLst>
        </xdr:cNvPr>
        <xdr:cNvPicPr>
          <a:picLocks noChangeAspect="1"/>
        </xdr:cNvPicPr>
      </xdr:nvPicPr>
      <xdr:blipFill>
        <a:blip xmlns:r="http://schemas.openxmlformats.org/officeDocument/2006/relationships" r:embed="rId409"/>
        <a:stretch>
          <a:fillRect/>
        </a:stretch>
      </xdr:blipFill>
      <xdr:spPr>
        <a:prstGeom prst="rect">
          <a:avLst/>
        </a:prstGeom>
        <a:ln w="9525">
          <a:solidFill>
            <a:srgbClr val="000000"/>
          </a:solidFill>
          <a:prstDash val="solid"/>
        </a:ln>
      </xdr:spPr>
    </xdr:pic>
    <xdr:clientData/>
  </xdr:twoCellAnchor>
  <xdr:twoCellAnchor>
    <xdr:from>
      <xdr:col>3</xdr:col>
      <xdr:colOff>114300</xdr:colOff>
      <xdr:row>1264</xdr:row>
      <xdr:rowOff>28575</xdr:rowOff>
    </xdr:from>
    <xdr:to>
      <xdr:col>3</xdr:col>
      <xdr:colOff>1552575</xdr:colOff>
      <xdr:row>1266</xdr:row>
      <xdr:rowOff>419100</xdr:rowOff>
    </xdr:to>
    <xdr:pic>
      <xdr:nvPicPr>
        <xdr:cNvPr id="414" name="Имя " descr="Descr ">
          <a:extLst>
            <a:ext uri="{FF2B5EF4-FFF2-40B4-BE49-F238E27FC236}">
              <a16:creationId xmlns:a16="http://schemas.microsoft.com/office/drawing/2014/main" id="{00000000-0008-0000-0000-00009E010000}"/>
            </a:ext>
          </a:extLst>
        </xdr:cNvPr>
        <xdr:cNvPicPr>
          <a:picLocks noChangeAspect="1"/>
        </xdr:cNvPicPr>
      </xdr:nvPicPr>
      <xdr:blipFill>
        <a:blip xmlns:r="http://schemas.openxmlformats.org/officeDocument/2006/relationships" r:embed="rId410"/>
        <a:stretch>
          <a:fillRect/>
        </a:stretch>
      </xdr:blipFill>
      <xdr:spPr>
        <a:prstGeom prst="rect">
          <a:avLst/>
        </a:prstGeom>
        <a:ln w="9525">
          <a:solidFill>
            <a:srgbClr val="000000"/>
          </a:solidFill>
          <a:prstDash val="solid"/>
        </a:ln>
      </xdr:spPr>
    </xdr:pic>
    <xdr:clientData/>
  </xdr:twoCellAnchor>
  <xdr:twoCellAnchor>
    <xdr:from>
      <xdr:col>3</xdr:col>
      <xdr:colOff>114300</xdr:colOff>
      <xdr:row>1267</xdr:row>
      <xdr:rowOff>28575</xdr:rowOff>
    </xdr:from>
    <xdr:to>
      <xdr:col>3</xdr:col>
      <xdr:colOff>1552575</xdr:colOff>
      <xdr:row>1269</xdr:row>
      <xdr:rowOff>419100</xdr:rowOff>
    </xdr:to>
    <xdr:pic>
      <xdr:nvPicPr>
        <xdr:cNvPr id="415" name="Имя " descr="Descr ">
          <a:extLst>
            <a:ext uri="{FF2B5EF4-FFF2-40B4-BE49-F238E27FC236}">
              <a16:creationId xmlns:a16="http://schemas.microsoft.com/office/drawing/2014/main" id="{00000000-0008-0000-0000-00009F010000}"/>
            </a:ext>
          </a:extLst>
        </xdr:cNvPr>
        <xdr:cNvPicPr>
          <a:picLocks noChangeAspect="1"/>
        </xdr:cNvPicPr>
      </xdr:nvPicPr>
      <xdr:blipFill>
        <a:blip xmlns:r="http://schemas.openxmlformats.org/officeDocument/2006/relationships" r:embed="rId411"/>
        <a:stretch>
          <a:fillRect/>
        </a:stretch>
      </xdr:blipFill>
      <xdr:spPr>
        <a:prstGeom prst="rect">
          <a:avLst/>
        </a:prstGeom>
        <a:ln w="9525">
          <a:solidFill>
            <a:srgbClr val="000000"/>
          </a:solidFill>
          <a:prstDash val="solid"/>
        </a:ln>
      </xdr:spPr>
    </xdr:pic>
    <xdr:clientData/>
  </xdr:twoCellAnchor>
  <xdr:twoCellAnchor>
    <xdr:from>
      <xdr:col>3</xdr:col>
      <xdr:colOff>114300</xdr:colOff>
      <xdr:row>1270</xdr:row>
      <xdr:rowOff>28575</xdr:rowOff>
    </xdr:from>
    <xdr:to>
      <xdr:col>3</xdr:col>
      <xdr:colOff>1552575</xdr:colOff>
      <xdr:row>1270</xdr:row>
      <xdr:rowOff>1266825</xdr:rowOff>
    </xdr:to>
    <xdr:pic>
      <xdr:nvPicPr>
        <xdr:cNvPr id="416" name="Имя " descr="Descr ">
          <a:extLst>
            <a:ext uri="{FF2B5EF4-FFF2-40B4-BE49-F238E27FC236}">
              <a16:creationId xmlns:a16="http://schemas.microsoft.com/office/drawing/2014/main" id="{00000000-0008-0000-0000-0000A0010000}"/>
            </a:ext>
          </a:extLst>
        </xdr:cNvPr>
        <xdr:cNvPicPr>
          <a:picLocks noChangeAspect="1"/>
        </xdr:cNvPicPr>
      </xdr:nvPicPr>
      <xdr:blipFill>
        <a:blip xmlns:r="http://schemas.openxmlformats.org/officeDocument/2006/relationships" r:embed="rId412"/>
        <a:stretch>
          <a:fillRect/>
        </a:stretch>
      </xdr:blipFill>
      <xdr:spPr>
        <a:prstGeom prst="rect">
          <a:avLst/>
        </a:prstGeom>
        <a:ln w="9525">
          <a:solidFill>
            <a:srgbClr val="000000"/>
          </a:solidFill>
          <a:prstDash val="solid"/>
        </a:ln>
      </xdr:spPr>
    </xdr:pic>
    <xdr:clientData/>
  </xdr:twoCellAnchor>
  <xdr:twoCellAnchor>
    <xdr:from>
      <xdr:col>3</xdr:col>
      <xdr:colOff>114300</xdr:colOff>
      <xdr:row>1271</xdr:row>
      <xdr:rowOff>28575</xdr:rowOff>
    </xdr:from>
    <xdr:to>
      <xdr:col>3</xdr:col>
      <xdr:colOff>1552575</xdr:colOff>
      <xdr:row>1271</xdr:row>
      <xdr:rowOff>1266825</xdr:rowOff>
    </xdr:to>
    <xdr:pic>
      <xdr:nvPicPr>
        <xdr:cNvPr id="417" name="Имя " descr="Descr ">
          <a:extLst>
            <a:ext uri="{FF2B5EF4-FFF2-40B4-BE49-F238E27FC236}">
              <a16:creationId xmlns:a16="http://schemas.microsoft.com/office/drawing/2014/main" id="{00000000-0008-0000-0000-0000A1010000}"/>
            </a:ext>
          </a:extLst>
        </xdr:cNvPr>
        <xdr:cNvPicPr>
          <a:picLocks noChangeAspect="1"/>
        </xdr:cNvPicPr>
      </xdr:nvPicPr>
      <xdr:blipFill>
        <a:blip xmlns:r="http://schemas.openxmlformats.org/officeDocument/2006/relationships" r:embed="rId413"/>
        <a:stretch>
          <a:fillRect/>
        </a:stretch>
      </xdr:blipFill>
      <xdr:spPr>
        <a:prstGeom prst="rect">
          <a:avLst/>
        </a:prstGeom>
        <a:ln w="9525">
          <a:solidFill>
            <a:srgbClr val="000000"/>
          </a:solidFill>
          <a:prstDash val="solid"/>
        </a:ln>
      </xdr:spPr>
    </xdr:pic>
    <xdr:clientData/>
  </xdr:twoCellAnchor>
  <xdr:twoCellAnchor>
    <xdr:from>
      <xdr:col>3</xdr:col>
      <xdr:colOff>114300</xdr:colOff>
      <xdr:row>1272</xdr:row>
      <xdr:rowOff>28575</xdr:rowOff>
    </xdr:from>
    <xdr:to>
      <xdr:col>3</xdr:col>
      <xdr:colOff>1552575</xdr:colOff>
      <xdr:row>1272</xdr:row>
      <xdr:rowOff>1266825</xdr:rowOff>
    </xdr:to>
    <xdr:pic>
      <xdr:nvPicPr>
        <xdr:cNvPr id="418" name="Имя " descr="Descr ">
          <a:extLst>
            <a:ext uri="{FF2B5EF4-FFF2-40B4-BE49-F238E27FC236}">
              <a16:creationId xmlns:a16="http://schemas.microsoft.com/office/drawing/2014/main" id="{00000000-0008-0000-0000-0000A2010000}"/>
            </a:ext>
          </a:extLst>
        </xdr:cNvPr>
        <xdr:cNvPicPr>
          <a:picLocks noChangeAspect="1"/>
        </xdr:cNvPicPr>
      </xdr:nvPicPr>
      <xdr:blipFill>
        <a:blip xmlns:r="http://schemas.openxmlformats.org/officeDocument/2006/relationships" r:embed="rId414"/>
        <a:stretch>
          <a:fillRect/>
        </a:stretch>
      </xdr:blipFill>
      <xdr:spPr>
        <a:prstGeom prst="rect">
          <a:avLst/>
        </a:prstGeom>
        <a:ln w="9525">
          <a:solidFill>
            <a:srgbClr val="000000"/>
          </a:solidFill>
          <a:prstDash val="solid"/>
        </a:ln>
      </xdr:spPr>
    </xdr:pic>
    <xdr:clientData/>
  </xdr:twoCellAnchor>
  <xdr:twoCellAnchor>
    <xdr:from>
      <xdr:col>3</xdr:col>
      <xdr:colOff>114300</xdr:colOff>
      <xdr:row>1273</xdr:row>
      <xdr:rowOff>28575</xdr:rowOff>
    </xdr:from>
    <xdr:to>
      <xdr:col>3</xdr:col>
      <xdr:colOff>1552575</xdr:colOff>
      <xdr:row>1273</xdr:row>
      <xdr:rowOff>1266825</xdr:rowOff>
    </xdr:to>
    <xdr:pic>
      <xdr:nvPicPr>
        <xdr:cNvPr id="419" name="Имя " descr="Descr ">
          <a:extLst>
            <a:ext uri="{FF2B5EF4-FFF2-40B4-BE49-F238E27FC236}">
              <a16:creationId xmlns:a16="http://schemas.microsoft.com/office/drawing/2014/main" id="{00000000-0008-0000-0000-0000A3010000}"/>
            </a:ext>
          </a:extLst>
        </xdr:cNvPr>
        <xdr:cNvPicPr>
          <a:picLocks noChangeAspect="1"/>
        </xdr:cNvPicPr>
      </xdr:nvPicPr>
      <xdr:blipFill>
        <a:blip xmlns:r="http://schemas.openxmlformats.org/officeDocument/2006/relationships" r:embed="rId415"/>
        <a:stretch>
          <a:fillRect/>
        </a:stretch>
      </xdr:blipFill>
      <xdr:spPr>
        <a:prstGeom prst="rect">
          <a:avLst/>
        </a:prstGeom>
        <a:ln w="9525">
          <a:solidFill>
            <a:srgbClr val="000000"/>
          </a:solidFill>
          <a:prstDash val="solid"/>
        </a:ln>
      </xdr:spPr>
    </xdr:pic>
    <xdr:clientData/>
  </xdr:twoCellAnchor>
  <xdr:twoCellAnchor>
    <xdr:from>
      <xdr:col>3</xdr:col>
      <xdr:colOff>114300</xdr:colOff>
      <xdr:row>1274</xdr:row>
      <xdr:rowOff>28575</xdr:rowOff>
    </xdr:from>
    <xdr:to>
      <xdr:col>3</xdr:col>
      <xdr:colOff>1552575</xdr:colOff>
      <xdr:row>1274</xdr:row>
      <xdr:rowOff>1266825</xdr:rowOff>
    </xdr:to>
    <xdr:pic>
      <xdr:nvPicPr>
        <xdr:cNvPr id="420" name="Имя " descr="Descr ">
          <a:extLst>
            <a:ext uri="{FF2B5EF4-FFF2-40B4-BE49-F238E27FC236}">
              <a16:creationId xmlns:a16="http://schemas.microsoft.com/office/drawing/2014/main" id="{00000000-0008-0000-0000-0000A4010000}"/>
            </a:ext>
          </a:extLst>
        </xdr:cNvPr>
        <xdr:cNvPicPr>
          <a:picLocks noChangeAspect="1"/>
        </xdr:cNvPicPr>
      </xdr:nvPicPr>
      <xdr:blipFill>
        <a:blip xmlns:r="http://schemas.openxmlformats.org/officeDocument/2006/relationships" r:embed="rId416"/>
        <a:stretch>
          <a:fillRect/>
        </a:stretch>
      </xdr:blipFill>
      <xdr:spPr>
        <a:prstGeom prst="rect">
          <a:avLst/>
        </a:prstGeom>
        <a:ln w="9525">
          <a:solidFill>
            <a:srgbClr val="000000"/>
          </a:solidFill>
          <a:prstDash val="solid"/>
        </a:ln>
      </xdr:spPr>
    </xdr:pic>
    <xdr:clientData/>
  </xdr:twoCellAnchor>
  <xdr:twoCellAnchor>
    <xdr:from>
      <xdr:col>3</xdr:col>
      <xdr:colOff>114300</xdr:colOff>
      <xdr:row>1275</xdr:row>
      <xdr:rowOff>28575</xdr:rowOff>
    </xdr:from>
    <xdr:to>
      <xdr:col>3</xdr:col>
      <xdr:colOff>1552575</xdr:colOff>
      <xdr:row>1275</xdr:row>
      <xdr:rowOff>1266825</xdr:rowOff>
    </xdr:to>
    <xdr:pic>
      <xdr:nvPicPr>
        <xdr:cNvPr id="421" name="Имя " descr="Descr ">
          <a:extLst>
            <a:ext uri="{FF2B5EF4-FFF2-40B4-BE49-F238E27FC236}">
              <a16:creationId xmlns:a16="http://schemas.microsoft.com/office/drawing/2014/main" id="{00000000-0008-0000-0000-0000A5010000}"/>
            </a:ext>
          </a:extLst>
        </xdr:cNvPr>
        <xdr:cNvPicPr>
          <a:picLocks noChangeAspect="1"/>
        </xdr:cNvPicPr>
      </xdr:nvPicPr>
      <xdr:blipFill>
        <a:blip xmlns:r="http://schemas.openxmlformats.org/officeDocument/2006/relationships" r:embed="rId417"/>
        <a:stretch>
          <a:fillRect/>
        </a:stretch>
      </xdr:blipFill>
      <xdr:spPr>
        <a:prstGeom prst="rect">
          <a:avLst/>
        </a:prstGeom>
        <a:ln w="9525">
          <a:solidFill>
            <a:srgbClr val="000000"/>
          </a:solidFill>
          <a:prstDash val="solid"/>
        </a:ln>
      </xdr:spPr>
    </xdr:pic>
    <xdr:clientData/>
  </xdr:twoCellAnchor>
  <xdr:twoCellAnchor>
    <xdr:from>
      <xdr:col>3</xdr:col>
      <xdr:colOff>114300</xdr:colOff>
      <xdr:row>1276</xdr:row>
      <xdr:rowOff>28575</xdr:rowOff>
    </xdr:from>
    <xdr:to>
      <xdr:col>3</xdr:col>
      <xdr:colOff>1552575</xdr:colOff>
      <xdr:row>1276</xdr:row>
      <xdr:rowOff>1266825</xdr:rowOff>
    </xdr:to>
    <xdr:pic>
      <xdr:nvPicPr>
        <xdr:cNvPr id="422" name="Имя " descr="Descr ">
          <a:extLst>
            <a:ext uri="{FF2B5EF4-FFF2-40B4-BE49-F238E27FC236}">
              <a16:creationId xmlns:a16="http://schemas.microsoft.com/office/drawing/2014/main" id="{00000000-0008-0000-0000-0000A6010000}"/>
            </a:ext>
          </a:extLst>
        </xdr:cNvPr>
        <xdr:cNvPicPr>
          <a:picLocks noChangeAspect="1"/>
        </xdr:cNvPicPr>
      </xdr:nvPicPr>
      <xdr:blipFill>
        <a:blip xmlns:r="http://schemas.openxmlformats.org/officeDocument/2006/relationships" r:embed="rId418"/>
        <a:stretch>
          <a:fillRect/>
        </a:stretch>
      </xdr:blipFill>
      <xdr:spPr>
        <a:prstGeom prst="rect">
          <a:avLst/>
        </a:prstGeom>
        <a:ln w="9525">
          <a:solidFill>
            <a:srgbClr val="000000"/>
          </a:solidFill>
          <a:prstDash val="solid"/>
        </a:ln>
      </xdr:spPr>
    </xdr:pic>
    <xdr:clientData/>
  </xdr:twoCellAnchor>
  <xdr:twoCellAnchor>
    <xdr:from>
      <xdr:col>3</xdr:col>
      <xdr:colOff>114300</xdr:colOff>
      <xdr:row>1277</xdr:row>
      <xdr:rowOff>28575</xdr:rowOff>
    </xdr:from>
    <xdr:to>
      <xdr:col>3</xdr:col>
      <xdr:colOff>1552575</xdr:colOff>
      <xdr:row>1277</xdr:row>
      <xdr:rowOff>1266825</xdr:rowOff>
    </xdr:to>
    <xdr:pic>
      <xdr:nvPicPr>
        <xdr:cNvPr id="423" name="Имя " descr="Descr ">
          <a:extLst>
            <a:ext uri="{FF2B5EF4-FFF2-40B4-BE49-F238E27FC236}">
              <a16:creationId xmlns:a16="http://schemas.microsoft.com/office/drawing/2014/main" id="{00000000-0008-0000-0000-0000A7010000}"/>
            </a:ext>
          </a:extLst>
        </xdr:cNvPr>
        <xdr:cNvPicPr>
          <a:picLocks noChangeAspect="1"/>
        </xdr:cNvPicPr>
      </xdr:nvPicPr>
      <xdr:blipFill>
        <a:blip xmlns:r="http://schemas.openxmlformats.org/officeDocument/2006/relationships" r:embed="rId419"/>
        <a:stretch>
          <a:fillRect/>
        </a:stretch>
      </xdr:blipFill>
      <xdr:spPr>
        <a:prstGeom prst="rect">
          <a:avLst/>
        </a:prstGeom>
        <a:ln w="9525">
          <a:solidFill>
            <a:srgbClr val="000000"/>
          </a:solidFill>
          <a:prstDash val="solid"/>
        </a:ln>
      </xdr:spPr>
    </xdr:pic>
    <xdr:clientData/>
  </xdr:twoCellAnchor>
  <xdr:twoCellAnchor>
    <xdr:from>
      <xdr:col>3</xdr:col>
      <xdr:colOff>114300</xdr:colOff>
      <xdr:row>1278</xdr:row>
      <xdr:rowOff>28575</xdr:rowOff>
    </xdr:from>
    <xdr:to>
      <xdr:col>3</xdr:col>
      <xdr:colOff>1552575</xdr:colOff>
      <xdr:row>1278</xdr:row>
      <xdr:rowOff>1266825</xdr:rowOff>
    </xdr:to>
    <xdr:pic>
      <xdr:nvPicPr>
        <xdr:cNvPr id="424" name="Имя " descr="Descr ">
          <a:extLst>
            <a:ext uri="{FF2B5EF4-FFF2-40B4-BE49-F238E27FC236}">
              <a16:creationId xmlns:a16="http://schemas.microsoft.com/office/drawing/2014/main" id="{00000000-0008-0000-0000-0000A8010000}"/>
            </a:ext>
          </a:extLst>
        </xdr:cNvPr>
        <xdr:cNvPicPr>
          <a:picLocks noChangeAspect="1"/>
        </xdr:cNvPicPr>
      </xdr:nvPicPr>
      <xdr:blipFill>
        <a:blip xmlns:r="http://schemas.openxmlformats.org/officeDocument/2006/relationships" r:embed="rId420"/>
        <a:stretch>
          <a:fillRect/>
        </a:stretch>
      </xdr:blipFill>
      <xdr:spPr>
        <a:prstGeom prst="rect">
          <a:avLst/>
        </a:prstGeom>
        <a:ln w="9525">
          <a:solidFill>
            <a:srgbClr val="000000"/>
          </a:solidFill>
          <a:prstDash val="solid"/>
        </a:ln>
      </xdr:spPr>
    </xdr:pic>
    <xdr:clientData/>
  </xdr:twoCellAnchor>
  <xdr:twoCellAnchor>
    <xdr:from>
      <xdr:col>3</xdr:col>
      <xdr:colOff>114300</xdr:colOff>
      <xdr:row>1279</xdr:row>
      <xdr:rowOff>28575</xdr:rowOff>
    </xdr:from>
    <xdr:to>
      <xdr:col>3</xdr:col>
      <xdr:colOff>1552575</xdr:colOff>
      <xdr:row>1279</xdr:row>
      <xdr:rowOff>1266825</xdr:rowOff>
    </xdr:to>
    <xdr:pic>
      <xdr:nvPicPr>
        <xdr:cNvPr id="425" name="Имя " descr="Descr ">
          <a:extLst>
            <a:ext uri="{FF2B5EF4-FFF2-40B4-BE49-F238E27FC236}">
              <a16:creationId xmlns:a16="http://schemas.microsoft.com/office/drawing/2014/main" id="{00000000-0008-0000-0000-0000A9010000}"/>
            </a:ext>
          </a:extLst>
        </xdr:cNvPr>
        <xdr:cNvPicPr>
          <a:picLocks noChangeAspect="1"/>
        </xdr:cNvPicPr>
      </xdr:nvPicPr>
      <xdr:blipFill>
        <a:blip xmlns:r="http://schemas.openxmlformats.org/officeDocument/2006/relationships" r:embed="rId421"/>
        <a:stretch>
          <a:fillRect/>
        </a:stretch>
      </xdr:blipFill>
      <xdr:spPr>
        <a:prstGeom prst="rect">
          <a:avLst/>
        </a:prstGeom>
        <a:ln w="9525">
          <a:solidFill>
            <a:srgbClr val="000000"/>
          </a:solidFill>
          <a:prstDash val="solid"/>
        </a:ln>
      </xdr:spPr>
    </xdr:pic>
    <xdr:clientData/>
  </xdr:twoCellAnchor>
  <xdr:twoCellAnchor>
    <xdr:from>
      <xdr:col>3</xdr:col>
      <xdr:colOff>114300</xdr:colOff>
      <xdr:row>1280</xdr:row>
      <xdr:rowOff>28575</xdr:rowOff>
    </xdr:from>
    <xdr:to>
      <xdr:col>3</xdr:col>
      <xdr:colOff>1552575</xdr:colOff>
      <xdr:row>1280</xdr:row>
      <xdr:rowOff>1266825</xdr:rowOff>
    </xdr:to>
    <xdr:pic>
      <xdr:nvPicPr>
        <xdr:cNvPr id="426" name="Имя " descr="Descr ">
          <a:extLst>
            <a:ext uri="{FF2B5EF4-FFF2-40B4-BE49-F238E27FC236}">
              <a16:creationId xmlns:a16="http://schemas.microsoft.com/office/drawing/2014/main" id="{00000000-0008-0000-0000-0000AA010000}"/>
            </a:ext>
          </a:extLst>
        </xdr:cNvPr>
        <xdr:cNvPicPr>
          <a:picLocks noChangeAspect="1"/>
        </xdr:cNvPicPr>
      </xdr:nvPicPr>
      <xdr:blipFill>
        <a:blip xmlns:r="http://schemas.openxmlformats.org/officeDocument/2006/relationships" r:embed="rId422"/>
        <a:stretch>
          <a:fillRect/>
        </a:stretch>
      </xdr:blipFill>
      <xdr:spPr>
        <a:prstGeom prst="rect">
          <a:avLst/>
        </a:prstGeom>
        <a:ln w="9525">
          <a:solidFill>
            <a:srgbClr val="000000"/>
          </a:solidFill>
          <a:prstDash val="solid"/>
        </a:ln>
      </xdr:spPr>
    </xdr:pic>
    <xdr:clientData/>
  </xdr:twoCellAnchor>
  <xdr:twoCellAnchor>
    <xdr:from>
      <xdr:col>3</xdr:col>
      <xdr:colOff>114300</xdr:colOff>
      <xdr:row>1281</xdr:row>
      <xdr:rowOff>28575</xdr:rowOff>
    </xdr:from>
    <xdr:to>
      <xdr:col>3</xdr:col>
      <xdr:colOff>1552575</xdr:colOff>
      <xdr:row>1281</xdr:row>
      <xdr:rowOff>1266825</xdr:rowOff>
    </xdr:to>
    <xdr:pic>
      <xdr:nvPicPr>
        <xdr:cNvPr id="427" name="Имя " descr="Descr ">
          <a:extLst>
            <a:ext uri="{FF2B5EF4-FFF2-40B4-BE49-F238E27FC236}">
              <a16:creationId xmlns:a16="http://schemas.microsoft.com/office/drawing/2014/main" id="{00000000-0008-0000-0000-0000AB010000}"/>
            </a:ext>
          </a:extLst>
        </xdr:cNvPr>
        <xdr:cNvPicPr>
          <a:picLocks noChangeAspect="1"/>
        </xdr:cNvPicPr>
      </xdr:nvPicPr>
      <xdr:blipFill>
        <a:blip xmlns:r="http://schemas.openxmlformats.org/officeDocument/2006/relationships" r:embed="rId423"/>
        <a:stretch>
          <a:fillRect/>
        </a:stretch>
      </xdr:blipFill>
      <xdr:spPr>
        <a:prstGeom prst="rect">
          <a:avLst/>
        </a:prstGeom>
        <a:ln w="9525">
          <a:solidFill>
            <a:srgbClr val="000000"/>
          </a:solidFill>
          <a:prstDash val="solid"/>
        </a:ln>
      </xdr:spPr>
    </xdr:pic>
    <xdr:clientData/>
  </xdr:twoCellAnchor>
  <xdr:twoCellAnchor>
    <xdr:from>
      <xdr:col>3</xdr:col>
      <xdr:colOff>114300</xdr:colOff>
      <xdr:row>1282</xdr:row>
      <xdr:rowOff>28575</xdr:rowOff>
    </xdr:from>
    <xdr:to>
      <xdr:col>3</xdr:col>
      <xdr:colOff>1552575</xdr:colOff>
      <xdr:row>1282</xdr:row>
      <xdr:rowOff>1266825</xdr:rowOff>
    </xdr:to>
    <xdr:pic>
      <xdr:nvPicPr>
        <xdr:cNvPr id="428" name="Имя " descr="Descr ">
          <a:extLst>
            <a:ext uri="{FF2B5EF4-FFF2-40B4-BE49-F238E27FC236}">
              <a16:creationId xmlns:a16="http://schemas.microsoft.com/office/drawing/2014/main" id="{00000000-0008-0000-0000-0000AC010000}"/>
            </a:ext>
          </a:extLst>
        </xdr:cNvPr>
        <xdr:cNvPicPr>
          <a:picLocks noChangeAspect="1"/>
        </xdr:cNvPicPr>
      </xdr:nvPicPr>
      <xdr:blipFill>
        <a:blip xmlns:r="http://schemas.openxmlformats.org/officeDocument/2006/relationships" r:embed="rId424"/>
        <a:stretch>
          <a:fillRect/>
        </a:stretch>
      </xdr:blipFill>
      <xdr:spPr>
        <a:prstGeom prst="rect">
          <a:avLst/>
        </a:prstGeom>
        <a:ln w="9525">
          <a:solidFill>
            <a:srgbClr val="000000"/>
          </a:solidFill>
          <a:prstDash val="solid"/>
        </a:ln>
      </xdr:spPr>
    </xdr:pic>
    <xdr:clientData/>
  </xdr:twoCellAnchor>
  <xdr:twoCellAnchor>
    <xdr:from>
      <xdr:col>3</xdr:col>
      <xdr:colOff>114300</xdr:colOff>
      <xdr:row>1283</xdr:row>
      <xdr:rowOff>28575</xdr:rowOff>
    </xdr:from>
    <xdr:to>
      <xdr:col>3</xdr:col>
      <xdr:colOff>1552575</xdr:colOff>
      <xdr:row>1283</xdr:row>
      <xdr:rowOff>1266825</xdr:rowOff>
    </xdr:to>
    <xdr:pic>
      <xdr:nvPicPr>
        <xdr:cNvPr id="429" name="Имя " descr="Descr ">
          <a:extLst>
            <a:ext uri="{FF2B5EF4-FFF2-40B4-BE49-F238E27FC236}">
              <a16:creationId xmlns:a16="http://schemas.microsoft.com/office/drawing/2014/main" id="{00000000-0008-0000-0000-0000AD010000}"/>
            </a:ext>
          </a:extLst>
        </xdr:cNvPr>
        <xdr:cNvPicPr>
          <a:picLocks noChangeAspect="1"/>
        </xdr:cNvPicPr>
      </xdr:nvPicPr>
      <xdr:blipFill>
        <a:blip xmlns:r="http://schemas.openxmlformats.org/officeDocument/2006/relationships" r:embed="rId425"/>
        <a:stretch>
          <a:fillRect/>
        </a:stretch>
      </xdr:blipFill>
      <xdr:spPr>
        <a:prstGeom prst="rect">
          <a:avLst/>
        </a:prstGeom>
        <a:ln w="9525">
          <a:solidFill>
            <a:srgbClr val="000000"/>
          </a:solidFill>
          <a:prstDash val="solid"/>
        </a:ln>
      </xdr:spPr>
    </xdr:pic>
    <xdr:clientData/>
  </xdr:twoCellAnchor>
  <xdr:twoCellAnchor>
    <xdr:from>
      <xdr:col>3</xdr:col>
      <xdr:colOff>114300</xdr:colOff>
      <xdr:row>1284</xdr:row>
      <xdr:rowOff>28575</xdr:rowOff>
    </xdr:from>
    <xdr:to>
      <xdr:col>3</xdr:col>
      <xdr:colOff>1552575</xdr:colOff>
      <xdr:row>1284</xdr:row>
      <xdr:rowOff>1266825</xdr:rowOff>
    </xdr:to>
    <xdr:pic>
      <xdr:nvPicPr>
        <xdr:cNvPr id="430" name="Имя " descr="Descr ">
          <a:extLst>
            <a:ext uri="{FF2B5EF4-FFF2-40B4-BE49-F238E27FC236}">
              <a16:creationId xmlns:a16="http://schemas.microsoft.com/office/drawing/2014/main" id="{00000000-0008-0000-0000-0000AE010000}"/>
            </a:ext>
          </a:extLst>
        </xdr:cNvPr>
        <xdr:cNvPicPr>
          <a:picLocks noChangeAspect="1"/>
        </xdr:cNvPicPr>
      </xdr:nvPicPr>
      <xdr:blipFill>
        <a:blip xmlns:r="http://schemas.openxmlformats.org/officeDocument/2006/relationships" r:embed="rId426"/>
        <a:stretch>
          <a:fillRect/>
        </a:stretch>
      </xdr:blipFill>
      <xdr:spPr>
        <a:prstGeom prst="rect">
          <a:avLst/>
        </a:prstGeom>
        <a:ln w="9525">
          <a:solidFill>
            <a:srgbClr val="000000"/>
          </a:solidFill>
          <a:prstDash val="solid"/>
        </a:ln>
      </xdr:spPr>
    </xdr:pic>
    <xdr:clientData/>
  </xdr:twoCellAnchor>
  <xdr:twoCellAnchor>
    <xdr:from>
      <xdr:col>3</xdr:col>
      <xdr:colOff>114300</xdr:colOff>
      <xdr:row>1285</xdr:row>
      <xdr:rowOff>28575</xdr:rowOff>
    </xdr:from>
    <xdr:to>
      <xdr:col>3</xdr:col>
      <xdr:colOff>1552575</xdr:colOff>
      <xdr:row>1285</xdr:row>
      <xdr:rowOff>1266825</xdr:rowOff>
    </xdr:to>
    <xdr:pic>
      <xdr:nvPicPr>
        <xdr:cNvPr id="431" name="Имя " descr="Descr ">
          <a:extLst>
            <a:ext uri="{FF2B5EF4-FFF2-40B4-BE49-F238E27FC236}">
              <a16:creationId xmlns:a16="http://schemas.microsoft.com/office/drawing/2014/main" id="{00000000-0008-0000-0000-0000AF010000}"/>
            </a:ext>
          </a:extLst>
        </xdr:cNvPr>
        <xdr:cNvPicPr>
          <a:picLocks noChangeAspect="1"/>
        </xdr:cNvPicPr>
      </xdr:nvPicPr>
      <xdr:blipFill>
        <a:blip xmlns:r="http://schemas.openxmlformats.org/officeDocument/2006/relationships" r:embed="rId427"/>
        <a:stretch>
          <a:fillRect/>
        </a:stretch>
      </xdr:blipFill>
      <xdr:spPr>
        <a:prstGeom prst="rect">
          <a:avLst/>
        </a:prstGeom>
        <a:ln w="9525">
          <a:solidFill>
            <a:srgbClr val="000000"/>
          </a:solidFill>
          <a:prstDash val="solid"/>
        </a:ln>
      </xdr:spPr>
    </xdr:pic>
    <xdr:clientData/>
  </xdr:twoCellAnchor>
  <xdr:twoCellAnchor>
    <xdr:from>
      <xdr:col>3</xdr:col>
      <xdr:colOff>114300</xdr:colOff>
      <xdr:row>1286</xdr:row>
      <xdr:rowOff>28575</xdr:rowOff>
    </xdr:from>
    <xdr:to>
      <xdr:col>3</xdr:col>
      <xdr:colOff>1552575</xdr:colOff>
      <xdr:row>1286</xdr:row>
      <xdr:rowOff>1266825</xdr:rowOff>
    </xdr:to>
    <xdr:pic>
      <xdr:nvPicPr>
        <xdr:cNvPr id="432" name="Имя " descr="Descr ">
          <a:extLst>
            <a:ext uri="{FF2B5EF4-FFF2-40B4-BE49-F238E27FC236}">
              <a16:creationId xmlns:a16="http://schemas.microsoft.com/office/drawing/2014/main" id="{00000000-0008-0000-0000-0000B0010000}"/>
            </a:ext>
          </a:extLst>
        </xdr:cNvPr>
        <xdr:cNvPicPr>
          <a:picLocks noChangeAspect="1"/>
        </xdr:cNvPicPr>
      </xdr:nvPicPr>
      <xdr:blipFill>
        <a:blip xmlns:r="http://schemas.openxmlformats.org/officeDocument/2006/relationships" r:embed="rId428"/>
        <a:stretch>
          <a:fillRect/>
        </a:stretch>
      </xdr:blipFill>
      <xdr:spPr>
        <a:prstGeom prst="rect">
          <a:avLst/>
        </a:prstGeom>
        <a:ln w="9525">
          <a:solidFill>
            <a:srgbClr val="000000"/>
          </a:solidFill>
          <a:prstDash val="solid"/>
        </a:ln>
      </xdr:spPr>
    </xdr:pic>
    <xdr:clientData/>
  </xdr:twoCellAnchor>
  <xdr:twoCellAnchor>
    <xdr:from>
      <xdr:col>3</xdr:col>
      <xdr:colOff>114300</xdr:colOff>
      <xdr:row>1287</xdr:row>
      <xdr:rowOff>28575</xdr:rowOff>
    </xdr:from>
    <xdr:to>
      <xdr:col>3</xdr:col>
      <xdr:colOff>1552575</xdr:colOff>
      <xdr:row>1287</xdr:row>
      <xdr:rowOff>1266825</xdr:rowOff>
    </xdr:to>
    <xdr:pic>
      <xdr:nvPicPr>
        <xdr:cNvPr id="433" name="Имя " descr="Descr ">
          <a:extLst>
            <a:ext uri="{FF2B5EF4-FFF2-40B4-BE49-F238E27FC236}">
              <a16:creationId xmlns:a16="http://schemas.microsoft.com/office/drawing/2014/main" id="{00000000-0008-0000-0000-0000B1010000}"/>
            </a:ext>
          </a:extLst>
        </xdr:cNvPr>
        <xdr:cNvPicPr>
          <a:picLocks noChangeAspect="1"/>
        </xdr:cNvPicPr>
      </xdr:nvPicPr>
      <xdr:blipFill>
        <a:blip xmlns:r="http://schemas.openxmlformats.org/officeDocument/2006/relationships" r:embed="rId429"/>
        <a:stretch>
          <a:fillRect/>
        </a:stretch>
      </xdr:blipFill>
      <xdr:spPr>
        <a:prstGeom prst="rect">
          <a:avLst/>
        </a:prstGeom>
        <a:ln w="9525">
          <a:solidFill>
            <a:srgbClr val="000000"/>
          </a:solidFill>
          <a:prstDash val="solid"/>
        </a:ln>
      </xdr:spPr>
    </xdr:pic>
    <xdr:clientData/>
  </xdr:twoCellAnchor>
  <xdr:twoCellAnchor>
    <xdr:from>
      <xdr:col>3</xdr:col>
      <xdr:colOff>114300</xdr:colOff>
      <xdr:row>1288</xdr:row>
      <xdr:rowOff>28575</xdr:rowOff>
    </xdr:from>
    <xdr:to>
      <xdr:col>3</xdr:col>
      <xdr:colOff>1552575</xdr:colOff>
      <xdr:row>1288</xdr:row>
      <xdr:rowOff>1266825</xdr:rowOff>
    </xdr:to>
    <xdr:pic>
      <xdr:nvPicPr>
        <xdr:cNvPr id="434" name="Имя " descr="Descr ">
          <a:extLst>
            <a:ext uri="{FF2B5EF4-FFF2-40B4-BE49-F238E27FC236}">
              <a16:creationId xmlns:a16="http://schemas.microsoft.com/office/drawing/2014/main" id="{00000000-0008-0000-0000-0000B2010000}"/>
            </a:ext>
          </a:extLst>
        </xdr:cNvPr>
        <xdr:cNvPicPr>
          <a:picLocks noChangeAspect="1"/>
        </xdr:cNvPicPr>
      </xdr:nvPicPr>
      <xdr:blipFill>
        <a:blip xmlns:r="http://schemas.openxmlformats.org/officeDocument/2006/relationships" r:embed="rId430"/>
        <a:stretch>
          <a:fillRect/>
        </a:stretch>
      </xdr:blipFill>
      <xdr:spPr>
        <a:prstGeom prst="rect">
          <a:avLst/>
        </a:prstGeom>
        <a:ln w="9525">
          <a:solidFill>
            <a:srgbClr val="000000"/>
          </a:solidFill>
          <a:prstDash val="solid"/>
        </a:ln>
      </xdr:spPr>
    </xdr:pic>
    <xdr:clientData/>
  </xdr:twoCellAnchor>
  <xdr:twoCellAnchor>
    <xdr:from>
      <xdr:col>3</xdr:col>
      <xdr:colOff>114300</xdr:colOff>
      <xdr:row>1289</xdr:row>
      <xdr:rowOff>38100</xdr:rowOff>
    </xdr:from>
    <xdr:to>
      <xdr:col>3</xdr:col>
      <xdr:colOff>1552575</xdr:colOff>
      <xdr:row>1290</xdr:row>
      <xdr:rowOff>638175</xdr:rowOff>
    </xdr:to>
    <xdr:pic>
      <xdr:nvPicPr>
        <xdr:cNvPr id="435" name="Имя " descr="Descr ">
          <a:extLst>
            <a:ext uri="{FF2B5EF4-FFF2-40B4-BE49-F238E27FC236}">
              <a16:creationId xmlns:a16="http://schemas.microsoft.com/office/drawing/2014/main" id="{00000000-0008-0000-0000-0000B3010000}"/>
            </a:ext>
          </a:extLst>
        </xdr:cNvPr>
        <xdr:cNvPicPr>
          <a:picLocks noChangeAspect="1"/>
        </xdr:cNvPicPr>
      </xdr:nvPicPr>
      <xdr:blipFill>
        <a:blip xmlns:r="http://schemas.openxmlformats.org/officeDocument/2006/relationships" r:embed="rId431"/>
        <a:stretch>
          <a:fillRect/>
        </a:stretch>
      </xdr:blipFill>
      <xdr:spPr>
        <a:prstGeom prst="rect">
          <a:avLst/>
        </a:prstGeom>
        <a:ln w="9525">
          <a:solidFill>
            <a:srgbClr val="000000"/>
          </a:solidFill>
          <a:prstDash val="solid"/>
        </a:ln>
      </xdr:spPr>
    </xdr:pic>
    <xdr:clientData/>
  </xdr:twoCellAnchor>
  <xdr:twoCellAnchor>
    <xdr:from>
      <xdr:col>3</xdr:col>
      <xdr:colOff>114300</xdr:colOff>
      <xdr:row>1291</xdr:row>
      <xdr:rowOff>28575</xdr:rowOff>
    </xdr:from>
    <xdr:to>
      <xdr:col>3</xdr:col>
      <xdr:colOff>1552575</xdr:colOff>
      <xdr:row>1291</xdr:row>
      <xdr:rowOff>1266825</xdr:rowOff>
    </xdr:to>
    <xdr:pic>
      <xdr:nvPicPr>
        <xdr:cNvPr id="436" name="Имя " descr="Descr ">
          <a:extLst>
            <a:ext uri="{FF2B5EF4-FFF2-40B4-BE49-F238E27FC236}">
              <a16:creationId xmlns:a16="http://schemas.microsoft.com/office/drawing/2014/main" id="{00000000-0008-0000-0000-0000B4010000}"/>
            </a:ext>
          </a:extLst>
        </xdr:cNvPr>
        <xdr:cNvPicPr>
          <a:picLocks noChangeAspect="1"/>
        </xdr:cNvPicPr>
      </xdr:nvPicPr>
      <xdr:blipFill>
        <a:blip xmlns:r="http://schemas.openxmlformats.org/officeDocument/2006/relationships" r:embed="rId432"/>
        <a:stretch>
          <a:fillRect/>
        </a:stretch>
      </xdr:blipFill>
      <xdr:spPr>
        <a:prstGeom prst="rect">
          <a:avLst/>
        </a:prstGeom>
        <a:ln w="9525">
          <a:solidFill>
            <a:srgbClr val="000000"/>
          </a:solidFill>
          <a:prstDash val="solid"/>
        </a:ln>
      </xdr:spPr>
    </xdr:pic>
    <xdr:clientData/>
  </xdr:twoCellAnchor>
  <xdr:twoCellAnchor>
    <xdr:from>
      <xdr:col>3</xdr:col>
      <xdr:colOff>114300</xdr:colOff>
      <xdr:row>1292</xdr:row>
      <xdr:rowOff>28575</xdr:rowOff>
    </xdr:from>
    <xdr:to>
      <xdr:col>3</xdr:col>
      <xdr:colOff>1552575</xdr:colOff>
      <xdr:row>1292</xdr:row>
      <xdr:rowOff>1266825</xdr:rowOff>
    </xdr:to>
    <xdr:pic>
      <xdr:nvPicPr>
        <xdr:cNvPr id="437" name="Имя " descr="Descr ">
          <a:extLst>
            <a:ext uri="{FF2B5EF4-FFF2-40B4-BE49-F238E27FC236}">
              <a16:creationId xmlns:a16="http://schemas.microsoft.com/office/drawing/2014/main" id="{00000000-0008-0000-0000-0000B5010000}"/>
            </a:ext>
          </a:extLst>
        </xdr:cNvPr>
        <xdr:cNvPicPr>
          <a:picLocks noChangeAspect="1"/>
        </xdr:cNvPicPr>
      </xdr:nvPicPr>
      <xdr:blipFill>
        <a:blip xmlns:r="http://schemas.openxmlformats.org/officeDocument/2006/relationships" r:embed="rId433"/>
        <a:stretch>
          <a:fillRect/>
        </a:stretch>
      </xdr:blipFill>
      <xdr:spPr>
        <a:prstGeom prst="rect">
          <a:avLst/>
        </a:prstGeom>
        <a:ln w="9525">
          <a:solidFill>
            <a:srgbClr val="000000"/>
          </a:solidFill>
          <a:prstDash val="solid"/>
        </a:ln>
      </xdr:spPr>
    </xdr:pic>
    <xdr:clientData/>
  </xdr:twoCellAnchor>
  <xdr:twoCellAnchor>
    <xdr:from>
      <xdr:col>3</xdr:col>
      <xdr:colOff>114300</xdr:colOff>
      <xdr:row>1293</xdr:row>
      <xdr:rowOff>28575</xdr:rowOff>
    </xdr:from>
    <xdr:to>
      <xdr:col>3</xdr:col>
      <xdr:colOff>1552575</xdr:colOff>
      <xdr:row>1293</xdr:row>
      <xdr:rowOff>1266825</xdr:rowOff>
    </xdr:to>
    <xdr:pic>
      <xdr:nvPicPr>
        <xdr:cNvPr id="438" name="Имя " descr="Descr ">
          <a:extLst>
            <a:ext uri="{FF2B5EF4-FFF2-40B4-BE49-F238E27FC236}">
              <a16:creationId xmlns:a16="http://schemas.microsoft.com/office/drawing/2014/main" id="{00000000-0008-0000-0000-0000B6010000}"/>
            </a:ext>
          </a:extLst>
        </xdr:cNvPr>
        <xdr:cNvPicPr>
          <a:picLocks noChangeAspect="1"/>
        </xdr:cNvPicPr>
      </xdr:nvPicPr>
      <xdr:blipFill>
        <a:blip xmlns:r="http://schemas.openxmlformats.org/officeDocument/2006/relationships" r:embed="rId434"/>
        <a:stretch>
          <a:fillRect/>
        </a:stretch>
      </xdr:blipFill>
      <xdr:spPr>
        <a:prstGeom prst="rect">
          <a:avLst/>
        </a:prstGeom>
        <a:ln w="9525">
          <a:solidFill>
            <a:srgbClr val="000000"/>
          </a:solidFill>
          <a:prstDash val="solid"/>
        </a:ln>
      </xdr:spPr>
    </xdr:pic>
    <xdr:clientData/>
  </xdr:twoCellAnchor>
  <xdr:twoCellAnchor>
    <xdr:from>
      <xdr:col>3</xdr:col>
      <xdr:colOff>114300</xdr:colOff>
      <xdr:row>1294</xdr:row>
      <xdr:rowOff>28575</xdr:rowOff>
    </xdr:from>
    <xdr:to>
      <xdr:col>3</xdr:col>
      <xdr:colOff>1552575</xdr:colOff>
      <xdr:row>1294</xdr:row>
      <xdr:rowOff>1266825</xdr:rowOff>
    </xdr:to>
    <xdr:pic>
      <xdr:nvPicPr>
        <xdr:cNvPr id="439" name="Имя " descr="Descr ">
          <a:extLst>
            <a:ext uri="{FF2B5EF4-FFF2-40B4-BE49-F238E27FC236}">
              <a16:creationId xmlns:a16="http://schemas.microsoft.com/office/drawing/2014/main" id="{00000000-0008-0000-0000-0000B7010000}"/>
            </a:ext>
          </a:extLst>
        </xdr:cNvPr>
        <xdr:cNvPicPr>
          <a:picLocks noChangeAspect="1"/>
        </xdr:cNvPicPr>
      </xdr:nvPicPr>
      <xdr:blipFill>
        <a:blip xmlns:r="http://schemas.openxmlformats.org/officeDocument/2006/relationships" r:embed="rId435"/>
        <a:stretch>
          <a:fillRect/>
        </a:stretch>
      </xdr:blipFill>
      <xdr:spPr>
        <a:prstGeom prst="rect">
          <a:avLst/>
        </a:prstGeom>
        <a:ln w="9525">
          <a:solidFill>
            <a:srgbClr val="000000"/>
          </a:solidFill>
          <a:prstDash val="solid"/>
        </a:ln>
      </xdr:spPr>
    </xdr:pic>
    <xdr:clientData/>
  </xdr:twoCellAnchor>
  <xdr:twoCellAnchor>
    <xdr:from>
      <xdr:col>3</xdr:col>
      <xdr:colOff>114300</xdr:colOff>
      <xdr:row>1295</xdr:row>
      <xdr:rowOff>28575</xdr:rowOff>
    </xdr:from>
    <xdr:to>
      <xdr:col>3</xdr:col>
      <xdr:colOff>1552575</xdr:colOff>
      <xdr:row>1295</xdr:row>
      <xdr:rowOff>1266825</xdr:rowOff>
    </xdr:to>
    <xdr:pic>
      <xdr:nvPicPr>
        <xdr:cNvPr id="440" name="Имя " descr="Descr ">
          <a:extLst>
            <a:ext uri="{FF2B5EF4-FFF2-40B4-BE49-F238E27FC236}">
              <a16:creationId xmlns:a16="http://schemas.microsoft.com/office/drawing/2014/main" id="{00000000-0008-0000-0000-0000B8010000}"/>
            </a:ext>
          </a:extLst>
        </xdr:cNvPr>
        <xdr:cNvPicPr>
          <a:picLocks noChangeAspect="1"/>
        </xdr:cNvPicPr>
      </xdr:nvPicPr>
      <xdr:blipFill>
        <a:blip xmlns:r="http://schemas.openxmlformats.org/officeDocument/2006/relationships" r:embed="rId436"/>
        <a:stretch>
          <a:fillRect/>
        </a:stretch>
      </xdr:blipFill>
      <xdr:spPr>
        <a:prstGeom prst="rect">
          <a:avLst/>
        </a:prstGeom>
        <a:ln w="9525">
          <a:solidFill>
            <a:srgbClr val="000000"/>
          </a:solidFill>
          <a:prstDash val="solid"/>
        </a:ln>
      </xdr:spPr>
    </xdr:pic>
    <xdr:clientData/>
  </xdr:twoCellAnchor>
  <xdr:twoCellAnchor>
    <xdr:from>
      <xdr:col>3</xdr:col>
      <xdr:colOff>114300</xdr:colOff>
      <xdr:row>1296</xdr:row>
      <xdr:rowOff>28575</xdr:rowOff>
    </xdr:from>
    <xdr:to>
      <xdr:col>3</xdr:col>
      <xdr:colOff>1552575</xdr:colOff>
      <xdr:row>1296</xdr:row>
      <xdr:rowOff>1266825</xdr:rowOff>
    </xdr:to>
    <xdr:pic>
      <xdr:nvPicPr>
        <xdr:cNvPr id="441" name="Имя " descr="Descr ">
          <a:extLst>
            <a:ext uri="{FF2B5EF4-FFF2-40B4-BE49-F238E27FC236}">
              <a16:creationId xmlns:a16="http://schemas.microsoft.com/office/drawing/2014/main" id="{00000000-0008-0000-0000-0000B9010000}"/>
            </a:ext>
          </a:extLst>
        </xdr:cNvPr>
        <xdr:cNvPicPr>
          <a:picLocks noChangeAspect="1"/>
        </xdr:cNvPicPr>
      </xdr:nvPicPr>
      <xdr:blipFill>
        <a:blip xmlns:r="http://schemas.openxmlformats.org/officeDocument/2006/relationships" r:embed="rId437"/>
        <a:stretch>
          <a:fillRect/>
        </a:stretch>
      </xdr:blipFill>
      <xdr:spPr>
        <a:prstGeom prst="rect">
          <a:avLst/>
        </a:prstGeom>
        <a:ln w="9525">
          <a:solidFill>
            <a:srgbClr val="000000"/>
          </a:solidFill>
          <a:prstDash val="solid"/>
        </a:ln>
      </xdr:spPr>
    </xdr:pic>
    <xdr:clientData/>
  </xdr:twoCellAnchor>
  <xdr:twoCellAnchor>
    <xdr:from>
      <xdr:col>3</xdr:col>
      <xdr:colOff>114300</xdr:colOff>
      <xdr:row>1297</xdr:row>
      <xdr:rowOff>28575</xdr:rowOff>
    </xdr:from>
    <xdr:to>
      <xdr:col>3</xdr:col>
      <xdr:colOff>1552575</xdr:colOff>
      <xdr:row>1297</xdr:row>
      <xdr:rowOff>1266825</xdr:rowOff>
    </xdr:to>
    <xdr:pic>
      <xdr:nvPicPr>
        <xdr:cNvPr id="442" name="Имя " descr="Descr ">
          <a:extLst>
            <a:ext uri="{FF2B5EF4-FFF2-40B4-BE49-F238E27FC236}">
              <a16:creationId xmlns:a16="http://schemas.microsoft.com/office/drawing/2014/main" id="{00000000-0008-0000-0000-0000BA010000}"/>
            </a:ext>
          </a:extLst>
        </xdr:cNvPr>
        <xdr:cNvPicPr>
          <a:picLocks noChangeAspect="1"/>
        </xdr:cNvPicPr>
      </xdr:nvPicPr>
      <xdr:blipFill>
        <a:blip xmlns:r="http://schemas.openxmlformats.org/officeDocument/2006/relationships" r:embed="rId438"/>
        <a:stretch>
          <a:fillRect/>
        </a:stretch>
      </xdr:blipFill>
      <xdr:spPr>
        <a:prstGeom prst="rect">
          <a:avLst/>
        </a:prstGeom>
        <a:ln w="9525">
          <a:solidFill>
            <a:srgbClr val="000000"/>
          </a:solidFill>
          <a:prstDash val="solid"/>
        </a:ln>
      </xdr:spPr>
    </xdr:pic>
    <xdr:clientData/>
  </xdr:twoCellAnchor>
  <xdr:twoCellAnchor>
    <xdr:from>
      <xdr:col>3</xdr:col>
      <xdr:colOff>114300</xdr:colOff>
      <xdr:row>1298</xdr:row>
      <xdr:rowOff>28575</xdr:rowOff>
    </xdr:from>
    <xdr:to>
      <xdr:col>3</xdr:col>
      <xdr:colOff>1552575</xdr:colOff>
      <xdr:row>1298</xdr:row>
      <xdr:rowOff>1266825</xdr:rowOff>
    </xdr:to>
    <xdr:pic>
      <xdr:nvPicPr>
        <xdr:cNvPr id="443" name="Имя " descr="Descr ">
          <a:extLst>
            <a:ext uri="{FF2B5EF4-FFF2-40B4-BE49-F238E27FC236}">
              <a16:creationId xmlns:a16="http://schemas.microsoft.com/office/drawing/2014/main" id="{00000000-0008-0000-0000-0000BB010000}"/>
            </a:ext>
          </a:extLst>
        </xdr:cNvPr>
        <xdr:cNvPicPr>
          <a:picLocks noChangeAspect="1"/>
        </xdr:cNvPicPr>
      </xdr:nvPicPr>
      <xdr:blipFill>
        <a:blip xmlns:r="http://schemas.openxmlformats.org/officeDocument/2006/relationships" r:embed="rId439"/>
        <a:stretch>
          <a:fillRect/>
        </a:stretch>
      </xdr:blipFill>
      <xdr:spPr>
        <a:prstGeom prst="rect">
          <a:avLst/>
        </a:prstGeom>
        <a:ln w="9525">
          <a:solidFill>
            <a:srgbClr val="000000"/>
          </a:solidFill>
          <a:prstDash val="solid"/>
        </a:ln>
      </xdr:spPr>
    </xdr:pic>
    <xdr:clientData/>
  </xdr:twoCellAnchor>
  <xdr:twoCellAnchor>
    <xdr:from>
      <xdr:col>3</xdr:col>
      <xdr:colOff>114300</xdr:colOff>
      <xdr:row>1299</xdr:row>
      <xdr:rowOff>28575</xdr:rowOff>
    </xdr:from>
    <xdr:to>
      <xdr:col>3</xdr:col>
      <xdr:colOff>1552575</xdr:colOff>
      <xdr:row>1299</xdr:row>
      <xdr:rowOff>1266825</xdr:rowOff>
    </xdr:to>
    <xdr:pic>
      <xdr:nvPicPr>
        <xdr:cNvPr id="444" name="Имя " descr="Descr ">
          <a:extLst>
            <a:ext uri="{FF2B5EF4-FFF2-40B4-BE49-F238E27FC236}">
              <a16:creationId xmlns:a16="http://schemas.microsoft.com/office/drawing/2014/main" id="{00000000-0008-0000-0000-0000BC010000}"/>
            </a:ext>
          </a:extLst>
        </xdr:cNvPr>
        <xdr:cNvPicPr>
          <a:picLocks noChangeAspect="1"/>
        </xdr:cNvPicPr>
      </xdr:nvPicPr>
      <xdr:blipFill>
        <a:blip xmlns:r="http://schemas.openxmlformats.org/officeDocument/2006/relationships" r:embed="rId440"/>
        <a:stretch>
          <a:fillRect/>
        </a:stretch>
      </xdr:blipFill>
      <xdr:spPr>
        <a:prstGeom prst="rect">
          <a:avLst/>
        </a:prstGeom>
        <a:ln w="9525">
          <a:solidFill>
            <a:srgbClr val="000000"/>
          </a:solidFill>
          <a:prstDash val="solid"/>
        </a:ln>
      </xdr:spPr>
    </xdr:pic>
    <xdr:clientData/>
  </xdr:twoCellAnchor>
  <xdr:twoCellAnchor>
    <xdr:from>
      <xdr:col>3</xdr:col>
      <xdr:colOff>114300</xdr:colOff>
      <xdr:row>1300</xdr:row>
      <xdr:rowOff>28575</xdr:rowOff>
    </xdr:from>
    <xdr:to>
      <xdr:col>3</xdr:col>
      <xdr:colOff>1552575</xdr:colOff>
      <xdr:row>1300</xdr:row>
      <xdr:rowOff>1266825</xdr:rowOff>
    </xdr:to>
    <xdr:pic>
      <xdr:nvPicPr>
        <xdr:cNvPr id="445" name="Имя " descr="Descr ">
          <a:extLst>
            <a:ext uri="{FF2B5EF4-FFF2-40B4-BE49-F238E27FC236}">
              <a16:creationId xmlns:a16="http://schemas.microsoft.com/office/drawing/2014/main" id="{00000000-0008-0000-0000-0000BD010000}"/>
            </a:ext>
          </a:extLst>
        </xdr:cNvPr>
        <xdr:cNvPicPr>
          <a:picLocks noChangeAspect="1"/>
        </xdr:cNvPicPr>
      </xdr:nvPicPr>
      <xdr:blipFill>
        <a:blip xmlns:r="http://schemas.openxmlformats.org/officeDocument/2006/relationships" r:embed="rId441"/>
        <a:stretch>
          <a:fillRect/>
        </a:stretch>
      </xdr:blipFill>
      <xdr:spPr>
        <a:prstGeom prst="rect">
          <a:avLst/>
        </a:prstGeom>
        <a:ln w="9525">
          <a:solidFill>
            <a:srgbClr val="000000"/>
          </a:solidFill>
          <a:prstDash val="solid"/>
        </a:ln>
      </xdr:spPr>
    </xdr:pic>
    <xdr:clientData/>
  </xdr:twoCellAnchor>
  <xdr:twoCellAnchor>
    <xdr:from>
      <xdr:col>3</xdr:col>
      <xdr:colOff>114300</xdr:colOff>
      <xdr:row>1301</xdr:row>
      <xdr:rowOff>28575</xdr:rowOff>
    </xdr:from>
    <xdr:to>
      <xdr:col>3</xdr:col>
      <xdr:colOff>1552575</xdr:colOff>
      <xdr:row>1301</xdr:row>
      <xdr:rowOff>1266825</xdr:rowOff>
    </xdr:to>
    <xdr:pic>
      <xdr:nvPicPr>
        <xdr:cNvPr id="446" name="Имя " descr="Descr ">
          <a:extLst>
            <a:ext uri="{FF2B5EF4-FFF2-40B4-BE49-F238E27FC236}">
              <a16:creationId xmlns:a16="http://schemas.microsoft.com/office/drawing/2014/main" id="{00000000-0008-0000-0000-0000BE010000}"/>
            </a:ext>
          </a:extLst>
        </xdr:cNvPr>
        <xdr:cNvPicPr>
          <a:picLocks noChangeAspect="1"/>
        </xdr:cNvPicPr>
      </xdr:nvPicPr>
      <xdr:blipFill>
        <a:blip xmlns:r="http://schemas.openxmlformats.org/officeDocument/2006/relationships" r:embed="rId442"/>
        <a:stretch>
          <a:fillRect/>
        </a:stretch>
      </xdr:blipFill>
      <xdr:spPr>
        <a:prstGeom prst="rect">
          <a:avLst/>
        </a:prstGeom>
        <a:ln w="9525">
          <a:solidFill>
            <a:srgbClr val="000000"/>
          </a:solidFill>
          <a:prstDash val="solid"/>
        </a:ln>
      </xdr:spPr>
    </xdr:pic>
    <xdr:clientData/>
  </xdr:twoCellAnchor>
  <xdr:twoCellAnchor>
    <xdr:from>
      <xdr:col>3</xdr:col>
      <xdr:colOff>114300</xdr:colOff>
      <xdr:row>1302</xdr:row>
      <xdr:rowOff>28575</xdr:rowOff>
    </xdr:from>
    <xdr:to>
      <xdr:col>3</xdr:col>
      <xdr:colOff>1552575</xdr:colOff>
      <xdr:row>1302</xdr:row>
      <xdr:rowOff>1266825</xdr:rowOff>
    </xdr:to>
    <xdr:pic>
      <xdr:nvPicPr>
        <xdr:cNvPr id="447" name="Имя " descr="Descr ">
          <a:extLst>
            <a:ext uri="{FF2B5EF4-FFF2-40B4-BE49-F238E27FC236}">
              <a16:creationId xmlns:a16="http://schemas.microsoft.com/office/drawing/2014/main" id="{00000000-0008-0000-0000-0000BF010000}"/>
            </a:ext>
          </a:extLst>
        </xdr:cNvPr>
        <xdr:cNvPicPr>
          <a:picLocks noChangeAspect="1"/>
        </xdr:cNvPicPr>
      </xdr:nvPicPr>
      <xdr:blipFill>
        <a:blip xmlns:r="http://schemas.openxmlformats.org/officeDocument/2006/relationships" r:embed="rId443"/>
        <a:stretch>
          <a:fillRect/>
        </a:stretch>
      </xdr:blipFill>
      <xdr:spPr>
        <a:prstGeom prst="rect">
          <a:avLst/>
        </a:prstGeom>
        <a:ln w="9525">
          <a:solidFill>
            <a:srgbClr val="000000"/>
          </a:solidFill>
          <a:prstDash val="solid"/>
        </a:ln>
      </xdr:spPr>
    </xdr:pic>
    <xdr:clientData/>
  </xdr:twoCellAnchor>
  <xdr:twoCellAnchor>
    <xdr:from>
      <xdr:col>3</xdr:col>
      <xdr:colOff>114300</xdr:colOff>
      <xdr:row>1303</xdr:row>
      <xdr:rowOff>28575</xdr:rowOff>
    </xdr:from>
    <xdr:to>
      <xdr:col>3</xdr:col>
      <xdr:colOff>1552575</xdr:colOff>
      <xdr:row>1303</xdr:row>
      <xdr:rowOff>1266825</xdr:rowOff>
    </xdr:to>
    <xdr:pic>
      <xdr:nvPicPr>
        <xdr:cNvPr id="448" name="Имя " descr="Descr ">
          <a:extLst>
            <a:ext uri="{FF2B5EF4-FFF2-40B4-BE49-F238E27FC236}">
              <a16:creationId xmlns:a16="http://schemas.microsoft.com/office/drawing/2014/main" id="{00000000-0008-0000-0000-0000C0010000}"/>
            </a:ext>
          </a:extLst>
        </xdr:cNvPr>
        <xdr:cNvPicPr>
          <a:picLocks noChangeAspect="1"/>
        </xdr:cNvPicPr>
      </xdr:nvPicPr>
      <xdr:blipFill>
        <a:blip xmlns:r="http://schemas.openxmlformats.org/officeDocument/2006/relationships" r:embed="rId444"/>
        <a:stretch>
          <a:fillRect/>
        </a:stretch>
      </xdr:blipFill>
      <xdr:spPr>
        <a:prstGeom prst="rect">
          <a:avLst/>
        </a:prstGeom>
        <a:ln w="9525">
          <a:solidFill>
            <a:srgbClr val="000000"/>
          </a:solidFill>
          <a:prstDash val="solid"/>
        </a:ln>
      </xdr:spPr>
    </xdr:pic>
    <xdr:clientData/>
  </xdr:twoCellAnchor>
  <xdr:twoCellAnchor>
    <xdr:from>
      <xdr:col>3</xdr:col>
      <xdr:colOff>114300</xdr:colOff>
      <xdr:row>1304</xdr:row>
      <xdr:rowOff>28575</xdr:rowOff>
    </xdr:from>
    <xdr:to>
      <xdr:col>3</xdr:col>
      <xdr:colOff>1552575</xdr:colOff>
      <xdr:row>1304</xdr:row>
      <xdr:rowOff>1266825</xdr:rowOff>
    </xdr:to>
    <xdr:pic>
      <xdr:nvPicPr>
        <xdr:cNvPr id="449" name="Имя " descr="Descr ">
          <a:extLst>
            <a:ext uri="{FF2B5EF4-FFF2-40B4-BE49-F238E27FC236}">
              <a16:creationId xmlns:a16="http://schemas.microsoft.com/office/drawing/2014/main" id="{00000000-0008-0000-0000-0000C1010000}"/>
            </a:ext>
          </a:extLst>
        </xdr:cNvPr>
        <xdr:cNvPicPr>
          <a:picLocks noChangeAspect="1"/>
        </xdr:cNvPicPr>
      </xdr:nvPicPr>
      <xdr:blipFill>
        <a:blip xmlns:r="http://schemas.openxmlformats.org/officeDocument/2006/relationships" r:embed="rId445"/>
        <a:stretch>
          <a:fillRect/>
        </a:stretch>
      </xdr:blipFill>
      <xdr:spPr>
        <a:prstGeom prst="rect">
          <a:avLst/>
        </a:prstGeom>
        <a:ln w="9525">
          <a:solidFill>
            <a:srgbClr val="000000"/>
          </a:solidFill>
          <a:prstDash val="solid"/>
        </a:ln>
      </xdr:spPr>
    </xdr:pic>
    <xdr:clientData/>
  </xdr:twoCellAnchor>
  <xdr:twoCellAnchor>
    <xdr:from>
      <xdr:col>3</xdr:col>
      <xdr:colOff>114300</xdr:colOff>
      <xdr:row>1305</xdr:row>
      <xdr:rowOff>28575</xdr:rowOff>
    </xdr:from>
    <xdr:to>
      <xdr:col>3</xdr:col>
      <xdr:colOff>1552575</xdr:colOff>
      <xdr:row>1310</xdr:row>
      <xdr:rowOff>209550</xdr:rowOff>
    </xdr:to>
    <xdr:pic>
      <xdr:nvPicPr>
        <xdr:cNvPr id="450" name="Имя " descr="Descr ">
          <a:extLst>
            <a:ext uri="{FF2B5EF4-FFF2-40B4-BE49-F238E27FC236}">
              <a16:creationId xmlns:a16="http://schemas.microsoft.com/office/drawing/2014/main" id="{00000000-0008-0000-0000-0000C2010000}"/>
            </a:ext>
          </a:extLst>
        </xdr:cNvPr>
        <xdr:cNvPicPr>
          <a:picLocks noChangeAspect="1"/>
        </xdr:cNvPicPr>
      </xdr:nvPicPr>
      <xdr:blipFill>
        <a:blip xmlns:r="http://schemas.openxmlformats.org/officeDocument/2006/relationships" r:embed="rId446"/>
        <a:stretch>
          <a:fillRect/>
        </a:stretch>
      </xdr:blipFill>
      <xdr:spPr>
        <a:prstGeom prst="rect">
          <a:avLst/>
        </a:prstGeom>
        <a:ln w="9525">
          <a:solidFill>
            <a:srgbClr val="000000"/>
          </a:solidFill>
          <a:prstDash val="solid"/>
        </a:ln>
      </xdr:spPr>
    </xdr:pic>
    <xdr:clientData/>
  </xdr:twoCellAnchor>
  <xdr:twoCellAnchor>
    <xdr:from>
      <xdr:col>3</xdr:col>
      <xdr:colOff>114300</xdr:colOff>
      <xdr:row>1311</xdr:row>
      <xdr:rowOff>38100</xdr:rowOff>
    </xdr:from>
    <xdr:to>
      <xdr:col>3</xdr:col>
      <xdr:colOff>1552575</xdr:colOff>
      <xdr:row>1312</xdr:row>
      <xdr:rowOff>638175</xdr:rowOff>
    </xdr:to>
    <xdr:pic>
      <xdr:nvPicPr>
        <xdr:cNvPr id="451" name="Имя " descr="Descr ">
          <a:extLst>
            <a:ext uri="{FF2B5EF4-FFF2-40B4-BE49-F238E27FC236}">
              <a16:creationId xmlns:a16="http://schemas.microsoft.com/office/drawing/2014/main" id="{00000000-0008-0000-0000-0000C3010000}"/>
            </a:ext>
          </a:extLst>
        </xdr:cNvPr>
        <xdr:cNvPicPr>
          <a:picLocks noChangeAspect="1"/>
        </xdr:cNvPicPr>
      </xdr:nvPicPr>
      <xdr:blipFill>
        <a:blip xmlns:r="http://schemas.openxmlformats.org/officeDocument/2006/relationships" r:embed="rId447"/>
        <a:stretch>
          <a:fillRect/>
        </a:stretch>
      </xdr:blipFill>
      <xdr:spPr>
        <a:prstGeom prst="rect">
          <a:avLst/>
        </a:prstGeom>
        <a:ln w="9525">
          <a:solidFill>
            <a:srgbClr val="000000"/>
          </a:solidFill>
          <a:prstDash val="solid"/>
        </a:ln>
      </xdr:spPr>
    </xdr:pic>
    <xdr:clientData/>
  </xdr:twoCellAnchor>
  <xdr:twoCellAnchor>
    <xdr:from>
      <xdr:col>3</xdr:col>
      <xdr:colOff>114300</xdr:colOff>
      <xdr:row>1313</xdr:row>
      <xdr:rowOff>38100</xdr:rowOff>
    </xdr:from>
    <xdr:to>
      <xdr:col>3</xdr:col>
      <xdr:colOff>1552575</xdr:colOff>
      <xdr:row>1314</xdr:row>
      <xdr:rowOff>638175</xdr:rowOff>
    </xdr:to>
    <xdr:pic>
      <xdr:nvPicPr>
        <xdr:cNvPr id="452" name="Имя " descr="Descr ">
          <a:extLst>
            <a:ext uri="{FF2B5EF4-FFF2-40B4-BE49-F238E27FC236}">
              <a16:creationId xmlns:a16="http://schemas.microsoft.com/office/drawing/2014/main" id="{00000000-0008-0000-0000-0000C4010000}"/>
            </a:ext>
          </a:extLst>
        </xdr:cNvPr>
        <xdr:cNvPicPr>
          <a:picLocks noChangeAspect="1"/>
        </xdr:cNvPicPr>
      </xdr:nvPicPr>
      <xdr:blipFill>
        <a:blip xmlns:r="http://schemas.openxmlformats.org/officeDocument/2006/relationships" r:embed="rId448"/>
        <a:stretch>
          <a:fillRect/>
        </a:stretch>
      </xdr:blipFill>
      <xdr:spPr>
        <a:prstGeom prst="rect">
          <a:avLst/>
        </a:prstGeom>
        <a:ln w="9525">
          <a:solidFill>
            <a:srgbClr val="000000"/>
          </a:solidFill>
          <a:prstDash val="solid"/>
        </a:ln>
      </xdr:spPr>
    </xdr:pic>
    <xdr:clientData/>
  </xdr:twoCellAnchor>
  <xdr:twoCellAnchor>
    <xdr:from>
      <xdr:col>3</xdr:col>
      <xdr:colOff>114300</xdr:colOff>
      <xdr:row>1315</xdr:row>
      <xdr:rowOff>28575</xdr:rowOff>
    </xdr:from>
    <xdr:to>
      <xdr:col>3</xdr:col>
      <xdr:colOff>1552575</xdr:colOff>
      <xdr:row>1320</xdr:row>
      <xdr:rowOff>209550</xdr:rowOff>
    </xdr:to>
    <xdr:pic>
      <xdr:nvPicPr>
        <xdr:cNvPr id="453" name="Имя " descr="Descr ">
          <a:extLst>
            <a:ext uri="{FF2B5EF4-FFF2-40B4-BE49-F238E27FC236}">
              <a16:creationId xmlns:a16="http://schemas.microsoft.com/office/drawing/2014/main" id="{00000000-0008-0000-0000-0000C5010000}"/>
            </a:ext>
          </a:extLst>
        </xdr:cNvPr>
        <xdr:cNvPicPr>
          <a:picLocks noChangeAspect="1"/>
        </xdr:cNvPicPr>
      </xdr:nvPicPr>
      <xdr:blipFill>
        <a:blip xmlns:r="http://schemas.openxmlformats.org/officeDocument/2006/relationships" r:embed="rId449"/>
        <a:stretch>
          <a:fillRect/>
        </a:stretch>
      </xdr:blipFill>
      <xdr:spPr>
        <a:prstGeom prst="rect">
          <a:avLst/>
        </a:prstGeom>
        <a:ln w="9525">
          <a:solidFill>
            <a:srgbClr val="000000"/>
          </a:solidFill>
          <a:prstDash val="solid"/>
        </a:ln>
      </xdr:spPr>
    </xdr:pic>
    <xdr:clientData/>
  </xdr:twoCellAnchor>
  <xdr:twoCellAnchor>
    <xdr:from>
      <xdr:col>3</xdr:col>
      <xdr:colOff>114300</xdr:colOff>
      <xdr:row>1321</xdr:row>
      <xdr:rowOff>28575</xdr:rowOff>
    </xdr:from>
    <xdr:to>
      <xdr:col>3</xdr:col>
      <xdr:colOff>1552575</xdr:colOff>
      <xdr:row>1323</xdr:row>
      <xdr:rowOff>419100</xdr:rowOff>
    </xdr:to>
    <xdr:pic>
      <xdr:nvPicPr>
        <xdr:cNvPr id="454" name="Имя " descr="Descr ">
          <a:extLst>
            <a:ext uri="{FF2B5EF4-FFF2-40B4-BE49-F238E27FC236}">
              <a16:creationId xmlns:a16="http://schemas.microsoft.com/office/drawing/2014/main" id="{00000000-0008-0000-0000-0000C6010000}"/>
            </a:ext>
          </a:extLst>
        </xdr:cNvPr>
        <xdr:cNvPicPr>
          <a:picLocks noChangeAspect="1"/>
        </xdr:cNvPicPr>
      </xdr:nvPicPr>
      <xdr:blipFill>
        <a:blip xmlns:r="http://schemas.openxmlformats.org/officeDocument/2006/relationships" r:embed="rId450"/>
        <a:stretch>
          <a:fillRect/>
        </a:stretch>
      </xdr:blipFill>
      <xdr:spPr>
        <a:prstGeom prst="rect">
          <a:avLst/>
        </a:prstGeom>
        <a:ln w="9525">
          <a:solidFill>
            <a:srgbClr val="000000"/>
          </a:solidFill>
          <a:prstDash val="solid"/>
        </a:ln>
      </xdr:spPr>
    </xdr:pic>
    <xdr:clientData/>
  </xdr:twoCellAnchor>
  <xdr:twoCellAnchor>
    <xdr:from>
      <xdr:col>3</xdr:col>
      <xdr:colOff>114300</xdr:colOff>
      <xdr:row>1324</xdr:row>
      <xdr:rowOff>38100</xdr:rowOff>
    </xdr:from>
    <xdr:to>
      <xdr:col>3</xdr:col>
      <xdr:colOff>1552575</xdr:colOff>
      <xdr:row>1325</xdr:row>
      <xdr:rowOff>638175</xdr:rowOff>
    </xdr:to>
    <xdr:pic>
      <xdr:nvPicPr>
        <xdr:cNvPr id="455" name="Имя " descr="Descr ">
          <a:extLst>
            <a:ext uri="{FF2B5EF4-FFF2-40B4-BE49-F238E27FC236}">
              <a16:creationId xmlns:a16="http://schemas.microsoft.com/office/drawing/2014/main" id="{00000000-0008-0000-0000-0000C7010000}"/>
            </a:ext>
          </a:extLst>
        </xdr:cNvPr>
        <xdr:cNvPicPr>
          <a:picLocks noChangeAspect="1"/>
        </xdr:cNvPicPr>
      </xdr:nvPicPr>
      <xdr:blipFill>
        <a:blip xmlns:r="http://schemas.openxmlformats.org/officeDocument/2006/relationships" r:embed="rId451"/>
        <a:stretch>
          <a:fillRect/>
        </a:stretch>
      </xdr:blipFill>
      <xdr:spPr>
        <a:prstGeom prst="rect">
          <a:avLst/>
        </a:prstGeom>
        <a:ln w="9525">
          <a:solidFill>
            <a:srgbClr val="000000"/>
          </a:solidFill>
          <a:prstDash val="solid"/>
        </a:ln>
      </xdr:spPr>
    </xdr:pic>
    <xdr:clientData/>
  </xdr:twoCellAnchor>
  <xdr:twoCellAnchor>
    <xdr:from>
      <xdr:col>3</xdr:col>
      <xdr:colOff>114300</xdr:colOff>
      <xdr:row>1326</xdr:row>
      <xdr:rowOff>38100</xdr:rowOff>
    </xdr:from>
    <xdr:to>
      <xdr:col>3</xdr:col>
      <xdr:colOff>1552575</xdr:colOff>
      <xdr:row>1327</xdr:row>
      <xdr:rowOff>638175</xdr:rowOff>
    </xdr:to>
    <xdr:pic>
      <xdr:nvPicPr>
        <xdr:cNvPr id="456" name="Имя " descr="Descr ">
          <a:extLst>
            <a:ext uri="{FF2B5EF4-FFF2-40B4-BE49-F238E27FC236}">
              <a16:creationId xmlns:a16="http://schemas.microsoft.com/office/drawing/2014/main" id="{00000000-0008-0000-0000-0000C8010000}"/>
            </a:ext>
          </a:extLst>
        </xdr:cNvPr>
        <xdr:cNvPicPr>
          <a:picLocks noChangeAspect="1"/>
        </xdr:cNvPicPr>
      </xdr:nvPicPr>
      <xdr:blipFill>
        <a:blip xmlns:r="http://schemas.openxmlformats.org/officeDocument/2006/relationships" r:embed="rId452"/>
        <a:stretch>
          <a:fillRect/>
        </a:stretch>
      </xdr:blipFill>
      <xdr:spPr>
        <a:prstGeom prst="rect">
          <a:avLst/>
        </a:prstGeom>
        <a:ln w="9525">
          <a:solidFill>
            <a:srgbClr val="000000"/>
          </a:solidFill>
          <a:prstDash val="solid"/>
        </a:ln>
      </xdr:spPr>
    </xdr:pic>
    <xdr:clientData/>
  </xdr:twoCellAnchor>
  <xdr:twoCellAnchor>
    <xdr:from>
      <xdr:col>3</xdr:col>
      <xdr:colOff>114300</xdr:colOff>
      <xdr:row>1328</xdr:row>
      <xdr:rowOff>28575</xdr:rowOff>
    </xdr:from>
    <xdr:to>
      <xdr:col>3</xdr:col>
      <xdr:colOff>1552575</xdr:colOff>
      <xdr:row>1328</xdr:row>
      <xdr:rowOff>1266825</xdr:rowOff>
    </xdr:to>
    <xdr:pic>
      <xdr:nvPicPr>
        <xdr:cNvPr id="457" name="Имя " descr="Descr ">
          <a:extLst>
            <a:ext uri="{FF2B5EF4-FFF2-40B4-BE49-F238E27FC236}">
              <a16:creationId xmlns:a16="http://schemas.microsoft.com/office/drawing/2014/main" id="{00000000-0008-0000-0000-0000C9010000}"/>
            </a:ext>
          </a:extLst>
        </xdr:cNvPr>
        <xdr:cNvPicPr>
          <a:picLocks noChangeAspect="1"/>
        </xdr:cNvPicPr>
      </xdr:nvPicPr>
      <xdr:blipFill>
        <a:blip xmlns:r="http://schemas.openxmlformats.org/officeDocument/2006/relationships" r:embed="rId453"/>
        <a:stretch>
          <a:fillRect/>
        </a:stretch>
      </xdr:blipFill>
      <xdr:spPr>
        <a:prstGeom prst="rect">
          <a:avLst/>
        </a:prstGeom>
        <a:ln w="9525">
          <a:solidFill>
            <a:srgbClr val="000000"/>
          </a:solidFill>
          <a:prstDash val="solid"/>
        </a:ln>
      </xdr:spPr>
    </xdr:pic>
    <xdr:clientData/>
  </xdr:twoCellAnchor>
  <xdr:twoCellAnchor>
    <xdr:from>
      <xdr:col>3</xdr:col>
      <xdr:colOff>114300</xdr:colOff>
      <xdr:row>1329</xdr:row>
      <xdr:rowOff>38100</xdr:rowOff>
    </xdr:from>
    <xdr:to>
      <xdr:col>3</xdr:col>
      <xdr:colOff>1552575</xdr:colOff>
      <xdr:row>1330</xdr:row>
      <xdr:rowOff>638175</xdr:rowOff>
    </xdr:to>
    <xdr:pic>
      <xdr:nvPicPr>
        <xdr:cNvPr id="458" name="Имя " descr="Descr ">
          <a:extLst>
            <a:ext uri="{FF2B5EF4-FFF2-40B4-BE49-F238E27FC236}">
              <a16:creationId xmlns:a16="http://schemas.microsoft.com/office/drawing/2014/main" id="{00000000-0008-0000-0000-0000CA010000}"/>
            </a:ext>
          </a:extLst>
        </xdr:cNvPr>
        <xdr:cNvPicPr>
          <a:picLocks noChangeAspect="1"/>
        </xdr:cNvPicPr>
      </xdr:nvPicPr>
      <xdr:blipFill>
        <a:blip xmlns:r="http://schemas.openxmlformats.org/officeDocument/2006/relationships" r:embed="rId454"/>
        <a:stretch>
          <a:fillRect/>
        </a:stretch>
      </xdr:blipFill>
      <xdr:spPr>
        <a:prstGeom prst="rect">
          <a:avLst/>
        </a:prstGeom>
        <a:ln w="9525">
          <a:solidFill>
            <a:srgbClr val="000000"/>
          </a:solidFill>
          <a:prstDash val="solid"/>
        </a:ln>
      </xdr:spPr>
    </xdr:pic>
    <xdr:clientData/>
  </xdr:twoCellAnchor>
  <xdr:twoCellAnchor>
    <xdr:from>
      <xdr:col>3</xdr:col>
      <xdr:colOff>114300</xdr:colOff>
      <xdr:row>1331</xdr:row>
      <xdr:rowOff>38100</xdr:rowOff>
    </xdr:from>
    <xdr:to>
      <xdr:col>3</xdr:col>
      <xdr:colOff>1552575</xdr:colOff>
      <xdr:row>1332</xdr:row>
      <xdr:rowOff>638175</xdr:rowOff>
    </xdr:to>
    <xdr:pic>
      <xdr:nvPicPr>
        <xdr:cNvPr id="459" name="Имя " descr="Descr ">
          <a:extLst>
            <a:ext uri="{FF2B5EF4-FFF2-40B4-BE49-F238E27FC236}">
              <a16:creationId xmlns:a16="http://schemas.microsoft.com/office/drawing/2014/main" id="{00000000-0008-0000-0000-0000CB010000}"/>
            </a:ext>
          </a:extLst>
        </xdr:cNvPr>
        <xdr:cNvPicPr>
          <a:picLocks noChangeAspect="1"/>
        </xdr:cNvPicPr>
      </xdr:nvPicPr>
      <xdr:blipFill>
        <a:blip xmlns:r="http://schemas.openxmlformats.org/officeDocument/2006/relationships" r:embed="rId455"/>
        <a:stretch>
          <a:fillRect/>
        </a:stretch>
      </xdr:blipFill>
      <xdr:spPr>
        <a:prstGeom prst="rect">
          <a:avLst/>
        </a:prstGeom>
        <a:ln w="9525">
          <a:solidFill>
            <a:srgbClr val="000000"/>
          </a:solidFill>
          <a:prstDash val="solid"/>
        </a:ln>
      </xdr:spPr>
    </xdr:pic>
    <xdr:clientData/>
  </xdr:twoCellAnchor>
  <xdr:twoCellAnchor>
    <xdr:from>
      <xdr:col>3</xdr:col>
      <xdr:colOff>114300</xdr:colOff>
      <xdr:row>1333</xdr:row>
      <xdr:rowOff>28575</xdr:rowOff>
    </xdr:from>
    <xdr:to>
      <xdr:col>3</xdr:col>
      <xdr:colOff>1552575</xdr:colOff>
      <xdr:row>1333</xdr:row>
      <xdr:rowOff>1266825</xdr:rowOff>
    </xdr:to>
    <xdr:pic>
      <xdr:nvPicPr>
        <xdr:cNvPr id="460" name="Имя " descr="Descr ">
          <a:extLst>
            <a:ext uri="{FF2B5EF4-FFF2-40B4-BE49-F238E27FC236}">
              <a16:creationId xmlns:a16="http://schemas.microsoft.com/office/drawing/2014/main" id="{00000000-0008-0000-0000-0000CC010000}"/>
            </a:ext>
          </a:extLst>
        </xdr:cNvPr>
        <xdr:cNvPicPr>
          <a:picLocks noChangeAspect="1"/>
        </xdr:cNvPicPr>
      </xdr:nvPicPr>
      <xdr:blipFill>
        <a:blip xmlns:r="http://schemas.openxmlformats.org/officeDocument/2006/relationships" r:embed="rId456"/>
        <a:stretch>
          <a:fillRect/>
        </a:stretch>
      </xdr:blipFill>
      <xdr:spPr>
        <a:prstGeom prst="rect">
          <a:avLst/>
        </a:prstGeom>
        <a:ln w="9525">
          <a:solidFill>
            <a:srgbClr val="000000"/>
          </a:solidFill>
          <a:prstDash val="solid"/>
        </a:ln>
      </xdr:spPr>
    </xdr:pic>
    <xdr:clientData/>
  </xdr:twoCellAnchor>
  <xdr:twoCellAnchor>
    <xdr:from>
      <xdr:col>3</xdr:col>
      <xdr:colOff>114300</xdr:colOff>
      <xdr:row>1334</xdr:row>
      <xdr:rowOff>28575</xdr:rowOff>
    </xdr:from>
    <xdr:to>
      <xdr:col>3</xdr:col>
      <xdr:colOff>1552575</xdr:colOff>
      <xdr:row>1334</xdr:row>
      <xdr:rowOff>1266825</xdr:rowOff>
    </xdr:to>
    <xdr:pic>
      <xdr:nvPicPr>
        <xdr:cNvPr id="461" name="Имя " descr="Descr ">
          <a:extLst>
            <a:ext uri="{FF2B5EF4-FFF2-40B4-BE49-F238E27FC236}">
              <a16:creationId xmlns:a16="http://schemas.microsoft.com/office/drawing/2014/main" id="{00000000-0008-0000-0000-0000CD010000}"/>
            </a:ext>
          </a:extLst>
        </xdr:cNvPr>
        <xdr:cNvPicPr>
          <a:picLocks noChangeAspect="1"/>
        </xdr:cNvPicPr>
      </xdr:nvPicPr>
      <xdr:blipFill>
        <a:blip xmlns:r="http://schemas.openxmlformats.org/officeDocument/2006/relationships" r:embed="rId457"/>
        <a:stretch>
          <a:fillRect/>
        </a:stretch>
      </xdr:blipFill>
      <xdr:spPr>
        <a:prstGeom prst="rect">
          <a:avLst/>
        </a:prstGeom>
        <a:ln w="9525">
          <a:solidFill>
            <a:srgbClr val="000000"/>
          </a:solidFill>
          <a:prstDash val="solid"/>
        </a:ln>
      </xdr:spPr>
    </xdr:pic>
    <xdr:clientData/>
  </xdr:twoCellAnchor>
  <xdr:twoCellAnchor>
    <xdr:from>
      <xdr:col>3</xdr:col>
      <xdr:colOff>114300</xdr:colOff>
      <xdr:row>1335</xdr:row>
      <xdr:rowOff>28575</xdr:rowOff>
    </xdr:from>
    <xdr:to>
      <xdr:col>3</xdr:col>
      <xdr:colOff>1552575</xdr:colOff>
      <xdr:row>1335</xdr:row>
      <xdr:rowOff>1266825</xdr:rowOff>
    </xdr:to>
    <xdr:pic>
      <xdr:nvPicPr>
        <xdr:cNvPr id="462" name="Имя " descr="Descr ">
          <a:extLst>
            <a:ext uri="{FF2B5EF4-FFF2-40B4-BE49-F238E27FC236}">
              <a16:creationId xmlns:a16="http://schemas.microsoft.com/office/drawing/2014/main" id="{00000000-0008-0000-0000-0000CE010000}"/>
            </a:ext>
          </a:extLst>
        </xdr:cNvPr>
        <xdr:cNvPicPr>
          <a:picLocks noChangeAspect="1"/>
        </xdr:cNvPicPr>
      </xdr:nvPicPr>
      <xdr:blipFill>
        <a:blip xmlns:r="http://schemas.openxmlformats.org/officeDocument/2006/relationships" r:embed="rId458"/>
        <a:stretch>
          <a:fillRect/>
        </a:stretch>
      </xdr:blipFill>
      <xdr:spPr>
        <a:prstGeom prst="rect">
          <a:avLst/>
        </a:prstGeom>
        <a:ln w="9525">
          <a:solidFill>
            <a:srgbClr val="000000"/>
          </a:solidFill>
          <a:prstDash val="solid"/>
        </a:ln>
      </xdr:spPr>
    </xdr:pic>
    <xdr:clientData/>
  </xdr:twoCellAnchor>
  <xdr:twoCellAnchor>
    <xdr:from>
      <xdr:col>3</xdr:col>
      <xdr:colOff>114300</xdr:colOff>
      <xdr:row>1336</xdr:row>
      <xdr:rowOff>28575</xdr:rowOff>
    </xdr:from>
    <xdr:to>
      <xdr:col>3</xdr:col>
      <xdr:colOff>1552575</xdr:colOff>
      <xdr:row>1336</xdr:row>
      <xdr:rowOff>1266825</xdr:rowOff>
    </xdr:to>
    <xdr:pic>
      <xdr:nvPicPr>
        <xdr:cNvPr id="463" name="Имя " descr="Descr ">
          <a:extLst>
            <a:ext uri="{FF2B5EF4-FFF2-40B4-BE49-F238E27FC236}">
              <a16:creationId xmlns:a16="http://schemas.microsoft.com/office/drawing/2014/main" id="{00000000-0008-0000-0000-0000CF010000}"/>
            </a:ext>
          </a:extLst>
        </xdr:cNvPr>
        <xdr:cNvPicPr>
          <a:picLocks noChangeAspect="1"/>
        </xdr:cNvPicPr>
      </xdr:nvPicPr>
      <xdr:blipFill>
        <a:blip xmlns:r="http://schemas.openxmlformats.org/officeDocument/2006/relationships" r:embed="rId459"/>
        <a:stretch>
          <a:fillRect/>
        </a:stretch>
      </xdr:blipFill>
      <xdr:spPr>
        <a:prstGeom prst="rect">
          <a:avLst/>
        </a:prstGeom>
        <a:ln w="9525">
          <a:solidFill>
            <a:srgbClr val="000000"/>
          </a:solidFill>
          <a:prstDash val="solid"/>
        </a:ln>
      </xdr:spPr>
    </xdr:pic>
    <xdr:clientData/>
  </xdr:twoCellAnchor>
  <xdr:twoCellAnchor>
    <xdr:from>
      <xdr:col>3</xdr:col>
      <xdr:colOff>114300</xdr:colOff>
      <xdr:row>1337</xdr:row>
      <xdr:rowOff>28575</xdr:rowOff>
    </xdr:from>
    <xdr:to>
      <xdr:col>3</xdr:col>
      <xdr:colOff>1552575</xdr:colOff>
      <xdr:row>1337</xdr:row>
      <xdr:rowOff>1266825</xdr:rowOff>
    </xdr:to>
    <xdr:pic>
      <xdr:nvPicPr>
        <xdr:cNvPr id="464" name="Имя " descr="Descr ">
          <a:extLst>
            <a:ext uri="{FF2B5EF4-FFF2-40B4-BE49-F238E27FC236}">
              <a16:creationId xmlns:a16="http://schemas.microsoft.com/office/drawing/2014/main" id="{00000000-0008-0000-0000-0000D0010000}"/>
            </a:ext>
          </a:extLst>
        </xdr:cNvPr>
        <xdr:cNvPicPr>
          <a:picLocks noChangeAspect="1"/>
        </xdr:cNvPicPr>
      </xdr:nvPicPr>
      <xdr:blipFill>
        <a:blip xmlns:r="http://schemas.openxmlformats.org/officeDocument/2006/relationships" r:embed="rId460"/>
        <a:stretch>
          <a:fillRect/>
        </a:stretch>
      </xdr:blipFill>
      <xdr:spPr>
        <a:prstGeom prst="rect">
          <a:avLst/>
        </a:prstGeom>
        <a:ln w="9525">
          <a:solidFill>
            <a:srgbClr val="000000"/>
          </a:solidFill>
          <a:prstDash val="solid"/>
        </a:ln>
      </xdr:spPr>
    </xdr:pic>
    <xdr:clientData/>
  </xdr:twoCellAnchor>
  <xdr:twoCellAnchor>
    <xdr:from>
      <xdr:col>3</xdr:col>
      <xdr:colOff>114300</xdr:colOff>
      <xdr:row>1338</xdr:row>
      <xdr:rowOff>28575</xdr:rowOff>
    </xdr:from>
    <xdr:to>
      <xdr:col>3</xdr:col>
      <xdr:colOff>1552575</xdr:colOff>
      <xdr:row>1338</xdr:row>
      <xdr:rowOff>1266825</xdr:rowOff>
    </xdr:to>
    <xdr:pic>
      <xdr:nvPicPr>
        <xdr:cNvPr id="465" name="Имя " descr="Descr ">
          <a:extLst>
            <a:ext uri="{FF2B5EF4-FFF2-40B4-BE49-F238E27FC236}">
              <a16:creationId xmlns:a16="http://schemas.microsoft.com/office/drawing/2014/main" id="{00000000-0008-0000-0000-0000D1010000}"/>
            </a:ext>
          </a:extLst>
        </xdr:cNvPr>
        <xdr:cNvPicPr>
          <a:picLocks noChangeAspect="1"/>
        </xdr:cNvPicPr>
      </xdr:nvPicPr>
      <xdr:blipFill>
        <a:blip xmlns:r="http://schemas.openxmlformats.org/officeDocument/2006/relationships" r:embed="rId461"/>
        <a:stretch>
          <a:fillRect/>
        </a:stretch>
      </xdr:blipFill>
      <xdr:spPr>
        <a:prstGeom prst="rect">
          <a:avLst/>
        </a:prstGeom>
        <a:ln w="9525">
          <a:solidFill>
            <a:srgbClr val="000000"/>
          </a:solidFill>
          <a:prstDash val="solid"/>
        </a:ln>
      </xdr:spPr>
    </xdr:pic>
    <xdr:clientData/>
  </xdr:twoCellAnchor>
  <xdr:twoCellAnchor>
    <xdr:from>
      <xdr:col>3</xdr:col>
      <xdr:colOff>114300</xdr:colOff>
      <xdr:row>1339</xdr:row>
      <xdr:rowOff>38100</xdr:rowOff>
    </xdr:from>
    <xdr:to>
      <xdr:col>3</xdr:col>
      <xdr:colOff>1552575</xdr:colOff>
      <xdr:row>1340</xdr:row>
      <xdr:rowOff>638175</xdr:rowOff>
    </xdr:to>
    <xdr:pic>
      <xdr:nvPicPr>
        <xdr:cNvPr id="466" name="Имя " descr="Descr ">
          <a:extLst>
            <a:ext uri="{FF2B5EF4-FFF2-40B4-BE49-F238E27FC236}">
              <a16:creationId xmlns:a16="http://schemas.microsoft.com/office/drawing/2014/main" id="{00000000-0008-0000-0000-0000D2010000}"/>
            </a:ext>
          </a:extLst>
        </xdr:cNvPr>
        <xdr:cNvPicPr>
          <a:picLocks noChangeAspect="1"/>
        </xdr:cNvPicPr>
      </xdr:nvPicPr>
      <xdr:blipFill>
        <a:blip xmlns:r="http://schemas.openxmlformats.org/officeDocument/2006/relationships" r:embed="rId462"/>
        <a:stretch>
          <a:fillRect/>
        </a:stretch>
      </xdr:blipFill>
      <xdr:spPr>
        <a:prstGeom prst="rect">
          <a:avLst/>
        </a:prstGeom>
        <a:ln w="9525">
          <a:solidFill>
            <a:srgbClr val="000000"/>
          </a:solidFill>
          <a:prstDash val="solid"/>
        </a:ln>
      </xdr:spPr>
    </xdr:pic>
    <xdr:clientData/>
  </xdr:twoCellAnchor>
  <xdr:twoCellAnchor>
    <xdr:from>
      <xdr:col>3</xdr:col>
      <xdr:colOff>114300</xdr:colOff>
      <xdr:row>1341</xdr:row>
      <xdr:rowOff>28575</xdr:rowOff>
    </xdr:from>
    <xdr:to>
      <xdr:col>3</xdr:col>
      <xdr:colOff>1552575</xdr:colOff>
      <xdr:row>1349</xdr:row>
      <xdr:rowOff>133350</xdr:rowOff>
    </xdr:to>
    <xdr:pic>
      <xdr:nvPicPr>
        <xdr:cNvPr id="467" name="Имя " descr="Descr ">
          <a:extLst>
            <a:ext uri="{FF2B5EF4-FFF2-40B4-BE49-F238E27FC236}">
              <a16:creationId xmlns:a16="http://schemas.microsoft.com/office/drawing/2014/main" id="{00000000-0008-0000-0000-0000D3010000}"/>
            </a:ext>
          </a:extLst>
        </xdr:cNvPr>
        <xdr:cNvPicPr>
          <a:picLocks noChangeAspect="1"/>
        </xdr:cNvPicPr>
      </xdr:nvPicPr>
      <xdr:blipFill>
        <a:blip xmlns:r="http://schemas.openxmlformats.org/officeDocument/2006/relationships" r:embed="rId463"/>
        <a:stretch>
          <a:fillRect/>
        </a:stretch>
      </xdr:blipFill>
      <xdr:spPr>
        <a:prstGeom prst="rect">
          <a:avLst/>
        </a:prstGeom>
        <a:ln w="9525">
          <a:solidFill>
            <a:srgbClr val="000000"/>
          </a:solidFill>
          <a:prstDash val="solid"/>
        </a:ln>
      </xdr:spPr>
    </xdr:pic>
    <xdr:clientData/>
  </xdr:twoCellAnchor>
  <xdr:twoCellAnchor>
    <xdr:from>
      <xdr:col>3</xdr:col>
      <xdr:colOff>114300</xdr:colOff>
      <xdr:row>1350</xdr:row>
      <xdr:rowOff>28575</xdr:rowOff>
    </xdr:from>
    <xdr:to>
      <xdr:col>3</xdr:col>
      <xdr:colOff>1552575</xdr:colOff>
      <xdr:row>1350</xdr:row>
      <xdr:rowOff>1266825</xdr:rowOff>
    </xdr:to>
    <xdr:pic>
      <xdr:nvPicPr>
        <xdr:cNvPr id="468" name="Имя " descr="Descr ">
          <a:extLst>
            <a:ext uri="{FF2B5EF4-FFF2-40B4-BE49-F238E27FC236}">
              <a16:creationId xmlns:a16="http://schemas.microsoft.com/office/drawing/2014/main" id="{00000000-0008-0000-0000-0000D4010000}"/>
            </a:ext>
          </a:extLst>
        </xdr:cNvPr>
        <xdr:cNvPicPr>
          <a:picLocks noChangeAspect="1"/>
        </xdr:cNvPicPr>
      </xdr:nvPicPr>
      <xdr:blipFill>
        <a:blip xmlns:r="http://schemas.openxmlformats.org/officeDocument/2006/relationships" r:embed="rId464"/>
        <a:stretch>
          <a:fillRect/>
        </a:stretch>
      </xdr:blipFill>
      <xdr:spPr>
        <a:prstGeom prst="rect">
          <a:avLst/>
        </a:prstGeom>
        <a:ln w="9525">
          <a:solidFill>
            <a:srgbClr val="000000"/>
          </a:solidFill>
          <a:prstDash val="solid"/>
        </a:ln>
      </xdr:spPr>
    </xdr:pic>
    <xdr:clientData/>
  </xdr:twoCellAnchor>
  <xdr:twoCellAnchor>
    <xdr:from>
      <xdr:col>3</xdr:col>
      <xdr:colOff>114300</xdr:colOff>
      <xdr:row>1351</xdr:row>
      <xdr:rowOff>28575</xdr:rowOff>
    </xdr:from>
    <xdr:to>
      <xdr:col>3</xdr:col>
      <xdr:colOff>1552575</xdr:colOff>
      <xdr:row>1351</xdr:row>
      <xdr:rowOff>1266825</xdr:rowOff>
    </xdr:to>
    <xdr:pic>
      <xdr:nvPicPr>
        <xdr:cNvPr id="469" name="Имя " descr="Descr ">
          <a:extLst>
            <a:ext uri="{FF2B5EF4-FFF2-40B4-BE49-F238E27FC236}">
              <a16:creationId xmlns:a16="http://schemas.microsoft.com/office/drawing/2014/main" id="{00000000-0008-0000-0000-0000D5010000}"/>
            </a:ext>
          </a:extLst>
        </xdr:cNvPr>
        <xdr:cNvPicPr>
          <a:picLocks noChangeAspect="1"/>
        </xdr:cNvPicPr>
      </xdr:nvPicPr>
      <xdr:blipFill>
        <a:blip xmlns:r="http://schemas.openxmlformats.org/officeDocument/2006/relationships" r:embed="rId465"/>
        <a:stretch>
          <a:fillRect/>
        </a:stretch>
      </xdr:blipFill>
      <xdr:spPr>
        <a:prstGeom prst="rect">
          <a:avLst/>
        </a:prstGeom>
        <a:ln w="9525">
          <a:solidFill>
            <a:srgbClr val="000000"/>
          </a:solidFill>
          <a:prstDash val="solid"/>
        </a:ln>
      </xdr:spPr>
    </xdr:pic>
    <xdr:clientData/>
  </xdr:twoCellAnchor>
  <xdr:twoCellAnchor>
    <xdr:from>
      <xdr:col>3</xdr:col>
      <xdr:colOff>114300</xdr:colOff>
      <xdr:row>1352</xdr:row>
      <xdr:rowOff>28575</xdr:rowOff>
    </xdr:from>
    <xdr:to>
      <xdr:col>3</xdr:col>
      <xdr:colOff>1552575</xdr:colOff>
      <xdr:row>1352</xdr:row>
      <xdr:rowOff>1266825</xdr:rowOff>
    </xdr:to>
    <xdr:pic>
      <xdr:nvPicPr>
        <xdr:cNvPr id="470" name="Имя " descr="Descr ">
          <a:extLst>
            <a:ext uri="{FF2B5EF4-FFF2-40B4-BE49-F238E27FC236}">
              <a16:creationId xmlns:a16="http://schemas.microsoft.com/office/drawing/2014/main" id="{00000000-0008-0000-0000-0000D6010000}"/>
            </a:ext>
          </a:extLst>
        </xdr:cNvPr>
        <xdr:cNvPicPr>
          <a:picLocks noChangeAspect="1"/>
        </xdr:cNvPicPr>
      </xdr:nvPicPr>
      <xdr:blipFill>
        <a:blip xmlns:r="http://schemas.openxmlformats.org/officeDocument/2006/relationships" r:embed="rId466"/>
        <a:stretch>
          <a:fillRect/>
        </a:stretch>
      </xdr:blipFill>
      <xdr:spPr>
        <a:prstGeom prst="rect">
          <a:avLst/>
        </a:prstGeom>
        <a:ln w="9525">
          <a:solidFill>
            <a:srgbClr val="000000"/>
          </a:solidFill>
          <a:prstDash val="solid"/>
        </a:ln>
      </xdr:spPr>
    </xdr:pic>
    <xdr:clientData/>
  </xdr:twoCellAnchor>
  <xdr:twoCellAnchor>
    <xdr:from>
      <xdr:col>3</xdr:col>
      <xdr:colOff>114300</xdr:colOff>
      <xdr:row>1353</xdr:row>
      <xdr:rowOff>28575</xdr:rowOff>
    </xdr:from>
    <xdr:to>
      <xdr:col>3</xdr:col>
      <xdr:colOff>1552575</xdr:colOff>
      <xdr:row>1353</xdr:row>
      <xdr:rowOff>1266825</xdr:rowOff>
    </xdr:to>
    <xdr:pic>
      <xdr:nvPicPr>
        <xdr:cNvPr id="471" name="Имя " descr="Descr ">
          <a:extLst>
            <a:ext uri="{FF2B5EF4-FFF2-40B4-BE49-F238E27FC236}">
              <a16:creationId xmlns:a16="http://schemas.microsoft.com/office/drawing/2014/main" id="{00000000-0008-0000-0000-0000D7010000}"/>
            </a:ext>
          </a:extLst>
        </xdr:cNvPr>
        <xdr:cNvPicPr>
          <a:picLocks noChangeAspect="1"/>
        </xdr:cNvPicPr>
      </xdr:nvPicPr>
      <xdr:blipFill>
        <a:blip xmlns:r="http://schemas.openxmlformats.org/officeDocument/2006/relationships" r:embed="rId467"/>
        <a:stretch>
          <a:fillRect/>
        </a:stretch>
      </xdr:blipFill>
      <xdr:spPr>
        <a:prstGeom prst="rect">
          <a:avLst/>
        </a:prstGeom>
        <a:ln w="9525">
          <a:solidFill>
            <a:srgbClr val="000000"/>
          </a:solidFill>
          <a:prstDash val="solid"/>
        </a:ln>
      </xdr:spPr>
    </xdr:pic>
    <xdr:clientData/>
  </xdr:twoCellAnchor>
  <xdr:twoCellAnchor>
    <xdr:from>
      <xdr:col>3</xdr:col>
      <xdr:colOff>114300</xdr:colOff>
      <xdr:row>1354</xdr:row>
      <xdr:rowOff>28575</xdr:rowOff>
    </xdr:from>
    <xdr:to>
      <xdr:col>3</xdr:col>
      <xdr:colOff>1552575</xdr:colOff>
      <xdr:row>1354</xdr:row>
      <xdr:rowOff>1266825</xdr:rowOff>
    </xdr:to>
    <xdr:pic>
      <xdr:nvPicPr>
        <xdr:cNvPr id="472" name="Имя " descr="Descr ">
          <a:extLst>
            <a:ext uri="{FF2B5EF4-FFF2-40B4-BE49-F238E27FC236}">
              <a16:creationId xmlns:a16="http://schemas.microsoft.com/office/drawing/2014/main" id="{00000000-0008-0000-0000-0000D8010000}"/>
            </a:ext>
          </a:extLst>
        </xdr:cNvPr>
        <xdr:cNvPicPr>
          <a:picLocks noChangeAspect="1"/>
        </xdr:cNvPicPr>
      </xdr:nvPicPr>
      <xdr:blipFill>
        <a:blip xmlns:r="http://schemas.openxmlformats.org/officeDocument/2006/relationships" r:embed="rId468"/>
        <a:stretch>
          <a:fillRect/>
        </a:stretch>
      </xdr:blipFill>
      <xdr:spPr>
        <a:prstGeom prst="rect">
          <a:avLst/>
        </a:prstGeom>
        <a:ln w="9525">
          <a:solidFill>
            <a:srgbClr val="000000"/>
          </a:solidFill>
          <a:prstDash val="solid"/>
        </a:ln>
      </xdr:spPr>
    </xdr:pic>
    <xdr:clientData/>
  </xdr:twoCellAnchor>
  <xdr:twoCellAnchor>
    <xdr:from>
      <xdr:col>3</xdr:col>
      <xdr:colOff>114300</xdr:colOff>
      <xdr:row>1355</xdr:row>
      <xdr:rowOff>28575</xdr:rowOff>
    </xdr:from>
    <xdr:to>
      <xdr:col>3</xdr:col>
      <xdr:colOff>1552575</xdr:colOff>
      <xdr:row>1355</xdr:row>
      <xdr:rowOff>1266825</xdr:rowOff>
    </xdr:to>
    <xdr:pic>
      <xdr:nvPicPr>
        <xdr:cNvPr id="473" name="Имя " descr="Descr ">
          <a:extLst>
            <a:ext uri="{FF2B5EF4-FFF2-40B4-BE49-F238E27FC236}">
              <a16:creationId xmlns:a16="http://schemas.microsoft.com/office/drawing/2014/main" id="{00000000-0008-0000-0000-0000D9010000}"/>
            </a:ext>
          </a:extLst>
        </xdr:cNvPr>
        <xdr:cNvPicPr>
          <a:picLocks noChangeAspect="1"/>
        </xdr:cNvPicPr>
      </xdr:nvPicPr>
      <xdr:blipFill>
        <a:blip xmlns:r="http://schemas.openxmlformats.org/officeDocument/2006/relationships" r:embed="rId469"/>
        <a:stretch>
          <a:fillRect/>
        </a:stretch>
      </xdr:blipFill>
      <xdr:spPr>
        <a:prstGeom prst="rect">
          <a:avLst/>
        </a:prstGeom>
        <a:ln w="9525">
          <a:solidFill>
            <a:srgbClr val="000000"/>
          </a:solidFill>
          <a:prstDash val="solid"/>
        </a:ln>
      </xdr:spPr>
    </xdr:pic>
    <xdr:clientData/>
  </xdr:twoCellAnchor>
  <xdr:twoCellAnchor>
    <xdr:from>
      <xdr:col>3</xdr:col>
      <xdr:colOff>114300</xdr:colOff>
      <xdr:row>1356</xdr:row>
      <xdr:rowOff>28575</xdr:rowOff>
    </xdr:from>
    <xdr:to>
      <xdr:col>3</xdr:col>
      <xdr:colOff>1552575</xdr:colOff>
      <xdr:row>1356</xdr:row>
      <xdr:rowOff>1266825</xdr:rowOff>
    </xdr:to>
    <xdr:pic>
      <xdr:nvPicPr>
        <xdr:cNvPr id="474" name="Имя " descr="Descr ">
          <a:extLst>
            <a:ext uri="{FF2B5EF4-FFF2-40B4-BE49-F238E27FC236}">
              <a16:creationId xmlns:a16="http://schemas.microsoft.com/office/drawing/2014/main" id="{00000000-0008-0000-0000-0000DA010000}"/>
            </a:ext>
          </a:extLst>
        </xdr:cNvPr>
        <xdr:cNvPicPr>
          <a:picLocks noChangeAspect="1"/>
        </xdr:cNvPicPr>
      </xdr:nvPicPr>
      <xdr:blipFill>
        <a:blip xmlns:r="http://schemas.openxmlformats.org/officeDocument/2006/relationships" r:embed="rId470"/>
        <a:stretch>
          <a:fillRect/>
        </a:stretch>
      </xdr:blipFill>
      <xdr:spPr>
        <a:prstGeom prst="rect">
          <a:avLst/>
        </a:prstGeom>
        <a:ln w="9525">
          <a:solidFill>
            <a:srgbClr val="000000"/>
          </a:solidFill>
          <a:prstDash val="solid"/>
        </a:ln>
      </xdr:spPr>
    </xdr:pic>
    <xdr:clientData/>
  </xdr:twoCellAnchor>
  <xdr:twoCellAnchor>
    <xdr:from>
      <xdr:col>3</xdr:col>
      <xdr:colOff>114300</xdr:colOff>
      <xdr:row>1357</xdr:row>
      <xdr:rowOff>28575</xdr:rowOff>
    </xdr:from>
    <xdr:to>
      <xdr:col>3</xdr:col>
      <xdr:colOff>1552575</xdr:colOff>
      <xdr:row>1357</xdr:row>
      <xdr:rowOff>1266825</xdr:rowOff>
    </xdr:to>
    <xdr:pic>
      <xdr:nvPicPr>
        <xdr:cNvPr id="475" name="Имя " descr="Descr ">
          <a:extLst>
            <a:ext uri="{FF2B5EF4-FFF2-40B4-BE49-F238E27FC236}">
              <a16:creationId xmlns:a16="http://schemas.microsoft.com/office/drawing/2014/main" id="{00000000-0008-0000-0000-0000DB010000}"/>
            </a:ext>
          </a:extLst>
        </xdr:cNvPr>
        <xdr:cNvPicPr>
          <a:picLocks noChangeAspect="1"/>
        </xdr:cNvPicPr>
      </xdr:nvPicPr>
      <xdr:blipFill>
        <a:blip xmlns:r="http://schemas.openxmlformats.org/officeDocument/2006/relationships" r:embed="rId471"/>
        <a:stretch>
          <a:fillRect/>
        </a:stretch>
      </xdr:blipFill>
      <xdr:spPr>
        <a:prstGeom prst="rect">
          <a:avLst/>
        </a:prstGeom>
        <a:ln w="9525">
          <a:solidFill>
            <a:srgbClr val="000000"/>
          </a:solidFill>
          <a:prstDash val="solid"/>
        </a:ln>
      </xdr:spPr>
    </xdr:pic>
    <xdr:clientData/>
  </xdr:twoCellAnchor>
  <xdr:twoCellAnchor>
    <xdr:from>
      <xdr:col>3</xdr:col>
      <xdr:colOff>114300</xdr:colOff>
      <xdr:row>1358</xdr:row>
      <xdr:rowOff>28575</xdr:rowOff>
    </xdr:from>
    <xdr:to>
      <xdr:col>3</xdr:col>
      <xdr:colOff>1552575</xdr:colOff>
      <xdr:row>1358</xdr:row>
      <xdr:rowOff>1266825</xdr:rowOff>
    </xdr:to>
    <xdr:pic>
      <xdr:nvPicPr>
        <xdr:cNvPr id="476" name="Имя " descr="Descr ">
          <a:extLst>
            <a:ext uri="{FF2B5EF4-FFF2-40B4-BE49-F238E27FC236}">
              <a16:creationId xmlns:a16="http://schemas.microsoft.com/office/drawing/2014/main" id="{00000000-0008-0000-0000-0000DC010000}"/>
            </a:ext>
          </a:extLst>
        </xdr:cNvPr>
        <xdr:cNvPicPr>
          <a:picLocks noChangeAspect="1"/>
        </xdr:cNvPicPr>
      </xdr:nvPicPr>
      <xdr:blipFill>
        <a:blip xmlns:r="http://schemas.openxmlformats.org/officeDocument/2006/relationships" r:embed="rId472"/>
        <a:stretch>
          <a:fillRect/>
        </a:stretch>
      </xdr:blipFill>
      <xdr:spPr>
        <a:prstGeom prst="rect">
          <a:avLst/>
        </a:prstGeom>
        <a:ln w="9525">
          <a:solidFill>
            <a:srgbClr val="000000"/>
          </a:solidFill>
          <a:prstDash val="solid"/>
        </a:ln>
      </xdr:spPr>
    </xdr:pic>
    <xdr:clientData/>
  </xdr:twoCellAnchor>
  <xdr:twoCellAnchor>
    <xdr:from>
      <xdr:col>3</xdr:col>
      <xdr:colOff>114300</xdr:colOff>
      <xdr:row>1359</xdr:row>
      <xdr:rowOff>28575</xdr:rowOff>
    </xdr:from>
    <xdr:to>
      <xdr:col>3</xdr:col>
      <xdr:colOff>1552575</xdr:colOff>
      <xdr:row>1359</xdr:row>
      <xdr:rowOff>1266825</xdr:rowOff>
    </xdr:to>
    <xdr:pic>
      <xdr:nvPicPr>
        <xdr:cNvPr id="477" name="Имя " descr="Descr ">
          <a:extLst>
            <a:ext uri="{FF2B5EF4-FFF2-40B4-BE49-F238E27FC236}">
              <a16:creationId xmlns:a16="http://schemas.microsoft.com/office/drawing/2014/main" id="{00000000-0008-0000-0000-0000DD010000}"/>
            </a:ext>
          </a:extLst>
        </xdr:cNvPr>
        <xdr:cNvPicPr>
          <a:picLocks noChangeAspect="1"/>
        </xdr:cNvPicPr>
      </xdr:nvPicPr>
      <xdr:blipFill>
        <a:blip xmlns:r="http://schemas.openxmlformats.org/officeDocument/2006/relationships" r:embed="rId473"/>
        <a:stretch>
          <a:fillRect/>
        </a:stretch>
      </xdr:blipFill>
      <xdr:spPr>
        <a:prstGeom prst="rect">
          <a:avLst/>
        </a:prstGeom>
        <a:ln w="9525">
          <a:solidFill>
            <a:srgbClr val="000000"/>
          </a:solidFill>
          <a:prstDash val="solid"/>
        </a:ln>
      </xdr:spPr>
    </xdr:pic>
    <xdr:clientData/>
  </xdr:twoCellAnchor>
  <xdr:twoCellAnchor>
    <xdr:from>
      <xdr:col>3</xdr:col>
      <xdr:colOff>114300</xdr:colOff>
      <xdr:row>1360</xdr:row>
      <xdr:rowOff>28575</xdr:rowOff>
    </xdr:from>
    <xdr:to>
      <xdr:col>3</xdr:col>
      <xdr:colOff>1552575</xdr:colOff>
      <xdr:row>1360</xdr:row>
      <xdr:rowOff>1266825</xdr:rowOff>
    </xdr:to>
    <xdr:pic>
      <xdr:nvPicPr>
        <xdr:cNvPr id="478" name="Имя " descr="Descr ">
          <a:extLst>
            <a:ext uri="{FF2B5EF4-FFF2-40B4-BE49-F238E27FC236}">
              <a16:creationId xmlns:a16="http://schemas.microsoft.com/office/drawing/2014/main" id="{00000000-0008-0000-0000-0000DE010000}"/>
            </a:ext>
          </a:extLst>
        </xdr:cNvPr>
        <xdr:cNvPicPr>
          <a:picLocks noChangeAspect="1"/>
        </xdr:cNvPicPr>
      </xdr:nvPicPr>
      <xdr:blipFill>
        <a:blip xmlns:r="http://schemas.openxmlformats.org/officeDocument/2006/relationships" r:embed="rId474"/>
        <a:stretch>
          <a:fillRect/>
        </a:stretch>
      </xdr:blipFill>
      <xdr:spPr>
        <a:prstGeom prst="rect">
          <a:avLst/>
        </a:prstGeom>
        <a:ln w="9525">
          <a:solidFill>
            <a:srgbClr val="000000"/>
          </a:solidFill>
          <a:prstDash val="solid"/>
        </a:ln>
      </xdr:spPr>
    </xdr:pic>
    <xdr:clientData/>
  </xdr:twoCellAnchor>
  <xdr:twoCellAnchor>
    <xdr:from>
      <xdr:col>3</xdr:col>
      <xdr:colOff>114300</xdr:colOff>
      <xdr:row>1361</xdr:row>
      <xdr:rowOff>28575</xdr:rowOff>
    </xdr:from>
    <xdr:to>
      <xdr:col>3</xdr:col>
      <xdr:colOff>1552575</xdr:colOff>
      <xdr:row>1361</xdr:row>
      <xdr:rowOff>1266825</xdr:rowOff>
    </xdr:to>
    <xdr:pic>
      <xdr:nvPicPr>
        <xdr:cNvPr id="479" name="Имя " descr="Descr ">
          <a:extLst>
            <a:ext uri="{FF2B5EF4-FFF2-40B4-BE49-F238E27FC236}">
              <a16:creationId xmlns:a16="http://schemas.microsoft.com/office/drawing/2014/main" id="{00000000-0008-0000-0000-0000DF010000}"/>
            </a:ext>
          </a:extLst>
        </xdr:cNvPr>
        <xdr:cNvPicPr>
          <a:picLocks noChangeAspect="1"/>
        </xdr:cNvPicPr>
      </xdr:nvPicPr>
      <xdr:blipFill>
        <a:blip xmlns:r="http://schemas.openxmlformats.org/officeDocument/2006/relationships" r:embed="rId475"/>
        <a:stretch>
          <a:fillRect/>
        </a:stretch>
      </xdr:blipFill>
      <xdr:spPr>
        <a:prstGeom prst="rect">
          <a:avLst/>
        </a:prstGeom>
        <a:ln w="9525">
          <a:solidFill>
            <a:srgbClr val="000000"/>
          </a:solidFill>
          <a:prstDash val="solid"/>
        </a:ln>
      </xdr:spPr>
    </xdr:pic>
    <xdr:clientData/>
  </xdr:twoCellAnchor>
  <xdr:twoCellAnchor>
    <xdr:from>
      <xdr:col>3</xdr:col>
      <xdr:colOff>114300</xdr:colOff>
      <xdr:row>1362</xdr:row>
      <xdr:rowOff>28575</xdr:rowOff>
    </xdr:from>
    <xdr:to>
      <xdr:col>3</xdr:col>
      <xdr:colOff>1552575</xdr:colOff>
      <xdr:row>1362</xdr:row>
      <xdr:rowOff>1266825</xdr:rowOff>
    </xdr:to>
    <xdr:pic>
      <xdr:nvPicPr>
        <xdr:cNvPr id="480" name="Имя " descr="Descr ">
          <a:extLst>
            <a:ext uri="{FF2B5EF4-FFF2-40B4-BE49-F238E27FC236}">
              <a16:creationId xmlns:a16="http://schemas.microsoft.com/office/drawing/2014/main" id="{00000000-0008-0000-0000-0000E0010000}"/>
            </a:ext>
          </a:extLst>
        </xdr:cNvPr>
        <xdr:cNvPicPr>
          <a:picLocks noChangeAspect="1"/>
        </xdr:cNvPicPr>
      </xdr:nvPicPr>
      <xdr:blipFill>
        <a:blip xmlns:r="http://schemas.openxmlformats.org/officeDocument/2006/relationships" r:embed="rId476"/>
        <a:stretch>
          <a:fillRect/>
        </a:stretch>
      </xdr:blipFill>
      <xdr:spPr>
        <a:prstGeom prst="rect">
          <a:avLst/>
        </a:prstGeom>
        <a:ln w="9525">
          <a:solidFill>
            <a:srgbClr val="000000"/>
          </a:solidFill>
          <a:prstDash val="solid"/>
        </a:ln>
      </xdr:spPr>
    </xdr:pic>
    <xdr:clientData/>
  </xdr:twoCellAnchor>
  <xdr:twoCellAnchor>
    <xdr:from>
      <xdr:col>3</xdr:col>
      <xdr:colOff>114300</xdr:colOff>
      <xdr:row>1363</xdr:row>
      <xdr:rowOff>28575</xdr:rowOff>
    </xdr:from>
    <xdr:to>
      <xdr:col>3</xdr:col>
      <xdr:colOff>1552575</xdr:colOff>
      <xdr:row>1363</xdr:row>
      <xdr:rowOff>1266825</xdr:rowOff>
    </xdr:to>
    <xdr:pic>
      <xdr:nvPicPr>
        <xdr:cNvPr id="481" name="Имя " descr="Descr ">
          <a:extLst>
            <a:ext uri="{FF2B5EF4-FFF2-40B4-BE49-F238E27FC236}">
              <a16:creationId xmlns:a16="http://schemas.microsoft.com/office/drawing/2014/main" id="{00000000-0008-0000-0000-0000E1010000}"/>
            </a:ext>
          </a:extLst>
        </xdr:cNvPr>
        <xdr:cNvPicPr>
          <a:picLocks noChangeAspect="1"/>
        </xdr:cNvPicPr>
      </xdr:nvPicPr>
      <xdr:blipFill>
        <a:blip xmlns:r="http://schemas.openxmlformats.org/officeDocument/2006/relationships" r:embed="rId477"/>
        <a:stretch>
          <a:fillRect/>
        </a:stretch>
      </xdr:blipFill>
      <xdr:spPr>
        <a:prstGeom prst="rect">
          <a:avLst/>
        </a:prstGeom>
        <a:ln w="9525">
          <a:solidFill>
            <a:srgbClr val="000000"/>
          </a:solidFill>
          <a:prstDash val="solid"/>
        </a:ln>
      </xdr:spPr>
    </xdr:pic>
    <xdr:clientData/>
  </xdr:twoCellAnchor>
  <xdr:twoCellAnchor>
    <xdr:from>
      <xdr:col>3</xdr:col>
      <xdr:colOff>114300</xdr:colOff>
      <xdr:row>1364</xdr:row>
      <xdr:rowOff>28575</xdr:rowOff>
    </xdr:from>
    <xdr:to>
      <xdr:col>3</xdr:col>
      <xdr:colOff>1552575</xdr:colOff>
      <xdr:row>1364</xdr:row>
      <xdr:rowOff>1266825</xdr:rowOff>
    </xdr:to>
    <xdr:pic>
      <xdr:nvPicPr>
        <xdr:cNvPr id="482" name="Имя " descr="Descr ">
          <a:extLst>
            <a:ext uri="{FF2B5EF4-FFF2-40B4-BE49-F238E27FC236}">
              <a16:creationId xmlns:a16="http://schemas.microsoft.com/office/drawing/2014/main" id="{00000000-0008-0000-0000-0000E2010000}"/>
            </a:ext>
          </a:extLst>
        </xdr:cNvPr>
        <xdr:cNvPicPr>
          <a:picLocks noChangeAspect="1"/>
        </xdr:cNvPicPr>
      </xdr:nvPicPr>
      <xdr:blipFill>
        <a:blip xmlns:r="http://schemas.openxmlformats.org/officeDocument/2006/relationships" r:embed="rId478"/>
        <a:stretch>
          <a:fillRect/>
        </a:stretch>
      </xdr:blipFill>
      <xdr:spPr>
        <a:prstGeom prst="rect">
          <a:avLst/>
        </a:prstGeom>
        <a:ln w="9525">
          <a:solidFill>
            <a:srgbClr val="000000"/>
          </a:solidFill>
          <a:prstDash val="solid"/>
        </a:ln>
      </xdr:spPr>
    </xdr:pic>
    <xdr:clientData/>
  </xdr:twoCellAnchor>
  <xdr:twoCellAnchor>
    <xdr:from>
      <xdr:col>3</xdr:col>
      <xdr:colOff>114300</xdr:colOff>
      <xdr:row>1365</xdr:row>
      <xdr:rowOff>28575</xdr:rowOff>
    </xdr:from>
    <xdr:to>
      <xdr:col>3</xdr:col>
      <xdr:colOff>1552575</xdr:colOff>
      <xdr:row>1365</xdr:row>
      <xdr:rowOff>1266825</xdr:rowOff>
    </xdr:to>
    <xdr:pic>
      <xdr:nvPicPr>
        <xdr:cNvPr id="483" name="Имя " descr="Descr ">
          <a:extLst>
            <a:ext uri="{FF2B5EF4-FFF2-40B4-BE49-F238E27FC236}">
              <a16:creationId xmlns:a16="http://schemas.microsoft.com/office/drawing/2014/main" id="{00000000-0008-0000-0000-0000E3010000}"/>
            </a:ext>
          </a:extLst>
        </xdr:cNvPr>
        <xdr:cNvPicPr>
          <a:picLocks noChangeAspect="1"/>
        </xdr:cNvPicPr>
      </xdr:nvPicPr>
      <xdr:blipFill>
        <a:blip xmlns:r="http://schemas.openxmlformats.org/officeDocument/2006/relationships" r:embed="rId479"/>
        <a:stretch>
          <a:fillRect/>
        </a:stretch>
      </xdr:blipFill>
      <xdr:spPr>
        <a:prstGeom prst="rect">
          <a:avLst/>
        </a:prstGeom>
        <a:ln w="9525">
          <a:solidFill>
            <a:srgbClr val="000000"/>
          </a:solidFill>
          <a:prstDash val="solid"/>
        </a:ln>
      </xdr:spPr>
    </xdr:pic>
    <xdr:clientData/>
  </xdr:twoCellAnchor>
  <xdr:twoCellAnchor>
    <xdr:from>
      <xdr:col>3</xdr:col>
      <xdr:colOff>114300</xdr:colOff>
      <xdr:row>1366</xdr:row>
      <xdr:rowOff>28575</xdr:rowOff>
    </xdr:from>
    <xdr:to>
      <xdr:col>3</xdr:col>
      <xdr:colOff>1552575</xdr:colOff>
      <xdr:row>1366</xdr:row>
      <xdr:rowOff>1266825</xdr:rowOff>
    </xdr:to>
    <xdr:pic>
      <xdr:nvPicPr>
        <xdr:cNvPr id="484" name="Имя " descr="Descr ">
          <a:extLst>
            <a:ext uri="{FF2B5EF4-FFF2-40B4-BE49-F238E27FC236}">
              <a16:creationId xmlns:a16="http://schemas.microsoft.com/office/drawing/2014/main" id="{00000000-0008-0000-0000-0000E4010000}"/>
            </a:ext>
          </a:extLst>
        </xdr:cNvPr>
        <xdr:cNvPicPr>
          <a:picLocks noChangeAspect="1"/>
        </xdr:cNvPicPr>
      </xdr:nvPicPr>
      <xdr:blipFill>
        <a:blip xmlns:r="http://schemas.openxmlformats.org/officeDocument/2006/relationships" r:embed="rId480"/>
        <a:stretch>
          <a:fillRect/>
        </a:stretch>
      </xdr:blipFill>
      <xdr:spPr>
        <a:prstGeom prst="rect">
          <a:avLst/>
        </a:prstGeom>
        <a:ln w="9525">
          <a:solidFill>
            <a:srgbClr val="000000"/>
          </a:solidFill>
          <a:prstDash val="solid"/>
        </a:ln>
      </xdr:spPr>
    </xdr:pic>
    <xdr:clientData/>
  </xdr:twoCellAnchor>
  <xdr:twoCellAnchor>
    <xdr:from>
      <xdr:col>3</xdr:col>
      <xdr:colOff>114300</xdr:colOff>
      <xdr:row>1367</xdr:row>
      <xdr:rowOff>28575</xdr:rowOff>
    </xdr:from>
    <xdr:to>
      <xdr:col>3</xdr:col>
      <xdr:colOff>1552575</xdr:colOff>
      <xdr:row>1367</xdr:row>
      <xdr:rowOff>1266825</xdr:rowOff>
    </xdr:to>
    <xdr:pic>
      <xdr:nvPicPr>
        <xdr:cNvPr id="485" name="Имя " descr="Descr ">
          <a:extLst>
            <a:ext uri="{FF2B5EF4-FFF2-40B4-BE49-F238E27FC236}">
              <a16:creationId xmlns:a16="http://schemas.microsoft.com/office/drawing/2014/main" id="{00000000-0008-0000-0000-0000E5010000}"/>
            </a:ext>
          </a:extLst>
        </xdr:cNvPr>
        <xdr:cNvPicPr>
          <a:picLocks noChangeAspect="1"/>
        </xdr:cNvPicPr>
      </xdr:nvPicPr>
      <xdr:blipFill>
        <a:blip xmlns:r="http://schemas.openxmlformats.org/officeDocument/2006/relationships" r:embed="rId481"/>
        <a:stretch>
          <a:fillRect/>
        </a:stretch>
      </xdr:blipFill>
      <xdr:spPr>
        <a:prstGeom prst="rect">
          <a:avLst/>
        </a:prstGeom>
        <a:ln w="9525">
          <a:solidFill>
            <a:srgbClr val="000000"/>
          </a:solidFill>
          <a:prstDash val="solid"/>
        </a:ln>
      </xdr:spPr>
    </xdr:pic>
    <xdr:clientData/>
  </xdr:twoCellAnchor>
  <xdr:twoCellAnchor>
    <xdr:from>
      <xdr:col>3</xdr:col>
      <xdr:colOff>114300</xdr:colOff>
      <xdr:row>1368</xdr:row>
      <xdr:rowOff>28575</xdr:rowOff>
    </xdr:from>
    <xdr:to>
      <xdr:col>3</xdr:col>
      <xdr:colOff>1552575</xdr:colOff>
      <xdr:row>1368</xdr:row>
      <xdr:rowOff>1266825</xdr:rowOff>
    </xdr:to>
    <xdr:pic>
      <xdr:nvPicPr>
        <xdr:cNvPr id="486" name="Имя " descr="Descr ">
          <a:extLst>
            <a:ext uri="{FF2B5EF4-FFF2-40B4-BE49-F238E27FC236}">
              <a16:creationId xmlns:a16="http://schemas.microsoft.com/office/drawing/2014/main" id="{00000000-0008-0000-0000-0000E6010000}"/>
            </a:ext>
          </a:extLst>
        </xdr:cNvPr>
        <xdr:cNvPicPr>
          <a:picLocks noChangeAspect="1"/>
        </xdr:cNvPicPr>
      </xdr:nvPicPr>
      <xdr:blipFill>
        <a:blip xmlns:r="http://schemas.openxmlformats.org/officeDocument/2006/relationships" r:embed="rId482"/>
        <a:stretch>
          <a:fillRect/>
        </a:stretch>
      </xdr:blipFill>
      <xdr:spPr>
        <a:prstGeom prst="rect">
          <a:avLst/>
        </a:prstGeom>
        <a:ln w="9525">
          <a:solidFill>
            <a:srgbClr val="000000"/>
          </a:solidFill>
          <a:prstDash val="solid"/>
        </a:ln>
      </xdr:spPr>
    </xdr:pic>
    <xdr:clientData/>
  </xdr:twoCellAnchor>
  <xdr:twoCellAnchor>
    <xdr:from>
      <xdr:col>3</xdr:col>
      <xdr:colOff>114300</xdr:colOff>
      <xdr:row>1369</xdr:row>
      <xdr:rowOff>28575</xdr:rowOff>
    </xdr:from>
    <xdr:to>
      <xdr:col>3</xdr:col>
      <xdr:colOff>1552575</xdr:colOff>
      <xdr:row>1369</xdr:row>
      <xdr:rowOff>1266825</xdr:rowOff>
    </xdr:to>
    <xdr:pic>
      <xdr:nvPicPr>
        <xdr:cNvPr id="487" name="Имя " descr="Descr ">
          <a:extLst>
            <a:ext uri="{FF2B5EF4-FFF2-40B4-BE49-F238E27FC236}">
              <a16:creationId xmlns:a16="http://schemas.microsoft.com/office/drawing/2014/main" id="{00000000-0008-0000-0000-0000E7010000}"/>
            </a:ext>
          </a:extLst>
        </xdr:cNvPr>
        <xdr:cNvPicPr>
          <a:picLocks noChangeAspect="1"/>
        </xdr:cNvPicPr>
      </xdr:nvPicPr>
      <xdr:blipFill>
        <a:blip xmlns:r="http://schemas.openxmlformats.org/officeDocument/2006/relationships" r:embed="rId483"/>
        <a:stretch>
          <a:fillRect/>
        </a:stretch>
      </xdr:blipFill>
      <xdr:spPr>
        <a:prstGeom prst="rect">
          <a:avLst/>
        </a:prstGeom>
        <a:ln w="9525">
          <a:solidFill>
            <a:srgbClr val="000000"/>
          </a:solidFill>
          <a:prstDash val="solid"/>
        </a:ln>
      </xdr:spPr>
    </xdr:pic>
    <xdr:clientData/>
  </xdr:twoCellAnchor>
  <xdr:twoCellAnchor>
    <xdr:from>
      <xdr:col>3</xdr:col>
      <xdr:colOff>114300</xdr:colOff>
      <xdr:row>1370</xdr:row>
      <xdr:rowOff>28575</xdr:rowOff>
    </xdr:from>
    <xdr:to>
      <xdr:col>3</xdr:col>
      <xdr:colOff>1552575</xdr:colOff>
      <xdr:row>1370</xdr:row>
      <xdr:rowOff>1266825</xdr:rowOff>
    </xdr:to>
    <xdr:pic>
      <xdr:nvPicPr>
        <xdr:cNvPr id="488" name="Имя " descr="Descr ">
          <a:extLst>
            <a:ext uri="{FF2B5EF4-FFF2-40B4-BE49-F238E27FC236}">
              <a16:creationId xmlns:a16="http://schemas.microsoft.com/office/drawing/2014/main" id="{00000000-0008-0000-0000-0000E8010000}"/>
            </a:ext>
          </a:extLst>
        </xdr:cNvPr>
        <xdr:cNvPicPr>
          <a:picLocks noChangeAspect="1"/>
        </xdr:cNvPicPr>
      </xdr:nvPicPr>
      <xdr:blipFill>
        <a:blip xmlns:r="http://schemas.openxmlformats.org/officeDocument/2006/relationships" r:embed="rId484"/>
        <a:stretch>
          <a:fillRect/>
        </a:stretch>
      </xdr:blipFill>
      <xdr:spPr>
        <a:prstGeom prst="rect">
          <a:avLst/>
        </a:prstGeom>
        <a:ln w="9525">
          <a:solidFill>
            <a:srgbClr val="000000"/>
          </a:solidFill>
          <a:prstDash val="solid"/>
        </a:ln>
      </xdr:spPr>
    </xdr:pic>
    <xdr:clientData/>
  </xdr:twoCellAnchor>
  <xdr:twoCellAnchor>
    <xdr:from>
      <xdr:col>3</xdr:col>
      <xdr:colOff>114300</xdr:colOff>
      <xdr:row>1371</xdr:row>
      <xdr:rowOff>28575</xdr:rowOff>
    </xdr:from>
    <xdr:to>
      <xdr:col>3</xdr:col>
      <xdr:colOff>1552575</xdr:colOff>
      <xdr:row>1371</xdr:row>
      <xdr:rowOff>1266825</xdr:rowOff>
    </xdr:to>
    <xdr:pic>
      <xdr:nvPicPr>
        <xdr:cNvPr id="489" name="Имя " descr="Descr ">
          <a:extLst>
            <a:ext uri="{FF2B5EF4-FFF2-40B4-BE49-F238E27FC236}">
              <a16:creationId xmlns:a16="http://schemas.microsoft.com/office/drawing/2014/main" id="{00000000-0008-0000-0000-0000E9010000}"/>
            </a:ext>
          </a:extLst>
        </xdr:cNvPr>
        <xdr:cNvPicPr>
          <a:picLocks noChangeAspect="1"/>
        </xdr:cNvPicPr>
      </xdr:nvPicPr>
      <xdr:blipFill>
        <a:blip xmlns:r="http://schemas.openxmlformats.org/officeDocument/2006/relationships" r:embed="rId485"/>
        <a:stretch>
          <a:fillRect/>
        </a:stretch>
      </xdr:blipFill>
      <xdr:spPr>
        <a:prstGeom prst="rect">
          <a:avLst/>
        </a:prstGeom>
        <a:ln w="9525">
          <a:solidFill>
            <a:srgbClr val="000000"/>
          </a:solidFill>
          <a:prstDash val="solid"/>
        </a:ln>
      </xdr:spPr>
    </xdr:pic>
    <xdr:clientData/>
  </xdr:twoCellAnchor>
  <xdr:twoCellAnchor>
    <xdr:from>
      <xdr:col>3</xdr:col>
      <xdr:colOff>114300</xdr:colOff>
      <xdr:row>1372</xdr:row>
      <xdr:rowOff>28575</xdr:rowOff>
    </xdr:from>
    <xdr:to>
      <xdr:col>3</xdr:col>
      <xdr:colOff>1552575</xdr:colOff>
      <xdr:row>1372</xdr:row>
      <xdr:rowOff>1266825</xdr:rowOff>
    </xdr:to>
    <xdr:pic>
      <xdr:nvPicPr>
        <xdr:cNvPr id="490" name="Имя " descr="Descr ">
          <a:extLst>
            <a:ext uri="{FF2B5EF4-FFF2-40B4-BE49-F238E27FC236}">
              <a16:creationId xmlns:a16="http://schemas.microsoft.com/office/drawing/2014/main" id="{00000000-0008-0000-0000-0000EA010000}"/>
            </a:ext>
          </a:extLst>
        </xdr:cNvPr>
        <xdr:cNvPicPr>
          <a:picLocks noChangeAspect="1"/>
        </xdr:cNvPicPr>
      </xdr:nvPicPr>
      <xdr:blipFill>
        <a:blip xmlns:r="http://schemas.openxmlformats.org/officeDocument/2006/relationships" r:embed="rId486"/>
        <a:stretch>
          <a:fillRect/>
        </a:stretch>
      </xdr:blipFill>
      <xdr:spPr>
        <a:prstGeom prst="rect">
          <a:avLst/>
        </a:prstGeom>
        <a:ln w="9525">
          <a:solidFill>
            <a:srgbClr val="000000"/>
          </a:solidFill>
          <a:prstDash val="solid"/>
        </a:ln>
      </xdr:spPr>
    </xdr:pic>
    <xdr:clientData/>
  </xdr:twoCellAnchor>
  <xdr:twoCellAnchor>
    <xdr:from>
      <xdr:col>3</xdr:col>
      <xdr:colOff>114300</xdr:colOff>
      <xdr:row>1373</xdr:row>
      <xdr:rowOff>28575</xdr:rowOff>
    </xdr:from>
    <xdr:to>
      <xdr:col>3</xdr:col>
      <xdr:colOff>1552575</xdr:colOff>
      <xdr:row>1373</xdr:row>
      <xdr:rowOff>1266825</xdr:rowOff>
    </xdr:to>
    <xdr:pic>
      <xdr:nvPicPr>
        <xdr:cNvPr id="491" name="Имя " descr="Descr ">
          <a:extLst>
            <a:ext uri="{FF2B5EF4-FFF2-40B4-BE49-F238E27FC236}">
              <a16:creationId xmlns:a16="http://schemas.microsoft.com/office/drawing/2014/main" id="{00000000-0008-0000-0000-0000EB010000}"/>
            </a:ext>
          </a:extLst>
        </xdr:cNvPr>
        <xdr:cNvPicPr>
          <a:picLocks noChangeAspect="1"/>
        </xdr:cNvPicPr>
      </xdr:nvPicPr>
      <xdr:blipFill>
        <a:blip xmlns:r="http://schemas.openxmlformats.org/officeDocument/2006/relationships" r:embed="rId487"/>
        <a:stretch>
          <a:fillRect/>
        </a:stretch>
      </xdr:blipFill>
      <xdr:spPr>
        <a:prstGeom prst="rect">
          <a:avLst/>
        </a:prstGeom>
        <a:ln w="9525">
          <a:solidFill>
            <a:srgbClr val="000000"/>
          </a:solidFill>
          <a:prstDash val="solid"/>
        </a:ln>
      </xdr:spPr>
    </xdr:pic>
    <xdr:clientData/>
  </xdr:twoCellAnchor>
  <xdr:twoCellAnchor>
    <xdr:from>
      <xdr:col>3</xdr:col>
      <xdr:colOff>114300</xdr:colOff>
      <xdr:row>1374</xdr:row>
      <xdr:rowOff>28575</xdr:rowOff>
    </xdr:from>
    <xdr:to>
      <xdr:col>3</xdr:col>
      <xdr:colOff>1552575</xdr:colOff>
      <xdr:row>1374</xdr:row>
      <xdr:rowOff>1266825</xdr:rowOff>
    </xdr:to>
    <xdr:pic>
      <xdr:nvPicPr>
        <xdr:cNvPr id="492" name="Имя " descr="Descr ">
          <a:extLst>
            <a:ext uri="{FF2B5EF4-FFF2-40B4-BE49-F238E27FC236}">
              <a16:creationId xmlns:a16="http://schemas.microsoft.com/office/drawing/2014/main" id="{00000000-0008-0000-0000-0000EC010000}"/>
            </a:ext>
          </a:extLst>
        </xdr:cNvPr>
        <xdr:cNvPicPr>
          <a:picLocks noChangeAspect="1"/>
        </xdr:cNvPicPr>
      </xdr:nvPicPr>
      <xdr:blipFill>
        <a:blip xmlns:r="http://schemas.openxmlformats.org/officeDocument/2006/relationships" r:embed="rId488"/>
        <a:stretch>
          <a:fillRect/>
        </a:stretch>
      </xdr:blipFill>
      <xdr:spPr>
        <a:prstGeom prst="rect">
          <a:avLst/>
        </a:prstGeom>
        <a:ln w="9525">
          <a:solidFill>
            <a:srgbClr val="000000"/>
          </a:solidFill>
          <a:prstDash val="solid"/>
        </a:ln>
      </xdr:spPr>
    </xdr:pic>
    <xdr:clientData/>
  </xdr:twoCellAnchor>
  <xdr:twoCellAnchor>
    <xdr:from>
      <xdr:col>3</xdr:col>
      <xdr:colOff>114300</xdr:colOff>
      <xdr:row>1375</xdr:row>
      <xdr:rowOff>28575</xdr:rowOff>
    </xdr:from>
    <xdr:to>
      <xdr:col>3</xdr:col>
      <xdr:colOff>1552575</xdr:colOff>
      <xdr:row>1375</xdr:row>
      <xdr:rowOff>1266825</xdr:rowOff>
    </xdr:to>
    <xdr:pic>
      <xdr:nvPicPr>
        <xdr:cNvPr id="493" name="Имя " descr="Descr ">
          <a:extLst>
            <a:ext uri="{FF2B5EF4-FFF2-40B4-BE49-F238E27FC236}">
              <a16:creationId xmlns:a16="http://schemas.microsoft.com/office/drawing/2014/main" id="{00000000-0008-0000-0000-0000ED010000}"/>
            </a:ext>
          </a:extLst>
        </xdr:cNvPr>
        <xdr:cNvPicPr>
          <a:picLocks noChangeAspect="1"/>
        </xdr:cNvPicPr>
      </xdr:nvPicPr>
      <xdr:blipFill>
        <a:blip xmlns:r="http://schemas.openxmlformats.org/officeDocument/2006/relationships" r:embed="rId489"/>
        <a:stretch>
          <a:fillRect/>
        </a:stretch>
      </xdr:blipFill>
      <xdr:spPr>
        <a:prstGeom prst="rect">
          <a:avLst/>
        </a:prstGeom>
        <a:ln w="9525">
          <a:solidFill>
            <a:srgbClr val="000000"/>
          </a:solidFill>
          <a:prstDash val="solid"/>
        </a:ln>
      </xdr:spPr>
    </xdr:pic>
    <xdr:clientData/>
  </xdr:twoCellAnchor>
  <xdr:twoCellAnchor>
    <xdr:from>
      <xdr:col>3</xdr:col>
      <xdr:colOff>114300</xdr:colOff>
      <xdr:row>1376</xdr:row>
      <xdr:rowOff>28575</xdr:rowOff>
    </xdr:from>
    <xdr:to>
      <xdr:col>3</xdr:col>
      <xdr:colOff>1552575</xdr:colOff>
      <xdr:row>1376</xdr:row>
      <xdr:rowOff>1266825</xdr:rowOff>
    </xdr:to>
    <xdr:pic>
      <xdr:nvPicPr>
        <xdr:cNvPr id="494" name="Имя " descr="Descr ">
          <a:extLst>
            <a:ext uri="{FF2B5EF4-FFF2-40B4-BE49-F238E27FC236}">
              <a16:creationId xmlns:a16="http://schemas.microsoft.com/office/drawing/2014/main" id="{00000000-0008-0000-0000-0000EE010000}"/>
            </a:ext>
          </a:extLst>
        </xdr:cNvPr>
        <xdr:cNvPicPr>
          <a:picLocks noChangeAspect="1"/>
        </xdr:cNvPicPr>
      </xdr:nvPicPr>
      <xdr:blipFill>
        <a:blip xmlns:r="http://schemas.openxmlformats.org/officeDocument/2006/relationships" r:embed="rId490"/>
        <a:stretch>
          <a:fillRect/>
        </a:stretch>
      </xdr:blipFill>
      <xdr:spPr>
        <a:prstGeom prst="rect">
          <a:avLst/>
        </a:prstGeom>
        <a:ln w="9525">
          <a:solidFill>
            <a:srgbClr val="000000"/>
          </a:solidFill>
          <a:prstDash val="solid"/>
        </a:ln>
      </xdr:spPr>
    </xdr:pic>
    <xdr:clientData/>
  </xdr:twoCellAnchor>
  <xdr:twoCellAnchor>
    <xdr:from>
      <xdr:col>3</xdr:col>
      <xdr:colOff>114300</xdr:colOff>
      <xdr:row>1377</xdr:row>
      <xdr:rowOff>28575</xdr:rowOff>
    </xdr:from>
    <xdr:to>
      <xdr:col>3</xdr:col>
      <xdr:colOff>1552575</xdr:colOff>
      <xdr:row>1377</xdr:row>
      <xdr:rowOff>1266825</xdr:rowOff>
    </xdr:to>
    <xdr:pic>
      <xdr:nvPicPr>
        <xdr:cNvPr id="495" name="Имя " descr="Descr ">
          <a:extLst>
            <a:ext uri="{FF2B5EF4-FFF2-40B4-BE49-F238E27FC236}">
              <a16:creationId xmlns:a16="http://schemas.microsoft.com/office/drawing/2014/main" id="{00000000-0008-0000-0000-0000EF010000}"/>
            </a:ext>
          </a:extLst>
        </xdr:cNvPr>
        <xdr:cNvPicPr>
          <a:picLocks noChangeAspect="1"/>
        </xdr:cNvPicPr>
      </xdr:nvPicPr>
      <xdr:blipFill>
        <a:blip xmlns:r="http://schemas.openxmlformats.org/officeDocument/2006/relationships" r:embed="rId491"/>
        <a:stretch>
          <a:fillRect/>
        </a:stretch>
      </xdr:blipFill>
      <xdr:spPr>
        <a:prstGeom prst="rect">
          <a:avLst/>
        </a:prstGeom>
        <a:ln w="9525">
          <a:solidFill>
            <a:srgbClr val="000000"/>
          </a:solidFill>
          <a:prstDash val="solid"/>
        </a:ln>
      </xdr:spPr>
    </xdr:pic>
    <xdr:clientData/>
  </xdr:twoCellAnchor>
  <xdr:twoCellAnchor>
    <xdr:from>
      <xdr:col>3</xdr:col>
      <xdr:colOff>114300</xdr:colOff>
      <xdr:row>1378</xdr:row>
      <xdr:rowOff>28575</xdr:rowOff>
    </xdr:from>
    <xdr:to>
      <xdr:col>3</xdr:col>
      <xdr:colOff>1552575</xdr:colOff>
      <xdr:row>1378</xdr:row>
      <xdr:rowOff>1266825</xdr:rowOff>
    </xdr:to>
    <xdr:pic>
      <xdr:nvPicPr>
        <xdr:cNvPr id="496" name="Имя " descr="Descr ">
          <a:extLst>
            <a:ext uri="{FF2B5EF4-FFF2-40B4-BE49-F238E27FC236}">
              <a16:creationId xmlns:a16="http://schemas.microsoft.com/office/drawing/2014/main" id="{00000000-0008-0000-0000-0000F0010000}"/>
            </a:ext>
          </a:extLst>
        </xdr:cNvPr>
        <xdr:cNvPicPr>
          <a:picLocks noChangeAspect="1"/>
        </xdr:cNvPicPr>
      </xdr:nvPicPr>
      <xdr:blipFill>
        <a:blip xmlns:r="http://schemas.openxmlformats.org/officeDocument/2006/relationships" r:embed="rId492"/>
        <a:stretch>
          <a:fillRect/>
        </a:stretch>
      </xdr:blipFill>
      <xdr:spPr>
        <a:prstGeom prst="rect">
          <a:avLst/>
        </a:prstGeom>
        <a:ln w="9525">
          <a:solidFill>
            <a:srgbClr val="000000"/>
          </a:solidFill>
          <a:prstDash val="solid"/>
        </a:ln>
      </xdr:spPr>
    </xdr:pic>
    <xdr:clientData/>
  </xdr:twoCellAnchor>
  <xdr:twoCellAnchor>
    <xdr:from>
      <xdr:col>3</xdr:col>
      <xdr:colOff>114300</xdr:colOff>
      <xdr:row>1379</xdr:row>
      <xdr:rowOff>28575</xdr:rowOff>
    </xdr:from>
    <xdr:to>
      <xdr:col>3</xdr:col>
      <xdr:colOff>1552575</xdr:colOff>
      <xdr:row>1379</xdr:row>
      <xdr:rowOff>1266825</xdr:rowOff>
    </xdr:to>
    <xdr:pic>
      <xdr:nvPicPr>
        <xdr:cNvPr id="497" name="Имя " descr="Descr ">
          <a:extLst>
            <a:ext uri="{FF2B5EF4-FFF2-40B4-BE49-F238E27FC236}">
              <a16:creationId xmlns:a16="http://schemas.microsoft.com/office/drawing/2014/main" id="{00000000-0008-0000-0000-0000F1010000}"/>
            </a:ext>
          </a:extLst>
        </xdr:cNvPr>
        <xdr:cNvPicPr>
          <a:picLocks noChangeAspect="1"/>
        </xdr:cNvPicPr>
      </xdr:nvPicPr>
      <xdr:blipFill>
        <a:blip xmlns:r="http://schemas.openxmlformats.org/officeDocument/2006/relationships" r:embed="rId493"/>
        <a:stretch>
          <a:fillRect/>
        </a:stretch>
      </xdr:blipFill>
      <xdr:spPr>
        <a:prstGeom prst="rect">
          <a:avLst/>
        </a:prstGeom>
        <a:ln w="9525">
          <a:solidFill>
            <a:srgbClr val="000000"/>
          </a:solidFill>
          <a:prstDash val="solid"/>
        </a:ln>
      </xdr:spPr>
    </xdr:pic>
    <xdr:clientData/>
  </xdr:twoCellAnchor>
  <xdr:twoCellAnchor>
    <xdr:from>
      <xdr:col>3</xdr:col>
      <xdr:colOff>114300</xdr:colOff>
      <xdr:row>1380</xdr:row>
      <xdr:rowOff>28575</xdr:rowOff>
    </xdr:from>
    <xdr:to>
      <xdr:col>3</xdr:col>
      <xdr:colOff>1552575</xdr:colOff>
      <xdr:row>1380</xdr:row>
      <xdr:rowOff>1266825</xdr:rowOff>
    </xdr:to>
    <xdr:pic>
      <xdr:nvPicPr>
        <xdr:cNvPr id="498" name="Имя " descr="Descr ">
          <a:extLst>
            <a:ext uri="{FF2B5EF4-FFF2-40B4-BE49-F238E27FC236}">
              <a16:creationId xmlns:a16="http://schemas.microsoft.com/office/drawing/2014/main" id="{00000000-0008-0000-0000-0000F2010000}"/>
            </a:ext>
          </a:extLst>
        </xdr:cNvPr>
        <xdr:cNvPicPr>
          <a:picLocks noChangeAspect="1"/>
        </xdr:cNvPicPr>
      </xdr:nvPicPr>
      <xdr:blipFill>
        <a:blip xmlns:r="http://schemas.openxmlformats.org/officeDocument/2006/relationships" r:embed="rId494"/>
        <a:stretch>
          <a:fillRect/>
        </a:stretch>
      </xdr:blipFill>
      <xdr:spPr>
        <a:prstGeom prst="rect">
          <a:avLst/>
        </a:prstGeom>
        <a:ln w="9525">
          <a:solidFill>
            <a:srgbClr val="000000"/>
          </a:solidFill>
          <a:prstDash val="solid"/>
        </a:ln>
      </xdr:spPr>
    </xdr:pic>
    <xdr:clientData/>
  </xdr:twoCellAnchor>
  <xdr:twoCellAnchor>
    <xdr:from>
      <xdr:col>3</xdr:col>
      <xdr:colOff>114300</xdr:colOff>
      <xdr:row>1381</xdr:row>
      <xdr:rowOff>28575</xdr:rowOff>
    </xdr:from>
    <xdr:to>
      <xdr:col>3</xdr:col>
      <xdr:colOff>1552575</xdr:colOff>
      <xdr:row>1381</xdr:row>
      <xdr:rowOff>1266825</xdr:rowOff>
    </xdr:to>
    <xdr:pic>
      <xdr:nvPicPr>
        <xdr:cNvPr id="499" name="Имя " descr="Descr ">
          <a:extLst>
            <a:ext uri="{FF2B5EF4-FFF2-40B4-BE49-F238E27FC236}">
              <a16:creationId xmlns:a16="http://schemas.microsoft.com/office/drawing/2014/main" id="{00000000-0008-0000-0000-0000F3010000}"/>
            </a:ext>
          </a:extLst>
        </xdr:cNvPr>
        <xdr:cNvPicPr>
          <a:picLocks noChangeAspect="1"/>
        </xdr:cNvPicPr>
      </xdr:nvPicPr>
      <xdr:blipFill>
        <a:blip xmlns:r="http://schemas.openxmlformats.org/officeDocument/2006/relationships" r:embed="rId495"/>
        <a:stretch>
          <a:fillRect/>
        </a:stretch>
      </xdr:blipFill>
      <xdr:spPr>
        <a:prstGeom prst="rect">
          <a:avLst/>
        </a:prstGeom>
        <a:ln w="9525">
          <a:solidFill>
            <a:srgbClr val="000000"/>
          </a:solidFill>
          <a:prstDash val="solid"/>
        </a:ln>
      </xdr:spPr>
    </xdr:pic>
    <xdr:clientData/>
  </xdr:twoCellAnchor>
  <xdr:twoCellAnchor>
    <xdr:from>
      <xdr:col>3</xdr:col>
      <xdr:colOff>114300</xdr:colOff>
      <xdr:row>1382</xdr:row>
      <xdr:rowOff>28575</xdr:rowOff>
    </xdr:from>
    <xdr:to>
      <xdr:col>3</xdr:col>
      <xdr:colOff>1552575</xdr:colOff>
      <xdr:row>1382</xdr:row>
      <xdr:rowOff>1266825</xdr:rowOff>
    </xdr:to>
    <xdr:pic>
      <xdr:nvPicPr>
        <xdr:cNvPr id="500" name="Имя " descr="Descr ">
          <a:extLst>
            <a:ext uri="{FF2B5EF4-FFF2-40B4-BE49-F238E27FC236}">
              <a16:creationId xmlns:a16="http://schemas.microsoft.com/office/drawing/2014/main" id="{00000000-0008-0000-0000-0000F4010000}"/>
            </a:ext>
          </a:extLst>
        </xdr:cNvPr>
        <xdr:cNvPicPr>
          <a:picLocks noChangeAspect="1"/>
        </xdr:cNvPicPr>
      </xdr:nvPicPr>
      <xdr:blipFill>
        <a:blip xmlns:r="http://schemas.openxmlformats.org/officeDocument/2006/relationships" r:embed="rId496"/>
        <a:stretch>
          <a:fillRect/>
        </a:stretch>
      </xdr:blipFill>
      <xdr:spPr>
        <a:prstGeom prst="rect">
          <a:avLst/>
        </a:prstGeom>
        <a:ln w="9525">
          <a:solidFill>
            <a:srgbClr val="000000"/>
          </a:solidFill>
          <a:prstDash val="solid"/>
        </a:ln>
      </xdr:spPr>
    </xdr:pic>
    <xdr:clientData/>
  </xdr:twoCellAnchor>
  <xdr:twoCellAnchor>
    <xdr:from>
      <xdr:col>3</xdr:col>
      <xdr:colOff>114300</xdr:colOff>
      <xdr:row>1383</xdr:row>
      <xdr:rowOff>28575</xdr:rowOff>
    </xdr:from>
    <xdr:to>
      <xdr:col>3</xdr:col>
      <xdr:colOff>1552575</xdr:colOff>
      <xdr:row>1383</xdr:row>
      <xdr:rowOff>1266825</xdr:rowOff>
    </xdr:to>
    <xdr:pic>
      <xdr:nvPicPr>
        <xdr:cNvPr id="501" name="Имя " descr="Descr ">
          <a:extLst>
            <a:ext uri="{FF2B5EF4-FFF2-40B4-BE49-F238E27FC236}">
              <a16:creationId xmlns:a16="http://schemas.microsoft.com/office/drawing/2014/main" id="{00000000-0008-0000-0000-0000F5010000}"/>
            </a:ext>
          </a:extLst>
        </xdr:cNvPr>
        <xdr:cNvPicPr>
          <a:picLocks noChangeAspect="1"/>
        </xdr:cNvPicPr>
      </xdr:nvPicPr>
      <xdr:blipFill>
        <a:blip xmlns:r="http://schemas.openxmlformats.org/officeDocument/2006/relationships" r:embed="rId497"/>
        <a:stretch>
          <a:fillRect/>
        </a:stretch>
      </xdr:blipFill>
      <xdr:spPr>
        <a:prstGeom prst="rect">
          <a:avLst/>
        </a:prstGeom>
        <a:ln w="9525">
          <a:solidFill>
            <a:srgbClr val="000000"/>
          </a:solidFill>
          <a:prstDash val="solid"/>
        </a:ln>
      </xdr:spPr>
    </xdr:pic>
    <xdr:clientData/>
  </xdr:twoCellAnchor>
  <xdr:twoCellAnchor>
    <xdr:from>
      <xdr:col>3</xdr:col>
      <xdr:colOff>114300</xdr:colOff>
      <xdr:row>1384</xdr:row>
      <xdr:rowOff>28575</xdr:rowOff>
    </xdr:from>
    <xdr:to>
      <xdr:col>3</xdr:col>
      <xdr:colOff>1552575</xdr:colOff>
      <xdr:row>1384</xdr:row>
      <xdr:rowOff>1266825</xdr:rowOff>
    </xdr:to>
    <xdr:pic>
      <xdr:nvPicPr>
        <xdr:cNvPr id="502" name="Имя " descr="Descr ">
          <a:extLst>
            <a:ext uri="{FF2B5EF4-FFF2-40B4-BE49-F238E27FC236}">
              <a16:creationId xmlns:a16="http://schemas.microsoft.com/office/drawing/2014/main" id="{00000000-0008-0000-0000-0000F6010000}"/>
            </a:ext>
          </a:extLst>
        </xdr:cNvPr>
        <xdr:cNvPicPr>
          <a:picLocks noChangeAspect="1"/>
        </xdr:cNvPicPr>
      </xdr:nvPicPr>
      <xdr:blipFill>
        <a:blip xmlns:r="http://schemas.openxmlformats.org/officeDocument/2006/relationships" r:embed="rId498"/>
        <a:stretch>
          <a:fillRect/>
        </a:stretch>
      </xdr:blipFill>
      <xdr:spPr>
        <a:prstGeom prst="rect">
          <a:avLst/>
        </a:prstGeom>
        <a:ln w="9525">
          <a:solidFill>
            <a:srgbClr val="000000"/>
          </a:solidFill>
          <a:prstDash val="solid"/>
        </a:ln>
      </xdr:spPr>
    </xdr:pic>
    <xdr:clientData/>
  </xdr:twoCellAnchor>
  <xdr:twoCellAnchor>
    <xdr:from>
      <xdr:col>3</xdr:col>
      <xdr:colOff>114300</xdr:colOff>
      <xdr:row>1385</xdr:row>
      <xdr:rowOff>28575</xdr:rowOff>
    </xdr:from>
    <xdr:to>
      <xdr:col>3</xdr:col>
      <xdr:colOff>1552575</xdr:colOff>
      <xdr:row>1385</xdr:row>
      <xdr:rowOff>1266825</xdr:rowOff>
    </xdr:to>
    <xdr:pic>
      <xdr:nvPicPr>
        <xdr:cNvPr id="503" name="Имя " descr="Descr ">
          <a:extLst>
            <a:ext uri="{FF2B5EF4-FFF2-40B4-BE49-F238E27FC236}">
              <a16:creationId xmlns:a16="http://schemas.microsoft.com/office/drawing/2014/main" id="{00000000-0008-0000-0000-0000F7010000}"/>
            </a:ext>
          </a:extLst>
        </xdr:cNvPr>
        <xdr:cNvPicPr>
          <a:picLocks noChangeAspect="1"/>
        </xdr:cNvPicPr>
      </xdr:nvPicPr>
      <xdr:blipFill>
        <a:blip xmlns:r="http://schemas.openxmlformats.org/officeDocument/2006/relationships" r:embed="rId499"/>
        <a:stretch>
          <a:fillRect/>
        </a:stretch>
      </xdr:blipFill>
      <xdr:spPr>
        <a:prstGeom prst="rect">
          <a:avLst/>
        </a:prstGeom>
        <a:ln w="9525">
          <a:solidFill>
            <a:srgbClr val="000000"/>
          </a:solidFill>
          <a:prstDash val="solid"/>
        </a:ln>
      </xdr:spPr>
    </xdr:pic>
    <xdr:clientData/>
  </xdr:twoCellAnchor>
  <xdr:twoCellAnchor>
    <xdr:from>
      <xdr:col>3</xdr:col>
      <xdr:colOff>114300</xdr:colOff>
      <xdr:row>1386</xdr:row>
      <xdr:rowOff>28575</xdr:rowOff>
    </xdr:from>
    <xdr:to>
      <xdr:col>3</xdr:col>
      <xdr:colOff>1552575</xdr:colOff>
      <xdr:row>1386</xdr:row>
      <xdr:rowOff>1266825</xdr:rowOff>
    </xdr:to>
    <xdr:pic>
      <xdr:nvPicPr>
        <xdr:cNvPr id="504" name="Имя " descr="Descr ">
          <a:extLst>
            <a:ext uri="{FF2B5EF4-FFF2-40B4-BE49-F238E27FC236}">
              <a16:creationId xmlns:a16="http://schemas.microsoft.com/office/drawing/2014/main" id="{00000000-0008-0000-0000-0000F8010000}"/>
            </a:ext>
          </a:extLst>
        </xdr:cNvPr>
        <xdr:cNvPicPr>
          <a:picLocks noChangeAspect="1"/>
        </xdr:cNvPicPr>
      </xdr:nvPicPr>
      <xdr:blipFill>
        <a:blip xmlns:r="http://schemas.openxmlformats.org/officeDocument/2006/relationships" r:embed="rId500"/>
        <a:stretch>
          <a:fillRect/>
        </a:stretch>
      </xdr:blipFill>
      <xdr:spPr>
        <a:prstGeom prst="rect">
          <a:avLst/>
        </a:prstGeom>
        <a:ln w="9525">
          <a:solidFill>
            <a:srgbClr val="000000"/>
          </a:solidFill>
          <a:prstDash val="solid"/>
        </a:ln>
      </xdr:spPr>
    </xdr:pic>
    <xdr:clientData/>
  </xdr:twoCellAnchor>
  <xdr:twoCellAnchor>
    <xdr:from>
      <xdr:col>3</xdr:col>
      <xdr:colOff>114300</xdr:colOff>
      <xdr:row>1387</xdr:row>
      <xdr:rowOff>28575</xdr:rowOff>
    </xdr:from>
    <xdr:to>
      <xdr:col>3</xdr:col>
      <xdr:colOff>1552575</xdr:colOff>
      <xdr:row>1387</xdr:row>
      <xdr:rowOff>1266825</xdr:rowOff>
    </xdr:to>
    <xdr:pic>
      <xdr:nvPicPr>
        <xdr:cNvPr id="505" name="Имя " descr="Descr ">
          <a:extLst>
            <a:ext uri="{FF2B5EF4-FFF2-40B4-BE49-F238E27FC236}">
              <a16:creationId xmlns:a16="http://schemas.microsoft.com/office/drawing/2014/main" id="{00000000-0008-0000-0000-0000F9010000}"/>
            </a:ext>
          </a:extLst>
        </xdr:cNvPr>
        <xdr:cNvPicPr>
          <a:picLocks noChangeAspect="1"/>
        </xdr:cNvPicPr>
      </xdr:nvPicPr>
      <xdr:blipFill>
        <a:blip xmlns:r="http://schemas.openxmlformats.org/officeDocument/2006/relationships" r:embed="rId501"/>
        <a:stretch>
          <a:fillRect/>
        </a:stretch>
      </xdr:blipFill>
      <xdr:spPr>
        <a:prstGeom prst="rect">
          <a:avLst/>
        </a:prstGeom>
        <a:ln w="9525">
          <a:solidFill>
            <a:srgbClr val="000000"/>
          </a:solidFill>
          <a:prstDash val="solid"/>
        </a:ln>
      </xdr:spPr>
    </xdr:pic>
    <xdr:clientData/>
  </xdr:twoCellAnchor>
  <xdr:twoCellAnchor>
    <xdr:from>
      <xdr:col>3</xdr:col>
      <xdr:colOff>114300</xdr:colOff>
      <xdr:row>1388</xdr:row>
      <xdr:rowOff>28575</xdr:rowOff>
    </xdr:from>
    <xdr:to>
      <xdr:col>3</xdr:col>
      <xdr:colOff>1552575</xdr:colOff>
      <xdr:row>1388</xdr:row>
      <xdr:rowOff>1266825</xdr:rowOff>
    </xdr:to>
    <xdr:pic>
      <xdr:nvPicPr>
        <xdr:cNvPr id="506" name="Имя " descr="Descr ">
          <a:extLst>
            <a:ext uri="{FF2B5EF4-FFF2-40B4-BE49-F238E27FC236}">
              <a16:creationId xmlns:a16="http://schemas.microsoft.com/office/drawing/2014/main" id="{00000000-0008-0000-0000-0000FA010000}"/>
            </a:ext>
          </a:extLst>
        </xdr:cNvPr>
        <xdr:cNvPicPr>
          <a:picLocks noChangeAspect="1"/>
        </xdr:cNvPicPr>
      </xdr:nvPicPr>
      <xdr:blipFill>
        <a:blip xmlns:r="http://schemas.openxmlformats.org/officeDocument/2006/relationships" r:embed="rId502"/>
        <a:stretch>
          <a:fillRect/>
        </a:stretch>
      </xdr:blipFill>
      <xdr:spPr>
        <a:prstGeom prst="rect">
          <a:avLst/>
        </a:prstGeom>
        <a:ln w="9525">
          <a:solidFill>
            <a:srgbClr val="000000"/>
          </a:solidFill>
          <a:prstDash val="solid"/>
        </a:ln>
      </xdr:spPr>
    </xdr:pic>
    <xdr:clientData/>
  </xdr:twoCellAnchor>
  <xdr:twoCellAnchor>
    <xdr:from>
      <xdr:col>3</xdr:col>
      <xdr:colOff>114300</xdr:colOff>
      <xdr:row>1389</xdr:row>
      <xdr:rowOff>28575</xdr:rowOff>
    </xdr:from>
    <xdr:to>
      <xdr:col>3</xdr:col>
      <xdr:colOff>1552575</xdr:colOff>
      <xdr:row>1389</xdr:row>
      <xdr:rowOff>1266825</xdr:rowOff>
    </xdr:to>
    <xdr:pic>
      <xdr:nvPicPr>
        <xdr:cNvPr id="507" name="Имя " descr="Descr ">
          <a:extLst>
            <a:ext uri="{FF2B5EF4-FFF2-40B4-BE49-F238E27FC236}">
              <a16:creationId xmlns:a16="http://schemas.microsoft.com/office/drawing/2014/main" id="{00000000-0008-0000-0000-0000FB010000}"/>
            </a:ext>
          </a:extLst>
        </xdr:cNvPr>
        <xdr:cNvPicPr>
          <a:picLocks noChangeAspect="1"/>
        </xdr:cNvPicPr>
      </xdr:nvPicPr>
      <xdr:blipFill>
        <a:blip xmlns:r="http://schemas.openxmlformats.org/officeDocument/2006/relationships" r:embed="rId503"/>
        <a:stretch>
          <a:fillRect/>
        </a:stretch>
      </xdr:blipFill>
      <xdr:spPr>
        <a:prstGeom prst="rect">
          <a:avLst/>
        </a:prstGeom>
        <a:ln w="9525">
          <a:solidFill>
            <a:srgbClr val="000000"/>
          </a:solidFill>
          <a:prstDash val="solid"/>
        </a:ln>
      </xdr:spPr>
    </xdr:pic>
    <xdr:clientData/>
  </xdr:twoCellAnchor>
  <xdr:twoCellAnchor>
    <xdr:from>
      <xdr:col>3</xdr:col>
      <xdr:colOff>114300</xdr:colOff>
      <xdr:row>1390</xdr:row>
      <xdr:rowOff>28575</xdr:rowOff>
    </xdr:from>
    <xdr:to>
      <xdr:col>3</xdr:col>
      <xdr:colOff>1552575</xdr:colOff>
      <xdr:row>1390</xdr:row>
      <xdr:rowOff>1266825</xdr:rowOff>
    </xdr:to>
    <xdr:pic>
      <xdr:nvPicPr>
        <xdr:cNvPr id="508" name="Имя " descr="Descr ">
          <a:extLst>
            <a:ext uri="{FF2B5EF4-FFF2-40B4-BE49-F238E27FC236}">
              <a16:creationId xmlns:a16="http://schemas.microsoft.com/office/drawing/2014/main" id="{00000000-0008-0000-0000-0000FC010000}"/>
            </a:ext>
          </a:extLst>
        </xdr:cNvPr>
        <xdr:cNvPicPr>
          <a:picLocks noChangeAspect="1"/>
        </xdr:cNvPicPr>
      </xdr:nvPicPr>
      <xdr:blipFill>
        <a:blip xmlns:r="http://schemas.openxmlformats.org/officeDocument/2006/relationships" r:embed="rId504"/>
        <a:stretch>
          <a:fillRect/>
        </a:stretch>
      </xdr:blipFill>
      <xdr:spPr>
        <a:prstGeom prst="rect">
          <a:avLst/>
        </a:prstGeom>
        <a:ln w="9525">
          <a:solidFill>
            <a:srgbClr val="000000"/>
          </a:solidFill>
          <a:prstDash val="solid"/>
        </a:ln>
      </xdr:spPr>
    </xdr:pic>
    <xdr:clientData/>
  </xdr:twoCellAnchor>
  <xdr:twoCellAnchor>
    <xdr:from>
      <xdr:col>3</xdr:col>
      <xdr:colOff>114300</xdr:colOff>
      <xdr:row>1391</xdr:row>
      <xdr:rowOff>28575</xdr:rowOff>
    </xdr:from>
    <xdr:to>
      <xdr:col>3</xdr:col>
      <xdr:colOff>1552575</xdr:colOff>
      <xdr:row>1391</xdr:row>
      <xdr:rowOff>1266825</xdr:rowOff>
    </xdr:to>
    <xdr:pic>
      <xdr:nvPicPr>
        <xdr:cNvPr id="509" name="Имя " descr="Descr ">
          <a:extLst>
            <a:ext uri="{FF2B5EF4-FFF2-40B4-BE49-F238E27FC236}">
              <a16:creationId xmlns:a16="http://schemas.microsoft.com/office/drawing/2014/main" id="{00000000-0008-0000-0000-0000FD010000}"/>
            </a:ext>
          </a:extLst>
        </xdr:cNvPr>
        <xdr:cNvPicPr>
          <a:picLocks noChangeAspect="1"/>
        </xdr:cNvPicPr>
      </xdr:nvPicPr>
      <xdr:blipFill>
        <a:blip xmlns:r="http://schemas.openxmlformats.org/officeDocument/2006/relationships" r:embed="rId505"/>
        <a:stretch>
          <a:fillRect/>
        </a:stretch>
      </xdr:blipFill>
      <xdr:spPr>
        <a:prstGeom prst="rect">
          <a:avLst/>
        </a:prstGeom>
        <a:ln w="9525">
          <a:solidFill>
            <a:srgbClr val="000000"/>
          </a:solidFill>
          <a:prstDash val="solid"/>
        </a:ln>
      </xdr:spPr>
    </xdr:pic>
    <xdr:clientData/>
  </xdr:twoCellAnchor>
  <xdr:twoCellAnchor>
    <xdr:from>
      <xdr:col>3</xdr:col>
      <xdr:colOff>114300</xdr:colOff>
      <xdr:row>1392</xdr:row>
      <xdr:rowOff>28575</xdr:rowOff>
    </xdr:from>
    <xdr:to>
      <xdr:col>3</xdr:col>
      <xdr:colOff>1552575</xdr:colOff>
      <xdr:row>1392</xdr:row>
      <xdr:rowOff>1266825</xdr:rowOff>
    </xdr:to>
    <xdr:pic>
      <xdr:nvPicPr>
        <xdr:cNvPr id="510" name="Имя " descr="Descr ">
          <a:extLst>
            <a:ext uri="{FF2B5EF4-FFF2-40B4-BE49-F238E27FC236}">
              <a16:creationId xmlns:a16="http://schemas.microsoft.com/office/drawing/2014/main" id="{00000000-0008-0000-0000-0000FE010000}"/>
            </a:ext>
          </a:extLst>
        </xdr:cNvPr>
        <xdr:cNvPicPr>
          <a:picLocks noChangeAspect="1"/>
        </xdr:cNvPicPr>
      </xdr:nvPicPr>
      <xdr:blipFill>
        <a:blip xmlns:r="http://schemas.openxmlformats.org/officeDocument/2006/relationships" r:embed="rId506"/>
        <a:stretch>
          <a:fillRect/>
        </a:stretch>
      </xdr:blipFill>
      <xdr:spPr>
        <a:prstGeom prst="rect">
          <a:avLst/>
        </a:prstGeom>
        <a:ln w="9525">
          <a:solidFill>
            <a:srgbClr val="000000"/>
          </a:solidFill>
          <a:prstDash val="solid"/>
        </a:ln>
      </xdr:spPr>
    </xdr:pic>
    <xdr:clientData/>
  </xdr:twoCellAnchor>
  <xdr:twoCellAnchor>
    <xdr:from>
      <xdr:col>3</xdr:col>
      <xdr:colOff>114300</xdr:colOff>
      <xdr:row>1393</xdr:row>
      <xdr:rowOff>28575</xdr:rowOff>
    </xdr:from>
    <xdr:to>
      <xdr:col>3</xdr:col>
      <xdr:colOff>1552575</xdr:colOff>
      <xdr:row>1393</xdr:row>
      <xdr:rowOff>1266825</xdr:rowOff>
    </xdr:to>
    <xdr:pic>
      <xdr:nvPicPr>
        <xdr:cNvPr id="511" name="Имя " descr="Descr ">
          <a:extLst>
            <a:ext uri="{FF2B5EF4-FFF2-40B4-BE49-F238E27FC236}">
              <a16:creationId xmlns:a16="http://schemas.microsoft.com/office/drawing/2014/main" id="{00000000-0008-0000-0000-0000FF010000}"/>
            </a:ext>
          </a:extLst>
        </xdr:cNvPr>
        <xdr:cNvPicPr>
          <a:picLocks noChangeAspect="1"/>
        </xdr:cNvPicPr>
      </xdr:nvPicPr>
      <xdr:blipFill>
        <a:blip xmlns:r="http://schemas.openxmlformats.org/officeDocument/2006/relationships" r:embed="rId507"/>
        <a:stretch>
          <a:fillRect/>
        </a:stretch>
      </xdr:blipFill>
      <xdr:spPr>
        <a:prstGeom prst="rect">
          <a:avLst/>
        </a:prstGeom>
        <a:ln w="9525">
          <a:solidFill>
            <a:srgbClr val="000000"/>
          </a:solidFill>
          <a:prstDash val="solid"/>
        </a:ln>
      </xdr:spPr>
    </xdr:pic>
    <xdr:clientData/>
  </xdr:twoCellAnchor>
  <xdr:twoCellAnchor>
    <xdr:from>
      <xdr:col>3</xdr:col>
      <xdr:colOff>114300</xdr:colOff>
      <xdr:row>1394</xdr:row>
      <xdr:rowOff>28575</xdr:rowOff>
    </xdr:from>
    <xdr:to>
      <xdr:col>3</xdr:col>
      <xdr:colOff>1552575</xdr:colOff>
      <xdr:row>1394</xdr:row>
      <xdr:rowOff>1266825</xdr:rowOff>
    </xdr:to>
    <xdr:pic>
      <xdr:nvPicPr>
        <xdr:cNvPr id="512" name="Имя " descr="Descr ">
          <a:extLst>
            <a:ext uri="{FF2B5EF4-FFF2-40B4-BE49-F238E27FC236}">
              <a16:creationId xmlns:a16="http://schemas.microsoft.com/office/drawing/2014/main" id="{00000000-0008-0000-0000-000000020000}"/>
            </a:ext>
          </a:extLst>
        </xdr:cNvPr>
        <xdr:cNvPicPr>
          <a:picLocks noChangeAspect="1"/>
        </xdr:cNvPicPr>
      </xdr:nvPicPr>
      <xdr:blipFill>
        <a:blip xmlns:r="http://schemas.openxmlformats.org/officeDocument/2006/relationships" r:embed="rId508"/>
        <a:stretch>
          <a:fillRect/>
        </a:stretch>
      </xdr:blipFill>
      <xdr:spPr>
        <a:prstGeom prst="rect">
          <a:avLst/>
        </a:prstGeom>
        <a:ln w="9525">
          <a:solidFill>
            <a:srgbClr val="000000"/>
          </a:solidFill>
          <a:prstDash val="solid"/>
        </a:ln>
      </xdr:spPr>
    </xdr:pic>
    <xdr:clientData/>
  </xdr:twoCellAnchor>
  <xdr:twoCellAnchor>
    <xdr:from>
      <xdr:col>3</xdr:col>
      <xdr:colOff>114300</xdr:colOff>
      <xdr:row>1395</xdr:row>
      <xdr:rowOff>28575</xdr:rowOff>
    </xdr:from>
    <xdr:to>
      <xdr:col>3</xdr:col>
      <xdr:colOff>1552575</xdr:colOff>
      <xdr:row>1395</xdr:row>
      <xdr:rowOff>1266825</xdr:rowOff>
    </xdr:to>
    <xdr:pic>
      <xdr:nvPicPr>
        <xdr:cNvPr id="513" name="Имя " descr="Descr ">
          <a:extLst>
            <a:ext uri="{FF2B5EF4-FFF2-40B4-BE49-F238E27FC236}">
              <a16:creationId xmlns:a16="http://schemas.microsoft.com/office/drawing/2014/main" id="{00000000-0008-0000-0000-000001020000}"/>
            </a:ext>
          </a:extLst>
        </xdr:cNvPr>
        <xdr:cNvPicPr>
          <a:picLocks noChangeAspect="1"/>
        </xdr:cNvPicPr>
      </xdr:nvPicPr>
      <xdr:blipFill>
        <a:blip xmlns:r="http://schemas.openxmlformats.org/officeDocument/2006/relationships" r:embed="rId509"/>
        <a:stretch>
          <a:fillRect/>
        </a:stretch>
      </xdr:blipFill>
      <xdr:spPr>
        <a:prstGeom prst="rect">
          <a:avLst/>
        </a:prstGeom>
        <a:ln w="9525">
          <a:solidFill>
            <a:srgbClr val="000000"/>
          </a:solidFill>
          <a:prstDash val="solid"/>
        </a:ln>
      </xdr:spPr>
    </xdr:pic>
    <xdr:clientData/>
  </xdr:twoCellAnchor>
  <xdr:twoCellAnchor>
    <xdr:from>
      <xdr:col>3</xdr:col>
      <xdr:colOff>114300</xdr:colOff>
      <xdr:row>1396</xdr:row>
      <xdr:rowOff>28575</xdr:rowOff>
    </xdr:from>
    <xdr:to>
      <xdr:col>3</xdr:col>
      <xdr:colOff>1552575</xdr:colOff>
      <xdr:row>1396</xdr:row>
      <xdr:rowOff>1266825</xdr:rowOff>
    </xdr:to>
    <xdr:pic>
      <xdr:nvPicPr>
        <xdr:cNvPr id="514" name="Имя " descr="Descr ">
          <a:extLst>
            <a:ext uri="{FF2B5EF4-FFF2-40B4-BE49-F238E27FC236}">
              <a16:creationId xmlns:a16="http://schemas.microsoft.com/office/drawing/2014/main" id="{00000000-0008-0000-0000-000002020000}"/>
            </a:ext>
          </a:extLst>
        </xdr:cNvPr>
        <xdr:cNvPicPr>
          <a:picLocks noChangeAspect="1"/>
        </xdr:cNvPicPr>
      </xdr:nvPicPr>
      <xdr:blipFill>
        <a:blip xmlns:r="http://schemas.openxmlformats.org/officeDocument/2006/relationships" r:embed="rId510"/>
        <a:stretch>
          <a:fillRect/>
        </a:stretch>
      </xdr:blipFill>
      <xdr:spPr>
        <a:prstGeom prst="rect">
          <a:avLst/>
        </a:prstGeom>
        <a:ln w="9525">
          <a:solidFill>
            <a:srgbClr val="000000"/>
          </a:solidFill>
          <a:prstDash val="solid"/>
        </a:ln>
      </xdr:spPr>
    </xdr:pic>
    <xdr:clientData/>
  </xdr:twoCellAnchor>
  <xdr:twoCellAnchor>
    <xdr:from>
      <xdr:col>3</xdr:col>
      <xdr:colOff>114300</xdr:colOff>
      <xdr:row>1397</xdr:row>
      <xdr:rowOff>28575</xdr:rowOff>
    </xdr:from>
    <xdr:to>
      <xdr:col>3</xdr:col>
      <xdr:colOff>1552575</xdr:colOff>
      <xdr:row>1397</xdr:row>
      <xdr:rowOff>1266825</xdr:rowOff>
    </xdr:to>
    <xdr:pic>
      <xdr:nvPicPr>
        <xdr:cNvPr id="515" name="Имя " descr="Descr ">
          <a:extLst>
            <a:ext uri="{FF2B5EF4-FFF2-40B4-BE49-F238E27FC236}">
              <a16:creationId xmlns:a16="http://schemas.microsoft.com/office/drawing/2014/main" id="{00000000-0008-0000-0000-000003020000}"/>
            </a:ext>
          </a:extLst>
        </xdr:cNvPr>
        <xdr:cNvPicPr>
          <a:picLocks noChangeAspect="1"/>
        </xdr:cNvPicPr>
      </xdr:nvPicPr>
      <xdr:blipFill>
        <a:blip xmlns:r="http://schemas.openxmlformats.org/officeDocument/2006/relationships" r:embed="rId511"/>
        <a:stretch>
          <a:fillRect/>
        </a:stretch>
      </xdr:blipFill>
      <xdr:spPr>
        <a:prstGeom prst="rect">
          <a:avLst/>
        </a:prstGeom>
        <a:ln w="9525">
          <a:solidFill>
            <a:srgbClr val="000000"/>
          </a:solidFill>
          <a:prstDash val="solid"/>
        </a:ln>
      </xdr:spPr>
    </xdr:pic>
    <xdr:clientData/>
  </xdr:twoCellAnchor>
  <xdr:twoCellAnchor>
    <xdr:from>
      <xdr:col>3</xdr:col>
      <xdr:colOff>114300</xdr:colOff>
      <xdr:row>1398</xdr:row>
      <xdr:rowOff>28575</xdr:rowOff>
    </xdr:from>
    <xdr:to>
      <xdr:col>3</xdr:col>
      <xdr:colOff>1552575</xdr:colOff>
      <xdr:row>1398</xdr:row>
      <xdr:rowOff>1266825</xdr:rowOff>
    </xdr:to>
    <xdr:pic>
      <xdr:nvPicPr>
        <xdr:cNvPr id="516" name="Имя " descr="Descr ">
          <a:extLst>
            <a:ext uri="{FF2B5EF4-FFF2-40B4-BE49-F238E27FC236}">
              <a16:creationId xmlns:a16="http://schemas.microsoft.com/office/drawing/2014/main" id="{00000000-0008-0000-0000-000004020000}"/>
            </a:ext>
          </a:extLst>
        </xdr:cNvPr>
        <xdr:cNvPicPr>
          <a:picLocks noChangeAspect="1"/>
        </xdr:cNvPicPr>
      </xdr:nvPicPr>
      <xdr:blipFill>
        <a:blip xmlns:r="http://schemas.openxmlformats.org/officeDocument/2006/relationships" r:embed="rId512"/>
        <a:stretch>
          <a:fillRect/>
        </a:stretch>
      </xdr:blipFill>
      <xdr:spPr>
        <a:prstGeom prst="rect">
          <a:avLst/>
        </a:prstGeom>
        <a:ln w="9525">
          <a:solidFill>
            <a:srgbClr val="000000"/>
          </a:solidFill>
          <a:prstDash val="solid"/>
        </a:ln>
      </xdr:spPr>
    </xdr:pic>
    <xdr:clientData/>
  </xdr:twoCellAnchor>
  <xdr:twoCellAnchor>
    <xdr:from>
      <xdr:col>3</xdr:col>
      <xdr:colOff>114300</xdr:colOff>
      <xdr:row>1399</xdr:row>
      <xdr:rowOff>28575</xdr:rowOff>
    </xdr:from>
    <xdr:to>
      <xdr:col>3</xdr:col>
      <xdr:colOff>1552575</xdr:colOff>
      <xdr:row>1399</xdr:row>
      <xdr:rowOff>1266825</xdr:rowOff>
    </xdr:to>
    <xdr:pic>
      <xdr:nvPicPr>
        <xdr:cNvPr id="517" name="Имя " descr="Descr ">
          <a:extLst>
            <a:ext uri="{FF2B5EF4-FFF2-40B4-BE49-F238E27FC236}">
              <a16:creationId xmlns:a16="http://schemas.microsoft.com/office/drawing/2014/main" id="{00000000-0008-0000-0000-000005020000}"/>
            </a:ext>
          </a:extLst>
        </xdr:cNvPr>
        <xdr:cNvPicPr>
          <a:picLocks noChangeAspect="1"/>
        </xdr:cNvPicPr>
      </xdr:nvPicPr>
      <xdr:blipFill>
        <a:blip xmlns:r="http://schemas.openxmlformats.org/officeDocument/2006/relationships" r:embed="rId513"/>
        <a:stretch>
          <a:fillRect/>
        </a:stretch>
      </xdr:blipFill>
      <xdr:spPr>
        <a:prstGeom prst="rect">
          <a:avLst/>
        </a:prstGeom>
        <a:ln w="9525">
          <a:solidFill>
            <a:srgbClr val="000000"/>
          </a:solidFill>
          <a:prstDash val="solid"/>
        </a:ln>
      </xdr:spPr>
    </xdr:pic>
    <xdr:clientData/>
  </xdr:twoCellAnchor>
  <xdr:twoCellAnchor>
    <xdr:from>
      <xdr:col>3</xdr:col>
      <xdr:colOff>114300</xdr:colOff>
      <xdr:row>1400</xdr:row>
      <xdr:rowOff>28575</xdr:rowOff>
    </xdr:from>
    <xdr:to>
      <xdr:col>3</xdr:col>
      <xdr:colOff>1552575</xdr:colOff>
      <xdr:row>1400</xdr:row>
      <xdr:rowOff>1266825</xdr:rowOff>
    </xdr:to>
    <xdr:pic>
      <xdr:nvPicPr>
        <xdr:cNvPr id="518" name="Имя " descr="Descr ">
          <a:extLst>
            <a:ext uri="{FF2B5EF4-FFF2-40B4-BE49-F238E27FC236}">
              <a16:creationId xmlns:a16="http://schemas.microsoft.com/office/drawing/2014/main" id="{00000000-0008-0000-0000-000006020000}"/>
            </a:ext>
          </a:extLst>
        </xdr:cNvPr>
        <xdr:cNvPicPr>
          <a:picLocks noChangeAspect="1"/>
        </xdr:cNvPicPr>
      </xdr:nvPicPr>
      <xdr:blipFill>
        <a:blip xmlns:r="http://schemas.openxmlformats.org/officeDocument/2006/relationships" r:embed="rId514"/>
        <a:stretch>
          <a:fillRect/>
        </a:stretch>
      </xdr:blipFill>
      <xdr:spPr>
        <a:prstGeom prst="rect">
          <a:avLst/>
        </a:prstGeom>
        <a:ln w="9525">
          <a:solidFill>
            <a:srgbClr val="000000"/>
          </a:solidFill>
          <a:prstDash val="solid"/>
        </a:ln>
      </xdr:spPr>
    </xdr:pic>
    <xdr:clientData/>
  </xdr:twoCellAnchor>
  <xdr:twoCellAnchor>
    <xdr:from>
      <xdr:col>3</xdr:col>
      <xdr:colOff>114300</xdr:colOff>
      <xdr:row>1401</xdr:row>
      <xdr:rowOff>28575</xdr:rowOff>
    </xdr:from>
    <xdr:to>
      <xdr:col>3</xdr:col>
      <xdr:colOff>1552575</xdr:colOff>
      <xdr:row>1401</xdr:row>
      <xdr:rowOff>1266825</xdr:rowOff>
    </xdr:to>
    <xdr:pic>
      <xdr:nvPicPr>
        <xdr:cNvPr id="519" name="Имя " descr="Descr ">
          <a:extLst>
            <a:ext uri="{FF2B5EF4-FFF2-40B4-BE49-F238E27FC236}">
              <a16:creationId xmlns:a16="http://schemas.microsoft.com/office/drawing/2014/main" id="{00000000-0008-0000-0000-000007020000}"/>
            </a:ext>
          </a:extLst>
        </xdr:cNvPr>
        <xdr:cNvPicPr>
          <a:picLocks noChangeAspect="1"/>
        </xdr:cNvPicPr>
      </xdr:nvPicPr>
      <xdr:blipFill>
        <a:blip xmlns:r="http://schemas.openxmlformats.org/officeDocument/2006/relationships" r:embed="rId515"/>
        <a:stretch>
          <a:fillRect/>
        </a:stretch>
      </xdr:blipFill>
      <xdr:spPr>
        <a:prstGeom prst="rect">
          <a:avLst/>
        </a:prstGeom>
        <a:ln w="9525">
          <a:solidFill>
            <a:srgbClr val="000000"/>
          </a:solidFill>
          <a:prstDash val="solid"/>
        </a:ln>
      </xdr:spPr>
    </xdr:pic>
    <xdr:clientData/>
  </xdr:twoCellAnchor>
  <xdr:twoCellAnchor>
    <xdr:from>
      <xdr:col>3</xdr:col>
      <xdr:colOff>114300</xdr:colOff>
      <xdr:row>1402</xdr:row>
      <xdr:rowOff>28575</xdr:rowOff>
    </xdr:from>
    <xdr:to>
      <xdr:col>3</xdr:col>
      <xdr:colOff>1552575</xdr:colOff>
      <xdr:row>1402</xdr:row>
      <xdr:rowOff>1266825</xdr:rowOff>
    </xdr:to>
    <xdr:pic>
      <xdr:nvPicPr>
        <xdr:cNvPr id="520" name="Имя " descr="Descr ">
          <a:extLst>
            <a:ext uri="{FF2B5EF4-FFF2-40B4-BE49-F238E27FC236}">
              <a16:creationId xmlns:a16="http://schemas.microsoft.com/office/drawing/2014/main" id="{00000000-0008-0000-0000-000008020000}"/>
            </a:ext>
          </a:extLst>
        </xdr:cNvPr>
        <xdr:cNvPicPr>
          <a:picLocks noChangeAspect="1"/>
        </xdr:cNvPicPr>
      </xdr:nvPicPr>
      <xdr:blipFill>
        <a:blip xmlns:r="http://schemas.openxmlformats.org/officeDocument/2006/relationships" r:embed="rId516"/>
        <a:stretch>
          <a:fillRect/>
        </a:stretch>
      </xdr:blipFill>
      <xdr:spPr>
        <a:prstGeom prst="rect">
          <a:avLst/>
        </a:prstGeom>
        <a:ln w="9525">
          <a:solidFill>
            <a:srgbClr val="000000"/>
          </a:solidFill>
          <a:prstDash val="solid"/>
        </a:ln>
      </xdr:spPr>
    </xdr:pic>
    <xdr:clientData/>
  </xdr:twoCellAnchor>
  <xdr:twoCellAnchor>
    <xdr:from>
      <xdr:col>3</xdr:col>
      <xdr:colOff>114300</xdr:colOff>
      <xdr:row>1403</xdr:row>
      <xdr:rowOff>28575</xdr:rowOff>
    </xdr:from>
    <xdr:to>
      <xdr:col>3</xdr:col>
      <xdr:colOff>1552575</xdr:colOff>
      <xdr:row>1403</xdr:row>
      <xdr:rowOff>1266825</xdr:rowOff>
    </xdr:to>
    <xdr:pic>
      <xdr:nvPicPr>
        <xdr:cNvPr id="521" name="Имя " descr="Descr ">
          <a:extLst>
            <a:ext uri="{FF2B5EF4-FFF2-40B4-BE49-F238E27FC236}">
              <a16:creationId xmlns:a16="http://schemas.microsoft.com/office/drawing/2014/main" id="{00000000-0008-0000-0000-000009020000}"/>
            </a:ext>
          </a:extLst>
        </xdr:cNvPr>
        <xdr:cNvPicPr>
          <a:picLocks noChangeAspect="1"/>
        </xdr:cNvPicPr>
      </xdr:nvPicPr>
      <xdr:blipFill>
        <a:blip xmlns:r="http://schemas.openxmlformats.org/officeDocument/2006/relationships" r:embed="rId517"/>
        <a:stretch>
          <a:fillRect/>
        </a:stretch>
      </xdr:blipFill>
      <xdr:spPr>
        <a:prstGeom prst="rect">
          <a:avLst/>
        </a:prstGeom>
        <a:ln w="9525">
          <a:solidFill>
            <a:srgbClr val="000000"/>
          </a:solidFill>
          <a:prstDash val="solid"/>
        </a:ln>
      </xdr:spPr>
    </xdr:pic>
    <xdr:clientData/>
  </xdr:twoCellAnchor>
  <xdr:twoCellAnchor>
    <xdr:from>
      <xdr:col>3</xdr:col>
      <xdr:colOff>114300</xdr:colOff>
      <xdr:row>1404</xdr:row>
      <xdr:rowOff>28575</xdr:rowOff>
    </xdr:from>
    <xdr:to>
      <xdr:col>3</xdr:col>
      <xdr:colOff>1552575</xdr:colOff>
      <xdr:row>1404</xdr:row>
      <xdr:rowOff>1266825</xdr:rowOff>
    </xdr:to>
    <xdr:pic>
      <xdr:nvPicPr>
        <xdr:cNvPr id="522" name="Имя " descr="Descr ">
          <a:extLst>
            <a:ext uri="{FF2B5EF4-FFF2-40B4-BE49-F238E27FC236}">
              <a16:creationId xmlns:a16="http://schemas.microsoft.com/office/drawing/2014/main" id="{00000000-0008-0000-0000-00000A020000}"/>
            </a:ext>
          </a:extLst>
        </xdr:cNvPr>
        <xdr:cNvPicPr>
          <a:picLocks noChangeAspect="1"/>
        </xdr:cNvPicPr>
      </xdr:nvPicPr>
      <xdr:blipFill>
        <a:blip xmlns:r="http://schemas.openxmlformats.org/officeDocument/2006/relationships" r:embed="rId518"/>
        <a:stretch>
          <a:fillRect/>
        </a:stretch>
      </xdr:blipFill>
      <xdr:spPr>
        <a:prstGeom prst="rect">
          <a:avLst/>
        </a:prstGeom>
        <a:ln w="9525">
          <a:solidFill>
            <a:srgbClr val="000000"/>
          </a:solidFill>
          <a:prstDash val="solid"/>
        </a:ln>
      </xdr:spPr>
    </xdr:pic>
    <xdr:clientData/>
  </xdr:twoCellAnchor>
  <xdr:twoCellAnchor>
    <xdr:from>
      <xdr:col>3</xdr:col>
      <xdr:colOff>114300</xdr:colOff>
      <xdr:row>1405</xdr:row>
      <xdr:rowOff>28575</xdr:rowOff>
    </xdr:from>
    <xdr:to>
      <xdr:col>3</xdr:col>
      <xdr:colOff>1552575</xdr:colOff>
      <xdr:row>1405</xdr:row>
      <xdr:rowOff>1266825</xdr:rowOff>
    </xdr:to>
    <xdr:pic>
      <xdr:nvPicPr>
        <xdr:cNvPr id="523" name="Имя " descr="Descr ">
          <a:extLst>
            <a:ext uri="{FF2B5EF4-FFF2-40B4-BE49-F238E27FC236}">
              <a16:creationId xmlns:a16="http://schemas.microsoft.com/office/drawing/2014/main" id="{00000000-0008-0000-0000-00000B020000}"/>
            </a:ext>
          </a:extLst>
        </xdr:cNvPr>
        <xdr:cNvPicPr>
          <a:picLocks noChangeAspect="1"/>
        </xdr:cNvPicPr>
      </xdr:nvPicPr>
      <xdr:blipFill>
        <a:blip xmlns:r="http://schemas.openxmlformats.org/officeDocument/2006/relationships" r:embed="rId519"/>
        <a:stretch>
          <a:fillRect/>
        </a:stretch>
      </xdr:blipFill>
      <xdr:spPr>
        <a:prstGeom prst="rect">
          <a:avLst/>
        </a:prstGeom>
        <a:ln w="9525">
          <a:solidFill>
            <a:srgbClr val="000000"/>
          </a:solidFill>
          <a:prstDash val="solid"/>
        </a:ln>
      </xdr:spPr>
    </xdr:pic>
    <xdr:clientData/>
  </xdr:twoCellAnchor>
  <xdr:twoCellAnchor>
    <xdr:from>
      <xdr:col>3</xdr:col>
      <xdr:colOff>114300</xdr:colOff>
      <xdr:row>1406</xdr:row>
      <xdr:rowOff>28575</xdr:rowOff>
    </xdr:from>
    <xdr:to>
      <xdr:col>3</xdr:col>
      <xdr:colOff>1552575</xdr:colOff>
      <xdr:row>1406</xdr:row>
      <xdr:rowOff>1266825</xdr:rowOff>
    </xdr:to>
    <xdr:pic>
      <xdr:nvPicPr>
        <xdr:cNvPr id="524" name="Имя " descr="Descr ">
          <a:extLst>
            <a:ext uri="{FF2B5EF4-FFF2-40B4-BE49-F238E27FC236}">
              <a16:creationId xmlns:a16="http://schemas.microsoft.com/office/drawing/2014/main" id="{00000000-0008-0000-0000-00000C020000}"/>
            </a:ext>
          </a:extLst>
        </xdr:cNvPr>
        <xdr:cNvPicPr>
          <a:picLocks noChangeAspect="1"/>
        </xdr:cNvPicPr>
      </xdr:nvPicPr>
      <xdr:blipFill>
        <a:blip xmlns:r="http://schemas.openxmlformats.org/officeDocument/2006/relationships" r:embed="rId520"/>
        <a:stretch>
          <a:fillRect/>
        </a:stretch>
      </xdr:blipFill>
      <xdr:spPr>
        <a:prstGeom prst="rect">
          <a:avLst/>
        </a:prstGeom>
        <a:ln w="9525">
          <a:solidFill>
            <a:srgbClr val="000000"/>
          </a:solidFill>
          <a:prstDash val="solid"/>
        </a:ln>
      </xdr:spPr>
    </xdr:pic>
    <xdr:clientData/>
  </xdr:twoCellAnchor>
  <xdr:twoCellAnchor>
    <xdr:from>
      <xdr:col>3</xdr:col>
      <xdr:colOff>114300</xdr:colOff>
      <xdr:row>1407</xdr:row>
      <xdr:rowOff>28575</xdr:rowOff>
    </xdr:from>
    <xdr:to>
      <xdr:col>3</xdr:col>
      <xdr:colOff>1552575</xdr:colOff>
      <xdr:row>1407</xdr:row>
      <xdr:rowOff>1266825</xdr:rowOff>
    </xdr:to>
    <xdr:pic>
      <xdr:nvPicPr>
        <xdr:cNvPr id="525" name="Имя " descr="Descr ">
          <a:extLst>
            <a:ext uri="{FF2B5EF4-FFF2-40B4-BE49-F238E27FC236}">
              <a16:creationId xmlns:a16="http://schemas.microsoft.com/office/drawing/2014/main" id="{00000000-0008-0000-0000-00000D020000}"/>
            </a:ext>
          </a:extLst>
        </xdr:cNvPr>
        <xdr:cNvPicPr>
          <a:picLocks noChangeAspect="1"/>
        </xdr:cNvPicPr>
      </xdr:nvPicPr>
      <xdr:blipFill>
        <a:blip xmlns:r="http://schemas.openxmlformats.org/officeDocument/2006/relationships" r:embed="rId521"/>
        <a:stretch>
          <a:fillRect/>
        </a:stretch>
      </xdr:blipFill>
      <xdr:spPr>
        <a:prstGeom prst="rect">
          <a:avLst/>
        </a:prstGeom>
        <a:ln w="9525">
          <a:solidFill>
            <a:srgbClr val="000000"/>
          </a:solidFill>
          <a:prstDash val="solid"/>
        </a:ln>
      </xdr:spPr>
    </xdr:pic>
    <xdr:clientData/>
  </xdr:twoCellAnchor>
  <xdr:twoCellAnchor>
    <xdr:from>
      <xdr:col>3</xdr:col>
      <xdr:colOff>114300</xdr:colOff>
      <xdr:row>1408</xdr:row>
      <xdr:rowOff>28575</xdr:rowOff>
    </xdr:from>
    <xdr:to>
      <xdr:col>3</xdr:col>
      <xdr:colOff>1552575</xdr:colOff>
      <xdr:row>1408</xdr:row>
      <xdr:rowOff>1266825</xdr:rowOff>
    </xdr:to>
    <xdr:pic>
      <xdr:nvPicPr>
        <xdr:cNvPr id="526" name="Имя " descr="Descr ">
          <a:extLst>
            <a:ext uri="{FF2B5EF4-FFF2-40B4-BE49-F238E27FC236}">
              <a16:creationId xmlns:a16="http://schemas.microsoft.com/office/drawing/2014/main" id="{00000000-0008-0000-0000-00000E020000}"/>
            </a:ext>
          </a:extLst>
        </xdr:cNvPr>
        <xdr:cNvPicPr>
          <a:picLocks noChangeAspect="1"/>
        </xdr:cNvPicPr>
      </xdr:nvPicPr>
      <xdr:blipFill>
        <a:blip xmlns:r="http://schemas.openxmlformats.org/officeDocument/2006/relationships" r:embed="rId522"/>
        <a:stretch>
          <a:fillRect/>
        </a:stretch>
      </xdr:blipFill>
      <xdr:spPr>
        <a:prstGeom prst="rect">
          <a:avLst/>
        </a:prstGeom>
        <a:ln w="9525">
          <a:solidFill>
            <a:srgbClr val="000000"/>
          </a:solidFill>
          <a:prstDash val="solid"/>
        </a:ln>
      </xdr:spPr>
    </xdr:pic>
    <xdr:clientData/>
  </xdr:twoCellAnchor>
  <xdr:twoCellAnchor>
    <xdr:from>
      <xdr:col>3</xdr:col>
      <xdr:colOff>114300</xdr:colOff>
      <xdr:row>1409</xdr:row>
      <xdr:rowOff>28575</xdr:rowOff>
    </xdr:from>
    <xdr:to>
      <xdr:col>3</xdr:col>
      <xdr:colOff>1552575</xdr:colOff>
      <xdr:row>1409</xdr:row>
      <xdr:rowOff>1266825</xdr:rowOff>
    </xdr:to>
    <xdr:pic>
      <xdr:nvPicPr>
        <xdr:cNvPr id="527" name="Имя " descr="Descr ">
          <a:extLst>
            <a:ext uri="{FF2B5EF4-FFF2-40B4-BE49-F238E27FC236}">
              <a16:creationId xmlns:a16="http://schemas.microsoft.com/office/drawing/2014/main" id="{00000000-0008-0000-0000-00000F020000}"/>
            </a:ext>
          </a:extLst>
        </xdr:cNvPr>
        <xdr:cNvPicPr>
          <a:picLocks noChangeAspect="1"/>
        </xdr:cNvPicPr>
      </xdr:nvPicPr>
      <xdr:blipFill>
        <a:blip xmlns:r="http://schemas.openxmlformats.org/officeDocument/2006/relationships" r:embed="rId523"/>
        <a:stretch>
          <a:fillRect/>
        </a:stretch>
      </xdr:blipFill>
      <xdr:spPr>
        <a:prstGeom prst="rect">
          <a:avLst/>
        </a:prstGeom>
        <a:ln w="9525">
          <a:solidFill>
            <a:srgbClr val="000000"/>
          </a:solidFill>
          <a:prstDash val="solid"/>
        </a:ln>
      </xdr:spPr>
    </xdr:pic>
    <xdr:clientData/>
  </xdr:twoCellAnchor>
  <xdr:twoCellAnchor>
    <xdr:from>
      <xdr:col>3</xdr:col>
      <xdr:colOff>114300</xdr:colOff>
      <xdr:row>1410</xdr:row>
      <xdr:rowOff>28575</xdr:rowOff>
    </xdr:from>
    <xdr:to>
      <xdr:col>3</xdr:col>
      <xdr:colOff>1552575</xdr:colOff>
      <xdr:row>1410</xdr:row>
      <xdr:rowOff>1266825</xdr:rowOff>
    </xdr:to>
    <xdr:pic>
      <xdr:nvPicPr>
        <xdr:cNvPr id="528" name="Имя " descr="Descr ">
          <a:extLst>
            <a:ext uri="{FF2B5EF4-FFF2-40B4-BE49-F238E27FC236}">
              <a16:creationId xmlns:a16="http://schemas.microsoft.com/office/drawing/2014/main" id="{00000000-0008-0000-0000-000010020000}"/>
            </a:ext>
          </a:extLst>
        </xdr:cNvPr>
        <xdr:cNvPicPr>
          <a:picLocks noChangeAspect="1"/>
        </xdr:cNvPicPr>
      </xdr:nvPicPr>
      <xdr:blipFill>
        <a:blip xmlns:r="http://schemas.openxmlformats.org/officeDocument/2006/relationships" r:embed="rId524"/>
        <a:stretch>
          <a:fillRect/>
        </a:stretch>
      </xdr:blipFill>
      <xdr:spPr>
        <a:prstGeom prst="rect">
          <a:avLst/>
        </a:prstGeom>
        <a:ln w="9525">
          <a:solidFill>
            <a:srgbClr val="000000"/>
          </a:solidFill>
          <a:prstDash val="solid"/>
        </a:ln>
      </xdr:spPr>
    </xdr:pic>
    <xdr:clientData/>
  </xdr:twoCellAnchor>
  <xdr:twoCellAnchor>
    <xdr:from>
      <xdr:col>3</xdr:col>
      <xdr:colOff>114300</xdr:colOff>
      <xdr:row>1411</xdr:row>
      <xdr:rowOff>28575</xdr:rowOff>
    </xdr:from>
    <xdr:to>
      <xdr:col>3</xdr:col>
      <xdr:colOff>1552575</xdr:colOff>
      <xdr:row>1411</xdr:row>
      <xdr:rowOff>1266825</xdr:rowOff>
    </xdr:to>
    <xdr:pic>
      <xdr:nvPicPr>
        <xdr:cNvPr id="529" name="Имя " descr="Descr ">
          <a:extLst>
            <a:ext uri="{FF2B5EF4-FFF2-40B4-BE49-F238E27FC236}">
              <a16:creationId xmlns:a16="http://schemas.microsoft.com/office/drawing/2014/main" id="{00000000-0008-0000-0000-000011020000}"/>
            </a:ext>
          </a:extLst>
        </xdr:cNvPr>
        <xdr:cNvPicPr>
          <a:picLocks noChangeAspect="1"/>
        </xdr:cNvPicPr>
      </xdr:nvPicPr>
      <xdr:blipFill>
        <a:blip xmlns:r="http://schemas.openxmlformats.org/officeDocument/2006/relationships" r:embed="rId525"/>
        <a:stretch>
          <a:fillRect/>
        </a:stretch>
      </xdr:blipFill>
      <xdr:spPr>
        <a:prstGeom prst="rect">
          <a:avLst/>
        </a:prstGeom>
        <a:ln w="9525">
          <a:solidFill>
            <a:srgbClr val="000000"/>
          </a:solidFill>
          <a:prstDash val="solid"/>
        </a:ln>
      </xdr:spPr>
    </xdr:pic>
    <xdr:clientData/>
  </xdr:twoCellAnchor>
  <xdr:twoCellAnchor>
    <xdr:from>
      <xdr:col>3</xdr:col>
      <xdr:colOff>114300</xdr:colOff>
      <xdr:row>1412</xdr:row>
      <xdr:rowOff>28575</xdr:rowOff>
    </xdr:from>
    <xdr:to>
      <xdr:col>3</xdr:col>
      <xdr:colOff>1552575</xdr:colOff>
      <xdr:row>1412</xdr:row>
      <xdr:rowOff>1266825</xdr:rowOff>
    </xdr:to>
    <xdr:pic>
      <xdr:nvPicPr>
        <xdr:cNvPr id="530" name="Имя " descr="Descr ">
          <a:extLst>
            <a:ext uri="{FF2B5EF4-FFF2-40B4-BE49-F238E27FC236}">
              <a16:creationId xmlns:a16="http://schemas.microsoft.com/office/drawing/2014/main" id="{00000000-0008-0000-0000-000012020000}"/>
            </a:ext>
          </a:extLst>
        </xdr:cNvPr>
        <xdr:cNvPicPr>
          <a:picLocks noChangeAspect="1"/>
        </xdr:cNvPicPr>
      </xdr:nvPicPr>
      <xdr:blipFill>
        <a:blip xmlns:r="http://schemas.openxmlformats.org/officeDocument/2006/relationships" r:embed="rId526"/>
        <a:stretch>
          <a:fillRect/>
        </a:stretch>
      </xdr:blipFill>
      <xdr:spPr>
        <a:prstGeom prst="rect">
          <a:avLst/>
        </a:prstGeom>
        <a:ln w="9525">
          <a:solidFill>
            <a:srgbClr val="000000"/>
          </a:solidFill>
          <a:prstDash val="solid"/>
        </a:ln>
      </xdr:spPr>
    </xdr:pic>
    <xdr:clientData/>
  </xdr:twoCellAnchor>
  <xdr:twoCellAnchor>
    <xdr:from>
      <xdr:col>3</xdr:col>
      <xdr:colOff>114300</xdr:colOff>
      <xdr:row>1413</xdr:row>
      <xdr:rowOff>28575</xdr:rowOff>
    </xdr:from>
    <xdr:to>
      <xdr:col>3</xdr:col>
      <xdr:colOff>1552575</xdr:colOff>
      <xdr:row>1413</xdr:row>
      <xdr:rowOff>1266825</xdr:rowOff>
    </xdr:to>
    <xdr:pic>
      <xdr:nvPicPr>
        <xdr:cNvPr id="531" name="Имя " descr="Descr ">
          <a:extLst>
            <a:ext uri="{FF2B5EF4-FFF2-40B4-BE49-F238E27FC236}">
              <a16:creationId xmlns:a16="http://schemas.microsoft.com/office/drawing/2014/main" id="{00000000-0008-0000-0000-000013020000}"/>
            </a:ext>
          </a:extLst>
        </xdr:cNvPr>
        <xdr:cNvPicPr>
          <a:picLocks noChangeAspect="1"/>
        </xdr:cNvPicPr>
      </xdr:nvPicPr>
      <xdr:blipFill>
        <a:blip xmlns:r="http://schemas.openxmlformats.org/officeDocument/2006/relationships" r:embed="rId527"/>
        <a:stretch>
          <a:fillRect/>
        </a:stretch>
      </xdr:blipFill>
      <xdr:spPr>
        <a:prstGeom prst="rect">
          <a:avLst/>
        </a:prstGeom>
        <a:ln w="9525">
          <a:solidFill>
            <a:srgbClr val="000000"/>
          </a:solidFill>
          <a:prstDash val="solid"/>
        </a:ln>
      </xdr:spPr>
    </xdr:pic>
    <xdr:clientData/>
  </xdr:twoCellAnchor>
  <xdr:twoCellAnchor>
    <xdr:from>
      <xdr:col>3</xdr:col>
      <xdr:colOff>114300</xdr:colOff>
      <xdr:row>1414</xdr:row>
      <xdr:rowOff>28575</xdr:rowOff>
    </xdr:from>
    <xdr:to>
      <xdr:col>3</xdr:col>
      <xdr:colOff>1552575</xdr:colOff>
      <xdr:row>1414</xdr:row>
      <xdr:rowOff>1266825</xdr:rowOff>
    </xdr:to>
    <xdr:pic>
      <xdr:nvPicPr>
        <xdr:cNvPr id="532" name="Имя " descr="Descr ">
          <a:extLst>
            <a:ext uri="{FF2B5EF4-FFF2-40B4-BE49-F238E27FC236}">
              <a16:creationId xmlns:a16="http://schemas.microsoft.com/office/drawing/2014/main" id="{00000000-0008-0000-0000-000014020000}"/>
            </a:ext>
          </a:extLst>
        </xdr:cNvPr>
        <xdr:cNvPicPr>
          <a:picLocks noChangeAspect="1"/>
        </xdr:cNvPicPr>
      </xdr:nvPicPr>
      <xdr:blipFill>
        <a:blip xmlns:r="http://schemas.openxmlformats.org/officeDocument/2006/relationships" r:embed="rId528"/>
        <a:stretch>
          <a:fillRect/>
        </a:stretch>
      </xdr:blipFill>
      <xdr:spPr>
        <a:prstGeom prst="rect">
          <a:avLst/>
        </a:prstGeom>
        <a:ln w="9525">
          <a:solidFill>
            <a:srgbClr val="000000"/>
          </a:solidFill>
          <a:prstDash val="solid"/>
        </a:ln>
      </xdr:spPr>
    </xdr:pic>
    <xdr:clientData/>
  </xdr:twoCellAnchor>
  <xdr:twoCellAnchor>
    <xdr:from>
      <xdr:col>3</xdr:col>
      <xdr:colOff>114300</xdr:colOff>
      <xdr:row>1415</xdr:row>
      <xdr:rowOff>28575</xdr:rowOff>
    </xdr:from>
    <xdr:to>
      <xdr:col>3</xdr:col>
      <xdr:colOff>1552575</xdr:colOff>
      <xdr:row>1415</xdr:row>
      <xdr:rowOff>1266825</xdr:rowOff>
    </xdr:to>
    <xdr:pic>
      <xdr:nvPicPr>
        <xdr:cNvPr id="533" name="Имя " descr="Descr ">
          <a:extLst>
            <a:ext uri="{FF2B5EF4-FFF2-40B4-BE49-F238E27FC236}">
              <a16:creationId xmlns:a16="http://schemas.microsoft.com/office/drawing/2014/main" id="{00000000-0008-0000-0000-000015020000}"/>
            </a:ext>
          </a:extLst>
        </xdr:cNvPr>
        <xdr:cNvPicPr>
          <a:picLocks noChangeAspect="1"/>
        </xdr:cNvPicPr>
      </xdr:nvPicPr>
      <xdr:blipFill>
        <a:blip xmlns:r="http://schemas.openxmlformats.org/officeDocument/2006/relationships" r:embed="rId529"/>
        <a:stretch>
          <a:fillRect/>
        </a:stretch>
      </xdr:blipFill>
      <xdr:spPr>
        <a:prstGeom prst="rect">
          <a:avLst/>
        </a:prstGeom>
        <a:ln w="9525">
          <a:solidFill>
            <a:srgbClr val="000000"/>
          </a:solidFill>
          <a:prstDash val="solid"/>
        </a:ln>
      </xdr:spPr>
    </xdr:pic>
    <xdr:clientData/>
  </xdr:twoCellAnchor>
  <xdr:twoCellAnchor>
    <xdr:from>
      <xdr:col>3</xdr:col>
      <xdr:colOff>114300</xdr:colOff>
      <xdr:row>1416</xdr:row>
      <xdr:rowOff>28575</xdr:rowOff>
    </xdr:from>
    <xdr:to>
      <xdr:col>3</xdr:col>
      <xdr:colOff>1552575</xdr:colOff>
      <xdr:row>1416</xdr:row>
      <xdr:rowOff>1266825</xdr:rowOff>
    </xdr:to>
    <xdr:pic>
      <xdr:nvPicPr>
        <xdr:cNvPr id="534" name="Имя " descr="Descr ">
          <a:extLst>
            <a:ext uri="{FF2B5EF4-FFF2-40B4-BE49-F238E27FC236}">
              <a16:creationId xmlns:a16="http://schemas.microsoft.com/office/drawing/2014/main" id="{00000000-0008-0000-0000-000016020000}"/>
            </a:ext>
          </a:extLst>
        </xdr:cNvPr>
        <xdr:cNvPicPr>
          <a:picLocks noChangeAspect="1"/>
        </xdr:cNvPicPr>
      </xdr:nvPicPr>
      <xdr:blipFill>
        <a:blip xmlns:r="http://schemas.openxmlformats.org/officeDocument/2006/relationships" r:embed="rId530"/>
        <a:stretch>
          <a:fillRect/>
        </a:stretch>
      </xdr:blipFill>
      <xdr:spPr>
        <a:prstGeom prst="rect">
          <a:avLst/>
        </a:prstGeom>
        <a:ln w="9525">
          <a:solidFill>
            <a:srgbClr val="000000"/>
          </a:solidFill>
          <a:prstDash val="solid"/>
        </a:ln>
      </xdr:spPr>
    </xdr:pic>
    <xdr:clientData/>
  </xdr:twoCellAnchor>
  <xdr:twoCellAnchor>
    <xdr:from>
      <xdr:col>3</xdr:col>
      <xdr:colOff>114300</xdr:colOff>
      <xdr:row>1417</xdr:row>
      <xdr:rowOff>28575</xdr:rowOff>
    </xdr:from>
    <xdr:to>
      <xdr:col>3</xdr:col>
      <xdr:colOff>1552575</xdr:colOff>
      <xdr:row>1417</xdr:row>
      <xdr:rowOff>1266825</xdr:rowOff>
    </xdr:to>
    <xdr:pic>
      <xdr:nvPicPr>
        <xdr:cNvPr id="535" name="Имя " descr="Descr ">
          <a:extLst>
            <a:ext uri="{FF2B5EF4-FFF2-40B4-BE49-F238E27FC236}">
              <a16:creationId xmlns:a16="http://schemas.microsoft.com/office/drawing/2014/main" id="{00000000-0008-0000-0000-000017020000}"/>
            </a:ext>
          </a:extLst>
        </xdr:cNvPr>
        <xdr:cNvPicPr>
          <a:picLocks noChangeAspect="1"/>
        </xdr:cNvPicPr>
      </xdr:nvPicPr>
      <xdr:blipFill>
        <a:blip xmlns:r="http://schemas.openxmlformats.org/officeDocument/2006/relationships" r:embed="rId531"/>
        <a:stretch>
          <a:fillRect/>
        </a:stretch>
      </xdr:blipFill>
      <xdr:spPr>
        <a:prstGeom prst="rect">
          <a:avLst/>
        </a:prstGeom>
        <a:ln w="9525">
          <a:solidFill>
            <a:srgbClr val="000000"/>
          </a:solidFill>
          <a:prstDash val="solid"/>
        </a:ln>
      </xdr:spPr>
    </xdr:pic>
    <xdr:clientData/>
  </xdr:twoCellAnchor>
  <xdr:twoCellAnchor>
    <xdr:from>
      <xdr:col>3</xdr:col>
      <xdr:colOff>114300</xdr:colOff>
      <xdr:row>1418</xdr:row>
      <xdr:rowOff>28575</xdr:rowOff>
    </xdr:from>
    <xdr:to>
      <xdr:col>3</xdr:col>
      <xdr:colOff>1552575</xdr:colOff>
      <xdr:row>1418</xdr:row>
      <xdr:rowOff>1266825</xdr:rowOff>
    </xdr:to>
    <xdr:pic>
      <xdr:nvPicPr>
        <xdr:cNvPr id="536" name="Имя " descr="Descr ">
          <a:extLst>
            <a:ext uri="{FF2B5EF4-FFF2-40B4-BE49-F238E27FC236}">
              <a16:creationId xmlns:a16="http://schemas.microsoft.com/office/drawing/2014/main" id="{00000000-0008-0000-0000-000018020000}"/>
            </a:ext>
          </a:extLst>
        </xdr:cNvPr>
        <xdr:cNvPicPr>
          <a:picLocks noChangeAspect="1"/>
        </xdr:cNvPicPr>
      </xdr:nvPicPr>
      <xdr:blipFill>
        <a:blip xmlns:r="http://schemas.openxmlformats.org/officeDocument/2006/relationships" r:embed="rId532"/>
        <a:stretch>
          <a:fillRect/>
        </a:stretch>
      </xdr:blipFill>
      <xdr:spPr>
        <a:prstGeom prst="rect">
          <a:avLst/>
        </a:prstGeom>
        <a:ln w="9525">
          <a:solidFill>
            <a:srgbClr val="000000"/>
          </a:solidFill>
          <a:prstDash val="solid"/>
        </a:ln>
      </xdr:spPr>
    </xdr:pic>
    <xdr:clientData/>
  </xdr:twoCellAnchor>
  <xdr:twoCellAnchor>
    <xdr:from>
      <xdr:col>3</xdr:col>
      <xdr:colOff>114300</xdr:colOff>
      <xdr:row>1419</xdr:row>
      <xdr:rowOff>28575</xdr:rowOff>
    </xdr:from>
    <xdr:to>
      <xdr:col>3</xdr:col>
      <xdr:colOff>1552575</xdr:colOff>
      <xdr:row>1419</xdr:row>
      <xdr:rowOff>1266825</xdr:rowOff>
    </xdr:to>
    <xdr:pic>
      <xdr:nvPicPr>
        <xdr:cNvPr id="537" name="Имя " descr="Descr ">
          <a:extLst>
            <a:ext uri="{FF2B5EF4-FFF2-40B4-BE49-F238E27FC236}">
              <a16:creationId xmlns:a16="http://schemas.microsoft.com/office/drawing/2014/main" id="{00000000-0008-0000-0000-000019020000}"/>
            </a:ext>
          </a:extLst>
        </xdr:cNvPr>
        <xdr:cNvPicPr>
          <a:picLocks noChangeAspect="1"/>
        </xdr:cNvPicPr>
      </xdr:nvPicPr>
      <xdr:blipFill>
        <a:blip xmlns:r="http://schemas.openxmlformats.org/officeDocument/2006/relationships" r:embed="rId533"/>
        <a:stretch>
          <a:fillRect/>
        </a:stretch>
      </xdr:blipFill>
      <xdr:spPr>
        <a:prstGeom prst="rect">
          <a:avLst/>
        </a:prstGeom>
        <a:ln w="9525">
          <a:solidFill>
            <a:srgbClr val="000000"/>
          </a:solidFill>
          <a:prstDash val="solid"/>
        </a:ln>
      </xdr:spPr>
    </xdr:pic>
    <xdr:clientData/>
  </xdr:twoCellAnchor>
  <xdr:twoCellAnchor>
    <xdr:from>
      <xdr:col>3</xdr:col>
      <xdr:colOff>114300</xdr:colOff>
      <xdr:row>1420</xdr:row>
      <xdr:rowOff>28575</xdr:rowOff>
    </xdr:from>
    <xdr:to>
      <xdr:col>3</xdr:col>
      <xdr:colOff>1552575</xdr:colOff>
      <xdr:row>1420</xdr:row>
      <xdr:rowOff>1266825</xdr:rowOff>
    </xdr:to>
    <xdr:pic>
      <xdr:nvPicPr>
        <xdr:cNvPr id="538" name="Имя " descr="Descr ">
          <a:extLst>
            <a:ext uri="{FF2B5EF4-FFF2-40B4-BE49-F238E27FC236}">
              <a16:creationId xmlns:a16="http://schemas.microsoft.com/office/drawing/2014/main" id="{00000000-0008-0000-0000-00001A020000}"/>
            </a:ext>
          </a:extLst>
        </xdr:cNvPr>
        <xdr:cNvPicPr>
          <a:picLocks noChangeAspect="1"/>
        </xdr:cNvPicPr>
      </xdr:nvPicPr>
      <xdr:blipFill>
        <a:blip xmlns:r="http://schemas.openxmlformats.org/officeDocument/2006/relationships" r:embed="rId534"/>
        <a:stretch>
          <a:fillRect/>
        </a:stretch>
      </xdr:blipFill>
      <xdr:spPr>
        <a:prstGeom prst="rect">
          <a:avLst/>
        </a:prstGeom>
        <a:ln w="9525">
          <a:solidFill>
            <a:srgbClr val="000000"/>
          </a:solidFill>
          <a:prstDash val="solid"/>
        </a:ln>
      </xdr:spPr>
    </xdr:pic>
    <xdr:clientData/>
  </xdr:twoCellAnchor>
  <xdr:twoCellAnchor>
    <xdr:from>
      <xdr:col>3</xdr:col>
      <xdr:colOff>114300</xdr:colOff>
      <xdr:row>1421</xdr:row>
      <xdr:rowOff>28575</xdr:rowOff>
    </xdr:from>
    <xdr:to>
      <xdr:col>3</xdr:col>
      <xdr:colOff>1552575</xdr:colOff>
      <xdr:row>1421</xdr:row>
      <xdr:rowOff>1266825</xdr:rowOff>
    </xdr:to>
    <xdr:pic>
      <xdr:nvPicPr>
        <xdr:cNvPr id="539" name="Имя " descr="Descr ">
          <a:extLst>
            <a:ext uri="{FF2B5EF4-FFF2-40B4-BE49-F238E27FC236}">
              <a16:creationId xmlns:a16="http://schemas.microsoft.com/office/drawing/2014/main" id="{00000000-0008-0000-0000-00001B020000}"/>
            </a:ext>
          </a:extLst>
        </xdr:cNvPr>
        <xdr:cNvPicPr>
          <a:picLocks noChangeAspect="1"/>
        </xdr:cNvPicPr>
      </xdr:nvPicPr>
      <xdr:blipFill>
        <a:blip xmlns:r="http://schemas.openxmlformats.org/officeDocument/2006/relationships" r:embed="rId535"/>
        <a:stretch>
          <a:fillRect/>
        </a:stretch>
      </xdr:blipFill>
      <xdr:spPr>
        <a:prstGeom prst="rect">
          <a:avLst/>
        </a:prstGeom>
        <a:ln w="9525">
          <a:solidFill>
            <a:srgbClr val="000000"/>
          </a:solidFill>
          <a:prstDash val="solid"/>
        </a:ln>
      </xdr:spPr>
    </xdr:pic>
    <xdr:clientData/>
  </xdr:twoCellAnchor>
  <xdr:twoCellAnchor>
    <xdr:from>
      <xdr:col>3</xdr:col>
      <xdr:colOff>114300</xdr:colOff>
      <xdr:row>1422</xdr:row>
      <xdr:rowOff>28575</xdr:rowOff>
    </xdr:from>
    <xdr:to>
      <xdr:col>3</xdr:col>
      <xdr:colOff>1552575</xdr:colOff>
      <xdr:row>1422</xdr:row>
      <xdr:rowOff>1266825</xdr:rowOff>
    </xdr:to>
    <xdr:pic>
      <xdr:nvPicPr>
        <xdr:cNvPr id="540" name="Имя " descr="Descr ">
          <a:extLst>
            <a:ext uri="{FF2B5EF4-FFF2-40B4-BE49-F238E27FC236}">
              <a16:creationId xmlns:a16="http://schemas.microsoft.com/office/drawing/2014/main" id="{00000000-0008-0000-0000-00001C020000}"/>
            </a:ext>
          </a:extLst>
        </xdr:cNvPr>
        <xdr:cNvPicPr>
          <a:picLocks noChangeAspect="1"/>
        </xdr:cNvPicPr>
      </xdr:nvPicPr>
      <xdr:blipFill>
        <a:blip xmlns:r="http://schemas.openxmlformats.org/officeDocument/2006/relationships" r:embed="rId536"/>
        <a:stretch>
          <a:fillRect/>
        </a:stretch>
      </xdr:blipFill>
      <xdr:spPr>
        <a:prstGeom prst="rect">
          <a:avLst/>
        </a:prstGeom>
        <a:ln w="9525">
          <a:solidFill>
            <a:srgbClr val="000000"/>
          </a:solidFill>
          <a:prstDash val="solid"/>
        </a:ln>
      </xdr:spPr>
    </xdr:pic>
    <xdr:clientData/>
  </xdr:twoCellAnchor>
  <xdr:twoCellAnchor>
    <xdr:from>
      <xdr:col>3</xdr:col>
      <xdr:colOff>114300</xdr:colOff>
      <xdr:row>1423</xdr:row>
      <xdr:rowOff>28575</xdr:rowOff>
    </xdr:from>
    <xdr:to>
      <xdr:col>3</xdr:col>
      <xdr:colOff>1552575</xdr:colOff>
      <xdr:row>1423</xdr:row>
      <xdr:rowOff>1266825</xdr:rowOff>
    </xdr:to>
    <xdr:pic>
      <xdr:nvPicPr>
        <xdr:cNvPr id="541" name="Имя " descr="Descr ">
          <a:extLst>
            <a:ext uri="{FF2B5EF4-FFF2-40B4-BE49-F238E27FC236}">
              <a16:creationId xmlns:a16="http://schemas.microsoft.com/office/drawing/2014/main" id="{00000000-0008-0000-0000-00001D020000}"/>
            </a:ext>
          </a:extLst>
        </xdr:cNvPr>
        <xdr:cNvPicPr>
          <a:picLocks noChangeAspect="1"/>
        </xdr:cNvPicPr>
      </xdr:nvPicPr>
      <xdr:blipFill>
        <a:blip xmlns:r="http://schemas.openxmlformats.org/officeDocument/2006/relationships" r:embed="rId537"/>
        <a:stretch>
          <a:fillRect/>
        </a:stretch>
      </xdr:blipFill>
      <xdr:spPr>
        <a:prstGeom prst="rect">
          <a:avLst/>
        </a:prstGeom>
        <a:ln w="9525">
          <a:solidFill>
            <a:srgbClr val="000000"/>
          </a:solidFill>
          <a:prstDash val="solid"/>
        </a:ln>
      </xdr:spPr>
    </xdr:pic>
    <xdr:clientData/>
  </xdr:twoCellAnchor>
  <xdr:twoCellAnchor>
    <xdr:from>
      <xdr:col>3</xdr:col>
      <xdr:colOff>114300</xdr:colOff>
      <xdr:row>1424</xdr:row>
      <xdr:rowOff>28575</xdr:rowOff>
    </xdr:from>
    <xdr:to>
      <xdr:col>3</xdr:col>
      <xdr:colOff>1552575</xdr:colOff>
      <xdr:row>1424</xdr:row>
      <xdr:rowOff>1266825</xdr:rowOff>
    </xdr:to>
    <xdr:pic>
      <xdr:nvPicPr>
        <xdr:cNvPr id="542" name="Имя " descr="Descr ">
          <a:extLst>
            <a:ext uri="{FF2B5EF4-FFF2-40B4-BE49-F238E27FC236}">
              <a16:creationId xmlns:a16="http://schemas.microsoft.com/office/drawing/2014/main" id="{00000000-0008-0000-0000-00001E020000}"/>
            </a:ext>
          </a:extLst>
        </xdr:cNvPr>
        <xdr:cNvPicPr>
          <a:picLocks noChangeAspect="1"/>
        </xdr:cNvPicPr>
      </xdr:nvPicPr>
      <xdr:blipFill>
        <a:blip xmlns:r="http://schemas.openxmlformats.org/officeDocument/2006/relationships" r:embed="rId538"/>
        <a:stretch>
          <a:fillRect/>
        </a:stretch>
      </xdr:blipFill>
      <xdr:spPr>
        <a:prstGeom prst="rect">
          <a:avLst/>
        </a:prstGeom>
        <a:ln w="9525">
          <a:solidFill>
            <a:srgbClr val="000000"/>
          </a:solidFill>
          <a:prstDash val="solid"/>
        </a:ln>
      </xdr:spPr>
    </xdr:pic>
    <xdr:clientData/>
  </xdr:twoCellAnchor>
  <xdr:twoCellAnchor>
    <xdr:from>
      <xdr:col>3</xdr:col>
      <xdr:colOff>114300</xdr:colOff>
      <xdr:row>1425</xdr:row>
      <xdr:rowOff>28575</xdr:rowOff>
    </xdr:from>
    <xdr:to>
      <xdr:col>3</xdr:col>
      <xdr:colOff>1552575</xdr:colOff>
      <xdr:row>1425</xdr:row>
      <xdr:rowOff>1266825</xdr:rowOff>
    </xdr:to>
    <xdr:pic>
      <xdr:nvPicPr>
        <xdr:cNvPr id="543" name="Имя " descr="Descr ">
          <a:extLst>
            <a:ext uri="{FF2B5EF4-FFF2-40B4-BE49-F238E27FC236}">
              <a16:creationId xmlns:a16="http://schemas.microsoft.com/office/drawing/2014/main" id="{00000000-0008-0000-0000-00001F020000}"/>
            </a:ext>
          </a:extLst>
        </xdr:cNvPr>
        <xdr:cNvPicPr>
          <a:picLocks noChangeAspect="1"/>
        </xdr:cNvPicPr>
      </xdr:nvPicPr>
      <xdr:blipFill>
        <a:blip xmlns:r="http://schemas.openxmlformats.org/officeDocument/2006/relationships" r:embed="rId539"/>
        <a:stretch>
          <a:fillRect/>
        </a:stretch>
      </xdr:blipFill>
      <xdr:spPr>
        <a:prstGeom prst="rect">
          <a:avLst/>
        </a:prstGeom>
        <a:ln w="9525">
          <a:solidFill>
            <a:srgbClr val="000000"/>
          </a:solidFill>
          <a:prstDash val="solid"/>
        </a:ln>
      </xdr:spPr>
    </xdr:pic>
    <xdr:clientData/>
  </xdr:twoCellAnchor>
  <xdr:twoCellAnchor>
    <xdr:from>
      <xdr:col>3</xdr:col>
      <xdr:colOff>114300</xdr:colOff>
      <xdr:row>1426</xdr:row>
      <xdr:rowOff>28575</xdr:rowOff>
    </xdr:from>
    <xdr:to>
      <xdr:col>3</xdr:col>
      <xdr:colOff>1552575</xdr:colOff>
      <xdr:row>1426</xdr:row>
      <xdr:rowOff>1266825</xdr:rowOff>
    </xdr:to>
    <xdr:pic>
      <xdr:nvPicPr>
        <xdr:cNvPr id="544" name="Имя " descr="Descr ">
          <a:extLst>
            <a:ext uri="{FF2B5EF4-FFF2-40B4-BE49-F238E27FC236}">
              <a16:creationId xmlns:a16="http://schemas.microsoft.com/office/drawing/2014/main" id="{00000000-0008-0000-0000-000020020000}"/>
            </a:ext>
          </a:extLst>
        </xdr:cNvPr>
        <xdr:cNvPicPr>
          <a:picLocks noChangeAspect="1"/>
        </xdr:cNvPicPr>
      </xdr:nvPicPr>
      <xdr:blipFill>
        <a:blip xmlns:r="http://schemas.openxmlformats.org/officeDocument/2006/relationships" r:embed="rId540"/>
        <a:stretch>
          <a:fillRect/>
        </a:stretch>
      </xdr:blipFill>
      <xdr:spPr>
        <a:prstGeom prst="rect">
          <a:avLst/>
        </a:prstGeom>
        <a:ln w="9525">
          <a:solidFill>
            <a:srgbClr val="000000"/>
          </a:solidFill>
          <a:prstDash val="solid"/>
        </a:ln>
      </xdr:spPr>
    </xdr:pic>
    <xdr:clientData/>
  </xdr:twoCellAnchor>
  <xdr:twoCellAnchor>
    <xdr:from>
      <xdr:col>3</xdr:col>
      <xdr:colOff>114300</xdr:colOff>
      <xdr:row>1427</xdr:row>
      <xdr:rowOff>28575</xdr:rowOff>
    </xdr:from>
    <xdr:to>
      <xdr:col>3</xdr:col>
      <xdr:colOff>1552575</xdr:colOff>
      <xdr:row>1427</xdr:row>
      <xdr:rowOff>1266825</xdr:rowOff>
    </xdr:to>
    <xdr:pic>
      <xdr:nvPicPr>
        <xdr:cNvPr id="545" name="Имя " descr="Descr ">
          <a:extLst>
            <a:ext uri="{FF2B5EF4-FFF2-40B4-BE49-F238E27FC236}">
              <a16:creationId xmlns:a16="http://schemas.microsoft.com/office/drawing/2014/main" id="{00000000-0008-0000-0000-000021020000}"/>
            </a:ext>
          </a:extLst>
        </xdr:cNvPr>
        <xdr:cNvPicPr>
          <a:picLocks noChangeAspect="1"/>
        </xdr:cNvPicPr>
      </xdr:nvPicPr>
      <xdr:blipFill>
        <a:blip xmlns:r="http://schemas.openxmlformats.org/officeDocument/2006/relationships" r:embed="rId541"/>
        <a:stretch>
          <a:fillRect/>
        </a:stretch>
      </xdr:blipFill>
      <xdr:spPr>
        <a:prstGeom prst="rect">
          <a:avLst/>
        </a:prstGeom>
        <a:ln w="9525">
          <a:solidFill>
            <a:srgbClr val="000000"/>
          </a:solidFill>
          <a:prstDash val="solid"/>
        </a:ln>
      </xdr:spPr>
    </xdr:pic>
    <xdr:clientData/>
  </xdr:twoCellAnchor>
  <xdr:twoCellAnchor>
    <xdr:from>
      <xdr:col>3</xdr:col>
      <xdr:colOff>114300</xdr:colOff>
      <xdr:row>1428</xdr:row>
      <xdr:rowOff>28575</xdr:rowOff>
    </xdr:from>
    <xdr:to>
      <xdr:col>3</xdr:col>
      <xdr:colOff>1552575</xdr:colOff>
      <xdr:row>1428</xdr:row>
      <xdr:rowOff>1266825</xdr:rowOff>
    </xdr:to>
    <xdr:pic>
      <xdr:nvPicPr>
        <xdr:cNvPr id="546" name="Имя " descr="Descr ">
          <a:extLst>
            <a:ext uri="{FF2B5EF4-FFF2-40B4-BE49-F238E27FC236}">
              <a16:creationId xmlns:a16="http://schemas.microsoft.com/office/drawing/2014/main" id="{00000000-0008-0000-0000-000022020000}"/>
            </a:ext>
          </a:extLst>
        </xdr:cNvPr>
        <xdr:cNvPicPr>
          <a:picLocks noChangeAspect="1"/>
        </xdr:cNvPicPr>
      </xdr:nvPicPr>
      <xdr:blipFill>
        <a:blip xmlns:r="http://schemas.openxmlformats.org/officeDocument/2006/relationships" r:embed="rId542"/>
        <a:stretch>
          <a:fillRect/>
        </a:stretch>
      </xdr:blipFill>
      <xdr:spPr>
        <a:prstGeom prst="rect">
          <a:avLst/>
        </a:prstGeom>
        <a:ln w="9525">
          <a:solidFill>
            <a:srgbClr val="000000"/>
          </a:solidFill>
          <a:prstDash val="solid"/>
        </a:ln>
      </xdr:spPr>
    </xdr:pic>
    <xdr:clientData/>
  </xdr:twoCellAnchor>
  <xdr:twoCellAnchor>
    <xdr:from>
      <xdr:col>3</xdr:col>
      <xdr:colOff>114300</xdr:colOff>
      <xdr:row>1429</xdr:row>
      <xdr:rowOff>28575</xdr:rowOff>
    </xdr:from>
    <xdr:to>
      <xdr:col>3</xdr:col>
      <xdr:colOff>1552575</xdr:colOff>
      <xdr:row>1429</xdr:row>
      <xdr:rowOff>1266825</xdr:rowOff>
    </xdr:to>
    <xdr:pic>
      <xdr:nvPicPr>
        <xdr:cNvPr id="547" name="Имя " descr="Descr ">
          <a:extLst>
            <a:ext uri="{FF2B5EF4-FFF2-40B4-BE49-F238E27FC236}">
              <a16:creationId xmlns:a16="http://schemas.microsoft.com/office/drawing/2014/main" id="{00000000-0008-0000-0000-000023020000}"/>
            </a:ext>
          </a:extLst>
        </xdr:cNvPr>
        <xdr:cNvPicPr>
          <a:picLocks noChangeAspect="1"/>
        </xdr:cNvPicPr>
      </xdr:nvPicPr>
      <xdr:blipFill>
        <a:blip xmlns:r="http://schemas.openxmlformats.org/officeDocument/2006/relationships" r:embed="rId543"/>
        <a:stretch>
          <a:fillRect/>
        </a:stretch>
      </xdr:blipFill>
      <xdr:spPr>
        <a:prstGeom prst="rect">
          <a:avLst/>
        </a:prstGeom>
        <a:ln w="9525">
          <a:solidFill>
            <a:srgbClr val="000000"/>
          </a:solidFill>
          <a:prstDash val="solid"/>
        </a:ln>
      </xdr:spPr>
    </xdr:pic>
    <xdr:clientData/>
  </xdr:twoCellAnchor>
  <xdr:twoCellAnchor>
    <xdr:from>
      <xdr:col>3</xdr:col>
      <xdr:colOff>114300</xdr:colOff>
      <xdr:row>1430</xdr:row>
      <xdr:rowOff>28575</xdr:rowOff>
    </xdr:from>
    <xdr:to>
      <xdr:col>3</xdr:col>
      <xdr:colOff>1552575</xdr:colOff>
      <xdr:row>1430</xdr:row>
      <xdr:rowOff>1266825</xdr:rowOff>
    </xdr:to>
    <xdr:pic>
      <xdr:nvPicPr>
        <xdr:cNvPr id="548" name="Имя " descr="Descr ">
          <a:extLst>
            <a:ext uri="{FF2B5EF4-FFF2-40B4-BE49-F238E27FC236}">
              <a16:creationId xmlns:a16="http://schemas.microsoft.com/office/drawing/2014/main" id="{00000000-0008-0000-0000-000024020000}"/>
            </a:ext>
          </a:extLst>
        </xdr:cNvPr>
        <xdr:cNvPicPr>
          <a:picLocks noChangeAspect="1"/>
        </xdr:cNvPicPr>
      </xdr:nvPicPr>
      <xdr:blipFill>
        <a:blip xmlns:r="http://schemas.openxmlformats.org/officeDocument/2006/relationships" r:embed="rId544"/>
        <a:stretch>
          <a:fillRect/>
        </a:stretch>
      </xdr:blipFill>
      <xdr:spPr>
        <a:prstGeom prst="rect">
          <a:avLst/>
        </a:prstGeom>
        <a:ln w="9525">
          <a:solidFill>
            <a:srgbClr val="000000"/>
          </a:solidFill>
          <a:prstDash val="solid"/>
        </a:ln>
      </xdr:spPr>
    </xdr:pic>
    <xdr:clientData/>
  </xdr:twoCellAnchor>
  <xdr:twoCellAnchor>
    <xdr:from>
      <xdr:col>3</xdr:col>
      <xdr:colOff>114300</xdr:colOff>
      <xdr:row>1431</xdr:row>
      <xdr:rowOff>28575</xdr:rowOff>
    </xdr:from>
    <xdr:to>
      <xdr:col>3</xdr:col>
      <xdr:colOff>1552575</xdr:colOff>
      <xdr:row>1431</xdr:row>
      <xdr:rowOff>1266825</xdr:rowOff>
    </xdr:to>
    <xdr:pic>
      <xdr:nvPicPr>
        <xdr:cNvPr id="549" name="Имя " descr="Descr ">
          <a:extLst>
            <a:ext uri="{FF2B5EF4-FFF2-40B4-BE49-F238E27FC236}">
              <a16:creationId xmlns:a16="http://schemas.microsoft.com/office/drawing/2014/main" id="{00000000-0008-0000-0000-000025020000}"/>
            </a:ext>
          </a:extLst>
        </xdr:cNvPr>
        <xdr:cNvPicPr>
          <a:picLocks noChangeAspect="1"/>
        </xdr:cNvPicPr>
      </xdr:nvPicPr>
      <xdr:blipFill>
        <a:blip xmlns:r="http://schemas.openxmlformats.org/officeDocument/2006/relationships" r:embed="rId545"/>
        <a:stretch>
          <a:fillRect/>
        </a:stretch>
      </xdr:blipFill>
      <xdr:spPr>
        <a:prstGeom prst="rect">
          <a:avLst/>
        </a:prstGeom>
        <a:ln w="9525">
          <a:solidFill>
            <a:srgbClr val="000000"/>
          </a:solidFill>
          <a:prstDash val="solid"/>
        </a:ln>
      </xdr:spPr>
    </xdr:pic>
    <xdr:clientData/>
  </xdr:twoCellAnchor>
  <xdr:twoCellAnchor>
    <xdr:from>
      <xdr:col>3</xdr:col>
      <xdr:colOff>114300</xdr:colOff>
      <xdr:row>1432</xdr:row>
      <xdr:rowOff>28575</xdr:rowOff>
    </xdr:from>
    <xdr:to>
      <xdr:col>3</xdr:col>
      <xdr:colOff>1552575</xdr:colOff>
      <xdr:row>1432</xdr:row>
      <xdr:rowOff>1266825</xdr:rowOff>
    </xdr:to>
    <xdr:pic>
      <xdr:nvPicPr>
        <xdr:cNvPr id="550" name="Имя " descr="Descr ">
          <a:extLst>
            <a:ext uri="{FF2B5EF4-FFF2-40B4-BE49-F238E27FC236}">
              <a16:creationId xmlns:a16="http://schemas.microsoft.com/office/drawing/2014/main" id="{00000000-0008-0000-0000-000026020000}"/>
            </a:ext>
          </a:extLst>
        </xdr:cNvPr>
        <xdr:cNvPicPr>
          <a:picLocks noChangeAspect="1"/>
        </xdr:cNvPicPr>
      </xdr:nvPicPr>
      <xdr:blipFill>
        <a:blip xmlns:r="http://schemas.openxmlformats.org/officeDocument/2006/relationships" r:embed="rId546"/>
        <a:stretch>
          <a:fillRect/>
        </a:stretch>
      </xdr:blipFill>
      <xdr:spPr>
        <a:prstGeom prst="rect">
          <a:avLst/>
        </a:prstGeom>
        <a:ln w="9525">
          <a:solidFill>
            <a:srgbClr val="000000"/>
          </a:solidFill>
          <a:prstDash val="solid"/>
        </a:ln>
      </xdr:spPr>
    </xdr:pic>
    <xdr:clientData/>
  </xdr:twoCellAnchor>
  <xdr:twoCellAnchor>
    <xdr:from>
      <xdr:col>3</xdr:col>
      <xdr:colOff>114300</xdr:colOff>
      <xdr:row>1433</xdr:row>
      <xdr:rowOff>28575</xdr:rowOff>
    </xdr:from>
    <xdr:to>
      <xdr:col>3</xdr:col>
      <xdr:colOff>1552575</xdr:colOff>
      <xdr:row>1433</xdr:row>
      <xdr:rowOff>1266825</xdr:rowOff>
    </xdr:to>
    <xdr:pic>
      <xdr:nvPicPr>
        <xdr:cNvPr id="551" name="Имя " descr="Descr ">
          <a:extLst>
            <a:ext uri="{FF2B5EF4-FFF2-40B4-BE49-F238E27FC236}">
              <a16:creationId xmlns:a16="http://schemas.microsoft.com/office/drawing/2014/main" id="{00000000-0008-0000-0000-000027020000}"/>
            </a:ext>
          </a:extLst>
        </xdr:cNvPr>
        <xdr:cNvPicPr>
          <a:picLocks noChangeAspect="1"/>
        </xdr:cNvPicPr>
      </xdr:nvPicPr>
      <xdr:blipFill>
        <a:blip xmlns:r="http://schemas.openxmlformats.org/officeDocument/2006/relationships" r:embed="rId547"/>
        <a:stretch>
          <a:fillRect/>
        </a:stretch>
      </xdr:blipFill>
      <xdr:spPr>
        <a:prstGeom prst="rect">
          <a:avLst/>
        </a:prstGeom>
        <a:ln w="9525">
          <a:solidFill>
            <a:srgbClr val="000000"/>
          </a:solidFill>
          <a:prstDash val="solid"/>
        </a:ln>
      </xdr:spPr>
    </xdr:pic>
    <xdr:clientData/>
  </xdr:twoCellAnchor>
  <xdr:twoCellAnchor>
    <xdr:from>
      <xdr:col>3</xdr:col>
      <xdr:colOff>114300</xdr:colOff>
      <xdr:row>1434</xdr:row>
      <xdr:rowOff>28575</xdr:rowOff>
    </xdr:from>
    <xdr:to>
      <xdr:col>3</xdr:col>
      <xdr:colOff>1552575</xdr:colOff>
      <xdr:row>1434</xdr:row>
      <xdr:rowOff>1266825</xdr:rowOff>
    </xdr:to>
    <xdr:pic>
      <xdr:nvPicPr>
        <xdr:cNvPr id="552" name="Имя " descr="Descr ">
          <a:extLst>
            <a:ext uri="{FF2B5EF4-FFF2-40B4-BE49-F238E27FC236}">
              <a16:creationId xmlns:a16="http://schemas.microsoft.com/office/drawing/2014/main" id="{00000000-0008-0000-0000-000028020000}"/>
            </a:ext>
          </a:extLst>
        </xdr:cNvPr>
        <xdr:cNvPicPr>
          <a:picLocks noChangeAspect="1"/>
        </xdr:cNvPicPr>
      </xdr:nvPicPr>
      <xdr:blipFill>
        <a:blip xmlns:r="http://schemas.openxmlformats.org/officeDocument/2006/relationships" r:embed="rId548"/>
        <a:stretch>
          <a:fillRect/>
        </a:stretch>
      </xdr:blipFill>
      <xdr:spPr>
        <a:prstGeom prst="rect">
          <a:avLst/>
        </a:prstGeom>
        <a:ln w="9525">
          <a:solidFill>
            <a:srgbClr val="000000"/>
          </a:solidFill>
          <a:prstDash val="solid"/>
        </a:ln>
      </xdr:spPr>
    </xdr:pic>
    <xdr:clientData/>
  </xdr:twoCellAnchor>
  <xdr:twoCellAnchor>
    <xdr:from>
      <xdr:col>3</xdr:col>
      <xdr:colOff>114300</xdr:colOff>
      <xdr:row>1435</xdr:row>
      <xdr:rowOff>28575</xdr:rowOff>
    </xdr:from>
    <xdr:to>
      <xdr:col>3</xdr:col>
      <xdr:colOff>1552575</xdr:colOff>
      <xdr:row>1435</xdr:row>
      <xdr:rowOff>1266825</xdr:rowOff>
    </xdr:to>
    <xdr:pic>
      <xdr:nvPicPr>
        <xdr:cNvPr id="553" name="Имя " descr="Descr ">
          <a:extLst>
            <a:ext uri="{FF2B5EF4-FFF2-40B4-BE49-F238E27FC236}">
              <a16:creationId xmlns:a16="http://schemas.microsoft.com/office/drawing/2014/main" id="{00000000-0008-0000-0000-000029020000}"/>
            </a:ext>
          </a:extLst>
        </xdr:cNvPr>
        <xdr:cNvPicPr>
          <a:picLocks noChangeAspect="1"/>
        </xdr:cNvPicPr>
      </xdr:nvPicPr>
      <xdr:blipFill>
        <a:blip xmlns:r="http://schemas.openxmlformats.org/officeDocument/2006/relationships" r:embed="rId549"/>
        <a:stretch>
          <a:fillRect/>
        </a:stretch>
      </xdr:blipFill>
      <xdr:spPr>
        <a:prstGeom prst="rect">
          <a:avLst/>
        </a:prstGeom>
        <a:ln w="9525">
          <a:solidFill>
            <a:srgbClr val="000000"/>
          </a:solidFill>
          <a:prstDash val="solid"/>
        </a:ln>
      </xdr:spPr>
    </xdr:pic>
    <xdr:clientData/>
  </xdr:twoCellAnchor>
  <xdr:twoCellAnchor>
    <xdr:from>
      <xdr:col>3</xdr:col>
      <xdr:colOff>114300</xdr:colOff>
      <xdr:row>1436</xdr:row>
      <xdr:rowOff>28575</xdr:rowOff>
    </xdr:from>
    <xdr:to>
      <xdr:col>3</xdr:col>
      <xdr:colOff>1552575</xdr:colOff>
      <xdr:row>1436</xdr:row>
      <xdr:rowOff>1266825</xdr:rowOff>
    </xdr:to>
    <xdr:pic>
      <xdr:nvPicPr>
        <xdr:cNvPr id="554" name="Имя " descr="Descr ">
          <a:extLst>
            <a:ext uri="{FF2B5EF4-FFF2-40B4-BE49-F238E27FC236}">
              <a16:creationId xmlns:a16="http://schemas.microsoft.com/office/drawing/2014/main" id="{00000000-0008-0000-0000-00002A020000}"/>
            </a:ext>
          </a:extLst>
        </xdr:cNvPr>
        <xdr:cNvPicPr>
          <a:picLocks noChangeAspect="1"/>
        </xdr:cNvPicPr>
      </xdr:nvPicPr>
      <xdr:blipFill>
        <a:blip xmlns:r="http://schemas.openxmlformats.org/officeDocument/2006/relationships" r:embed="rId550"/>
        <a:stretch>
          <a:fillRect/>
        </a:stretch>
      </xdr:blipFill>
      <xdr:spPr>
        <a:prstGeom prst="rect">
          <a:avLst/>
        </a:prstGeom>
        <a:ln w="9525">
          <a:solidFill>
            <a:srgbClr val="000000"/>
          </a:solidFill>
          <a:prstDash val="solid"/>
        </a:ln>
      </xdr:spPr>
    </xdr:pic>
    <xdr:clientData/>
  </xdr:twoCellAnchor>
  <xdr:twoCellAnchor>
    <xdr:from>
      <xdr:col>3</xdr:col>
      <xdr:colOff>114300</xdr:colOff>
      <xdr:row>1437</xdr:row>
      <xdr:rowOff>28575</xdr:rowOff>
    </xdr:from>
    <xdr:to>
      <xdr:col>3</xdr:col>
      <xdr:colOff>1552575</xdr:colOff>
      <xdr:row>1437</xdr:row>
      <xdr:rowOff>1266825</xdr:rowOff>
    </xdr:to>
    <xdr:pic>
      <xdr:nvPicPr>
        <xdr:cNvPr id="555" name="Имя " descr="Descr ">
          <a:extLst>
            <a:ext uri="{FF2B5EF4-FFF2-40B4-BE49-F238E27FC236}">
              <a16:creationId xmlns:a16="http://schemas.microsoft.com/office/drawing/2014/main" id="{00000000-0008-0000-0000-00002B020000}"/>
            </a:ext>
          </a:extLst>
        </xdr:cNvPr>
        <xdr:cNvPicPr>
          <a:picLocks noChangeAspect="1"/>
        </xdr:cNvPicPr>
      </xdr:nvPicPr>
      <xdr:blipFill>
        <a:blip xmlns:r="http://schemas.openxmlformats.org/officeDocument/2006/relationships" r:embed="rId551"/>
        <a:stretch>
          <a:fillRect/>
        </a:stretch>
      </xdr:blipFill>
      <xdr:spPr>
        <a:prstGeom prst="rect">
          <a:avLst/>
        </a:prstGeom>
        <a:ln w="9525">
          <a:solidFill>
            <a:srgbClr val="000000"/>
          </a:solidFill>
          <a:prstDash val="solid"/>
        </a:ln>
      </xdr:spPr>
    </xdr:pic>
    <xdr:clientData/>
  </xdr:twoCellAnchor>
  <xdr:twoCellAnchor>
    <xdr:from>
      <xdr:col>3</xdr:col>
      <xdr:colOff>114300</xdr:colOff>
      <xdr:row>1438</xdr:row>
      <xdr:rowOff>28575</xdr:rowOff>
    </xdr:from>
    <xdr:to>
      <xdr:col>3</xdr:col>
      <xdr:colOff>1552575</xdr:colOff>
      <xdr:row>1438</xdr:row>
      <xdr:rowOff>1266825</xdr:rowOff>
    </xdr:to>
    <xdr:pic>
      <xdr:nvPicPr>
        <xdr:cNvPr id="556" name="Имя " descr="Descr ">
          <a:extLst>
            <a:ext uri="{FF2B5EF4-FFF2-40B4-BE49-F238E27FC236}">
              <a16:creationId xmlns:a16="http://schemas.microsoft.com/office/drawing/2014/main" id="{00000000-0008-0000-0000-00002C020000}"/>
            </a:ext>
          </a:extLst>
        </xdr:cNvPr>
        <xdr:cNvPicPr>
          <a:picLocks noChangeAspect="1"/>
        </xdr:cNvPicPr>
      </xdr:nvPicPr>
      <xdr:blipFill>
        <a:blip xmlns:r="http://schemas.openxmlformats.org/officeDocument/2006/relationships" r:embed="rId552"/>
        <a:stretch>
          <a:fillRect/>
        </a:stretch>
      </xdr:blipFill>
      <xdr:spPr>
        <a:prstGeom prst="rect">
          <a:avLst/>
        </a:prstGeom>
        <a:ln w="9525">
          <a:solidFill>
            <a:srgbClr val="000000"/>
          </a:solidFill>
          <a:prstDash val="solid"/>
        </a:ln>
      </xdr:spPr>
    </xdr:pic>
    <xdr:clientData/>
  </xdr:twoCellAnchor>
  <xdr:twoCellAnchor>
    <xdr:from>
      <xdr:col>3</xdr:col>
      <xdr:colOff>114300</xdr:colOff>
      <xdr:row>1439</xdr:row>
      <xdr:rowOff>28575</xdr:rowOff>
    </xdr:from>
    <xdr:to>
      <xdr:col>3</xdr:col>
      <xdr:colOff>1552575</xdr:colOff>
      <xdr:row>1439</xdr:row>
      <xdr:rowOff>1266825</xdr:rowOff>
    </xdr:to>
    <xdr:pic>
      <xdr:nvPicPr>
        <xdr:cNvPr id="557" name="Имя " descr="Descr ">
          <a:extLst>
            <a:ext uri="{FF2B5EF4-FFF2-40B4-BE49-F238E27FC236}">
              <a16:creationId xmlns:a16="http://schemas.microsoft.com/office/drawing/2014/main" id="{00000000-0008-0000-0000-00002D020000}"/>
            </a:ext>
          </a:extLst>
        </xdr:cNvPr>
        <xdr:cNvPicPr>
          <a:picLocks noChangeAspect="1"/>
        </xdr:cNvPicPr>
      </xdr:nvPicPr>
      <xdr:blipFill>
        <a:blip xmlns:r="http://schemas.openxmlformats.org/officeDocument/2006/relationships" r:embed="rId553"/>
        <a:stretch>
          <a:fillRect/>
        </a:stretch>
      </xdr:blipFill>
      <xdr:spPr>
        <a:prstGeom prst="rect">
          <a:avLst/>
        </a:prstGeom>
        <a:ln w="9525">
          <a:solidFill>
            <a:srgbClr val="000000"/>
          </a:solidFill>
          <a:prstDash val="solid"/>
        </a:ln>
      </xdr:spPr>
    </xdr:pic>
    <xdr:clientData/>
  </xdr:twoCellAnchor>
  <xdr:twoCellAnchor>
    <xdr:from>
      <xdr:col>3</xdr:col>
      <xdr:colOff>114300</xdr:colOff>
      <xdr:row>1440</xdr:row>
      <xdr:rowOff>28575</xdr:rowOff>
    </xdr:from>
    <xdr:to>
      <xdr:col>3</xdr:col>
      <xdr:colOff>1552575</xdr:colOff>
      <xdr:row>1440</xdr:row>
      <xdr:rowOff>1266825</xdr:rowOff>
    </xdr:to>
    <xdr:pic>
      <xdr:nvPicPr>
        <xdr:cNvPr id="558" name="Имя " descr="Descr ">
          <a:extLst>
            <a:ext uri="{FF2B5EF4-FFF2-40B4-BE49-F238E27FC236}">
              <a16:creationId xmlns:a16="http://schemas.microsoft.com/office/drawing/2014/main" id="{00000000-0008-0000-0000-00002E020000}"/>
            </a:ext>
          </a:extLst>
        </xdr:cNvPr>
        <xdr:cNvPicPr>
          <a:picLocks noChangeAspect="1"/>
        </xdr:cNvPicPr>
      </xdr:nvPicPr>
      <xdr:blipFill>
        <a:blip xmlns:r="http://schemas.openxmlformats.org/officeDocument/2006/relationships" r:embed="rId554"/>
        <a:stretch>
          <a:fillRect/>
        </a:stretch>
      </xdr:blipFill>
      <xdr:spPr>
        <a:prstGeom prst="rect">
          <a:avLst/>
        </a:prstGeom>
        <a:ln w="9525">
          <a:solidFill>
            <a:srgbClr val="000000"/>
          </a:solidFill>
          <a:prstDash val="solid"/>
        </a:ln>
      </xdr:spPr>
    </xdr:pic>
    <xdr:clientData/>
  </xdr:twoCellAnchor>
  <xdr:twoCellAnchor>
    <xdr:from>
      <xdr:col>3</xdr:col>
      <xdr:colOff>114300</xdr:colOff>
      <xdr:row>1441</xdr:row>
      <xdr:rowOff>28575</xdr:rowOff>
    </xdr:from>
    <xdr:to>
      <xdr:col>3</xdr:col>
      <xdr:colOff>1552575</xdr:colOff>
      <xdr:row>1441</xdr:row>
      <xdr:rowOff>1266825</xdr:rowOff>
    </xdr:to>
    <xdr:pic>
      <xdr:nvPicPr>
        <xdr:cNvPr id="559" name="Имя " descr="Descr ">
          <a:extLst>
            <a:ext uri="{FF2B5EF4-FFF2-40B4-BE49-F238E27FC236}">
              <a16:creationId xmlns:a16="http://schemas.microsoft.com/office/drawing/2014/main" id="{00000000-0008-0000-0000-00002F020000}"/>
            </a:ext>
          </a:extLst>
        </xdr:cNvPr>
        <xdr:cNvPicPr>
          <a:picLocks noChangeAspect="1"/>
        </xdr:cNvPicPr>
      </xdr:nvPicPr>
      <xdr:blipFill>
        <a:blip xmlns:r="http://schemas.openxmlformats.org/officeDocument/2006/relationships" r:embed="rId555"/>
        <a:stretch>
          <a:fillRect/>
        </a:stretch>
      </xdr:blipFill>
      <xdr:spPr>
        <a:prstGeom prst="rect">
          <a:avLst/>
        </a:prstGeom>
        <a:ln w="9525">
          <a:solidFill>
            <a:srgbClr val="000000"/>
          </a:solidFill>
          <a:prstDash val="solid"/>
        </a:ln>
      </xdr:spPr>
    </xdr:pic>
    <xdr:clientData/>
  </xdr:twoCellAnchor>
  <xdr:twoCellAnchor>
    <xdr:from>
      <xdr:col>3</xdr:col>
      <xdr:colOff>114300</xdr:colOff>
      <xdr:row>1442</xdr:row>
      <xdr:rowOff>28575</xdr:rowOff>
    </xdr:from>
    <xdr:to>
      <xdr:col>3</xdr:col>
      <xdr:colOff>1552575</xdr:colOff>
      <xdr:row>1442</xdr:row>
      <xdr:rowOff>1266825</xdr:rowOff>
    </xdr:to>
    <xdr:pic>
      <xdr:nvPicPr>
        <xdr:cNvPr id="560" name="Имя " descr="Descr ">
          <a:extLst>
            <a:ext uri="{FF2B5EF4-FFF2-40B4-BE49-F238E27FC236}">
              <a16:creationId xmlns:a16="http://schemas.microsoft.com/office/drawing/2014/main" id="{00000000-0008-0000-0000-000030020000}"/>
            </a:ext>
          </a:extLst>
        </xdr:cNvPr>
        <xdr:cNvPicPr>
          <a:picLocks noChangeAspect="1"/>
        </xdr:cNvPicPr>
      </xdr:nvPicPr>
      <xdr:blipFill>
        <a:blip xmlns:r="http://schemas.openxmlformats.org/officeDocument/2006/relationships" r:embed="rId556"/>
        <a:stretch>
          <a:fillRect/>
        </a:stretch>
      </xdr:blipFill>
      <xdr:spPr>
        <a:prstGeom prst="rect">
          <a:avLst/>
        </a:prstGeom>
        <a:ln w="9525">
          <a:solidFill>
            <a:srgbClr val="000000"/>
          </a:solidFill>
          <a:prstDash val="solid"/>
        </a:ln>
      </xdr:spPr>
    </xdr:pic>
    <xdr:clientData/>
  </xdr:twoCellAnchor>
  <xdr:twoCellAnchor>
    <xdr:from>
      <xdr:col>3</xdr:col>
      <xdr:colOff>114300</xdr:colOff>
      <xdr:row>1443</xdr:row>
      <xdr:rowOff>28575</xdr:rowOff>
    </xdr:from>
    <xdr:to>
      <xdr:col>3</xdr:col>
      <xdr:colOff>1552575</xdr:colOff>
      <xdr:row>1443</xdr:row>
      <xdr:rowOff>1266825</xdr:rowOff>
    </xdr:to>
    <xdr:pic>
      <xdr:nvPicPr>
        <xdr:cNvPr id="561" name="Имя " descr="Descr ">
          <a:extLst>
            <a:ext uri="{FF2B5EF4-FFF2-40B4-BE49-F238E27FC236}">
              <a16:creationId xmlns:a16="http://schemas.microsoft.com/office/drawing/2014/main" id="{00000000-0008-0000-0000-000031020000}"/>
            </a:ext>
          </a:extLst>
        </xdr:cNvPr>
        <xdr:cNvPicPr>
          <a:picLocks noChangeAspect="1"/>
        </xdr:cNvPicPr>
      </xdr:nvPicPr>
      <xdr:blipFill>
        <a:blip xmlns:r="http://schemas.openxmlformats.org/officeDocument/2006/relationships" r:embed="rId557"/>
        <a:stretch>
          <a:fillRect/>
        </a:stretch>
      </xdr:blipFill>
      <xdr:spPr>
        <a:prstGeom prst="rect">
          <a:avLst/>
        </a:prstGeom>
        <a:ln w="9525">
          <a:solidFill>
            <a:srgbClr val="000000"/>
          </a:solidFill>
          <a:prstDash val="solid"/>
        </a:ln>
      </xdr:spPr>
    </xdr:pic>
    <xdr:clientData/>
  </xdr:twoCellAnchor>
  <xdr:twoCellAnchor>
    <xdr:from>
      <xdr:col>3</xdr:col>
      <xdr:colOff>114300</xdr:colOff>
      <xdr:row>1444</xdr:row>
      <xdr:rowOff>28575</xdr:rowOff>
    </xdr:from>
    <xdr:to>
      <xdr:col>3</xdr:col>
      <xdr:colOff>1552575</xdr:colOff>
      <xdr:row>1444</xdr:row>
      <xdr:rowOff>1266825</xdr:rowOff>
    </xdr:to>
    <xdr:pic>
      <xdr:nvPicPr>
        <xdr:cNvPr id="562" name="Имя " descr="Descr ">
          <a:extLst>
            <a:ext uri="{FF2B5EF4-FFF2-40B4-BE49-F238E27FC236}">
              <a16:creationId xmlns:a16="http://schemas.microsoft.com/office/drawing/2014/main" id="{00000000-0008-0000-0000-000032020000}"/>
            </a:ext>
          </a:extLst>
        </xdr:cNvPr>
        <xdr:cNvPicPr>
          <a:picLocks noChangeAspect="1"/>
        </xdr:cNvPicPr>
      </xdr:nvPicPr>
      <xdr:blipFill>
        <a:blip xmlns:r="http://schemas.openxmlformats.org/officeDocument/2006/relationships" r:embed="rId558"/>
        <a:stretch>
          <a:fillRect/>
        </a:stretch>
      </xdr:blipFill>
      <xdr:spPr>
        <a:prstGeom prst="rect">
          <a:avLst/>
        </a:prstGeom>
        <a:ln w="9525">
          <a:solidFill>
            <a:srgbClr val="000000"/>
          </a:solidFill>
          <a:prstDash val="solid"/>
        </a:ln>
      </xdr:spPr>
    </xdr:pic>
    <xdr:clientData/>
  </xdr:twoCellAnchor>
  <xdr:twoCellAnchor>
    <xdr:from>
      <xdr:col>3</xdr:col>
      <xdr:colOff>114300</xdr:colOff>
      <xdr:row>1445</xdr:row>
      <xdr:rowOff>28575</xdr:rowOff>
    </xdr:from>
    <xdr:to>
      <xdr:col>3</xdr:col>
      <xdr:colOff>1552575</xdr:colOff>
      <xdr:row>1445</xdr:row>
      <xdr:rowOff>1266825</xdr:rowOff>
    </xdr:to>
    <xdr:pic>
      <xdr:nvPicPr>
        <xdr:cNvPr id="563" name="Имя " descr="Descr ">
          <a:extLst>
            <a:ext uri="{FF2B5EF4-FFF2-40B4-BE49-F238E27FC236}">
              <a16:creationId xmlns:a16="http://schemas.microsoft.com/office/drawing/2014/main" id="{00000000-0008-0000-0000-000033020000}"/>
            </a:ext>
          </a:extLst>
        </xdr:cNvPr>
        <xdr:cNvPicPr>
          <a:picLocks noChangeAspect="1"/>
        </xdr:cNvPicPr>
      </xdr:nvPicPr>
      <xdr:blipFill>
        <a:blip xmlns:r="http://schemas.openxmlformats.org/officeDocument/2006/relationships" r:embed="rId559"/>
        <a:stretch>
          <a:fillRect/>
        </a:stretch>
      </xdr:blipFill>
      <xdr:spPr>
        <a:prstGeom prst="rect">
          <a:avLst/>
        </a:prstGeom>
        <a:ln w="9525">
          <a:solidFill>
            <a:srgbClr val="000000"/>
          </a:solidFill>
          <a:prstDash val="solid"/>
        </a:ln>
      </xdr:spPr>
    </xdr:pic>
    <xdr:clientData/>
  </xdr:twoCellAnchor>
  <xdr:twoCellAnchor>
    <xdr:from>
      <xdr:col>3</xdr:col>
      <xdr:colOff>114300</xdr:colOff>
      <xdr:row>1446</xdr:row>
      <xdr:rowOff>28575</xdr:rowOff>
    </xdr:from>
    <xdr:to>
      <xdr:col>3</xdr:col>
      <xdr:colOff>1552575</xdr:colOff>
      <xdr:row>1446</xdr:row>
      <xdr:rowOff>1266825</xdr:rowOff>
    </xdr:to>
    <xdr:pic>
      <xdr:nvPicPr>
        <xdr:cNvPr id="564" name="Имя " descr="Descr ">
          <a:extLst>
            <a:ext uri="{FF2B5EF4-FFF2-40B4-BE49-F238E27FC236}">
              <a16:creationId xmlns:a16="http://schemas.microsoft.com/office/drawing/2014/main" id="{00000000-0008-0000-0000-000034020000}"/>
            </a:ext>
          </a:extLst>
        </xdr:cNvPr>
        <xdr:cNvPicPr>
          <a:picLocks noChangeAspect="1"/>
        </xdr:cNvPicPr>
      </xdr:nvPicPr>
      <xdr:blipFill>
        <a:blip xmlns:r="http://schemas.openxmlformats.org/officeDocument/2006/relationships" r:embed="rId560"/>
        <a:stretch>
          <a:fillRect/>
        </a:stretch>
      </xdr:blipFill>
      <xdr:spPr>
        <a:prstGeom prst="rect">
          <a:avLst/>
        </a:prstGeom>
        <a:ln w="9525">
          <a:solidFill>
            <a:srgbClr val="000000"/>
          </a:solidFill>
          <a:prstDash val="solid"/>
        </a:ln>
      </xdr:spPr>
    </xdr:pic>
    <xdr:clientData/>
  </xdr:twoCellAnchor>
  <xdr:twoCellAnchor>
    <xdr:from>
      <xdr:col>3</xdr:col>
      <xdr:colOff>114300</xdr:colOff>
      <xdr:row>1447</xdr:row>
      <xdr:rowOff>28575</xdr:rowOff>
    </xdr:from>
    <xdr:to>
      <xdr:col>3</xdr:col>
      <xdr:colOff>1552575</xdr:colOff>
      <xdr:row>1447</xdr:row>
      <xdr:rowOff>1266825</xdr:rowOff>
    </xdr:to>
    <xdr:pic>
      <xdr:nvPicPr>
        <xdr:cNvPr id="565" name="Имя " descr="Descr ">
          <a:extLst>
            <a:ext uri="{FF2B5EF4-FFF2-40B4-BE49-F238E27FC236}">
              <a16:creationId xmlns:a16="http://schemas.microsoft.com/office/drawing/2014/main" id="{00000000-0008-0000-0000-000035020000}"/>
            </a:ext>
          </a:extLst>
        </xdr:cNvPr>
        <xdr:cNvPicPr>
          <a:picLocks noChangeAspect="1"/>
        </xdr:cNvPicPr>
      </xdr:nvPicPr>
      <xdr:blipFill>
        <a:blip xmlns:r="http://schemas.openxmlformats.org/officeDocument/2006/relationships" r:embed="rId561"/>
        <a:stretch>
          <a:fillRect/>
        </a:stretch>
      </xdr:blipFill>
      <xdr:spPr>
        <a:prstGeom prst="rect">
          <a:avLst/>
        </a:prstGeom>
        <a:ln w="9525">
          <a:solidFill>
            <a:srgbClr val="000000"/>
          </a:solidFill>
          <a:prstDash val="solid"/>
        </a:ln>
      </xdr:spPr>
    </xdr:pic>
    <xdr:clientData/>
  </xdr:twoCellAnchor>
  <xdr:twoCellAnchor>
    <xdr:from>
      <xdr:col>3</xdr:col>
      <xdr:colOff>114300</xdr:colOff>
      <xdr:row>1448</xdr:row>
      <xdr:rowOff>28575</xdr:rowOff>
    </xdr:from>
    <xdr:to>
      <xdr:col>3</xdr:col>
      <xdr:colOff>1552575</xdr:colOff>
      <xdr:row>1448</xdr:row>
      <xdr:rowOff>1266825</xdr:rowOff>
    </xdr:to>
    <xdr:pic>
      <xdr:nvPicPr>
        <xdr:cNvPr id="566" name="Имя " descr="Descr ">
          <a:extLst>
            <a:ext uri="{FF2B5EF4-FFF2-40B4-BE49-F238E27FC236}">
              <a16:creationId xmlns:a16="http://schemas.microsoft.com/office/drawing/2014/main" id="{00000000-0008-0000-0000-000036020000}"/>
            </a:ext>
          </a:extLst>
        </xdr:cNvPr>
        <xdr:cNvPicPr>
          <a:picLocks noChangeAspect="1"/>
        </xdr:cNvPicPr>
      </xdr:nvPicPr>
      <xdr:blipFill>
        <a:blip xmlns:r="http://schemas.openxmlformats.org/officeDocument/2006/relationships" r:embed="rId562"/>
        <a:stretch>
          <a:fillRect/>
        </a:stretch>
      </xdr:blipFill>
      <xdr:spPr>
        <a:prstGeom prst="rect">
          <a:avLst/>
        </a:prstGeom>
        <a:ln w="9525">
          <a:solidFill>
            <a:srgbClr val="000000"/>
          </a:solidFill>
          <a:prstDash val="solid"/>
        </a:ln>
      </xdr:spPr>
    </xdr:pic>
    <xdr:clientData/>
  </xdr:twoCellAnchor>
  <xdr:twoCellAnchor>
    <xdr:from>
      <xdr:col>3</xdr:col>
      <xdr:colOff>114300</xdr:colOff>
      <xdr:row>1449</xdr:row>
      <xdr:rowOff>28575</xdr:rowOff>
    </xdr:from>
    <xdr:to>
      <xdr:col>3</xdr:col>
      <xdr:colOff>1552575</xdr:colOff>
      <xdr:row>1449</xdr:row>
      <xdr:rowOff>1266825</xdr:rowOff>
    </xdr:to>
    <xdr:pic>
      <xdr:nvPicPr>
        <xdr:cNvPr id="567" name="Имя " descr="Descr ">
          <a:extLst>
            <a:ext uri="{FF2B5EF4-FFF2-40B4-BE49-F238E27FC236}">
              <a16:creationId xmlns:a16="http://schemas.microsoft.com/office/drawing/2014/main" id="{00000000-0008-0000-0000-000037020000}"/>
            </a:ext>
          </a:extLst>
        </xdr:cNvPr>
        <xdr:cNvPicPr>
          <a:picLocks noChangeAspect="1"/>
        </xdr:cNvPicPr>
      </xdr:nvPicPr>
      <xdr:blipFill>
        <a:blip xmlns:r="http://schemas.openxmlformats.org/officeDocument/2006/relationships" r:embed="rId563"/>
        <a:stretch>
          <a:fillRect/>
        </a:stretch>
      </xdr:blipFill>
      <xdr:spPr>
        <a:prstGeom prst="rect">
          <a:avLst/>
        </a:prstGeom>
        <a:ln w="9525">
          <a:solidFill>
            <a:srgbClr val="000000"/>
          </a:solidFill>
          <a:prstDash val="solid"/>
        </a:ln>
      </xdr:spPr>
    </xdr:pic>
    <xdr:clientData/>
  </xdr:twoCellAnchor>
  <xdr:twoCellAnchor>
    <xdr:from>
      <xdr:col>3</xdr:col>
      <xdr:colOff>114300</xdr:colOff>
      <xdr:row>1450</xdr:row>
      <xdr:rowOff>28575</xdr:rowOff>
    </xdr:from>
    <xdr:to>
      <xdr:col>3</xdr:col>
      <xdr:colOff>1552575</xdr:colOff>
      <xdr:row>1450</xdr:row>
      <xdr:rowOff>1266825</xdr:rowOff>
    </xdr:to>
    <xdr:pic>
      <xdr:nvPicPr>
        <xdr:cNvPr id="568" name="Имя " descr="Descr ">
          <a:extLst>
            <a:ext uri="{FF2B5EF4-FFF2-40B4-BE49-F238E27FC236}">
              <a16:creationId xmlns:a16="http://schemas.microsoft.com/office/drawing/2014/main" id="{00000000-0008-0000-0000-000038020000}"/>
            </a:ext>
          </a:extLst>
        </xdr:cNvPr>
        <xdr:cNvPicPr>
          <a:picLocks noChangeAspect="1"/>
        </xdr:cNvPicPr>
      </xdr:nvPicPr>
      <xdr:blipFill>
        <a:blip xmlns:r="http://schemas.openxmlformats.org/officeDocument/2006/relationships" r:embed="rId564"/>
        <a:stretch>
          <a:fillRect/>
        </a:stretch>
      </xdr:blipFill>
      <xdr:spPr>
        <a:prstGeom prst="rect">
          <a:avLst/>
        </a:prstGeom>
        <a:ln w="9525">
          <a:solidFill>
            <a:srgbClr val="000000"/>
          </a:solidFill>
          <a:prstDash val="solid"/>
        </a:ln>
      </xdr:spPr>
    </xdr:pic>
    <xdr:clientData/>
  </xdr:twoCellAnchor>
  <xdr:twoCellAnchor>
    <xdr:from>
      <xdr:col>3</xdr:col>
      <xdr:colOff>114300</xdr:colOff>
      <xdr:row>1451</xdr:row>
      <xdr:rowOff>28575</xdr:rowOff>
    </xdr:from>
    <xdr:to>
      <xdr:col>3</xdr:col>
      <xdr:colOff>1552575</xdr:colOff>
      <xdr:row>1451</xdr:row>
      <xdr:rowOff>1266825</xdr:rowOff>
    </xdr:to>
    <xdr:pic>
      <xdr:nvPicPr>
        <xdr:cNvPr id="569" name="Имя " descr="Descr ">
          <a:extLst>
            <a:ext uri="{FF2B5EF4-FFF2-40B4-BE49-F238E27FC236}">
              <a16:creationId xmlns:a16="http://schemas.microsoft.com/office/drawing/2014/main" id="{00000000-0008-0000-0000-000039020000}"/>
            </a:ext>
          </a:extLst>
        </xdr:cNvPr>
        <xdr:cNvPicPr>
          <a:picLocks noChangeAspect="1"/>
        </xdr:cNvPicPr>
      </xdr:nvPicPr>
      <xdr:blipFill>
        <a:blip xmlns:r="http://schemas.openxmlformats.org/officeDocument/2006/relationships" r:embed="rId565"/>
        <a:stretch>
          <a:fillRect/>
        </a:stretch>
      </xdr:blipFill>
      <xdr:spPr>
        <a:prstGeom prst="rect">
          <a:avLst/>
        </a:prstGeom>
        <a:ln w="9525">
          <a:solidFill>
            <a:srgbClr val="000000"/>
          </a:solidFill>
          <a:prstDash val="solid"/>
        </a:ln>
      </xdr:spPr>
    </xdr:pic>
    <xdr:clientData/>
  </xdr:twoCellAnchor>
  <xdr:twoCellAnchor>
    <xdr:from>
      <xdr:col>3</xdr:col>
      <xdr:colOff>114300</xdr:colOff>
      <xdr:row>1452</xdr:row>
      <xdr:rowOff>28575</xdr:rowOff>
    </xdr:from>
    <xdr:to>
      <xdr:col>3</xdr:col>
      <xdr:colOff>1552575</xdr:colOff>
      <xdr:row>1452</xdr:row>
      <xdr:rowOff>1266825</xdr:rowOff>
    </xdr:to>
    <xdr:pic>
      <xdr:nvPicPr>
        <xdr:cNvPr id="570" name="Имя " descr="Descr ">
          <a:extLst>
            <a:ext uri="{FF2B5EF4-FFF2-40B4-BE49-F238E27FC236}">
              <a16:creationId xmlns:a16="http://schemas.microsoft.com/office/drawing/2014/main" id="{00000000-0008-0000-0000-00003A020000}"/>
            </a:ext>
          </a:extLst>
        </xdr:cNvPr>
        <xdr:cNvPicPr>
          <a:picLocks noChangeAspect="1"/>
        </xdr:cNvPicPr>
      </xdr:nvPicPr>
      <xdr:blipFill>
        <a:blip xmlns:r="http://schemas.openxmlformats.org/officeDocument/2006/relationships" r:embed="rId566"/>
        <a:stretch>
          <a:fillRect/>
        </a:stretch>
      </xdr:blipFill>
      <xdr:spPr>
        <a:prstGeom prst="rect">
          <a:avLst/>
        </a:prstGeom>
        <a:ln w="9525">
          <a:solidFill>
            <a:srgbClr val="000000"/>
          </a:solidFill>
          <a:prstDash val="solid"/>
        </a:ln>
      </xdr:spPr>
    </xdr:pic>
    <xdr:clientData/>
  </xdr:twoCellAnchor>
  <xdr:twoCellAnchor>
    <xdr:from>
      <xdr:col>3</xdr:col>
      <xdr:colOff>114300</xdr:colOff>
      <xdr:row>1453</xdr:row>
      <xdr:rowOff>28575</xdr:rowOff>
    </xdr:from>
    <xdr:to>
      <xdr:col>3</xdr:col>
      <xdr:colOff>1552575</xdr:colOff>
      <xdr:row>1453</xdr:row>
      <xdr:rowOff>1266825</xdr:rowOff>
    </xdr:to>
    <xdr:pic>
      <xdr:nvPicPr>
        <xdr:cNvPr id="571" name="Имя " descr="Descr ">
          <a:extLst>
            <a:ext uri="{FF2B5EF4-FFF2-40B4-BE49-F238E27FC236}">
              <a16:creationId xmlns:a16="http://schemas.microsoft.com/office/drawing/2014/main" id="{00000000-0008-0000-0000-00003B020000}"/>
            </a:ext>
          </a:extLst>
        </xdr:cNvPr>
        <xdr:cNvPicPr>
          <a:picLocks noChangeAspect="1"/>
        </xdr:cNvPicPr>
      </xdr:nvPicPr>
      <xdr:blipFill>
        <a:blip xmlns:r="http://schemas.openxmlformats.org/officeDocument/2006/relationships" r:embed="rId567"/>
        <a:stretch>
          <a:fillRect/>
        </a:stretch>
      </xdr:blipFill>
      <xdr:spPr>
        <a:prstGeom prst="rect">
          <a:avLst/>
        </a:prstGeom>
        <a:ln w="9525">
          <a:solidFill>
            <a:srgbClr val="000000"/>
          </a:solidFill>
          <a:prstDash val="solid"/>
        </a:ln>
      </xdr:spPr>
    </xdr:pic>
    <xdr:clientData/>
  </xdr:twoCellAnchor>
  <xdr:twoCellAnchor>
    <xdr:from>
      <xdr:col>3</xdr:col>
      <xdr:colOff>114300</xdr:colOff>
      <xdr:row>1454</xdr:row>
      <xdr:rowOff>28575</xdr:rowOff>
    </xdr:from>
    <xdr:to>
      <xdr:col>3</xdr:col>
      <xdr:colOff>1552575</xdr:colOff>
      <xdr:row>1454</xdr:row>
      <xdr:rowOff>1266825</xdr:rowOff>
    </xdr:to>
    <xdr:pic>
      <xdr:nvPicPr>
        <xdr:cNvPr id="572" name="Имя " descr="Descr ">
          <a:extLst>
            <a:ext uri="{FF2B5EF4-FFF2-40B4-BE49-F238E27FC236}">
              <a16:creationId xmlns:a16="http://schemas.microsoft.com/office/drawing/2014/main" id="{00000000-0008-0000-0000-00003C020000}"/>
            </a:ext>
          </a:extLst>
        </xdr:cNvPr>
        <xdr:cNvPicPr>
          <a:picLocks noChangeAspect="1"/>
        </xdr:cNvPicPr>
      </xdr:nvPicPr>
      <xdr:blipFill>
        <a:blip xmlns:r="http://schemas.openxmlformats.org/officeDocument/2006/relationships" r:embed="rId568"/>
        <a:stretch>
          <a:fillRect/>
        </a:stretch>
      </xdr:blipFill>
      <xdr:spPr>
        <a:prstGeom prst="rect">
          <a:avLst/>
        </a:prstGeom>
        <a:ln w="9525">
          <a:solidFill>
            <a:srgbClr val="000000"/>
          </a:solidFill>
          <a:prstDash val="solid"/>
        </a:ln>
      </xdr:spPr>
    </xdr:pic>
    <xdr:clientData/>
  </xdr:twoCellAnchor>
  <xdr:twoCellAnchor>
    <xdr:from>
      <xdr:col>3</xdr:col>
      <xdr:colOff>114300</xdr:colOff>
      <xdr:row>1455</xdr:row>
      <xdr:rowOff>28575</xdr:rowOff>
    </xdr:from>
    <xdr:to>
      <xdr:col>3</xdr:col>
      <xdr:colOff>1552575</xdr:colOff>
      <xdr:row>1455</xdr:row>
      <xdr:rowOff>1266825</xdr:rowOff>
    </xdr:to>
    <xdr:pic>
      <xdr:nvPicPr>
        <xdr:cNvPr id="573" name="Имя " descr="Descr ">
          <a:extLst>
            <a:ext uri="{FF2B5EF4-FFF2-40B4-BE49-F238E27FC236}">
              <a16:creationId xmlns:a16="http://schemas.microsoft.com/office/drawing/2014/main" id="{00000000-0008-0000-0000-00003D020000}"/>
            </a:ext>
          </a:extLst>
        </xdr:cNvPr>
        <xdr:cNvPicPr>
          <a:picLocks noChangeAspect="1"/>
        </xdr:cNvPicPr>
      </xdr:nvPicPr>
      <xdr:blipFill>
        <a:blip xmlns:r="http://schemas.openxmlformats.org/officeDocument/2006/relationships" r:embed="rId567"/>
        <a:stretch>
          <a:fillRect/>
        </a:stretch>
      </xdr:blipFill>
      <xdr:spPr>
        <a:prstGeom prst="rect">
          <a:avLst/>
        </a:prstGeom>
        <a:ln w="9525">
          <a:solidFill>
            <a:srgbClr val="000000"/>
          </a:solidFill>
          <a:prstDash val="solid"/>
        </a:ln>
      </xdr:spPr>
    </xdr:pic>
    <xdr:clientData/>
  </xdr:twoCellAnchor>
  <xdr:twoCellAnchor>
    <xdr:from>
      <xdr:col>3</xdr:col>
      <xdr:colOff>114300</xdr:colOff>
      <xdr:row>1456</xdr:row>
      <xdr:rowOff>28575</xdr:rowOff>
    </xdr:from>
    <xdr:to>
      <xdr:col>3</xdr:col>
      <xdr:colOff>1552575</xdr:colOff>
      <xdr:row>1456</xdr:row>
      <xdr:rowOff>1266825</xdr:rowOff>
    </xdr:to>
    <xdr:pic>
      <xdr:nvPicPr>
        <xdr:cNvPr id="574" name="Имя " descr="Descr ">
          <a:extLst>
            <a:ext uri="{FF2B5EF4-FFF2-40B4-BE49-F238E27FC236}">
              <a16:creationId xmlns:a16="http://schemas.microsoft.com/office/drawing/2014/main" id="{00000000-0008-0000-0000-00003E020000}"/>
            </a:ext>
          </a:extLst>
        </xdr:cNvPr>
        <xdr:cNvPicPr>
          <a:picLocks noChangeAspect="1"/>
        </xdr:cNvPicPr>
      </xdr:nvPicPr>
      <xdr:blipFill>
        <a:blip xmlns:r="http://schemas.openxmlformats.org/officeDocument/2006/relationships" r:embed="rId569"/>
        <a:stretch>
          <a:fillRect/>
        </a:stretch>
      </xdr:blipFill>
      <xdr:spPr>
        <a:prstGeom prst="rect">
          <a:avLst/>
        </a:prstGeom>
        <a:ln w="9525">
          <a:solidFill>
            <a:srgbClr val="000000"/>
          </a:solidFill>
          <a:prstDash val="solid"/>
        </a:ln>
      </xdr:spPr>
    </xdr:pic>
    <xdr:clientData/>
  </xdr:twoCellAnchor>
  <xdr:twoCellAnchor>
    <xdr:from>
      <xdr:col>3</xdr:col>
      <xdr:colOff>114300</xdr:colOff>
      <xdr:row>1457</xdr:row>
      <xdr:rowOff>28575</xdr:rowOff>
    </xdr:from>
    <xdr:to>
      <xdr:col>3</xdr:col>
      <xdr:colOff>1552575</xdr:colOff>
      <xdr:row>1457</xdr:row>
      <xdr:rowOff>1266825</xdr:rowOff>
    </xdr:to>
    <xdr:pic>
      <xdr:nvPicPr>
        <xdr:cNvPr id="575" name="Имя " descr="Descr ">
          <a:extLst>
            <a:ext uri="{FF2B5EF4-FFF2-40B4-BE49-F238E27FC236}">
              <a16:creationId xmlns:a16="http://schemas.microsoft.com/office/drawing/2014/main" id="{00000000-0008-0000-0000-00003F020000}"/>
            </a:ext>
          </a:extLst>
        </xdr:cNvPr>
        <xdr:cNvPicPr>
          <a:picLocks noChangeAspect="1"/>
        </xdr:cNvPicPr>
      </xdr:nvPicPr>
      <xdr:blipFill>
        <a:blip xmlns:r="http://schemas.openxmlformats.org/officeDocument/2006/relationships" r:embed="rId570"/>
        <a:stretch>
          <a:fillRect/>
        </a:stretch>
      </xdr:blipFill>
      <xdr:spPr>
        <a:prstGeom prst="rect">
          <a:avLst/>
        </a:prstGeom>
        <a:ln w="9525">
          <a:solidFill>
            <a:srgbClr val="000000"/>
          </a:solidFill>
          <a:prstDash val="solid"/>
        </a:ln>
      </xdr:spPr>
    </xdr:pic>
    <xdr:clientData/>
  </xdr:twoCellAnchor>
  <xdr:twoCellAnchor>
    <xdr:from>
      <xdr:col>3</xdr:col>
      <xdr:colOff>114300</xdr:colOff>
      <xdr:row>1458</xdr:row>
      <xdr:rowOff>28575</xdr:rowOff>
    </xdr:from>
    <xdr:to>
      <xdr:col>3</xdr:col>
      <xdr:colOff>1552575</xdr:colOff>
      <xdr:row>1458</xdr:row>
      <xdr:rowOff>1266825</xdr:rowOff>
    </xdr:to>
    <xdr:pic>
      <xdr:nvPicPr>
        <xdr:cNvPr id="576" name="Имя " descr="Descr ">
          <a:extLst>
            <a:ext uri="{FF2B5EF4-FFF2-40B4-BE49-F238E27FC236}">
              <a16:creationId xmlns:a16="http://schemas.microsoft.com/office/drawing/2014/main" id="{00000000-0008-0000-0000-000040020000}"/>
            </a:ext>
          </a:extLst>
        </xdr:cNvPr>
        <xdr:cNvPicPr>
          <a:picLocks noChangeAspect="1"/>
        </xdr:cNvPicPr>
      </xdr:nvPicPr>
      <xdr:blipFill>
        <a:blip xmlns:r="http://schemas.openxmlformats.org/officeDocument/2006/relationships" r:embed="rId571"/>
        <a:stretch>
          <a:fillRect/>
        </a:stretch>
      </xdr:blipFill>
      <xdr:spPr>
        <a:prstGeom prst="rect">
          <a:avLst/>
        </a:prstGeom>
        <a:ln w="9525">
          <a:solidFill>
            <a:srgbClr val="000000"/>
          </a:solidFill>
          <a:prstDash val="solid"/>
        </a:ln>
      </xdr:spPr>
    </xdr:pic>
    <xdr:clientData/>
  </xdr:twoCellAnchor>
  <xdr:twoCellAnchor>
    <xdr:from>
      <xdr:col>3</xdr:col>
      <xdr:colOff>114300</xdr:colOff>
      <xdr:row>1459</xdr:row>
      <xdr:rowOff>28575</xdr:rowOff>
    </xdr:from>
    <xdr:to>
      <xdr:col>3</xdr:col>
      <xdr:colOff>1552575</xdr:colOff>
      <xdr:row>1459</xdr:row>
      <xdr:rowOff>1266825</xdr:rowOff>
    </xdr:to>
    <xdr:pic>
      <xdr:nvPicPr>
        <xdr:cNvPr id="577" name="Имя " descr="Descr ">
          <a:extLst>
            <a:ext uri="{FF2B5EF4-FFF2-40B4-BE49-F238E27FC236}">
              <a16:creationId xmlns:a16="http://schemas.microsoft.com/office/drawing/2014/main" id="{00000000-0008-0000-0000-000041020000}"/>
            </a:ext>
          </a:extLst>
        </xdr:cNvPr>
        <xdr:cNvPicPr>
          <a:picLocks noChangeAspect="1"/>
        </xdr:cNvPicPr>
      </xdr:nvPicPr>
      <xdr:blipFill>
        <a:blip xmlns:r="http://schemas.openxmlformats.org/officeDocument/2006/relationships" r:embed="rId572"/>
        <a:stretch>
          <a:fillRect/>
        </a:stretch>
      </xdr:blipFill>
      <xdr:spPr>
        <a:prstGeom prst="rect">
          <a:avLst/>
        </a:prstGeom>
        <a:ln w="9525">
          <a:solidFill>
            <a:srgbClr val="000000"/>
          </a:solidFill>
          <a:prstDash val="solid"/>
        </a:ln>
      </xdr:spPr>
    </xdr:pic>
    <xdr:clientData/>
  </xdr:twoCellAnchor>
  <xdr:twoCellAnchor>
    <xdr:from>
      <xdr:col>3</xdr:col>
      <xdr:colOff>114300</xdr:colOff>
      <xdr:row>1460</xdr:row>
      <xdr:rowOff>28575</xdr:rowOff>
    </xdr:from>
    <xdr:to>
      <xdr:col>3</xdr:col>
      <xdr:colOff>1552575</xdr:colOff>
      <xdr:row>1460</xdr:row>
      <xdr:rowOff>1266825</xdr:rowOff>
    </xdr:to>
    <xdr:pic>
      <xdr:nvPicPr>
        <xdr:cNvPr id="578" name="Имя " descr="Descr ">
          <a:extLst>
            <a:ext uri="{FF2B5EF4-FFF2-40B4-BE49-F238E27FC236}">
              <a16:creationId xmlns:a16="http://schemas.microsoft.com/office/drawing/2014/main" id="{00000000-0008-0000-0000-000042020000}"/>
            </a:ext>
          </a:extLst>
        </xdr:cNvPr>
        <xdr:cNvPicPr>
          <a:picLocks noChangeAspect="1"/>
        </xdr:cNvPicPr>
      </xdr:nvPicPr>
      <xdr:blipFill>
        <a:blip xmlns:r="http://schemas.openxmlformats.org/officeDocument/2006/relationships" r:embed="rId572"/>
        <a:stretch>
          <a:fillRect/>
        </a:stretch>
      </xdr:blipFill>
      <xdr:spPr>
        <a:prstGeom prst="rect">
          <a:avLst/>
        </a:prstGeom>
        <a:ln w="9525">
          <a:solidFill>
            <a:srgbClr val="000000"/>
          </a:solidFill>
          <a:prstDash val="solid"/>
        </a:ln>
      </xdr:spPr>
    </xdr:pic>
    <xdr:clientData/>
  </xdr:twoCellAnchor>
  <xdr:twoCellAnchor>
    <xdr:from>
      <xdr:col>3</xdr:col>
      <xdr:colOff>114300</xdr:colOff>
      <xdr:row>1461</xdr:row>
      <xdr:rowOff>28575</xdr:rowOff>
    </xdr:from>
    <xdr:to>
      <xdr:col>3</xdr:col>
      <xdr:colOff>1552575</xdr:colOff>
      <xdr:row>1461</xdr:row>
      <xdr:rowOff>1266825</xdr:rowOff>
    </xdr:to>
    <xdr:pic>
      <xdr:nvPicPr>
        <xdr:cNvPr id="579" name="Имя " descr="Descr ">
          <a:extLst>
            <a:ext uri="{FF2B5EF4-FFF2-40B4-BE49-F238E27FC236}">
              <a16:creationId xmlns:a16="http://schemas.microsoft.com/office/drawing/2014/main" id="{00000000-0008-0000-0000-000043020000}"/>
            </a:ext>
          </a:extLst>
        </xdr:cNvPr>
        <xdr:cNvPicPr>
          <a:picLocks noChangeAspect="1"/>
        </xdr:cNvPicPr>
      </xdr:nvPicPr>
      <xdr:blipFill>
        <a:blip xmlns:r="http://schemas.openxmlformats.org/officeDocument/2006/relationships" r:embed="rId573"/>
        <a:stretch>
          <a:fillRect/>
        </a:stretch>
      </xdr:blipFill>
      <xdr:spPr>
        <a:prstGeom prst="rect">
          <a:avLst/>
        </a:prstGeom>
        <a:ln w="9525">
          <a:solidFill>
            <a:srgbClr val="000000"/>
          </a:solidFill>
          <a:prstDash val="solid"/>
        </a:ln>
      </xdr:spPr>
    </xdr:pic>
    <xdr:clientData/>
  </xdr:twoCellAnchor>
  <xdr:twoCellAnchor>
    <xdr:from>
      <xdr:col>3</xdr:col>
      <xdr:colOff>114300</xdr:colOff>
      <xdr:row>1462</xdr:row>
      <xdr:rowOff>28575</xdr:rowOff>
    </xdr:from>
    <xdr:to>
      <xdr:col>3</xdr:col>
      <xdr:colOff>1552575</xdr:colOff>
      <xdr:row>1462</xdr:row>
      <xdr:rowOff>1266825</xdr:rowOff>
    </xdr:to>
    <xdr:pic>
      <xdr:nvPicPr>
        <xdr:cNvPr id="580" name="Имя " descr="Descr ">
          <a:extLst>
            <a:ext uri="{FF2B5EF4-FFF2-40B4-BE49-F238E27FC236}">
              <a16:creationId xmlns:a16="http://schemas.microsoft.com/office/drawing/2014/main" id="{00000000-0008-0000-0000-000044020000}"/>
            </a:ext>
          </a:extLst>
        </xdr:cNvPr>
        <xdr:cNvPicPr>
          <a:picLocks noChangeAspect="1"/>
        </xdr:cNvPicPr>
      </xdr:nvPicPr>
      <xdr:blipFill>
        <a:blip xmlns:r="http://schemas.openxmlformats.org/officeDocument/2006/relationships" r:embed="rId573"/>
        <a:stretch>
          <a:fillRect/>
        </a:stretch>
      </xdr:blipFill>
      <xdr:spPr>
        <a:prstGeom prst="rect">
          <a:avLst/>
        </a:prstGeom>
        <a:ln w="9525">
          <a:solidFill>
            <a:srgbClr val="000000"/>
          </a:solidFill>
          <a:prstDash val="solid"/>
        </a:ln>
      </xdr:spPr>
    </xdr:pic>
    <xdr:clientData/>
  </xdr:twoCellAnchor>
  <xdr:twoCellAnchor>
    <xdr:from>
      <xdr:col>3</xdr:col>
      <xdr:colOff>114300</xdr:colOff>
      <xdr:row>1463</xdr:row>
      <xdr:rowOff>28575</xdr:rowOff>
    </xdr:from>
    <xdr:to>
      <xdr:col>3</xdr:col>
      <xdr:colOff>1552575</xdr:colOff>
      <xdr:row>1463</xdr:row>
      <xdr:rowOff>1266825</xdr:rowOff>
    </xdr:to>
    <xdr:pic>
      <xdr:nvPicPr>
        <xdr:cNvPr id="581" name="Имя " descr="Descr ">
          <a:extLst>
            <a:ext uri="{FF2B5EF4-FFF2-40B4-BE49-F238E27FC236}">
              <a16:creationId xmlns:a16="http://schemas.microsoft.com/office/drawing/2014/main" id="{00000000-0008-0000-0000-000045020000}"/>
            </a:ext>
          </a:extLst>
        </xdr:cNvPr>
        <xdr:cNvPicPr>
          <a:picLocks noChangeAspect="1"/>
        </xdr:cNvPicPr>
      </xdr:nvPicPr>
      <xdr:blipFill>
        <a:blip xmlns:r="http://schemas.openxmlformats.org/officeDocument/2006/relationships" r:embed="rId574"/>
        <a:stretch>
          <a:fillRect/>
        </a:stretch>
      </xdr:blipFill>
      <xdr:spPr>
        <a:prstGeom prst="rect">
          <a:avLst/>
        </a:prstGeom>
        <a:ln w="9525">
          <a:solidFill>
            <a:srgbClr val="000000"/>
          </a:solidFill>
          <a:prstDash val="solid"/>
        </a:ln>
      </xdr:spPr>
    </xdr:pic>
    <xdr:clientData/>
  </xdr:twoCellAnchor>
  <xdr:twoCellAnchor>
    <xdr:from>
      <xdr:col>3</xdr:col>
      <xdr:colOff>114300</xdr:colOff>
      <xdr:row>1464</xdr:row>
      <xdr:rowOff>28575</xdr:rowOff>
    </xdr:from>
    <xdr:to>
      <xdr:col>3</xdr:col>
      <xdr:colOff>1552575</xdr:colOff>
      <xdr:row>1464</xdr:row>
      <xdr:rowOff>1266825</xdr:rowOff>
    </xdr:to>
    <xdr:pic>
      <xdr:nvPicPr>
        <xdr:cNvPr id="582" name="Имя " descr="Descr ">
          <a:extLst>
            <a:ext uri="{FF2B5EF4-FFF2-40B4-BE49-F238E27FC236}">
              <a16:creationId xmlns:a16="http://schemas.microsoft.com/office/drawing/2014/main" id="{00000000-0008-0000-0000-000046020000}"/>
            </a:ext>
          </a:extLst>
        </xdr:cNvPr>
        <xdr:cNvPicPr>
          <a:picLocks noChangeAspect="1"/>
        </xdr:cNvPicPr>
      </xdr:nvPicPr>
      <xdr:blipFill>
        <a:blip xmlns:r="http://schemas.openxmlformats.org/officeDocument/2006/relationships" r:embed="rId575"/>
        <a:stretch>
          <a:fillRect/>
        </a:stretch>
      </xdr:blipFill>
      <xdr:spPr>
        <a:prstGeom prst="rect">
          <a:avLst/>
        </a:prstGeom>
        <a:ln w="9525">
          <a:solidFill>
            <a:srgbClr val="000000"/>
          </a:solidFill>
          <a:prstDash val="solid"/>
        </a:ln>
      </xdr:spPr>
    </xdr:pic>
    <xdr:clientData/>
  </xdr:twoCellAnchor>
  <xdr:twoCellAnchor>
    <xdr:from>
      <xdr:col>3</xdr:col>
      <xdr:colOff>114300</xdr:colOff>
      <xdr:row>1465</xdr:row>
      <xdr:rowOff>28575</xdr:rowOff>
    </xdr:from>
    <xdr:to>
      <xdr:col>3</xdr:col>
      <xdr:colOff>1552575</xdr:colOff>
      <xdr:row>1465</xdr:row>
      <xdr:rowOff>1266825</xdr:rowOff>
    </xdr:to>
    <xdr:pic>
      <xdr:nvPicPr>
        <xdr:cNvPr id="583" name="Имя " descr="Descr ">
          <a:extLst>
            <a:ext uri="{FF2B5EF4-FFF2-40B4-BE49-F238E27FC236}">
              <a16:creationId xmlns:a16="http://schemas.microsoft.com/office/drawing/2014/main" id="{00000000-0008-0000-0000-000047020000}"/>
            </a:ext>
          </a:extLst>
        </xdr:cNvPr>
        <xdr:cNvPicPr>
          <a:picLocks noChangeAspect="1"/>
        </xdr:cNvPicPr>
      </xdr:nvPicPr>
      <xdr:blipFill>
        <a:blip xmlns:r="http://schemas.openxmlformats.org/officeDocument/2006/relationships" r:embed="rId575"/>
        <a:stretch>
          <a:fillRect/>
        </a:stretch>
      </xdr:blipFill>
      <xdr:spPr>
        <a:prstGeom prst="rect">
          <a:avLst/>
        </a:prstGeom>
        <a:ln w="9525">
          <a:solidFill>
            <a:srgbClr val="000000"/>
          </a:solidFill>
          <a:prstDash val="solid"/>
        </a:ln>
      </xdr:spPr>
    </xdr:pic>
    <xdr:clientData/>
  </xdr:twoCellAnchor>
  <xdr:twoCellAnchor>
    <xdr:from>
      <xdr:col>3</xdr:col>
      <xdr:colOff>114300</xdr:colOff>
      <xdr:row>1466</xdr:row>
      <xdr:rowOff>28575</xdr:rowOff>
    </xdr:from>
    <xdr:to>
      <xdr:col>3</xdr:col>
      <xdr:colOff>1552575</xdr:colOff>
      <xdr:row>1466</xdr:row>
      <xdr:rowOff>1266825</xdr:rowOff>
    </xdr:to>
    <xdr:pic>
      <xdr:nvPicPr>
        <xdr:cNvPr id="584" name="Имя " descr="Descr ">
          <a:extLst>
            <a:ext uri="{FF2B5EF4-FFF2-40B4-BE49-F238E27FC236}">
              <a16:creationId xmlns:a16="http://schemas.microsoft.com/office/drawing/2014/main" id="{00000000-0008-0000-0000-000048020000}"/>
            </a:ext>
          </a:extLst>
        </xdr:cNvPr>
        <xdr:cNvPicPr>
          <a:picLocks noChangeAspect="1"/>
        </xdr:cNvPicPr>
      </xdr:nvPicPr>
      <xdr:blipFill>
        <a:blip xmlns:r="http://schemas.openxmlformats.org/officeDocument/2006/relationships" r:embed="rId576"/>
        <a:stretch>
          <a:fillRect/>
        </a:stretch>
      </xdr:blipFill>
      <xdr:spPr>
        <a:prstGeom prst="rect">
          <a:avLst/>
        </a:prstGeom>
        <a:ln w="9525">
          <a:solidFill>
            <a:srgbClr val="000000"/>
          </a:solidFill>
          <a:prstDash val="solid"/>
        </a:ln>
      </xdr:spPr>
    </xdr:pic>
    <xdr:clientData/>
  </xdr:twoCellAnchor>
  <xdr:twoCellAnchor>
    <xdr:from>
      <xdr:col>3</xdr:col>
      <xdr:colOff>114300</xdr:colOff>
      <xdr:row>1467</xdr:row>
      <xdr:rowOff>28575</xdr:rowOff>
    </xdr:from>
    <xdr:to>
      <xdr:col>3</xdr:col>
      <xdr:colOff>1552575</xdr:colOff>
      <xdr:row>1467</xdr:row>
      <xdr:rowOff>1266825</xdr:rowOff>
    </xdr:to>
    <xdr:pic>
      <xdr:nvPicPr>
        <xdr:cNvPr id="585" name="Имя " descr="Descr ">
          <a:extLst>
            <a:ext uri="{FF2B5EF4-FFF2-40B4-BE49-F238E27FC236}">
              <a16:creationId xmlns:a16="http://schemas.microsoft.com/office/drawing/2014/main" id="{00000000-0008-0000-0000-000049020000}"/>
            </a:ext>
          </a:extLst>
        </xdr:cNvPr>
        <xdr:cNvPicPr>
          <a:picLocks noChangeAspect="1"/>
        </xdr:cNvPicPr>
      </xdr:nvPicPr>
      <xdr:blipFill>
        <a:blip xmlns:r="http://schemas.openxmlformats.org/officeDocument/2006/relationships" r:embed="rId577"/>
        <a:stretch>
          <a:fillRect/>
        </a:stretch>
      </xdr:blipFill>
      <xdr:spPr>
        <a:prstGeom prst="rect">
          <a:avLst/>
        </a:prstGeom>
        <a:ln w="9525">
          <a:solidFill>
            <a:srgbClr val="000000"/>
          </a:solidFill>
          <a:prstDash val="solid"/>
        </a:ln>
      </xdr:spPr>
    </xdr:pic>
    <xdr:clientData/>
  </xdr:twoCellAnchor>
  <xdr:twoCellAnchor>
    <xdr:from>
      <xdr:col>3</xdr:col>
      <xdr:colOff>114300</xdr:colOff>
      <xdr:row>1468</xdr:row>
      <xdr:rowOff>28575</xdr:rowOff>
    </xdr:from>
    <xdr:to>
      <xdr:col>3</xdr:col>
      <xdr:colOff>1552575</xdr:colOff>
      <xdr:row>1468</xdr:row>
      <xdr:rowOff>1266825</xdr:rowOff>
    </xdr:to>
    <xdr:pic>
      <xdr:nvPicPr>
        <xdr:cNvPr id="586" name="Имя " descr="Descr ">
          <a:extLst>
            <a:ext uri="{FF2B5EF4-FFF2-40B4-BE49-F238E27FC236}">
              <a16:creationId xmlns:a16="http://schemas.microsoft.com/office/drawing/2014/main" id="{00000000-0008-0000-0000-00004A020000}"/>
            </a:ext>
          </a:extLst>
        </xdr:cNvPr>
        <xdr:cNvPicPr>
          <a:picLocks noChangeAspect="1"/>
        </xdr:cNvPicPr>
      </xdr:nvPicPr>
      <xdr:blipFill>
        <a:blip xmlns:r="http://schemas.openxmlformats.org/officeDocument/2006/relationships" r:embed="rId578"/>
        <a:stretch>
          <a:fillRect/>
        </a:stretch>
      </xdr:blipFill>
      <xdr:spPr>
        <a:prstGeom prst="rect">
          <a:avLst/>
        </a:prstGeom>
        <a:ln w="9525">
          <a:solidFill>
            <a:srgbClr val="000000"/>
          </a:solidFill>
          <a:prstDash val="solid"/>
        </a:ln>
      </xdr:spPr>
    </xdr:pic>
    <xdr:clientData/>
  </xdr:twoCellAnchor>
  <xdr:twoCellAnchor>
    <xdr:from>
      <xdr:col>3</xdr:col>
      <xdr:colOff>114300</xdr:colOff>
      <xdr:row>1469</xdr:row>
      <xdr:rowOff>28575</xdr:rowOff>
    </xdr:from>
    <xdr:to>
      <xdr:col>3</xdr:col>
      <xdr:colOff>1552575</xdr:colOff>
      <xdr:row>1469</xdr:row>
      <xdr:rowOff>1266825</xdr:rowOff>
    </xdr:to>
    <xdr:pic>
      <xdr:nvPicPr>
        <xdr:cNvPr id="587" name="Имя " descr="Descr ">
          <a:extLst>
            <a:ext uri="{FF2B5EF4-FFF2-40B4-BE49-F238E27FC236}">
              <a16:creationId xmlns:a16="http://schemas.microsoft.com/office/drawing/2014/main" id="{00000000-0008-0000-0000-00004B020000}"/>
            </a:ext>
          </a:extLst>
        </xdr:cNvPr>
        <xdr:cNvPicPr>
          <a:picLocks noChangeAspect="1"/>
        </xdr:cNvPicPr>
      </xdr:nvPicPr>
      <xdr:blipFill>
        <a:blip xmlns:r="http://schemas.openxmlformats.org/officeDocument/2006/relationships" r:embed="rId579"/>
        <a:stretch>
          <a:fillRect/>
        </a:stretch>
      </xdr:blipFill>
      <xdr:spPr>
        <a:prstGeom prst="rect">
          <a:avLst/>
        </a:prstGeom>
        <a:ln w="9525">
          <a:solidFill>
            <a:srgbClr val="000000"/>
          </a:solidFill>
          <a:prstDash val="solid"/>
        </a:ln>
      </xdr:spPr>
    </xdr:pic>
    <xdr:clientData/>
  </xdr:twoCellAnchor>
  <xdr:twoCellAnchor>
    <xdr:from>
      <xdr:col>3</xdr:col>
      <xdr:colOff>114300</xdr:colOff>
      <xdr:row>1470</xdr:row>
      <xdr:rowOff>28575</xdr:rowOff>
    </xdr:from>
    <xdr:to>
      <xdr:col>3</xdr:col>
      <xdr:colOff>1552575</xdr:colOff>
      <xdr:row>1470</xdr:row>
      <xdr:rowOff>1266825</xdr:rowOff>
    </xdr:to>
    <xdr:pic>
      <xdr:nvPicPr>
        <xdr:cNvPr id="588" name="Имя " descr="Descr ">
          <a:extLst>
            <a:ext uri="{FF2B5EF4-FFF2-40B4-BE49-F238E27FC236}">
              <a16:creationId xmlns:a16="http://schemas.microsoft.com/office/drawing/2014/main" id="{00000000-0008-0000-0000-00004C020000}"/>
            </a:ext>
          </a:extLst>
        </xdr:cNvPr>
        <xdr:cNvPicPr>
          <a:picLocks noChangeAspect="1"/>
        </xdr:cNvPicPr>
      </xdr:nvPicPr>
      <xdr:blipFill>
        <a:blip xmlns:r="http://schemas.openxmlformats.org/officeDocument/2006/relationships" r:embed="rId580"/>
        <a:stretch>
          <a:fillRect/>
        </a:stretch>
      </xdr:blipFill>
      <xdr:spPr>
        <a:prstGeom prst="rect">
          <a:avLst/>
        </a:prstGeom>
        <a:ln w="9525">
          <a:solidFill>
            <a:srgbClr val="000000"/>
          </a:solidFill>
          <a:prstDash val="solid"/>
        </a:ln>
      </xdr:spPr>
    </xdr:pic>
    <xdr:clientData/>
  </xdr:twoCellAnchor>
  <xdr:twoCellAnchor>
    <xdr:from>
      <xdr:col>3</xdr:col>
      <xdr:colOff>114300</xdr:colOff>
      <xdr:row>1471</xdr:row>
      <xdr:rowOff>28575</xdr:rowOff>
    </xdr:from>
    <xdr:to>
      <xdr:col>3</xdr:col>
      <xdr:colOff>1552575</xdr:colOff>
      <xdr:row>1471</xdr:row>
      <xdr:rowOff>1266825</xdr:rowOff>
    </xdr:to>
    <xdr:pic>
      <xdr:nvPicPr>
        <xdr:cNvPr id="589" name="Имя " descr="Descr ">
          <a:extLst>
            <a:ext uri="{FF2B5EF4-FFF2-40B4-BE49-F238E27FC236}">
              <a16:creationId xmlns:a16="http://schemas.microsoft.com/office/drawing/2014/main" id="{00000000-0008-0000-0000-00004D020000}"/>
            </a:ext>
          </a:extLst>
        </xdr:cNvPr>
        <xdr:cNvPicPr>
          <a:picLocks noChangeAspect="1"/>
        </xdr:cNvPicPr>
      </xdr:nvPicPr>
      <xdr:blipFill>
        <a:blip xmlns:r="http://schemas.openxmlformats.org/officeDocument/2006/relationships" r:embed="rId581"/>
        <a:stretch>
          <a:fillRect/>
        </a:stretch>
      </xdr:blipFill>
      <xdr:spPr>
        <a:prstGeom prst="rect">
          <a:avLst/>
        </a:prstGeom>
        <a:ln w="9525">
          <a:solidFill>
            <a:srgbClr val="000000"/>
          </a:solidFill>
          <a:prstDash val="solid"/>
        </a:ln>
      </xdr:spPr>
    </xdr:pic>
    <xdr:clientData/>
  </xdr:twoCellAnchor>
  <xdr:twoCellAnchor>
    <xdr:from>
      <xdr:col>3</xdr:col>
      <xdr:colOff>114300</xdr:colOff>
      <xdr:row>1472</xdr:row>
      <xdr:rowOff>28575</xdr:rowOff>
    </xdr:from>
    <xdr:to>
      <xdr:col>3</xdr:col>
      <xdr:colOff>1552575</xdr:colOff>
      <xdr:row>1472</xdr:row>
      <xdr:rowOff>1266825</xdr:rowOff>
    </xdr:to>
    <xdr:pic>
      <xdr:nvPicPr>
        <xdr:cNvPr id="590" name="Имя " descr="Descr ">
          <a:extLst>
            <a:ext uri="{FF2B5EF4-FFF2-40B4-BE49-F238E27FC236}">
              <a16:creationId xmlns:a16="http://schemas.microsoft.com/office/drawing/2014/main" id="{00000000-0008-0000-0000-00004E020000}"/>
            </a:ext>
          </a:extLst>
        </xdr:cNvPr>
        <xdr:cNvPicPr>
          <a:picLocks noChangeAspect="1"/>
        </xdr:cNvPicPr>
      </xdr:nvPicPr>
      <xdr:blipFill>
        <a:blip xmlns:r="http://schemas.openxmlformats.org/officeDocument/2006/relationships" r:embed="rId582"/>
        <a:stretch>
          <a:fillRect/>
        </a:stretch>
      </xdr:blipFill>
      <xdr:spPr>
        <a:prstGeom prst="rect">
          <a:avLst/>
        </a:prstGeom>
        <a:ln w="9525">
          <a:solidFill>
            <a:srgbClr val="000000"/>
          </a:solidFill>
          <a:prstDash val="solid"/>
        </a:ln>
      </xdr:spPr>
    </xdr:pic>
    <xdr:clientData/>
  </xdr:twoCellAnchor>
  <xdr:twoCellAnchor>
    <xdr:from>
      <xdr:col>3</xdr:col>
      <xdr:colOff>114300</xdr:colOff>
      <xdr:row>1473</xdr:row>
      <xdr:rowOff>28575</xdr:rowOff>
    </xdr:from>
    <xdr:to>
      <xdr:col>3</xdr:col>
      <xdr:colOff>1552575</xdr:colOff>
      <xdr:row>1473</xdr:row>
      <xdr:rowOff>1266825</xdr:rowOff>
    </xdr:to>
    <xdr:pic>
      <xdr:nvPicPr>
        <xdr:cNvPr id="591" name="Имя " descr="Descr ">
          <a:extLst>
            <a:ext uri="{FF2B5EF4-FFF2-40B4-BE49-F238E27FC236}">
              <a16:creationId xmlns:a16="http://schemas.microsoft.com/office/drawing/2014/main" id="{00000000-0008-0000-0000-00004F020000}"/>
            </a:ext>
          </a:extLst>
        </xdr:cNvPr>
        <xdr:cNvPicPr>
          <a:picLocks noChangeAspect="1"/>
        </xdr:cNvPicPr>
      </xdr:nvPicPr>
      <xdr:blipFill>
        <a:blip xmlns:r="http://schemas.openxmlformats.org/officeDocument/2006/relationships" r:embed="rId583"/>
        <a:stretch>
          <a:fillRect/>
        </a:stretch>
      </xdr:blipFill>
      <xdr:spPr>
        <a:prstGeom prst="rect">
          <a:avLst/>
        </a:prstGeom>
        <a:ln w="9525">
          <a:solidFill>
            <a:srgbClr val="000000"/>
          </a:solidFill>
          <a:prstDash val="solid"/>
        </a:ln>
      </xdr:spPr>
    </xdr:pic>
    <xdr:clientData/>
  </xdr:twoCellAnchor>
  <xdr:twoCellAnchor>
    <xdr:from>
      <xdr:col>3</xdr:col>
      <xdr:colOff>114300</xdr:colOff>
      <xdr:row>1474</xdr:row>
      <xdr:rowOff>28575</xdr:rowOff>
    </xdr:from>
    <xdr:to>
      <xdr:col>3</xdr:col>
      <xdr:colOff>1552575</xdr:colOff>
      <xdr:row>1474</xdr:row>
      <xdr:rowOff>1266825</xdr:rowOff>
    </xdr:to>
    <xdr:pic>
      <xdr:nvPicPr>
        <xdr:cNvPr id="592" name="Имя " descr="Descr ">
          <a:extLst>
            <a:ext uri="{FF2B5EF4-FFF2-40B4-BE49-F238E27FC236}">
              <a16:creationId xmlns:a16="http://schemas.microsoft.com/office/drawing/2014/main" id="{00000000-0008-0000-0000-000050020000}"/>
            </a:ext>
          </a:extLst>
        </xdr:cNvPr>
        <xdr:cNvPicPr>
          <a:picLocks noChangeAspect="1"/>
        </xdr:cNvPicPr>
      </xdr:nvPicPr>
      <xdr:blipFill>
        <a:blip xmlns:r="http://schemas.openxmlformats.org/officeDocument/2006/relationships" r:embed="rId583"/>
        <a:stretch>
          <a:fillRect/>
        </a:stretch>
      </xdr:blipFill>
      <xdr:spPr>
        <a:prstGeom prst="rect">
          <a:avLst/>
        </a:prstGeom>
        <a:ln w="9525">
          <a:solidFill>
            <a:srgbClr val="000000"/>
          </a:solidFill>
          <a:prstDash val="solid"/>
        </a:ln>
      </xdr:spPr>
    </xdr:pic>
    <xdr:clientData/>
  </xdr:twoCellAnchor>
  <xdr:twoCellAnchor>
    <xdr:from>
      <xdr:col>3</xdr:col>
      <xdr:colOff>114300</xdr:colOff>
      <xdr:row>1475</xdr:row>
      <xdr:rowOff>28575</xdr:rowOff>
    </xdr:from>
    <xdr:to>
      <xdr:col>3</xdr:col>
      <xdr:colOff>1552575</xdr:colOff>
      <xdr:row>1475</xdr:row>
      <xdr:rowOff>1266825</xdr:rowOff>
    </xdr:to>
    <xdr:pic>
      <xdr:nvPicPr>
        <xdr:cNvPr id="593" name="Имя " descr="Descr ">
          <a:extLst>
            <a:ext uri="{FF2B5EF4-FFF2-40B4-BE49-F238E27FC236}">
              <a16:creationId xmlns:a16="http://schemas.microsoft.com/office/drawing/2014/main" id="{00000000-0008-0000-0000-000051020000}"/>
            </a:ext>
          </a:extLst>
        </xdr:cNvPr>
        <xdr:cNvPicPr>
          <a:picLocks noChangeAspect="1"/>
        </xdr:cNvPicPr>
      </xdr:nvPicPr>
      <xdr:blipFill>
        <a:blip xmlns:r="http://schemas.openxmlformats.org/officeDocument/2006/relationships" r:embed="rId583"/>
        <a:stretch>
          <a:fillRect/>
        </a:stretch>
      </xdr:blipFill>
      <xdr:spPr>
        <a:prstGeom prst="rect">
          <a:avLst/>
        </a:prstGeom>
        <a:ln w="9525">
          <a:solidFill>
            <a:srgbClr val="000000"/>
          </a:solidFill>
          <a:prstDash val="solid"/>
        </a:ln>
      </xdr:spPr>
    </xdr:pic>
    <xdr:clientData/>
  </xdr:twoCellAnchor>
  <xdr:twoCellAnchor>
    <xdr:from>
      <xdr:col>3</xdr:col>
      <xdr:colOff>114300</xdr:colOff>
      <xdr:row>1476</xdr:row>
      <xdr:rowOff>28575</xdr:rowOff>
    </xdr:from>
    <xdr:to>
      <xdr:col>3</xdr:col>
      <xdr:colOff>1552575</xdr:colOff>
      <xdr:row>1476</xdr:row>
      <xdr:rowOff>1266825</xdr:rowOff>
    </xdr:to>
    <xdr:pic>
      <xdr:nvPicPr>
        <xdr:cNvPr id="594" name="Имя " descr="Descr ">
          <a:extLst>
            <a:ext uri="{FF2B5EF4-FFF2-40B4-BE49-F238E27FC236}">
              <a16:creationId xmlns:a16="http://schemas.microsoft.com/office/drawing/2014/main" id="{00000000-0008-0000-0000-000052020000}"/>
            </a:ext>
          </a:extLst>
        </xdr:cNvPr>
        <xdr:cNvPicPr>
          <a:picLocks noChangeAspect="1"/>
        </xdr:cNvPicPr>
      </xdr:nvPicPr>
      <xdr:blipFill>
        <a:blip xmlns:r="http://schemas.openxmlformats.org/officeDocument/2006/relationships" r:embed="rId584"/>
        <a:stretch>
          <a:fillRect/>
        </a:stretch>
      </xdr:blipFill>
      <xdr:spPr>
        <a:prstGeom prst="rect">
          <a:avLst/>
        </a:prstGeom>
        <a:ln w="9525">
          <a:solidFill>
            <a:srgbClr val="000000"/>
          </a:solidFill>
          <a:prstDash val="solid"/>
        </a:ln>
      </xdr:spPr>
    </xdr:pic>
    <xdr:clientData/>
  </xdr:twoCellAnchor>
  <xdr:twoCellAnchor>
    <xdr:from>
      <xdr:col>3</xdr:col>
      <xdr:colOff>114300</xdr:colOff>
      <xdr:row>1477</xdr:row>
      <xdr:rowOff>28575</xdr:rowOff>
    </xdr:from>
    <xdr:to>
      <xdr:col>3</xdr:col>
      <xdr:colOff>1552575</xdr:colOff>
      <xdr:row>1477</xdr:row>
      <xdr:rowOff>1266825</xdr:rowOff>
    </xdr:to>
    <xdr:pic>
      <xdr:nvPicPr>
        <xdr:cNvPr id="595" name="Имя " descr="Descr ">
          <a:extLst>
            <a:ext uri="{FF2B5EF4-FFF2-40B4-BE49-F238E27FC236}">
              <a16:creationId xmlns:a16="http://schemas.microsoft.com/office/drawing/2014/main" id="{00000000-0008-0000-0000-000053020000}"/>
            </a:ext>
          </a:extLst>
        </xdr:cNvPr>
        <xdr:cNvPicPr>
          <a:picLocks noChangeAspect="1"/>
        </xdr:cNvPicPr>
      </xdr:nvPicPr>
      <xdr:blipFill>
        <a:blip xmlns:r="http://schemas.openxmlformats.org/officeDocument/2006/relationships" r:embed="rId585"/>
        <a:stretch>
          <a:fillRect/>
        </a:stretch>
      </xdr:blipFill>
      <xdr:spPr>
        <a:prstGeom prst="rect">
          <a:avLst/>
        </a:prstGeom>
        <a:ln w="9525">
          <a:solidFill>
            <a:srgbClr val="000000"/>
          </a:solidFill>
          <a:prstDash val="solid"/>
        </a:ln>
      </xdr:spPr>
    </xdr:pic>
    <xdr:clientData/>
  </xdr:twoCellAnchor>
  <xdr:twoCellAnchor>
    <xdr:from>
      <xdr:col>3</xdr:col>
      <xdr:colOff>114300</xdr:colOff>
      <xdr:row>1478</xdr:row>
      <xdr:rowOff>28575</xdr:rowOff>
    </xdr:from>
    <xdr:to>
      <xdr:col>3</xdr:col>
      <xdr:colOff>1552575</xdr:colOff>
      <xdr:row>1478</xdr:row>
      <xdr:rowOff>1266825</xdr:rowOff>
    </xdr:to>
    <xdr:pic>
      <xdr:nvPicPr>
        <xdr:cNvPr id="596" name="Имя " descr="Descr ">
          <a:extLst>
            <a:ext uri="{FF2B5EF4-FFF2-40B4-BE49-F238E27FC236}">
              <a16:creationId xmlns:a16="http://schemas.microsoft.com/office/drawing/2014/main" id="{00000000-0008-0000-0000-000054020000}"/>
            </a:ext>
          </a:extLst>
        </xdr:cNvPr>
        <xdr:cNvPicPr>
          <a:picLocks noChangeAspect="1"/>
        </xdr:cNvPicPr>
      </xdr:nvPicPr>
      <xdr:blipFill>
        <a:blip xmlns:r="http://schemas.openxmlformats.org/officeDocument/2006/relationships" r:embed="rId586"/>
        <a:stretch>
          <a:fillRect/>
        </a:stretch>
      </xdr:blipFill>
      <xdr:spPr>
        <a:prstGeom prst="rect">
          <a:avLst/>
        </a:prstGeom>
        <a:ln w="9525">
          <a:solidFill>
            <a:srgbClr val="000000"/>
          </a:solidFill>
          <a:prstDash val="solid"/>
        </a:ln>
      </xdr:spPr>
    </xdr:pic>
    <xdr:clientData/>
  </xdr:twoCellAnchor>
  <xdr:twoCellAnchor>
    <xdr:from>
      <xdr:col>3</xdr:col>
      <xdr:colOff>114300</xdr:colOff>
      <xdr:row>1479</xdr:row>
      <xdr:rowOff>28575</xdr:rowOff>
    </xdr:from>
    <xdr:to>
      <xdr:col>3</xdr:col>
      <xdr:colOff>1552575</xdr:colOff>
      <xdr:row>1479</xdr:row>
      <xdr:rowOff>1266825</xdr:rowOff>
    </xdr:to>
    <xdr:pic>
      <xdr:nvPicPr>
        <xdr:cNvPr id="597" name="Имя " descr="Descr ">
          <a:extLst>
            <a:ext uri="{FF2B5EF4-FFF2-40B4-BE49-F238E27FC236}">
              <a16:creationId xmlns:a16="http://schemas.microsoft.com/office/drawing/2014/main" id="{00000000-0008-0000-0000-000055020000}"/>
            </a:ext>
          </a:extLst>
        </xdr:cNvPr>
        <xdr:cNvPicPr>
          <a:picLocks noChangeAspect="1"/>
        </xdr:cNvPicPr>
      </xdr:nvPicPr>
      <xdr:blipFill>
        <a:blip xmlns:r="http://schemas.openxmlformats.org/officeDocument/2006/relationships" r:embed="rId587"/>
        <a:stretch>
          <a:fillRect/>
        </a:stretch>
      </xdr:blipFill>
      <xdr:spPr>
        <a:prstGeom prst="rect">
          <a:avLst/>
        </a:prstGeom>
        <a:ln w="9525">
          <a:solidFill>
            <a:srgbClr val="000000"/>
          </a:solidFill>
          <a:prstDash val="solid"/>
        </a:ln>
      </xdr:spPr>
    </xdr:pic>
    <xdr:clientData/>
  </xdr:twoCellAnchor>
  <xdr:twoCellAnchor>
    <xdr:from>
      <xdr:col>3</xdr:col>
      <xdr:colOff>114300</xdr:colOff>
      <xdr:row>1480</xdr:row>
      <xdr:rowOff>28575</xdr:rowOff>
    </xdr:from>
    <xdr:to>
      <xdr:col>3</xdr:col>
      <xdr:colOff>1552575</xdr:colOff>
      <xdr:row>1480</xdr:row>
      <xdr:rowOff>1266825</xdr:rowOff>
    </xdr:to>
    <xdr:pic>
      <xdr:nvPicPr>
        <xdr:cNvPr id="598" name="Имя " descr="Descr ">
          <a:extLst>
            <a:ext uri="{FF2B5EF4-FFF2-40B4-BE49-F238E27FC236}">
              <a16:creationId xmlns:a16="http://schemas.microsoft.com/office/drawing/2014/main" id="{00000000-0008-0000-0000-000056020000}"/>
            </a:ext>
          </a:extLst>
        </xdr:cNvPr>
        <xdr:cNvPicPr>
          <a:picLocks noChangeAspect="1"/>
        </xdr:cNvPicPr>
      </xdr:nvPicPr>
      <xdr:blipFill>
        <a:blip xmlns:r="http://schemas.openxmlformats.org/officeDocument/2006/relationships" r:embed="rId588"/>
        <a:stretch>
          <a:fillRect/>
        </a:stretch>
      </xdr:blipFill>
      <xdr:spPr>
        <a:prstGeom prst="rect">
          <a:avLst/>
        </a:prstGeom>
        <a:ln w="9525">
          <a:solidFill>
            <a:srgbClr val="000000"/>
          </a:solidFill>
          <a:prstDash val="solid"/>
        </a:ln>
      </xdr:spPr>
    </xdr:pic>
    <xdr:clientData/>
  </xdr:twoCellAnchor>
  <xdr:twoCellAnchor>
    <xdr:from>
      <xdr:col>3</xdr:col>
      <xdr:colOff>114300</xdr:colOff>
      <xdr:row>1481</xdr:row>
      <xdr:rowOff>28575</xdr:rowOff>
    </xdr:from>
    <xdr:to>
      <xdr:col>3</xdr:col>
      <xdr:colOff>1552575</xdr:colOff>
      <xdr:row>1481</xdr:row>
      <xdr:rowOff>1266825</xdr:rowOff>
    </xdr:to>
    <xdr:pic>
      <xdr:nvPicPr>
        <xdr:cNvPr id="599" name="Имя " descr="Descr ">
          <a:extLst>
            <a:ext uri="{FF2B5EF4-FFF2-40B4-BE49-F238E27FC236}">
              <a16:creationId xmlns:a16="http://schemas.microsoft.com/office/drawing/2014/main" id="{00000000-0008-0000-0000-000057020000}"/>
            </a:ext>
          </a:extLst>
        </xdr:cNvPr>
        <xdr:cNvPicPr>
          <a:picLocks noChangeAspect="1"/>
        </xdr:cNvPicPr>
      </xdr:nvPicPr>
      <xdr:blipFill>
        <a:blip xmlns:r="http://schemas.openxmlformats.org/officeDocument/2006/relationships" r:embed="rId589"/>
        <a:stretch>
          <a:fillRect/>
        </a:stretch>
      </xdr:blipFill>
      <xdr:spPr>
        <a:prstGeom prst="rect">
          <a:avLst/>
        </a:prstGeom>
        <a:ln w="9525">
          <a:solidFill>
            <a:srgbClr val="000000"/>
          </a:solidFill>
          <a:prstDash val="solid"/>
        </a:ln>
      </xdr:spPr>
    </xdr:pic>
    <xdr:clientData/>
  </xdr:twoCellAnchor>
  <xdr:twoCellAnchor>
    <xdr:from>
      <xdr:col>3</xdr:col>
      <xdr:colOff>114300</xdr:colOff>
      <xdr:row>1482</xdr:row>
      <xdr:rowOff>28575</xdr:rowOff>
    </xdr:from>
    <xdr:to>
      <xdr:col>3</xdr:col>
      <xdr:colOff>1552575</xdr:colOff>
      <xdr:row>1482</xdr:row>
      <xdr:rowOff>1266825</xdr:rowOff>
    </xdr:to>
    <xdr:pic>
      <xdr:nvPicPr>
        <xdr:cNvPr id="600" name="Имя " descr="Descr ">
          <a:extLst>
            <a:ext uri="{FF2B5EF4-FFF2-40B4-BE49-F238E27FC236}">
              <a16:creationId xmlns:a16="http://schemas.microsoft.com/office/drawing/2014/main" id="{00000000-0008-0000-0000-000058020000}"/>
            </a:ext>
          </a:extLst>
        </xdr:cNvPr>
        <xdr:cNvPicPr>
          <a:picLocks noChangeAspect="1"/>
        </xdr:cNvPicPr>
      </xdr:nvPicPr>
      <xdr:blipFill>
        <a:blip xmlns:r="http://schemas.openxmlformats.org/officeDocument/2006/relationships" r:embed="rId590"/>
        <a:stretch>
          <a:fillRect/>
        </a:stretch>
      </xdr:blipFill>
      <xdr:spPr>
        <a:prstGeom prst="rect">
          <a:avLst/>
        </a:prstGeom>
        <a:ln w="9525">
          <a:solidFill>
            <a:srgbClr val="000000"/>
          </a:solidFill>
          <a:prstDash val="solid"/>
        </a:ln>
      </xdr:spPr>
    </xdr:pic>
    <xdr:clientData/>
  </xdr:twoCellAnchor>
  <xdr:twoCellAnchor>
    <xdr:from>
      <xdr:col>3</xdr:col>
      <xdr:colOff>114300</xdr:colOff>
      <xdr:row>1483</xdr:row>
      <xdr:rowOff>28575</xdr:rowOff>
    </xdr:from>
    <xdr:to>
      <xdr:col>3</xdr:col>
      <xdr:colOff>1552575</xdr:colOff>
      <xdr:row>1483</xdr:row>
      <xdr:rowOff>1266825</xdr:rowOff>
    </xdr:to>
    <xdr:pic>
      <xdr:nvPicPr>
        <xdr:cNvPr id="601" name="Имя " descr="Descr ">
          <a:extLst>
            <a:ext uri="{FF2B5EF4-FFF2-40B4-BE49-F238E27FC236}">
              <a16:creationId xmlns:a16="http://schemas.microsoft.com/office/drawing/2014/main" id="{00000000-0008-0000-0000-000059020000}"/>
            </a:ext>
          </a:extLst>
        </xdr:cNvPr>
        <xdr:cNvPicPr>
          <a:picLocks noChangeAspect="1"/>
        </xdr:cNvPicPr>
      </xdr:nvPicPr>
      <xdr:blipFill>
        <a:blip xmlns:r="http://schemas.openxmlformats.org/officeDocument/2006/relationships" r:embed="rId591"/>
        <a:stretch>
          <a:fillRect/>
        </a:stretch>
      </xdr:blipFill>
      <xdr:spPr>
        <a:prstGeom prst="rect">
          <a:avLst/>
        </a:prstGeom>
        <a:ln w="9525">
          <a:solidFill>
            <a:srgbClr val="000000"/>
          </a:solidFill>
          <a:prstDash val="solid"/>
        </a:ln>
      </xdr:spPr>
    </xdr:pic>
    <xdr:clientData/>
  </xdr:twoCellAnchor>
  <xdr:twoCellAnchor>
    <xdr:from>
      <xdr:col>3</xdr:col>
      <xdr:colOff>114300</xdr:colOff>
      <xdr:row>1484</xdr:row>
      <xdr:rowOff>28575</xdr:rowOff>
    </xdr:from>
    <xdr:to>
      <xdr:col>3</xdr:col>
      <xdr:colOff>1552575</xdr:colOff>
      <xdr:row>1484</xdr:row>
      <xdr:rowOff>1266825</xdr:rowOff>
    </xdr:to>
    <xdr:pic>
      <xdr:nvPicPr>
        <xdr:cNvPr id="602" name="Имя " descr="Descr ">
          <a:extLst>
            <a:ext uri="{FF2B5EF4-FFF2-40B4-BE49-F238E27FC236}">
              <a16:creationId xmlns:a16="http://schemas.microsoft.com/office/drawing/2014/main" id="{00000000-0008-0000-0000-00005A020000}"/>
            </a:ext>
          </a:extLst>
        </xdr:cNvPr>
        <xdr:cNvPicPr>
          <a:picLocks noChangeAspect="1"/>
        </xdr:cNvPicPr>
      </xdr:nvPicPr>
      <xdr:blipFill>
        <a:blip xmlns:r="http://schemas.openxmlformats.org/officeDocument/2006/relationships" r:embed="rId591"/>
        <a:stretch>
          <a:fillRect/>
        </a:stretch>
      </xdr:blipFill>
      <xdr:spPr>
        <a:prstGeom prst="rect">
          <a:avLst/>
        </a:prstGeom>
        <a:ln w="9525">
          <a:solidFill>
            <a:srgbClr val="000000"/>
          </a:solidFill>
          <a:prstDash val="solid"/>
        </a:ln>
      </xdr:spPr>
    </xdr:pic>
    <xdr:clientData/>
  </xdr:twoCellAnchor>
  <xdr:twoCellAnchor>
    <xdr:from>
      <xdr:col>3</xdr:col>
      <xdr:colOff>114300</xdr:colOff>
      <xdr:row>1485</xdr:row>
      <xdr:rowOff>28575</xdr:rowOff>
    </xdr:from>
    <xdr:to>
      <xdr:col>3</xdr:col>
      <xdr:colOff>1552575</xdr:colOff>
      <xdr:row>1485</xdr:row>
      <xdr:rowOff>1266825</xdr:rowOff>
    </xdr:to>
    <xdr:pic>
      <xdr:nvPicPr>
        <xdr:cNvPr id="603" name="Имя " descr="Descr ">
          <a:extLst>
            <a:ext uri="{FF2B5EF4-FFF2-40B4-BE49-F238E27FC236}">
              <a16:creationId xmlns:a16="http://schemas.microsoft.com/office/drawing/2014/main" id="{00000000-0008-0000-0000-00005B020000}"/>
            </a:ext>
          </a:extLst>
        </xdr:cNvPr>
        <xdr:cNvPicPr>
          <a:picLocks noChangeAspect="1"/>
        </xdr:cNvPicPr>
      </xdr:nvPicPr>
      <xdr:blipFill>
        <a:blip xmlns:r="http://schemas.openxmlformats.org/officeDocument/2006/relationships" r:embed="rId592"/>
        <a:stretch>
          <a:fillRect/>
        </a:stretch>
      </xdr:blipFill>
      <xdr:spPr>
        <a:prstGeom prst="rect">
          <a:avLst/>
        </a:prstGeom>
        <a:ln w="9525">
          <a:solidFill>
            <a:srgbClr val="000000"/>
          </a:solidFill>
          <a:prstDash val="solid"/>
        </a:ln>
      </xdr:spPr>
    </xdr:pic>
    <xdr:clientData/>
  </xdr:twoCellAnchor>
  <xdr:twoCellAnchor>
    <xdr:from>
      <xdr:col>3</xdr:col>
      <xdr:colOff>114300</xdr:colOff>
      <xdr:row>1486</xdr:row>
      <xdr:rowOff>28575</xdr:rowOff>
    </xdr:from>
    <xdr:to>
      <xdr:col>3</xdr:col>
      <xdr:colOff>1552575</xdr:colOff>
      <xdr:row>1486</xdr:row>
      <xdr:rowOff>1266825</xdr:rowOff>
    </xdr:to>
    <xdr:pic>
      <xdr:nvPicPr>
        <xdr:cNvPr id="604" name="Имя " descr="Descr ">
          <a:extLst>
            <a:ext uri="{FF2B5EF4-FFF2-40B4-BE49-F238E27FC236}">
              <a16:creationId xmlns:a16="http://schemas.microsoft.com/office/drawing/2014/main" id="{00000000-0008-0000-0000-00005C020000}"/>
            </a:ext>
          </a:extLst>
        </xdr:cNvPr>
        <xdr:cNvPicPr>
          <a:picLocks noChangeAspect="1"/>
        </xdr:cNvPicPr>
      </xdr:nvPicPr>
      <xdr:blipFill>
        <a:blip xmlns:r="http://schemas.openxmlformats.org/officeDocument/2006/relationships" r:embed="rId593"/>
        <a:stretch>
          <a:fillRect/>
        </a:stretch>
      </xdr:blipFill>
      <xdr:spPr>
        <a:prstGeom prst="rect">
          <a:avLst/>
        </a:prstGeom>
        <a:ln w="9525">
          <a:solidFill>
            <a:srgbClr val="000000"/>
          </a:solidFill>
          <a:prstDash val="solid"/>
        </a:ln>
      </xdr:spPr>
    </xdr:pic>
    <xdr:clientData/>
  </xdr:twoCellAnchor>
  <xdr:twoCellAnchor>
    <xdr:from>
      <xdr:col>3</xdr:col>
      <xdr:colOff>114300</xdr:colOff>
      <xdr:row>1487</xdr:row>
      <xdr:rowOff>28575</xdr:rowOff>
    </xdr:from>
    <xdr:to>
      <xdr:col>3</xdr:col>
      <xdr:colOff>1552575</xdr:colOff>
      <xdr:row>1487</xdr:row>
      <xdr:rowOff>1266825</xdr:rowOff>
    </xdr:to>
    <xdr:pic>
      <xdr:nvPicPr>
        <xdr:cNvPr id="605" name="Имя " descr="Descr ">
          <a:extLst>
            <a:ext uri="{FF2B5EF4-FFF2-40B4-BE49-F238E27FC236}">
              <a16:creationId xmlns:a16="http://schemas.microsoft.com/office/drawing/2014/main" id="{00000000-0008-0000-0000-00005D020000}"/>
            </a:ext>
          </a:extLst>
        </xdr:cNvPr>
        <xdr:cNvPicPr>
          <a:picLocks noChangeAspect="1"/>
        </xdr:cNvPicPr>
      </xdr:nvPicPr>
      <xdr:blipFill>
        <a:blip xmlns:r="http://schemas.openxmlformats.org/officeDocument/2006/relationships" r:embed="rId594"/>
        <a:stretch>
          <a:fillRect/>
        </a:stretch>
      </xdr:blipFill>
      <xdr:spPr>
        <a:prstGeom prst="rect">
          <a:avLst/>
        </a:prstGeom>
        <a:ln w="9525">
          <a:solidFill>
            <a:srgbClr val="000000"/>
          </a:solidFill>
          <a:prstDash val="solid"/>
        </a:ln>
      </xdr:spPr>
    </xdr:pic>
    <xdr:clientData/>
  </xdr:twoCellAnchor>
  <xdr:twoCellAnchor>
    <xdr:from>
      <xdr:col>3</xdr:col>
      <xdr:colOff>114300</xdr:colOff>
      <xdr:row>1488</xdr:row>
      <xdr:rowOff>28575</xdr:rowOff>
    </xdr:from>
    <xdr:to>
      <xdr:col>3</xdr:col>
      <xdr:colOff>1552575</xdr:colOff>
      <xdr:row>1488</xdr:row>
      <xdr:rowOff>1266825</xdr:rowOff>
    </xdr:to>
    <xdr:pic>
      <xdr:nvPicPr>
        <xdr:cNvPr id="606" name="Имя " descr="Descr ">
          <a:extLst>
            <a:ext uri="{FF2B5EF4-FFF2-40B4-BE49-F238E27FC236}">
              <a16:creationId xmlns:a16="http://schemas.microsoft.com/office/drawing/2014/main" id="{00000000-0008-0000-0000-00005E020000}"/>
            </a:ext>
          </a:extLst>
        </xdr:cNvPr>
        <xdr:cNvPicPr>
          <a:picLocks noChangeAspect="1"/>
        </xdr:cNvPicPr>
      </xdr:nvPicPr>
      <xdr:blipFill>
        <a:blip xmlns:r="http://schemas.openxmlformats.org/officeDocument/2006/relationships" r:embed="rId595"/>
        <a:stretch>
          <a:fillRect/>
        </a:stretch>
      </xdr:blipFill>
      <xdr:spPr>
        <a:prstGeom prst="rect">
          <a:avLst/>
        </a:prstGeom>
        <a:ln w="9525">
          <a:solidFill>
            <a:srgbClr val="000000"/>
          </a:solidFill>
          <a:prstDash val="solid"/>
        </a:ln>
      </xdr:spPr>
    </xdr:pic>
    <xdr:clientData/>
  </xdr:twoCellAnchor>
  <xdr:twoCellAnchor>
    <xdr:from>
      <xdr:col>3</xdr:col>
      <xdr:colOff>114300</xdr:colOff>
      <xdr:row>1489</xdr:row>
      <xdr:rowOff>28575</xdr:rowOff>
    </xdr:from>
    <xdr:to>
      <xdr:col>3</xdr:col>
      <xdr:colOff>1552575</xdr:colOff>
      <xdr:row>1489</xdr:row>
      <xdr:rowOff>1266825</xdr:rowOff>
    </xdr:to>
    <xdr:pic>
      <xdr:nvPicPr>
        <xdr:cNvPr id="607" name="Имя " descr="Descr ">
          <a:extLst>
            <a:ext uri="{FF2B5EF4-FFF2-40B4-BE49-F238E27FC236}">
              <a16:creationId xmlns:a16="http://schemas.microsoft.com/office/drawing/2014/main" id="{00000000-0008-0000-0000-00005F020000}"/>
            </a:ext>
          </a:extLst>
        </xdr:cNvPr>
        <xdr:cNvPicPr>
          <a:picLocks noChangeAspect="1"/>
        </xdr:cNvPicPr>
      </xdr:nvPicPr>
      <xdr:blipFill>
        <a:blip xmlns:r="http://schemas.openxmlformats.org/officeDocument/2006/relationships" r:embed="rId596"/>
        <a:stretch>
          <a:fillRect/>
        </a:stretch>
      </xdr:blipFill>
      <xdr:spPr>
        <a:prstGeom prst="rect">
          <a:avLst/>
        </a:prstGeom>
        <a:ln w="9525">
          <a:solidFill>
            <a:srgbClr val="000000"/>
          </a:solidFill>
          <a:prstDash val="solid"/>
        </a:ln>
      </xdr:spPr>
    </xdr:pic>
    <xdr:clientData/>
  </xdr:twoCellAnchor>
  <xdr:twoCellAnchor>
    <xdr:from>
      <xdr:col>3</xdr:col>
      <xdr:colOff>114300</xdr:colOff>
      <xdr:row>1490</xdr:row>
      <xdr:rowOff>28575</xdr:rowOff>
    </xdr:from>
    <xdr:to>
      <xdr:col>3</xdr:col>
      <xdr:colOff>1552575</xdr:colOff>
      <xdr:row>1490</xdr:row>
      <xdr:rowOff>1266825</xdr:rowOff>
    </xdr:to>
    <xdr:pic>
      <xdr:nvPicPr>
        <xdr:cNvPr id="608" name="Имя " descr="Descr ">
          <a:extLst>
            <a:ext uri="{FF2B5EF4-FFF2-40B4-BE49-F238E27FC236}">
              <a16:creationId xmlns:a16="http://schemas.microsoft.com/office/drawing/2014/main" id="{00000000-0008-0000-0000-000060020000}"/>
            </a:ext>
          </a:extLst>
        </xdr:cNvPr>
        <xdr:cNvPicPr>
          <a:picLocks noChangeAspect="1"/>
        </xdr:cNvPicPr>
      </xdr:nvPicPr>
      <xdr:blipFill>
        <a:blip xmlns:r="http://schemas.openxmlformats.org/officeDocument/2006/relationships" r:embed="rId597"/>
        <a:stretch>
          <a:fillRect/>
        </a:stretch>
      </xdr:blipFill>
      <xdr:spPr>
        <a:prstGeom prst="rect">
          <a:avLst/>
        </a:prstGeom>
        <a:ln w="9525">
          <a:solidFill>
            <a:srgbClr val="000000"/>
          </a:solidFill>
          <a:prstDash val="solid"/>
        </a:ln>
      </xdr:spPr>
    </xdr:pic>
    <xdr:clientData/>
  </xdr:twoCellAnchor>
  <xdr:twoCellAnchor>
    <xdr:from>
      <xdr:col>3</xdr:col>
      <xdr:colOff>114300</xdr:colOff>
      <xdr:row>1491</xdr:row>
      <xdr:rowOff>28575</xdr:rowOff>
    </xdr:from>
    <xdr:to>
      <xdr:col>3</xdr:col>
      <xdr:colOff>1552575</xdr:colOff>
      <xdr:row>1491</xdr:row>
      <xdr:rowOff>1266825</xdr:rowOff>
    </xdr:to>
    <xdr:pic>
      <xdr:nvPicPr>
        <xdr:cNvPr id="609" name="Имя " descr="Descr ">
          <a:extLst>
            <a:ext uri="{FF2B5EF4-FFF2-40B4-BE49-F238E27FC236}">
              <a16:creationId xmlns:a16="http://schemas.microsoft.com/office/drawing/2014/main" id="{00000000-0008-0000-0000-000061020000}"/>
            </a:ext>
          </a:extLst>
        </xdr:cNvPr>
        <xdr:cNvPicPr>
          <a:picLocks noChangeAspect="1"/>
        </xdr:cNvPicPr>
      </xdr:nvPicPr>
      <xdr:blipFill>
        <a:blip xmlns:r="http://schemas.openxmlformats.org/officeDocument/2006/relationships" r:embed="rId598"/>
        <a:stretch>
          <a:fillRect/>
        </a:stretch>
      </xdr:blipFill>
      <xdr:spPr>
        <a:prstGeom prst="rect">
          <a:avLst/>
        </a:prstGeom>
        <a:ln w="9525">
          <a:solidFill>
            <a:srgbClr val="000000"/>
          </a:solidFill>
          <a:prstDash val="solid"/>
        </a:ln>
      </xdr:spPr>
    </xdr:pic>
    <xdr:clientData/>
  </xdr:twoCellAnchor>
  <xdr:twoCellAnchor>
    <xdr:from>
      <xdr:col>3</xdr:col>
      <xdr:colOff>114300</xdr:colOff>
      <xdr:row>1492</xdr:row>
      <xdr:rowOff>28575</xdr:rowOff>
    </xdr:from>
    <xdr:to>
      <xdr:col>3</xdr:col>
      <xdr:colOff>1552575</xdr:colOff>
      <xdr:row>1492</xdr:row>
      <xdr:rowOff>1266825</xdr:rowOff>
    </xdr:to>
    <xdr:pic>
      <xdr:nvPicPr>
        <xdr:cNvPr id="610" name="Имя " descr="Descr ">
          <a:extLst>
            <a:ext uri="{FF2B5EF4-FFF2-40B4-BE49-F238E27FC236}">
              <a16:creationId xmlns:a16="http://schemas.microsoft.com/office/drawing/2014/main" id="{00000000-0008-0000-0000-000062020000}"/>
            </a:ext>
          </a:extLst>
        </xdr:cNvPr>
        <xdr:cNvPicPr>
          <a:picLocks noChangeAspect="1"/>
        </xdr:cNvPicPr>
      </xdr:nvPicPr>
      <xdr:blipFill>
        <a:blip xmlns:r="http://schemas.openxmlformats.org/officeDocument/2006/relationships" r:embed="rId599"/>
        <a:stretch>
          <a:fillRect/>
        </a:stretch>
      </xdr:blipFill>
      <xdr:spPr>
        <a:prstGeom prst="rect">
          <a:avLst/>
        </a:prstGeom>
        <a:ln w="9525">
          <a:solidFill>
            <a:srgbClr val="000000"/>
          </a:solidFill>
          <a:prstDash val="solid"/>
        </a:ln>
      </xdr:spPr>
    </xdr:pic>
    <xdr:clientData/>
  </xdr:twoCellAnchor>
  <xdr:twoCellAnchor>
    <xdr:from>
      <xdr:col>3</xdr:col>
      <xdr:colOff>114300</xdr:colOff>
      <xdr:row>1493</xdr:row>
      <xdr:rowOff>28575</xdr:rowOff>
    </xdr:from>
    <xdr:to>
      <xdr:col>3</xdr:col>
      <xdr:colOff>1552575</xdr:colOff>
      <xdr:row>1493</xdr:row>
      <xdr:rowOff>1266825</xdr:rowOff>
    </xdr:to>
    <xdr:pic>
      <xdr:nvPicPr>
        <xdr:cNvPr id="611" name="Имя " descr="Descr ">
          <a:extLst>
            <a:ext uri="{FF2B5EF4-FFF2-40B4-BE49-F238E27FC236}">
              <a16:creationId xmlns:a16="http://schemas.microsoft.com/office/drawing/2014/main" id="{00000000-0008-0000-0000-000063020000}"/>
            </a:ext>
          </a:extLst>
        </xdr:cNvPr>
        <xdr:cNvPicPr>
          <a:picLocks noChangeAspect="1"/>
        </xdr:cNvPicPr>
      </xdr:nvPicPr>
      <xdr:blipFill>
        <a:blip xmlns:r="http://schemas.openxmlformats.org/officeDocument/2006/relationships" r:embed="rId600"/>
        <a:stretch>
          <a:fillRect/>
        </a:stretch>
      </xdr:blipFill>
      <xdr:spPr>
        <a:prstGeom prst="rect">
          <a:avLst/>
        </a:prstGeom>
        <a:ln w="9525">
          <a:solidFill>
            <a:srgbClr val="000000"/>
          </a:solidFill>
          <a:prstDash val="solid"/>
        </a:ln>
      </xdr:spPr>
    </xdr:pic>
    <xdr:clientData/>
  </xdr:twoCellAnchor>
  <xdr:twoCellAnchor>
    <xdr:from>
      <xdr:col>3</xdr:col>
      <xdr:colOff>114300</xdr:colOff>
      <xdr:row>1494</xdr:row>
      <xdr:rowOff>28575</xdr:rowOff>
    </xdr:from>
    <xdr:to>
      <xdr:col>3</xdr:col>
      <xdr:colOff>1552575</xdr:colOff>
      <xdr:row>1494</xdr:row>
      <xdr:rowOff>1266825</xdr:rowOff>
    </xdr:to>
    <xdr:pic>
      <xdr:nvPicPr>
        <xdr:cNvPr id="612" name="Имя " descr="Descr ">
          <a:extLst>
            <a:ext uri="{FF2B5EF4-FFF2-40B4-BE49-F238E27FC236}">
              <a16:creationId xmlns:a16="http://schemas.microsoft.com/office/drawing/2014/main" id="{00000000-0008-0000-0000-000064020000}"/>
            </a:ext>
          </a:extLst>
        </xdr:cNvPr>
        <xdr:cNvPicPr>
          <a:picLocks noChangeAspect="1"/>
        </xdr:cNvPicPr>
      </xdr:nvPicPr>
      <xdr:blipFill>
        <a:blip xmlns:r="http://schemas.openxmlformats.org/officeDocument/2006/relationships" r:embed="rId601"/>
        <a:stretch>
          <a:fillRect/>
        </a:stretch>
      </xdr:blipFill>
      <xdr:spPr>
        <a:prstGeom prst="rect">
          <a:avLst/>
        </a:prstGeom>
        <a:ln w="9525">
          <a:solidFill>
            <a:srgbClr val="000000"/>
          </a:solidFill>
          <a:prstDash val="solid"/>
        </a:ln>
      </xdr:spPr>
    </xdr:pic>
    <xdr:clientData/>
  </xdr:twoCellAnchor>
  <xdr:twoCellAnchor>
    <xdr:from>
      <xdr:col>3</xdr:col>
      <xdr:colOff>114300</xdr:colOff>
      <xdr:row>1495</xdr:row>
      <xdr:rowOff>28575</xdr:rowOff>
    </xdr:from>
    <xdr:to>
      <xdr:col>3</xdr:col>
      <xdr:colOff>1552575</xdr:colOff>
      <xdr:row>1495</xdr:row>
      <xdr:rowOff>1266825</xdr:rowOff>
    </xdr:to>
    <xdr:pic>
      <xdr:nvPicPr>
        <xdr:cNvPr id="613" name="Имя " descr="Descr ">
          <a:extLst>
            <a:ext uri="{FF2B5EF4-FFF2-40B4-BE49-F238E27FC236}">
              <a16:creationId xmlns:a16="http://schemas.microsoft.com/office/drawing/2014/main" id="{00000000-0008-0000-0000-000065020000}"/>
            </a:ext>
          </a:extLst>
        </xdr:cNvPr>
        <xdr:cNvPicPr>
          <a:picLocks noChangeAspect="1"/>
        </xdr:cNvPicPr>
      </xdr:nvPicPr>
      <xdr:blipFill>
        <a:blip xmlns:r="http://schemas.openxmlformats.org/officeDocument/2006/relationships" r:embed="rId602"/>
        <a:stretch>
          <a:fillRect/>
        </a:stretch>
      </xdr:blipFill>
      <xdr:spPr>
        <a:prstGeom prst="rect">
          <a:avLst/>
        </a:prstGeom>
        <a:ln w="9525">
          <a:solidFill>
            <a:srgbClr val="000000"/>
          </a:solidFill>
          <a:prstDash val="solid"/>
        </a:ln>
      </xdr:spPr>
    </xdr:pic>
    <xdr:clientData/>
  </xdr:twoCellAnchor>
  <xdr:twoCellAnchor>
    <xdr:from>
      <xdr:col>3</xdr:col>
      <xdr:colOff>114300</xdr:colOff>
      <xdr:row>1496</xdr:row>
      <xdr:rowOff>28575</xdr:rowOff>
    </xdr:from>
    <xdr:to>
      <xdr:col>3</xdr:col>
      <xdr:colOff>1552575</xdr:colOff>
      <xdr:row>1496</xdr:row>
      <xdr:rowOff>1266825</xdr:rowOff>
    </xdr:to>
    <xdr:pic>
      <xdr:nvPicPr>
        <xdr:cNvPr id="614" name="Имя " descr="Descr ">
          <a:extLst>
            <a:ext uri="{FF2B5EF4-FFF2-40B4-BE49-F238E27FC236}">
              <a16:creationId xmlns:a16="http://schemas.microsoft.com/office/drawing/2014/main" id="{00000000-0008-0000-0000-000066020000}"/>
            </a:ext>
          </a:extLst>
        </xdr:cNvPr>
        <xdr:cNvPicPr>
          <a:picLocks noChangeAspect="1"/>
        </xdr:cNvPicPr>
      </xdr:nvPicPr>
      <xdr:blipFill>
        <a:blip xmlns:r="http://schemas.openxmlformats.org/officeDocument/2006/relationships" r:embed="rId603"/>
        <a:stretch>
          <a:fillRect/>
        </a:stretch>
      </xdr:blipFill>
      <xdr:spPr>
        <a:prstGeom prst="rect">
          <a:avLst/>
        </a:prstGeom>
        <a:ln w="9525">
          <a:solidFill>
            <a:srgbClr val="000000"/>
          </a:solidFill>
          <a:prstDash val="solid"/>
        </a:ln>
      </xdr:spPr>
    </xdr:pic>
    <xdr:clientData/>
  </xdr:twoCellAnchor>
  <xdr:twoCellAnchor>
    <xdr:from>
      <xdr:col>3</xdr:col>
      <xdr:colOff>114300</xdr:colOff>
      <xdr:row>1497</xdr:row>
      <xdr:rowOff>28575</xdr:rowOff>
    </xdr:from>
    <xdr:to>
      <xdr:col>3</xdr:col>
      <xdr:colOff>1552575</xdr:colOff>
      <xdr:row>1497</xdr:row>
      <xdr:rowOff>1266825</xdr:rowOff>
    </xdr:to>
    <xdr:pic>
      <xdr:nvPicPr>
        <xdr:cNvPr id="615" name="Имя " descr="Descr ">
          <a:extLst>
            <a:ext uri="{FF2B5EF4-FFF2-40B4-BE49-F238E27FC236}">
              <a16:creationId xmlns:a16="http://schemas.microsoft.com/office/drawing/2014/main" id="{00000000-0008-0000-0000-000067020000}"/>
            </a:ext>
          </a:extLst>
        </xdr:cNvPr>
        <xdr:cNvPicPr>
          <a:picLocks noChangeAspect="1"/>
        </xdr:cNvPicPr>
      </xdr:nvPicPr>
      <xdr:blipFill>
        <a:blip xmlns:r="http://schemas.openxmlformats.org/officeDocument/2006/relationships" r:embed="rId604"/>
        <a:stretch>
          <a:fillRect/>
        </a:stretch>
      </xdr:blipFill>
      <xdr:spPr>
        <a:prstGeom prst="rect">
          <a:avLst/>
        </a:prstGeom>
        <a:ln w="9525">
          <a:solidFill>
            <a:srgbClr val="000000"/>
          </a:solidFill>
          <a:prstDash val="solid"/>
        </a:ln>
      </xdr:spPr>
    </xdr:pic>
    <xdr:clientData/>
  </xdr:twoCellAnchor>
  <xdr:twoCellAnchor>
    <xdr:from>
      <xdr:col>3</xdr:col>
      <xdr:colOff>114300</xdr:colOff>
      <xdr:row>1498</xdr:row>
      <xdr:rowOff>28575</xdr:rowOff>
    </xdr:from>
    <xdr:to>
      <xdr:col>3</xdr:col>
      <xdr:colOff>1552575</xdr:colOff>
      <xdr:row>1498</xdr:row>
      <xdr:rowOff>1266825</xdr:rowOff>
    </xdr:to>
    <xdr:pic>
      <xdr:nvPicPr>
        <xdr:cNvPr id="616" name="Имя " descr="Descr ">
          <a:extLst>
            <a:ext uri="{FF2B5EF4-FFF2-40B4-BE49-F238E27FC236}">
              <a16:creationId xmlns:a16="http://schemas.microsoft.com/office/drawing/2014/main" id="{00000000-0008-0000-0000-000068020000}"/>
            </a:ext>
          </a:extLst>
        </xdr:cNvPr>
        <xdr:cNvPicPr>
          <a:picLocks noChangeAspect="1"/>
        </xdr:cNvPicPr>
      </xdr:nvPicPr>
      <xdr:blipFill>
        <a:blip xmlns:r="http://schemas.openxmlformats.org/officeDocument/2006/relationships" r:embed="rId605"/>
        <a:stretch>
          <a:fillRect/>
        </a:stretch>
      </xdr:blipFill>
      <xdr:spPr>
        <a:prstGeom prst="rect">
          <a:avLst/>
        </a:prstGeom>
        <a:ln w="9525">
          <a:solidFill>
            <a:srgbClr val="000000"/>
          </a:solidFill>
          <a:prstDash val="solid"/>
        </a:ln>
      </xdr:spPr>
    </xdr:pic>
    <xdr:clientData/>
  </xdr:twoCellAnchor>
  <xdr:twoCellAnchor>
    <xdr:from>
      <xdr:col>3</xdr:col>
      <xdr:colOff>114300</xdr:colOff>
      <xdr:row>1499</xdr:row>
      <xdr:rowOff>28575</xdr:rowOff>
    </xdr:from>
    <xdr:to>
      <xdr:col>3</xdr:col>
      <xdr:colOff>1552575</xdr:colOff>
      <xdr:row>1499</xdr:row>
      <xdr:rowOff>1266825</xdr:rowOff>
    </xdr:to>
    <xdr:pic>
      <xdr:nvPicPr>
        <xdr:cNvPr id="617" name="Имя " descr="Descr ">
          <a:extLst>
            <a:ext uri="{FF2B5EF4-FFF2-40B4-BE49-F238E27FC236}">
              <a16:creationId xmlns:a16="http://schemas.microsoft.com/office/drawing/2014/main" id="{00000000-0008-0000-0000-000069020000}"/>
            </a:ext>
          </a:extLst>
        </xdr:cNvPr>
        <xdr:cNvPicPr>
          <a:picLocks noChangeAspect="1"/>
        </xdr:cNvPicPr>
      </xdr:nvPicPr>
      <xdr:blipFill>
        <a:blip xmlns:r="http://schemas.openxmlformats.org/officeDocument/2006/relationships" r:embed="rId606"/>
        <a:stretch>
          <a:fillRect/>
        </a:stretch>
      </xdr:blipFill>
      <xdr:spPr>
        <a:prstGeom prst="rect">
          <a:avLst/>
        </a:prstGeom>
        <a:ln w="9525">
          <a:solidFill>
            <a:srgbClr val="000000"/>
          </a:solidFill>
          <a:prstDash val="solid"/>
        </a:ln>
      </xdr:spPr>
    </xdr:pic>
    <xdr:clientData/>
  </xdr:twoCellAnchor>
  <xdr:twoCellAnchor>
    <xdr:from>
      <xdr:col>3</xdr:col>
      <xdr:colOff>114300</xdr:colOff>
      <xdr:row>1500</xdr:row>
      <xdr:rowOff>28575</xdr:rowOff>
    </xdr:from>
    <xdr:to>
      <xdr:col>3</xdr:col>
      <xdr:colOff>1552575</xdr:colOff>
      <xdr:row>1500</xdr:row>
      <xdr:rowOff>1266825</xdr:rowOff>
    </xdr:to>
    <xdr:pic>
      <xdr:nvPicPr>
        <xdr:cNvPr id="618" name="Имя " descr="Descr ">
          <a:extLst>
            <a:ext uri="{FF2B5EF4-FFF2-40B4-BE49-F238E27FC236}">
              <a16:creationId xmlns:a16="http://schemas.microsoft.com/office/drawing/2014/main" id="{00000000-0008-0000-0000-00006A020000}"/>
            </a:ext>
          </a:extLst>
        </xdr:cNvPr>
        <xdr:cNvPicPr>
          <a:picLocks noChangeAspect="1"/>
        </xdr:cNvPicPr>
      </xdr:nvPicPr>
      <xdr:blipFill>
        <a:blip xmlns:r="http://schemas.openxmlformats.org/officeDocument/2006/relationships" r:embed="rId607"/>
        <a:stretch>
          <a:fillRect/>
        </a:stretch>
      </xdr:blipFill>
      <xdr:spPr>
        <a:prstGeom prst="rect">
          <a:avLst/>
        </a:prstGeom>
        <a:ln w="9525">
          <a:solidFill>
            <a:srgbClr val="000000"/>
          </a:solidFill>
          <a:prstDash val="solid"/>
        </a:ln>
      </xdr:spPr>
    </xdr:pic>
    <xdr:clientData/>
  </xdr:twoCellAnchor>
  <xdr:twoCellAnchor>
    <xdr:from>
      <xdr:col>3</xdr:col>
      <xdr:colOff>114300</xdr:colOff>
      <xdr:row>1501</xdr:row>
      <xdr:rowOff>28575</xdr:rowOff>
    </xdr:from>
    <xdr:to>
      <xdr:col>3</xdr:col>
      <xdr:colOff>1552575</xdr:colOff>
      <xdr:row>1501</xdr:row>
      <xdr:rowOff>1266825</xdr:rowOff>
    </xdr:to>
    <xdr:pic>
      <xdr:nvPicPr>
        <xdr:cNvPr id="619" name="Имя " descr="Descr ">
          <a:extLst>
            <a:ext uri="{FF2B5EF4-FFF2-40B4-BE49-F238E27FC236}">
              <a16:creationId xmlns:a16="http://schemas.microsoft.com/office/drawing/2014/main" id="{00000000-0008-0000-0000-00006B020000}"/>
            </a:ext>
          </a:extLst>
        </xdr:cNvPr>
        <xdr:cNvPicPr>
          <a:picLocks noChangeAspect="1"/>
        </xdr:cNvPicPr>
      </xdr:nvPicPr>
      <xdr:blipFill>
        <a:blip xmlns:r="http://schemas.openxmlformats.org/officeDocument/2006/relationships" r:embed="rId608"/>
        <a:stretch>
          <a:fillRect/>
        </a:stretch>
      </xdr:blipFill>
      <xdr:spPr>
        <a:prstGeom prst="rect">
          <a:avLst/>
        </a:prstGeom>
        <a:ln w="9525">
          <a:solidFill>
            <a:srgbClr val="000000"/>
          </a:solidFill>
          <a:prstDash val="solid"/>
        </a:ln>
      </xdr:spPr>
    </xdr:pic>
    <xdr:clientData/>
  </xdr:twoCellAnchor>
  <xdr:twoCellAnchor>
    <xdr:from>
      <xdr:col>3</xdr:col>
      <xdr:colOff>114300</xdr:colOff>
      <xdr:row>1502</xdr:row>
      <xdr:rowOff>28575</xdr:rowOff>
    </xdr:from>
    <xdr:to>
      <xdr:col>3</xdr:col>
      <xdr:colOff>1552575</xdr:colOff>
      <xdr:row>1502</xdr:row>
      <xdr:rowOff>1266825</xdr:rowOff>
    </xdr:to>
    <xdr:pic>
      <xdr:nvPicPr>
        <xdr:cNvPr id="620" name="Имя " descr="Descr ">
          <a:extLst>
            <a:ext uri="{FF2B5EF4-FFF2-40B4-BE49-F238E27FC236}">
              <a16:creationId xmlns:a16="http://schemas.microsoft.com/office/drawing/2014/main" id="{00000000-0008-0000-0000-00006C020000}"/>
            </a:ext>
          </a:extLst>
        </xdr:cNvPr>
        <xdr:cNvPicPr>
          <a:picLocks noChangeAspect="1"/>
        </xdr:cNvPicPr>
      </xdr:nvPicPr>
      <xdr:blipFill>
        <a:blip xmlns:r="http://schemas.openxmlformats.org/officeDocument/2006/relationships" r:embed="rId609"/>
        <a:stretch>
          <a:fillRect/>
        </a:stretch>
      </xdr:blipFill>
      <xdr:spPr>
        <a:prstGeom prst="rect">
          <a:avLst/>
        </a:prstGeom>
        <a:ln w="9525">
          <a:solidFill>
            <a:srgbClr val="000000"/>
          </a:solidFill>
          <a:prstDash val="solid"/>
        </a:ln>
      </xdr:spPr>
    </xdr:pic>
    <xdr:clientData/>
  </xdr:twoCellAnchor>
  <xdr:twoCellAnchor>
    <xdr:from>
      <xdr:col>3</xdr:col>
      <xdr:colOff>114300</xdr:colOff>
      <xdr:row>1503</xdr:row>
      <xdr:rowOff>28575</xdr:rowOff>
    </xdr:from>
    <xdr:to>
      <xdr:col>3</xdr:col>
      <xdr:colOff>1552575</xdr:colOff>
      <xdr:row>1503</xdr:row>
      <xdr:rowOff>1266825</xdr:rowOff>
    </xdr:to>
    <xdr:pic>
      <xdr:nvPicPr>
        <xdr:cNvPr id="621" name="Имя " descr="Descr ">
          <a:extLst>
            <a:ext uri="{FF2B5EF4-FFF2-40B4-BE49-F238E27FC236}">
              <a16:creationId xmlns:a16="http://schemas.microsoft.com/office/drawing/2014/main" id="{00000000-0008-0000-0000-00006D020000}"/>
            </a:ext>
          </a:extLst>
        </xdr:cNvPr>
        <xdr:cNvPicPr>
          <a:picLocks noChangeAspect="1"/>
        </xdr:cNvPicPr>
      </xdr:nvPicPr>
      <xdr:blipFill>
        <a:blip xmlns:r="http://schemas.openxmlformats.org/officeDocument/2006/relationships" r:embed="rId610"/>
        <a:stretch>
          <a:fillRect/>
        </a:stretch>
      </xdr:blipFill>
      <xdr:spPr>
        <a:prstGeom prst="rect">
          <a:avLst/>
        </a:prstGeom>
        <a:ln w="9525">
          <a:solidFill>
            <a:srgbClr val="000000"/>
          </a:solidFill>
          <a:prstDash val="solid"/>
        </a:ln>
      </xdr:spPr>
    </xdr:pic>
    <xdr:clientData/>
  </xdr:twoCellAnchor>
  <xdr:twoCellAnchor>
    <xdr:from>
      <xdr:col>3</xdr:col>
      <xdr:colOff>114300</xdr:colOff>
      <xdr:row>1504</xdr:row>
      <xdr:rowOff>28575</xdr:rowOff>
    </xdr:from>
    <xdr:to>
      <xdr:col>3</xdr:col>
      <xdr:colOff>1552575</xdr:colOff>
      <xdr:row>1504</xdr:row>
      <xdr:rowOff>1266825</xdr:rowOff>
    </xdr:to>
    <xdr:pic>
      <xdr:nvPicPr>
        <xdr:cNvPr id="622" name="Имя " descr="Descr ">
          <a:extLst>
            <a:ext uri="{FF2B5EF4-FFF2-40B4-BE49-F238E27FC236}">
              <a16:creationId xmlns:a16="http://schemas.microsoft.com/office/drawing/2014/main" id="{00000000-0008-0000-0000-00006E020000}"/>
            </a:ext>
          </a:extLst>
        </xdr:cNvPr>
        <xdr:cNvPicPr>
          <a:picLocks noChangeAspect="1"/>
        </xdr:cNvPicPr>
      </xdr:nvPicPr>
      <xdr:blipFill>
        <a:blip xmlns:r="http://schemas.openxmlformats.org/officeDocument/2006/relationships" r:embed="rId611"/>
        <a:stretch>
          <a:fillRect/>
        </a:stretch>
      </xdr:blipFill>
      <xdr:spPr>
        <a:prstGeom prst="rect">
          <a:avLst/>
        </a:prstGeom>
        <a:ln w="9525">
          <a:solidFill>
            <a:srgbClr val="000000"/>
          </a:solidFill>
          <a:prstDash val="solid"/>
        </a:ln>
      </xdr:spPr>
    </xdr:pic>
    <xdr:clientData/>
  </xdr:twoCellAnchor>
  <xdr:twoCellAnchor>
    <xdr:from>
      <xdr:col>3</xdr:col>
      <xdr:colOff>114300</xdr:colOff>
      <xdr:row>1505</xdr:row>
      <xdr:rowOff>28575</xdr:rowOff>
    </xdr:from>
    <xdr:to>
      <xdr:col>3</xdr:col>
      <xdr:colOff>1552575</xdr:colOff>
      <xdr:row>1505</xdr:row>
      <xdr:rowOff>1266825</xdr:rowOff>
    </xdr:to>
    <xdr:pic>
      <xdr:nvPicPr>
        <xdr:cNvPr id="623" name="Имя " descr="Descr ">
          <a:extLst>
            <a:ext uri="{FF2B5EF4-FFF2-40B4-BE49-F238E27FC236}">
              <a16:creationId xmlns:a16="http://schemas.microsoft.com/office/drawing/2014/main" id="{00000000-0008-0000-0000-00006F020000}"/>
            </a:ext>
          </a:extLst>
        </xdr:cNvPr>
        <xdr:cNvPicPr>
          <a:picLocks noChangeAspect="1"/>
        </xdr:cNvPicPr>
      </xdr:nvPicPr>
      <xdr:blipFill>
        <a:blip xmlns:r="http://schemas.openxmlformats.org/officeDocument/2006/relationships" r:embed="rId612"/>
        <a:stretch>
          <a:fillRect/>
        </a:stretch>
      </xdr:blipFill>
      <xdr:spPr>
        <a:prstGeom prst="rect">
          <a:avLst/>
        </a:prstGeom>
        <a:ln w="9525">
          <a:solidFill>
            <a:srgbClr val="000000"/>
          </a:solidFill>
          <a:prstDash val="solid"/>
        </a:ln>
      </xdr:spPr>
    </xdr:pic>
    <xdr:clientData/>
  </xdr:twoCellAnchor>
  <xdr:twoCellAnchor>
    <xdr:from>
      <xdr:col>3</xdr:col>
      <xdr:colOff>114300</xdr:colOff>
      <xdr:row>1506</xdr:row>
      <xdr:rowOff>28575</xdr:rowOff>
    </xdr:from>
    <xdr:to>
      <xdr:col>3</xdr:col>
      <xdr:colOff>1552575</xdr:colOff>
      <xdr:row>1506</xdr:row>
      <xdr:rowOff>1266825</xdr:rowOff>
    </xdr:to>
    <xdr:pic>
      <xdr:nvPicPr>
        <xdr:cNvPr id="624" name="Имя " descr="Descr ">
          <a:extLst>
            <a:ext uri="{FF2B5EF4-FFF2-40B4-BE49-F238E27FC236}">
              <a16:creationId xmlns:a16="http://schemas.microsoft.com/office/drawing/2014/main" id="{00000000-0008-0000-0000-000070020000}"/>
            </a:ext>
          </a:extLst>
        </xdr:cNvPr>
        <xdr:cNvPicPr>
          <a:picLocks noChangeAspect="1"/>
        </xdr:cNvPicPr>
      </xdr:nvPicPr>
      <xdr:blipFill>
        <a:blip xmlns:r="http://schemas.openxmlformats.org/officeDocument/2006/relationships" r:embed="rId613"/>
        <a:stretch>
          <a:fillRect/>
        </a:stretch>
      </xdr:blipFill>
      <xdr:spPr>
        <a:prstGeom prst="rect">
          <a:avLst/>
        </a:prstGeom>
        <a:ln w="9525">
          <a:solidFill>
            <a:srgbClr val="000000"/>
          </a:solidFill>
          <a:prstDash val="solid"/>
        </a:ln>
      </xdr:spPr>
    </xdr:pic>
    <xdr:clientData/>
  </xdr:twoCellAnchor>
  <xdr:twoCellAnchor>
    <xdr:from>
      <xdr:col>3</xdr:col>
      <xdr:colOff>114300</xdr:colOff>
      <xdr:row>1507</xdr:row>
      <xdr:rowOff>28575</xdr:rowOff>
    </xdr:from>
    <xdr:to>
      <xdr:col>3</xdr:col>
      <xdr:colOff>1552575</xdr:colOff>
      <xdr:row>1507</xdr:row>
      <xdr:rowOff>1266825</xdr:rowOff>
    </xdr:to>
    <xdr:pic>
      <xdr:nvPicPr>
        <xdr:cNvPr id="625" name="Имя " descr="Descr ">
          <a:extLst>
            <a:ext uri="{FF2B5EF4-FFF2-40B4-BE49-F238E27FC236}">
              <a16:creationId xmlns:a16="http://schemas.microsoft.com/office/drawing/2014/main" id="{00000000-0008-0000-0000-000071020000}"/>
            </a:ext>
          </a:extLst>
        </xdr:cNvPr>
        <xdr:cNvPicPr>
          <a:picLocks noChangeAspect="1"/>
        </xdr:cNvPicPr>
      </xdr:nvPicPr>
      <xdr:blipFill>
        <a:blip xmlns:r="http://schemas.openxmlformats.org/officeDocument/2006/relationships" r:embed="rId613"/>
        <a:stretch>
          <a:fillRect/>
        </a:stretch>
      </xdr:blipFill>
      <xdr:spPr>
        <a:prstGeom prst="rect">
          <a:avLst/>
        </a:prstGeom>
        <a:ln w="9525">
          <a:solidFill>
            <a:srgbClr val="000000"/>
          </a:solidFill>
          <a:prstDash val="solid"/>
        </a:ln>
      </xdr:spPr>
    </xdr:pic>
    <xdr:clientData/>
  </xdr:twoCellAnchor>
  <xdr:twoCellAnchor>
    <xdr:from>
      <xdr:col>3</xdr:col>
      <xdr:colOff>114300</xdr:colOff>
      <xdr:row>1508</xdr:row>
      <xdr:rowOff>28575</xdr:rowOff>
    </xdr:from>
    <xdr:to>
      <xdr:col>3</xdr:col>
      <xdr:colOff>1552575</xdr:colOff>
      <xdr:row>1508</xdr:row>
      <xdr:rowOff>1266825</xdr:rowOff>
    </xdr:to>
    <xdr:pic>
      <xdr:nvPicPr>
        <xdr:cNvPr id="626" name="Имя " descr="Descr ">
          <a:extLst>
            <a:ext uri="{FF2B5EF4-FFF2-40B4-BE49-F238E27FC236}">
              <a16:creationId xmlns:a16="http://schemas.microsoft.com/office/drawing/2014/main" id="{00000000-0008-0000-0000-000072020000}"/>
            </a:ext>
          </a:extLst>
        </xdr:cNvPr>
        <xdr:cNvPicPr>
          <a:picLocks noChangeAspect="1"/>
        </xdr:cNvPicPr>
      </xdr:nvPicPr>
      <xdr:blipFill>
        <a:blip xmlns:r="http://schemas.openxmlformats.org/officeDocument/2006/relationships" r:embed="rId613"/>
        <a:stretch>
          <a:fillRect/>
        </a:stretch>
      </xdr:blipFill>
      <xdr:spPr>
        <a:prstGeom prst="rect">
          <a:avLst/>
        </a:prstGeom>
        <a:ln w="9525">
          <a:solidFill>
            <a:srgbClr val="000000"/>
          </a:solidFill>
          <a:prstDash val="solid"/>
        </a:ln>
      </xdr:spPr>
    </xdr:pic>
    <xdr:clientData/>
  </xdr:twoCellAnchor>
  <xdr:twoCellAnchor>
    <xdr:from>
      <xdr:col>3</xdr:col>
      <xdr:colOff>114300</xdr:colOff>
      <xdr:row>1509</xdr:row>
      <xdr:rowOff>28575</xdr:rowOff>
    </xdr:from>
    <xdr:to>
      <xdr:col>3</xdr:col>
      <xdr:colOff>1552575</xdr:colOff>
      <xdr:row>1509</xdr:row>
      <xdr:rowOff>1266825</xdr:rowOff>
    </xdr:to>
    <xdr:pic>
      <xdr:nvPicPr>
        <xdr:cNvPr id="627" name="Имя " descr="Descr ">
          <a:extLst>
            <a:ext uri="{FF2B5EF4-FFF2-40B4-BE49-F238E27FC236}">
              <a16:creationId xmlns:a16="http://schemas.microsoft.com/office/drawing/2014/main" id="{00000000-0008-0000-0000-000073020000}"/>
            </a:ext>
          </a:extLst>
        </xdr:cNvPr>
        <xdr:cNvPicPr>
          <a:picLocks noChangeAspect="1"/>
        </xdr:cNvPicPr>
      </xdr:nvPicPr>
      <xdr:blipFill>
        <a:blip xmlns:r="http://schemas.openxmlformats.org/officeDocument/2006/relationships" r:embed="rId614"/>
        <a:stretch>
          <a:fillRect/>
        </a:stretch>
      </xdr:blipFill>
      <xdr:spPr>
        <a:prstGeom prst="rect">
          <a:avLst/>
        </a:prstGeom>
        <a:ln w="9525">
          <a:solidFill>
            <a:srgbClr val="000000"/>
          </a:solidFill>
          <a:prstDash val="solid"/>
        </a:ln>
      </xdr:spPr>
    </xdr:pic>
    <xdr:clientData/>
  </xdr:twoCellAnchor>
  <xdr:twoCellAnchor>
    <xdr:from>
      <xdr:col>3</xdr:col>
      <xdr:colOff>114300</xdr:colOff>
      <xdr:row>1510</xdr:row>
      <xdr:rowOff>28575</xdr:rowOff>
    </xdr:from>
    <xdr:to>
      <xdr:col>3</xdr:col>
      <xdr:colOff>1552575</xdr:colOff>
      <xdr:row>1510</xdr:row>
      <xdr:rowOff>1266825</xdr:rowOff>
    </xdr:to>
    <xdr:pic>
      <xdr:nvPicPr>
        <xdr:cNvPr id="628" name="Имя " descr="Descr ">
          <a:extLst>
            <a:ext uri="{FF2B5EF4-FFF2-40B4-BE49-F238E27FC236}">
              <a16:creationId xmlns:a16="http://schemas.microsoft.com/office/drawing/2014/main" id="{00000000-0008-0000-0000-000074020000}"/>
            </a:ext>
          </a:extLst>
        </xdr:cNvPr>
        <xdr:cNvPicPr>
          <a:picLocks noChangeAspect="1"/>
        </xdr:cNvPicPr>
      </xdr:nvPicPr>
      <xdr:blipFill>
        <a:blip xmlns:r="http://schemas.openxmlformats.org/officeDocument/2006/relationships" r:embed="rId615"/>
        <a:stretch>
          <a:fillRect/>
        </a:stretch>
      </xdr:blipFill>
      <xdr:spPr>
        <a:prstGeom prst="rect">
          <a:avLst/>
        </a:prstGeom>
        <a:ln w="9525">
          <a:solidFill>
            <a:srgbClr val="000000"/>
          </a:solidFill>
          <a:prstDash val="solid"/>
        </a:ln>
      </xdr:spPr>
    </xdr:pic>
    <xdr:clientData/>
  </xdr:twoCellAnchor>
  <xdr:twoCellAnchor>
    <xdr:from>
      <xdr:col>3</xdr:col>
      <xdr:colOff>114300</xdr:colOff>
      <xdr:row>1511</xdr:row>
      <xdr:rowOff>28575</xdr:rowOff>
    </xdr:from>
    <xdr:to>
      <xdr:col>3</xdr:col>
      <xdr:colOff>1552575</xdr:colOff>
      <xdr:row>1511</xdr:row>
      <xdr:rowOff>1266825</xdr:rowOff>
    </xdr:to>
    <xdr:pic>
      <xdr:nvPicPr>
        <xdr:cNvPr id="629" name="Имя " descr="Descr ">
          <a:extLst>
            <a:ext uri="{FF2B5EF4-FFF2-40B4-BE49-F238E27FC236}">
              <a16:creationId xmlns:a16="http://schemas.microsoft.com/office/drawing/2014/main" id="{00000000-0008-0000-0000-000075020000}"/>
            </a:ext>
          </a:extLst>
        </xdr:cNvPr>
        <xdr:cNvPicPr>
          <a:picLocks noChangeAspect="1"/>
        </xdr:cNvPicPr>
      </xdr:nvPicPr>
      <xdr:blipFill>
        <a:blip xmlns:r="http://schemas.openxmlformats.org/officeDocument/2006/relationships" r:embed="rId616"/>
        <a:stretch>
          <a:fillRect/>
        </a:stretch>
      </xdr:blipFill>
      <xdr:spPr>
        <a:prstGeom prst="rect">
          <a:avLst/>
        </a:prstGeom>
        <a:ln w="9525">
          <a:solidFill>
            <a:srgbClr val="000000"/>
          </a:solidFill>
          <a:prstDash val="solid"/>
        </a:ln>
      </xdr:spPr>
    </xdr:pic>
    <xdr:clientData/>
  </xdr:twoCellAnchor>
  <xdr:twoCellAnchor>
    <xdr:from>
      <xdr:col>3</xdr:col>
      <xdr:colOff>114300</xdr:colOff>
      <xdr:row>1512</xdr:row>
      <xdr:rowOff>28575</xdr:rowOff>
    </xdr:from>
    <xdr:to>
      <xdr:col>3</xdr:col>
      <xdr:colOff>1552575</xdr:colOff>
      <xdr:row>1512</xdr:row>
      <xdr:rowOff>1266825</xdr:rowOff>
    </xdr:to>
    <xdr:pic>
      <xdr:nvPicPr>
        <xdr:cNvPr id="630" name="Имя " descr="Descr ">
          <a:extLst>
            <a:ext uri="{FF2B5EF4-FFF2-40B4-BE49-F238E27FC236}">
              <a16:creationId xmlns:a16="http://schemas.microsoft.com/office/drawing/2014/main" id="{00000000-0008-0000-0000-000076020000}"/>
            </a:ext>
          </a:extLst>
        </xdr:cNvPr>
        <xdr:cNvPicPr>
          <a:picLocks noChangeAspect="1"/>
        </xdr:cNvPicPr>
      </xdr:nvPicPr>
      <xdr:blipFill>
        <a:blip xmlns:r="http://schemas.openxmlformats.org/officeDocument/2006/relationships" r:embed="rId617"/>
        <a:stretch>
          <a:fillRect/>
        </a:stretch>
      </xdr:blipFill>
      <xdr:spPr>
        <a:prstGeom prst="rect">
          <a:avLst/>
        </a:prstGeom>
        <a:ln w="9525">
          <a:solidFill>
            <a:srgbClr val="000000"/>
          </a:solidFill>
          <a:prstDash val="solid"/>
        </a:ln>
      </xdr:spPr>
    </xdr:pic>
    <xdr:clientData/>
  </xdr:twoCellAnchor>
  <xdr:twoCellAnchor>
    <xdr:from>
      <xdr:col>3</xdr:col>
      <xdr:colOff>114300</xdr:colOff>
      <xdr:row>1513</xdr:row>
      <xdr:rowOff>28575</xdr:rowOff>
    </xdr:from>
    <xdr:to>
      <xdr:col>3</xdr:col>
      <xdr:colOff>1552575</xdr:colOff>
      <xdr:row>1513</xdr:row>
      <xdr:rowOff>1266825</xdr:rowOff>
    </xdr:to>
    <xdr:pic>
      <xdr:nvPicPr>
        <xdr:cNvPr id="631" name="Имя " descr="Descr ">
          <a:extLst>
            <a:ext uri="{FF2B5EF4-FFF2-40B4-BE49-F238E27FC236}">
              <a16:creationId xmlns:a16="http://schemas.microsoft.com/office/drawing/2014/main" id="{00000000-0008-0000-0000-000077020000}"/>
            </a:ext>
          </a:extLst>
        </xdr:cNvPr>
        <xdr:cNvPicPr>
          <a:picLocks noChangeAspect="1"/>
        </xdr:cNvPicPr>
      </xdr:nvPicPr>
      <xdr:blipFill>
        <a:blip xmlns:r="http://schemas.openxmlformats.org/officeDocument/2006/relationships" r:embed="rId618"/>
        <a:stretch>
          <a:fillRect/>
        </a:stretch>
      </xdr:blipFill>
      <xdr:spPr>
        <a:prstGeom prst="rect">
          <a:avLst/>
        </a:prstGeom>
        <a:ln w="9525">
          <a:solidFill>
            <a:srgbClr val="000000"/>
          </a:solidFill>
          <a:prstDash val="solid"/>
        </a:ln>
      </xdr:spPr>
    </xdr:pic>
    <xdr:clientData/>
  </xdr:twoCellAnchor>
  <xdr:twoCellAnchor>
    <xdr:from>
      <xdr:col>3</xdr:col>
      <xdr:colOff>114300</xdr:colOff>
      <xdr:row>1514</xdr:row>
      <xdr:rowOff>28575</xdr:rowOff>
    </xdr:from>
    <xdr:to>
      <xdr:col>3</xdr:col>
      <xdr:colOff>1552575</xdr:colOff>
      <xdr:row>1514</xdr:row>
      <xdr:rowOff>1266825</xdr:rowOff>
    </xdr:to>
    <xdr:pic>
      <xdr:nvPicPr>
        <xdr:cNvPr id="632" name="Имя " descr="Descr ">
          <a:extLst>
            <a:ext uri="{FF2B5EF4-FFF2-40B4-BE49-F238E27FC236}">
              <a16:creationId xmlns:a16="http://schemas.microsoft.com/office/drawing/2014/main" id="{00000000-0008-0000-0000-000078020000}"/>
            </a:ext>
          </a:extLst>
        </xdr:cNvPr>
        <xdr:cNvPicPr>
          <a:picLocks noChangeAspect="1"/>
        </xdr:cNvPicPr>
      </xdr:nvPicPr>
      <xdr:blipFill>
        <a:blip xmlns:r="http://schemas.openxmlformats.org/officeDocument/2006/relationships" r:embed="rId619"/>
        <a:stretch>
          <a:fillRect/>
        </a:stretch>
      </xdr:blipFill>
      <xdr:spPr>
        <a:prstGeom prst="rect">
          <a:avLst/>
        </a:prstGeom>
        <a:ln w="9525">
          <a:solidFill>
            <a:srgbClr val="000000"/>
          </a:solidFill>
          <a:prstDash val="solid"/>
        </a:ln>
      </xdr:spPr>
    </xdr:pic>
    <xdr:clientData/>
  </xdr:twoCellAnchor>
  <xdr:twoCellAnchor>
    <xdr:from>
      <xdr:col>3</xdr:col>
      <xdr:colOff>114300</xdr:colOff>
      <xdr:row>1515</xdr:row>
      <xdr:rowOff>28575</xdr:rowOff>
    </xdr:from>
    <xdr:to>
      <xdr:col>3</xdr:col>
      <xdr:colOff>1552575</xdr:colOff>
      <xdr:row>1515</xdr:row>
      <xdr:rowOff>1266825</xdr:rowOff>
    </xdr:to>
    <xdr:pic>
      <xdr:nvPicPr>
        <xdr:cNvPr id="633" name="Имя " descr="Descr ">
          <a:extLst>
            <a:ext uri="{FF2B5EF4-FFF2-40B4-BE49-F238E27FC236}">
              <a16:creationId xmlns:a16="http://schemas.microsoft.com/office/drawing/2014/main" id="{00000000-0008-0000-0000-000079020000}"/>
            </a:ext>
          </a:extLst>
        </xdr:cNvPr>
        <xdr:cNvPicPr>
          <a:picLocks noChangeAspect="1"/>
        </xdr:cNvPicPr>
      </xdr:nvPicPr>
      <xdr:blipFill>
        <a:blip xmlns:r="http://schemas.openxmlformats.org/officeDocument/2006/relationships" r:embed="rId620"/>
        <a:stretch>
          <a:fillRect/>
        </a:stretch>
      </xdr:blipFill>
      <xdr:spPr>
        <a:prstGeom prst="rect">
          <a:avLst/>
        </a:prstGeom>
        <a:ln w="9525">
          <a:solidFill>
            <a:srgbClr val="000000"/>
          </a:solidFill>
          <a:prstDash val="solid"/>
        </a:ln>
      </xdr:spPr>
    </xdr:pic>
    <xdr:clientData/>
  </xdr:twoCellAnchor>
  <xdr:twoCellAnchor>
    <xdr:from>
      <xdr:col>3</xdr:col>
      <xdr:colOff>114300</xdr:colOff>
      <xdr:row>1516</xdr:row>
      <xdr:rowOff>28575</xdr:rowOff>
    </xdr:from>
    <xdr:to>
      <xdr:col>3</xdr:col>
      <xdr:colOff>1552575</xdr:colOff>
      <xdr:row>1516</xdr:row>
      <xdr:rowOff>1266825</xdr:rowOff>
    </xdr:to>
    <xdr:pic>
      <xdr:nvPicPr>
        <xdr:cNvPr id="634" name="Имя " descr="Descr ">
          <a:extLst>
            <a:ext uri="{FF2B5EF4-FFF2-40B4-BE49-F238E27FC236}">
              <a16:creationId xmlns:a16="http://schemas.microsoft.com/office/drawing/2014/main" id="{00000000-0008-0000-0000-00007A020000}"/>
            </a:ext>
          </a:extLst>
        </xdr:cNvPr>
        <xdr:cNvPicPr>
          <a:picLocks noChangeAspect="1"/>
        </xdr:cNvPicPr>
      </xdr:nvPicPr>
      <xdr:blipFill>
        <a:blip xmlns:r="http://schemas.openxmlformats.org/officeDocument/2006/relationships" r:embed="rId621"/>
        <a:stretch>
          <a:fillRect/>
        </a:stretch>
      </xdr:blipFill>
      <xdr:spPr>
        <a:prstGeom prst="rect">
          <a:avLst/>
        </a:prstGeom>
        <a:ln w="9525">
          <a:solidFill>
            <a:srgbClr val="000000"/>
          </a:solidFill>
          <a:prstDash val="solid"/>
        </a:ln>
      </xdr:spPr>
    </xdr:pic>
    <xdr:clientData/>
  </xdr:twoCellAnchor>
  <xdr:twoCellAnchor>
    <xdr:from>
      <xdr:col>3</xdr:col>
      <xdr:colOff>114300</xdr:colOff>
      <xdr:row>1517</xdr:row>
      <xdr:rowOff>28575</xdr:rowOff>
    </xdr:from>
    <xdr:to>
      <xdr:col>3</xdr:col>
      <xdr:colOff>1552575</xdr:colOff>
      <xdr:row>1517</xdr:row>
      <xdr:rowOff>1266825</xdr:rowOff>
    </xdr:to>
    <xdr:pic>
      <xdr:nvPicPr>
        <xdr:cNvPr id="635" name="Имя " descr="Descr ">
          <a:extLst>
            <a:ext uri="{FF2B5EF4-FFF2-40B4-BE49-F238E27FC236}">
              <a16:creationId xmlns:a16="http://schemas.microsoft.com/office/drawing/2014/main" id="{00000000-0008-0000-0000-00007B020000}"/>
            </a:ext>
          </a:extLst>
        </xdr:cNvPr>
        <xdr:cNvPicPr>
          <a:picLocks noChangeAspect="1"/>
        </xdr:cNvPicPr>
      </xdr:nvPicPr>
      <xdr:blipFill>
        <a:blip xmlns:r="http://schemas.openxmlformats.org/officeDocument/2006/relationships" r:embed="rId622"/>
        <a:stretch>
          <a:fillRect/>
        </a:stretch>
      </xdr:blipFill>
      <xdr:spPr>
        <a:prstGeom prst="rect">
          <a:avLst/>
        </a:prstGeom>
        <a:ln w="9525">
          <a:solidFill>
            <a:srgbClr val="000000"/>
          </a:solidFill>
          <a:prstDash val="solid"/>
        </a:ln>
      </xdr:spPr>
    </xdr:pic>
    <xdr:clientData/>
  </xdr:twoCellAnchor>
  <xdr:twoCellAnchor>
    <xdr:from>
      <xdr:col>3</xdr:col>
      <xdr:colOff>114300</xdr:colOff>
      <xdr:row>1518</xdr:row>
      <xdr:rowOff>28575</xdr:rowOff>
    </xdr:from>
    <xdr:to>
      <xdr:col>3</xdr:col>
      <xdr:colOff>1552575</xdr:colOff>
      <xdr:row>1518</xdr:row>
      <xdr:rowOff>1266825</xdr:rowOff>
    </xdr:to>
    <xdr:pic>
      <xdr:nvPicPr>
        <xdr:cNvPr id="636" name="Имя " descr="Descr ">
          <a:extLst>
            <a:ext uri="{FF2B5EF4-FFF2-40B4-BE49-F238E27FC236}">
              <a16:creationId xmlns:a16="http://schemas.microsoft.com/office/drawing/2014/main" id="{00000000-0008-0000-0000-00007C020000}"/>
            </a:ext>
          </a:extLst>
        </xdr:cNvPr>
        <xdr:cNvPicPr>
          <a:picLocks noChangeAspect="1"/>
        </xdr:cNvPicPr>
      </xdr:nvPicPr>
      <xdr:blipFill>
        <a:blip xmlns:r="http://schemas.openxmlformats.org/officeDocument/2006/relationships" r:embed="rId623"/>
        <a:stretch>
          <a:fillRect/>
        </a:stretch>
      </xdr:blipFill>
      <xdr:spPr>
        <a:prstGeom prst="rect">
          <a:avLst/>
        </a:prstGeom>
        <a:ln w="9525">
          <a:solidFill>
            <a:srgbClr val="000000"/>
          </a:solidFill>
          <a:prstDash val="solid"/>
        </a:ln>
      </xdr:spPr>
    </xdr:pic>
    <xdr:clientData/>
  </xdr:twoCellAnchor>
  <xdr:twoCellAnchor>
    <xdr:from>
      <xdr:col>3</xdr:col>
      <xdr:colOff>114300</xdr:colOff>
      <xdr:row>1519</xdr:row>
      <xdr:rowOff>28575</xdr:rowOff>
    </xdr:from>
    <xdr:to>
      <xdr:col>3</xdr:col>
      <xdr:colOff>1552575</xdr:colOff>
      <xdr:row>1519</xdr:row>
      <xdr:rowOff>1266825</xdr:rowOff>
    </xdr:to>
    <xdr:pic>
      <xdr:nvPicPr>
        <xdr:cNvPr id="637" name="Имя " descr="Descr ">
          <a:extLst>
            <a:ext uri="{FF2B5EF4-FFF2-40B4-BE49-F238E27FC236}">
              <a16:creationId xmlns:a16="http://schemas.microsoft.com/office/drawing/2014/main" id="{00000000-0008-0000-0000-00007D020000}"/>
            </a:ext>
          </a:extLst>
        </xdr:cNvPr>
        <xdr:cNvPicPr>
          <a:picLocks noChangeAspect="1"/>
        </xdr:cNvPicPr>
      </xdr:nvPicPr>
      <xdr:blipFill>
        <a:blip xmlns:r="http://schemas.openxmlformats.org/officeDocument/2006/relationships" r:embed="rId624"/>
        <a:stretch>
          <a:fillRect/>
        </a:stretch>
      </xdr:blipFill>
      <xdr:spPr>
        <a:prstGeom prst="rect">
          <a:avLst/>
        </a:prstGeom>
        <a:ln w="9525">
          <a:solidFill>
            <a:srgbClr val="000000"/>
          </a:solidFill>
          <a:prstDash val="solid"/>
        </a:ln>
      </xdr:spPr>
    </xdr:pic>
    <xdr:clientData/>
  </xdr:twoCellAnchor>
  <xdr:twoCellAnchor>
    <xdr:from>
      <xdr:col>3</xdr:col>
      <xdr:colOff>114300</xdr:colOff>
      <xdr:row>1520</xdr:row>
      <xdr:rowOff>28575</xdr:rowOff>
    </xdr:from>
    <xdr:to>
      <xdr:col>3</xdr:col>
      <xdr:colOff>1552575</xdr:colOff>
      <xdr:row>1520</xdr:row>
      <xdr:rowOff>1266825</xdr:rowOff>
    </xdr:to>
    <xdr:pic>
      <xdr:nvPicPr>
        <xdr:cNvPr id="638" name="Имя " descr="Descr ">
          <a:extLst>
            <a:ext uri="{FF2B5EF4-FFF2-40B4-BE49-F238E27FC236}">
              <a16:creationId xmlns:a16="http://schemas.microsoft.com/office/drawing/2014/main" id="{00000000-0008-0000-0000-00007E020000}"/>
            </a:ext>
          </a:extLst>
        </xdr:cNvPr>
        <xdr:cNvPicPr>
          <a:picLocks noChangeAspect="1"/>
        </xdr:cNvPicPr>
      </xdr:nvPicPr>
      <xdr:blipFill>
        <a:blip xmlns:r="http://schemas.openxmlformats.org/officeDocument/2006/relationships" r:embed="rId625"/>
        <a:stretch>
          <a:fillRect/>
        </a:stretch>
      </xdr:blipFill>
      <xdr:spPr>
        <a:prstGeom prst="rect">
          <a:avLst/>
        </a:prstGeom>
        <a:ln w="9525">
          <a:solidFill>
            <a:srgbClr val="000000"/>
          </a:solidFill>
          <a:prstDash val="solid"/>
        </a:ln>
      </xdr:spPr>
    </xdr:pic>
    <xdr:clientData/>
  </xdr:twoCellAnchor>
  <xdr:twoCellAnchor>
    <xdr:from>
      <xdr:col>3</xdr:col>
      <xdr:colOff>114300</xdr:colOff>
      <xdr:row>1521</xdr:row>
      <xdr:rowOff>28575</xdr:rowOff>
    </xdr:from>
    <xdr:to>
      <xdr:col>3</xdr:col>
      <xdr:colOff>1552575</xdr:colOff>
      <xdr:row>1521</xdr:row>
      <xdr:rowOff>1266825</xdr:rowOff>
    </xdr:to>
    <xdr:pic>
      <xdr:nvPicPr>
        <xdr:cNvPr id="639" name="Имя " descr="Descr ">
          <a:extLst>
            <a:ext uri="{FF2B5EF4-FFF2-40B4-BE49-F238E27FC236}">
              <a16:creationId xmlns:a16="http://schemas.microsoft.com/office/drawing/2014/main" id="{00000000-0008-0000-0000-00007F020000}"/>
            </a:ext>
          </a:extLst>
        </xdr:cNvPr>
        <xdr:cNvPicPr>
          <a:picLocks noChangeAspect="1"/>
        </xdr:cNvPicPr>
      </xdr:nvPicPr>
      <xdr:blipFill>
        <a:blip xmlns:r="http://schemas.openxmlformats.org/officeDocument/2006/relationships" r:embed="rId626"/>
        <a:stretch>
          <a:fillRect/>
        </a:stretch>
      </xdr:blipFill>
      <xdr:spPr>
        <a:prstGeom prst="rect">
          <a:avLst/>
        </a:prstGeom>
        <a:ln w="9525">
          <a:solidFill>
            <a:srgbClr val="000000"/>
          </a:solidFill>
          <a:prstDash val="solid"/>
        </a:ln>
      </xdr:spPr>
    </xdr:pic>
    <xdr:clientData/>
  </xdr:twoCellAnchor>
  <xdr:twoCellAnchor>
    <xdr:from>
      <xdr:col>3</xdr:col>
      <xdr:colOff>114300</xdr:colOff>
      <xdr:row>1522</xdr:row>
      <xdr:rowOff>28575</xdr:rowOff>
    </xdr:from>
    <xdr:to>
      <xdr:col>3</xdr:col>
      <xdr:colOff>1552575</xdr:colOff>
      <xdr:row>1522</xdr:row>
      <xdr:rowOff>1266825</xdr:rowOff>
    </xdr:to>
    <xdr:pic>
      <xdr:nvPicPr>
        <xdr:cNvPr id="640" name="Имя " descr="Descr ">
          <a:extLst>
            <a:ext uri="{FF2B5EF4-FFF2-40B4-BE49-F238E27FC236}">
              <a16:creationId xmlns:a16="http://schemas.microsoft.com/office/drawing/2014/main" id="{00000000-0008-0000-0000-000080020000}"/>
            </a:ext>
          </a:extLst>
        </xdr:cNvPr>
        <xdr:cNvPicPr>
          <a:picLocks noChangeAspect="1"/>
        </xdr:cNvPicPr>
      </xdr:nvPicPr>
      <xdr:blipFill>
        <a:blip xmlns:r="http://schemas.openxmlformats.org/officeDocument/2006/relationships" r:embed="rId627"/>
        <a:stretch>
          <a:fillRect/>
        </a:stretch>
      </xdr:blipFill>
      <xdr:spPr>
        <a:prstGeom prst="rect">
          <a:avLst/>
        </a:prstGeom>
        <a:ln w="9525">
          <a:solidFill>
            <a:srgbClr val="000000"/>
          </a:solidFill>
          <a:prstDash val="solid"/>
        </a:ln>
      </xdr:spPr>
    </xdr:pic>
    <xdr:clientData/>
  </xdr:twoCellAnchor>
  <xdr:twoCellAnchor>
    <xdr:from>
      <xdr:col>3</xdr:col>
      <xdr:colOff>114300</xdr:colOff>
      <xdr:row>1523</xdr:row>
      <xdr:rowOff>28575</xdr:rowOff>
    </xdr:from>
    <xdr:to>
      <xdr:col>3</xdr:col>
      <xdr:colOff>1552575</xdr:colOff>
      <xdr:row>1523</xdr:row>
      <xdr:rowOff>1266825</xdr:rowOff>
    </xdr:to>
    <xdr:pic>
      <xdr:nvPicPr>
        <xdr:cNvPr id="641" name="Имя " descr="Descr ">
          <a:extLst>
            <a:ext uri="{FF2B5EF4-FFF2-40B4-BE49-F238E27FC236}">
              <a16:creationId xmlns:a16="http://schemas.microsoft.com/office/drawing/2014/main" id="{00000000-0008-0000-0000-000081020000}"/>
            </a:ext>
          </a:extLst>
        </xdr:cNvPr>
        <xdr:cNvPicPr>
          <a:picLocks noChangeAspect="1"/>
        </xdr:cNvPicPr>
      </xdr:nvPicPr>
      <xdr:blipFill>
        <a:blip xmlns:r="http://schemas.openxmlformats.org/officeDocument/2006/relationships" r:embed="rId628"/>
        <a:stretch>
          <a:fillRect/>
        </a:stretch>
      </xdr:blipFill>
      <xdr:spPr>
        <a:prstGeom prst="rect">
          <a:avLst/>
        </a:prstGeom>
        <a:ln w="9525">
          <a:solidFill>
            <a:srgbClr val="000000"/>
          </a:solidFill>
          <a:prstDash val="solid"/>
        </a:ln>
      </xdr:spPr>
    </xdr:pic>
    <xdr:clientData/>
  </xdr:twoCellAnchor>
  <xdr:twoCellAnchor>
    <xdr:from>
      <xdr:col>3</xdr:col>
      <xdr:colOff>114300</xdr:colOff>
      <xdr:row>1524</xdr:row>
      <xdr:rowOff>28575</xdr:rowOff>
    </xdr:from>
    <xdr:to>
      <xdr:col>3</xdr:col>
      <xdr:colOff>1552575</xdr:colOff>
      <xdr:row>1524</xdr:row>
      <xdr:rowOff>1266825</xdr:rowOff>
    </xdr:to>
    <xdr:pic>
      <xdr:nvPicPr>
        <xdr:cNvPr id="642" name="Имя " descr="Descr ">
          <a:extLst>
            <a:ext uri="{FF2B5EF4-FFF2-40B4-BE49-F238E27FC236}">
              <a16:creationId xmlns:a16="http://schemas.microsoft.com/office/drawing/2014/main" id="{00000000-0008-0000-0000-000082020000}"/>
            </a:ext>
          </a:extLst>
        </xdr:cNvPr>
        <xdr:cNvPicPr>
          <a:picLocks noChangeAspect="1"/>
        </xdr:cNvPicPr>
      </xdr:nvPicPr>
      <xdr:blipFill>
        <a:blip xmlns:r="http://schemas.openxmlformats.org/officeDocument/2006/relationships" r:embed="rId629"/>
        <a:stretch>
          <a:fillRect/>
        </a:stretch>
      </xdr:blipFill>
      <xdr:spPr>
        <a:prstGeom prst="rect">
          <a:avLst/>
        </a:prstGeom>
        <a:ln w="9525">
          <a:solidFill>
            <a:srgbClr val="000000"/>
          </a:solidFill>
          <a:prstDash val="solid"/>
        </a:ln>
      </xdr:spPr>
    </xdr:pic>
    <xdr:clientData/>
  </xdr:twoCellAnchor>
  <xdr:twoCellAnchor>
    <xdr:from>
      <xdr:col>3</xdr:col>
      <xdr:colOff>114300</xdr:colOff>
      <xdr:row>1525</xdr:row>
      <xdr:rowOff>28575</xdr:rowOff>
    </xdr:from>
    <xdr:to>
      <xdr:col>3</xdr:col>
      <xdr:colOff>1552575</xdr:colOff>
      <xdr:row>1525</xdr:row>
      <xdr:rowOff>1266825</xdr:rowOff>
    </xdr:to>
    <xdr:pic>
      <xdr:nvPicPr>
        <xdr:cNvPr id="643" name="Имя " descr="Descr ">
          <a:extLst>
            <a:ext uri="{FF2B5EF4-FFF2-40B4-BE49-F238E27FC236}">
              <a16:creationId xmlns:a16="http://schemas.microsoft.com/office/drawing/2014/main" id="{00000000-0008-0000-0000-000083020000}"/>
            </a:ext>
          </a:extLst>
        </xdr:cNvPr>
        <xdr:cNvPicPr>
          <a:picLocks noChangeAspect="1"/>
        </xdr:cNvPicPr>
      </xdr:nvPicPr>
      <xdr:blipFill>
        <a:blip xmlns:r="http://schemas.openxmlformats.org/officeDocument/2006/relationships" r:embed="rId630"/>
        <a:stretch>
          <a:fillRect/>
        </a:stretch>
      </xdr:blipFill>
      <xdr:spPr>
        <a:prstGeom prst="rect">
          <a:avLst/>
        </a:prstGeom>
        <a:ln w="9525">
          <a:solidFill>
            <a:srgbClr val="000000"/>
          </a:solidFill>
          <a:prstDash val="solid"/>
        </a:ln>
      </xdr:spPr>
    </xdr:pic>
    <xdr:clientData/>
  </xdr:twoCellAnchor>
  <xdr:twoCellAnchor>
    <xdr:from>
      <xdr:col>3</xdr:col>
      <xdr:colOff>114300</xdr:colOff>
      <xdr:row>1526</xdr:row>
      <xdr:rowOff>28575</xdr:rowOff>
    </xdr:from>
    <xdr:to>
      <xdr:col>3</xdr:col>
      <xdr:colOff>1552575</xdr:colOff>
      <xdr:row>1526</xdr:row>
      <xdr:rowOff>1266825</xdr:rowOff>
    </xdr:to>
    <xdr:pic>
      <xdr:nvPicPr>
        <xdr:cNvPr id="644" name="Имя " descr="Descr ">
          <a:extLst>
            <a:ext uri="{FF2B5EF4-FFF2-40B4-BE49-F238E27FC236}">
              <a16:creationId xmlns:a16="http://schemas.microsoft.com/office/drawing/2014/main" id="{00000000-0008-0000-0000-000084020000}"/>
            </a:ext>
          </a:extLst>
        </xdr:cNvPr>
        <xdr:cNvPicPr>
          <a:picLocks noChangeAspect="1"/>
        </xdr:cNvPicPr>
      </xdr:nvPicPr>
      <xdr:blipFill>
        <a:blip xmlns:r="http://schemas.openxmlformats.org/officeDocument/2006/relationships" r:embed="rId631"/>
        <a:stretch>
          <a:fillRect/>
        </a:stretch>
      </xdr:blipFill>
      <xdr:spPr>
        <a:prstGeom prst="rect">
          <a:avLst/>
        </a:prstGeom>
        <a:ln w="9525">
          <a:solidFill>
            <a:srgbClr val="000000"/>
          </a:solidFill>
          <a:prstDash val="solid"/>
        </a:ln>
      </xdr:spPr>
    </xdr:pic>
    <xdr:clientData/>
  </xdr:twoCellAnchor>
  <xdr:twoCellAnchor>
    <xdr:from>
      <xdr:col>3</xdr:col>
      <xdr:colOff>114300</xdr:colOff>
      <xdr:row>1527</xdr:row>
      <xdr:rowOff>28575</xdr:rowOff>
    </xdr:from>
    <xdr:to>
      <xdr:col>3</xdr:col>
      <xdr:colOff>1552575</xdr:colOff>
      <xdr:row>1527</xdr:row>
      <xdr:rowOff>1266825</xdr:rowOff>
    </xdr:to>
    <xdr:pic>
      <xdr:nvPicPr>
        <xdr:cNvPr id="645" name="Имя " descr="Descr ">
          <a:extLst>
            <a:ext uri="{FF2B5EF4-FFF2-40B4-BE49-F238E27FC236}">
              <a16:creationId xmlns:a16="http://schemas.microsoft.com/office/drawing/2014/main" id="{00000000-0008-0000-0000-000085020000}"/>
            </a:ext>
          </a:extLst>
        </xdr:cNvPr>
        <xdr:cNvPicPr>
          <a:picLocks noChangeAspect="1"/>
        </xdr:cNvPicPr>
      </xdr:nvPicPr>
      <xdr:blipFill>
        <a:blip xmlns:r="http://schemas.openxmlformats.org/officeDocument/2006/relationships" r:embed="rId632"/>
        <a:stretch>
          <a:fillRect/>
        </a:stretch>
      </xdr:blipFill>
      <xdr:spPr>
        <a:prstGeom prst="rect">
          <a:avLst/>
        </a:prstGeom>
        <a:ln w="9525">
          <a:solidFill>
            <a:srgbClr val="000000"/>
          </a:solidFill>
          <a:prstDash val="solid"/>
        </a:ln>
      </xdr:spPr>
    </xdr:pic>
    <xdr:clientData/>
  </xdr:twoCellAnchor>
  <xdr:twoCellAnchor>
    <xdr:from>
      <xdr:col>3</xdr:col>
      <xdr:colOff>114300</xdr:colOff>
      <xdr:row>1528</xdr:row>
      <xdr:rowOff>28575</xdr:rowOff>
    </xdr:from>
    <xdr:to>
      <xdr:col>3</xdr:col>
      <xdr:colOff>1552575</xdr:colOff>
      <xdr:row>1528</xdr:row>
      <xdr:rowOff>1266825</xdr:rowOff>
    </xdr:to>
    <xdr:pic>
      <xdr:nvPicPr>
        <xdr:cNvPr id="646" name="Имя " descr="Descr ">
          <a:extLst>
            <a:ext uri="{FF2B5EF4-FFF2-40B4-BE49-F238E27FC236}">
              <a16:creationId xmlns:a16="http://schemas.microsoft.com/office/drawing/2014/main" id="{00000000-0008-0000-0000-000086020000}"/>
            </a:ext>
          </a:extLst>
        </xdr:cNvPr>
        <xdr:cNvPicPr>
          <a:picLocks noChangeAspect="1"/>
        </xdr:cNvPicPr>
      </xdr:nvPicPr>
      <xdr:blipFill>
        <a:blip xmlns:r="http://schemas.openxmlformats.org/officeDocument/2006/relationships" r:embed="rId633"/>
        <a:stretch>
          <a:fillRect/>
        </a:stretch>
      </xdr:blipFill>
      <xdr:spPr>
        <a:prstGeom prst="rect">
          <a:avLst/>
        </a:prstGeom>
        <a:ln w="9525">
          <a:solidFill>
            <a:srgbClr val="000000"/>
          </a:solidFill>
          <a:prstDash val="solid"/>
        </a:ln>
      </xdr:spPr>
    </xdr:pic>
    <xdr:clientData/>
  </xdr:twoCellAnchor>
  <xdr:twoCellAnchor>
    <xdr:from>
      <xdr:col>3</xdr:col>
      <xdr:colOff>114300</xdr:colOff>
      <xdr:row>1529</xdr:row>
      <xdr:rowOff>28575</xdr:rowOff>
    </xdr:from>
    <xdr:to>
      <xdr:col>3</xdr:col>
      <xdr:colOff>1552575</xdr:colOff>
      <xdr:row>1529</xdr:row>
      <xdr:rowOff>1266825</xdr:rowOff>
    </xdr:to>
    <xdr:pic>
      <xdr:nvPicPr>
        <xdr:cNvPr id="647" name="Имя " descr="Descr ">
          <a:extLst>
            <a:ext uri="{FF2B5EF4-FFF2-40B4-BE49-F238E27FC236}">
              <a16:creationId xmlns:a16="http://schemas.microsoft.com/office/drawing/2014/main" id="{00000000-0008-0000-0000-000087020000}"/>
            </a:ext>
          </a:extLst>
        </xdr:cNvPr>
        <xdr:cNvPicPr>
          <a:picLocks noChangeAspect="1"/>
        </xdr:cNvPicPr>
      </xdr:nvPicPr>
      <xdr:blipFill>
        <a:blip xmlns:r="http://schemas.openxmlformats.org/officeDocument/2006/relationships" r:embed="rId634"/>
        <a:stretch>
          <a:fillRect/>
        </a:stretch>
      </xdr:blipFill>
      <xdr:spPr>
        <a:prstGeom prst="rect">
          <a:avLst/>
        </a:prstGeom>
        <a:ln w="9525">
          <a:solidFill>
            <a:srgbClr val="000000"/>
          </a:solidFill>
          <a:prstDash val="solid"/>
        </a:ln>
      </xdr:spPr>
    </xdr:pic>
    <xdr:clientData/>
  </xdr:twoCellAnchor>
  <xdr:twoCellAnchor>
    <xdr:from>
      <xdr:col>3</xdr:col>
      <xdr:colOff>114300</xdr:colOff>
      <xdr:row>1530</xdr:row>
      <xdr:rowOff>28575</xdr:rowOff>
    </xdr:from>
    <xdr:to>
      <xdr:col>3</xdr:col>
      <xdr:colOff>1552575</xdr:colOff>
      <xdr:row>1530</xdr:row>
      <xdr:rowOff>1266825</xdr:rowOff>
    </xdr:to>
    <xdr:pic>
      <xdr:nvPicPr>
        <xdr:cNvPr id="648" name="Имя " descr="Descr ">
          <a:extLst>
            <a:ext uri="{FF2B5EF4-FFF2-40B4-BE49-F238E27FC236}">
              <a16:creationId xmlns:a16="http://schemas.microsoft.com/office/drawing/2014/main" id="{00000000-0008-0000-0000-000088020000}"/>
            </a:ext>
          </a:extLst>
        </xdr:cNvPr>
        <xdr:cNvPicPr>
          <a:picLocks noChangeAspect="1"/>
        </xdr:cNvPicPr>
      </xdr:nvPicPr>
      <xdr:blipFill>
        <a:blip xmlns:r="http://schemas.openxmlformats.org/officeDocument/2006/relationships" r:embed="rId635"/>
        <a:stretch>
          <a:fillRect/>
        </a:stretch>
      </xdr:blipFill>
      <xdr:spPr>
        <a:prstGeom prst="rect">
          <a:avLst/>
        </a:prstGeom>
        <a:ln w="9525">
          <a:solidFill>
            <a:srgbClr val="000000"/>
          </a:solidFill>
          <a:prstDash val="solid"/>
        </a:ln>
      </xdr:spPr>
    </xdr:pic>
    <xdr:clientData/>
  </xdr:twoCellAnchor>
  <xdr:twoCellAnchor>
    <xdr:from>
      <xdr:col>3</xdr:col>
      <xdr:colOff>114300</xdr:colOff>
      <xdr:row>1531</xdr:row>
      <xdr:rowOff>28575</xdr:rowOff>
    </xdr:from>
    <xdr:to>
      <xdr:col>3</xdr:col>
      <xdr:colOff>1552575</xdr:colOff>
      <xdr:row>1531</xdr:row>
      <xdr:rowOff>1266825</xdr:rowOff>
    </xdr:to>
    <xdr:pic>
      <xdr:nvPicPr>
        <xdr:cNvPr id="649" name="Имя " descr="Descr ">
          <a:extLst>
            <a:ext uri="{FF2B5EF4-FFF2-40B4-BE49-F238E27FC236}">
              <a16:creationId xmlns:a16="http://schemas.microsoft.com/office/drawing/2014/main" id="{00000000-0008-0000-0000-000089020000}"/>
            </a:ext>
          </a:extLst>
        </xdr:cNvPr>
        <xdr:cNvPicPr>
          <a:picLocks noChangeAspect="1"/>
        </xdr:cNvPicPr>
      </xdr:nvPicPr>
      <xdr:blipFill>
        <a:blip xmlns:r="http://schemas.openxmlformats.org/officeDocument/2006/relationships" r:embed="rId636"/>
        <a:stretch>
          <a:fillRect/>
        </a:stretch>
      </xdr:blipFill>
      <xdr:spPr>
        <a:prstGeom prst="rect">
          <a:avLst/>
        </a:prstGeom>
        <a:ln w="9525">
          <a:solidFill>
            <a:srgbClr val="000000"/>
          </a:solidFill>
          <a:prstDash val="solid"/>
        </a:ln>
      </xdr:spPr>
    </xdr:pic>
    <xdr:clientData/>
  </xdr:twoCellAnchor>
  <xdr:twoCellAnchor>
    <xdr:from>
      <xdr:col>3</xdr:col>
      <xdr:colOff>114300</xdr:colOff>
      <xdr:row>1532</xdr:row>
      <xdr:rowOff>28575</xdr:rowOff>
    </xdr:from>
    <xdr:to>
      <xdr:col>3</xdr:col>
      <xdr:colOff>1552575</xdr:colOff>
      <xdr:row>1532</xdr:row>
      <xdr:rowOff>1266825</xdr:rowOff>
    </xdr:to>
    <xdr:pic>
      <xdr:nvPicPr>
        <xdr:cNvPr id="650" name="Имя " descr="Descr ">
          <a:extLst>
            <a:ext uri="{FF2B5EF4-FFF2-40B4-BE49-F238E27FC236}">
              <a16:creationId xmlns:a16="http://schemas.microsoft.com/office/drawing/2014/main" id="{00000000-0008-0000-0000-00008A020000}"/>
            </a:ext>
          </a:extLst>
        </xdr:cNvPr>
        <xdr:cNvPicPr>
          <a:picLocks noChangeAspect="1"/>
        </xdr:cNvPicPr>
      </xdr:nvPicPr>
      <xdr:blipFill>
        <a:blip xmlns:r="http://schemas.openxmlformats.org/officeDocument/2006/relationships" r:embed="rId637"/>
        <a:stretch>
          <a:fillRect/>
        </a:stretch>
      </xdr:blipFill>
      <xdr:spPr>
        <a:prstGeom prst="rect">
          <a:avLst/>
        </a:prstGeom>
        <a:ln w="9525">
          <a:solidFill>
            <a:srgbClr val="000000"/>
          </a:solidFill>
          <a:prstDash val="solid"/>
        </a:ln>
      </xdr:spPr>
    </xdr:pic>
    <xdr:clientData/>
  </xdr:twoCellAnchor>
  <xdr:twoCellAnchor>
    <xdr:from>
      <xdr:col>3</xdr:col>
      <xdr:colOff>114300</xdr:colOff>
      <xdr:row>1533</xdr:row>
      <xdr:rowOff>28575</xdr:rowOff>
    </xdr:from>
    <xdr:to>
      <xdr:col>3</xdr:col>
      <xdr:colOff>1552575</xdr:colOff>
      <xdr:row>1533</xdr:row>
      <xdr:rowOff>1266825</xdr:rowOff>
    </xdr:to>
    <xdr:pic>
      <xdr:nvPicPr>
        <xdr:cNvPr id="651" name="Имя " descr="Descr ">
          <a:extLst>
            <a:ext uri="{FF2B5EF4-FFF2-40B4-BE49-F238E27FC236}">
              <a16:creationId xmlns:a16="http://schemas.microsoft.com/office/drawing/2014/main" id="{00000000-0008-0000-0000-00008B020000}"/>
            </a:ext>
          </a:extLst>
        </xdr:cNvPr>
        <xdr:cNvPicPr>
          <a:picLocks noChangeAspect="1"/>
        </xdr:cNvPicPr>
      </xdr:nvPicPr>
      <xdr:blipFill>
        <a:blip xmlns:r="http://schemas.openxmlformats.org/officeDocument/2006/relationships" r:embed="rId638"/>
        <a:stretch>
          <a:fillRect/>
        </a:stretch>
      </xdr:blipFill>
      <xdr:spPr>
        <a:prstGeom prst="rect">
          <a:avLst/>
        </a:prstGeom>
        <a:ln w="9525">
          <a:solidFill>
            <a:srgbClr val="000000"/>
          </a:solidFill>
          <a:prstDash val="solid"/>
        </a:ln>
      </xdr:spPr>
    </xdr:pic>
    <xdr:clientData/>
  </xdr:twoCellAnchor>
  <xdr:twoCellAnchor>
    <xdr:from>
      <xdr:col>3</xdr:col>
      <xdr:colOff>114300</xdr:colOff>
      <xdr:row>1534</xdr:row>
      <xdr:rowOff>28575</xdr:rowOff>
    </xdr:from>
    <xdr:to>
      <xdr:col>3</xdr:col>
      <xdr:colOff>1552575</xdr:colOff>
      <xdr:row>1534</xdr:row>
      <xdr:rowOff>1266825</xdr:rowOff>
    </xdr:to>
    <xdr:pic>
      <xdr:nvPicPr>
        <xdr:cNvPr id="652" name="Имя " descr="Descr ">
          <a:extLst>
            <a:ext uri="{FF2B5EF4-FFF2-40B4-BE49-F238E27FC236}">
              <a16:creationId xmlns:a16="http://schemas.microsoft.com/office/drawing/2014/main" id="{00000000-0008-0000-0000-00008C020000}"/>
            </a:ext>
          </a:extLst>
        </xdr:cNvPr>
        <xdr:cNvPicPr>
          <a:picLocks noChangeAspect="1"/>
        </xdr:cNvPicPr>
      </xdr:nvPicPr>
      <xdr:blipFill>
        <a:blip xmlns:r="http://schemas.openxmlformats.org/officeDocument/2006/relationships" r:embed="rId639"/>
        <a:stretch>
          <a:fillRect/>
        </a:stretch>
      </xdr:blipFill>
      <xdr:spPr>
        <a:prstGeom prst="rect">
          <a:avLst/>
        </a:prstGeom>
        <a:ln w="9525">
          <a:solidFill>
            <a:srgbClr val="000000"/>
          </a:solidFill>
          <a:prstDash val="solid"/>
        </a:ln>
      </xdr:spPr>
    </xdr:pic>
    <xdr:clientData/>
  </xdr:twoCellAnchor>
  <xdr:twoCellAnchor>
    <xdr:from>
      <xdr:col>3</xdr:col>
      <xdr:colOff>114300</xdr:colOff>
      <xdr:row>1535</xdr:row>
      <xdr:rowOff>28575</xdr:rowOff>
    </xdr:from>
    <xdr:to>
      <xdr:col>3</xdr:col>
      <xdr:colOff>1552575</xdr:colOff>
      <xdr:row>1535</xdr:row>
      <xdr:rowOff>1266825</xdr:rowOff>
    </xdr:to>
    <xdr:pic>
      <xdr:nvPicPr>
        <xdr:cNvPr id="653" name="Имя " descr="Descr ">
          <a:extLst>
            <a:ext uri="{FF2B5EF4-FFF2-40B4-BE49-F238E27FC236}">
              <a16:creationId xmlns:a16="http://schemas.microsoft.com/office/drawing/2014/main" id="{00000000-0008-0000-0000-00008D020000}"/>
            </a:ext>
          </a:extLst>
        </xdr:cNvPr>
        <xdr:cNvPicPr>
          <a:picLocks noChangeAspect="1"/>
        </xdr:cNvPicPr>
      </xdr:nvPicPr>
      <xdr:blipFill>
        <a:blip xmlns:r="http://schemas.openxmlformats.org/officeDocument/2006/relationships" r:embed="rId640"/>
        <a:stretch>
          <a:fillRect/>
        </a:stretch>
      </xdr:blipFill>
      <xdr:spPr>
        <a:prstGeom prst="rect">
          <a:avLst/>
        </a:prstGeom>
        <a:ln w="9525">
          <a:solidFill>
            <a:srgbClr val="000000"/>
          </a:solidFill>
          <a:prstDash val="solid"/>
        </a:ln>
      </xdr:spPr>
    </xdr:pic>
    <xdr:clientData/>
  </xdr:twoCellAnchor>
  <xdr:twoCellAnchor>
    <xdr:from>
      <xdr:col>3</xdr:col>
      <xdr:colOff>114300</xdr:colOff>
      <xdr:row>1536</xdr:row>
      <xdr:rowOff>28575</xdr:rowOff>
    </xdr:from>
    <xdr:to>
      <xdr:col>3</xdr:col>
      <xdr:colOff>1552575</xdr:colOff>
      <xdr:row>1536</xdr:row>
      <xdr:rowOff>1266825</xdr:rowOff>
    </xdr:to>
    <xdr:pic>
      <xdr:nvPicPr>
        <xdr:cNvPr id="654" name="Имя " descr="Descr ">
          <a:extLst>
            <a:ext uri="{FF2B5EF4-FFF2-40B4-BE49-F238E27FC236}">
              <a16:creationId xmlns:a16="http://schemas.microsoft.com/office/drawing/2014/main" id="{00000000-0008-0000-0000-00008E020000}"/>
            </a:ext>
          </a:extLst>
        </xdr:cNvPr>
        <xdr:cNvPicPr>
          <a:picLocks noChangeAspect="1"/>
        </xdr:cNvPicPr>
      </xdr:nvPicPr>
      <xdr:blipFill>
        <a:blip xmlns:r="http://schemas.openxmlformats.org/officeDocument/2006/relationships" r:embed="rId641"/>
        <a:stretch>
          <a:fillRect/>
        </a:stretch>
      </xdr:blipFill>
      <xdr:spPr>
        <a:prstGeom prst="rect">
          <a:avLst/>
        </a:prstGeom>
        <a:ln w="9525">
          <a:solidFill>
            <a:srgbClr val="000000"/>
          </a:solidFill>
          <a:prstDash val="solid"/>
        </a:ln>
      </xdr:spPr>
    </xdr:pic>
    <xdr:clientData/>
  </xdr:twoCellAnchor>
  <xdr:twoCellAnchor>
    <xdr:from>
      <xdr:col>3</xdr:col>
      <xdr:colOff>114300</xdr:colOff>
      <xdr:row>1537</xdr:row>
      <xdr:rowOff>28575</xdr:rowOff>
    </xdr:from>
    <xdr:to>
      <xdr:col>3</xdr:col>
      <xdr:colOff>1552575</xdr:colOff>
      <xdr:row>1537</xdr:row>
      <xdr:rowOff>1266825</xdr:rowOff>
    </xdr:to>
    <xdr:pic>
      <xdr:nvPicPr>
        <xdr:cNvPr id="655" name="Имя " descr="Descr ">
          <a:extLst>
            <a:ext uri="{FF2B5EF4-FFF2-40B4-BE49-F238E27FC236}">
              <a16:creationId xmlns:a16="http://schemas.microsoft.com/office/drawing/2014/main" id="{00000000-0008-0000-0000-00008F020000}"/>
            </a:ext>
          </a:extLst>
        </xdr:cNvPr>
        <xdr:cNvPicPr>
          <a:picLocks noChangeAspect="1"/>
        </xdr:cNvPicPr>
      </xdr:nvPicPr>
      <xdr:blipFill>
        <a:blip xmlns:r="http://schemas.openxmlformats.org/officeDocument/2006/relationships" r:embed="rId642"/>
        <a:stretch>
          <a:fillRect/>
        </a:stretch>
      </xdr:blipFill>
      <xdr:spPr>
        <a:prstGeom prst="rect">
          <a:avLst/>
        </a:prstGeom>
        <a:ln w="9525">
          <a:solidFill>
            <a:srgbClr val="000000"/>
          </a:solidFill>
          <a:prstDash val="solid"/>
        </a:ln>
      </xdr:spPr>
    </xdr:pic>
    <xdr:clientData/>
  </xdr:twoCellAnchor>
  <xdr:twoCellAnchor>
    <xdr:from>
      <xdr:col>3</xdr:col>
      <xdr:colOff>114300</xdr:colOff>
      <xdr:row>1538</xdr:row>
      <xdr:rowOff>28575</xdr:rowOff>
    </xdr:from>
    <xdr:to>
      <xdr:col>3</xdr:col>
      <xdr:colOff>1552575</xdr:colOff>
      <xdr:row>1538</xdr:row>
      <xdr:rowOff>1266825</xdr:rowOff>
    </xdr:to>
    <xdr:pic>
      <xdr:nvPicPr>
        <xdr:cNvPr id="656" name="Имя " descr="Descr ">
          <a:extLst>
            <a:ext uri="{FF2B5EF4-FFF2-40B4-BE49-F238E27FC236}">
              <a16:creationId xmlns:a16="http://schemas.microsoft.com/office/drawing/2014/main" id="{00000000-0008-0000-0000-000090020000}"/>
            </a:ext>
          </a:extLst>
        </xdr:cNvPr>
        <xdr:cNvPicPr>
          <a:picLocks noChangeAspect="1"/>
        </xdr:cNvPicPr>
      </xdr:nvPicPr>
      <xdr:blipFill>
        <a:blip xmlns:r="http://schemas.openxmlformats.org/officeDocument/2006/relationships" r:embed="rId643"/>
        <a:stretch>
          <a:fillRect/>
        </a:stretch>
      </xdr:blipFill>
      <xdr:spPr>
        <a:prstGeom prst="rect">
          <a:avLst/>
        </a:prstGeom>
        <a:ln w="9525">
          <a:solidFill>
            <a:srgbClr val="000000"/>
          </a:solidFill>
          <a:prstDash val="solid"/>
        </a:ln>
      </xdr:spPr>
    </xdr:pic>
    <xdr:clientData/>
  </xdr:twoCellAnchor>
  <xdr:twoCellAnchor>
    <xdr:from>
      <xdr:col>3</xdr:col>
      <xdr:colOff>114300</xdr:colOff>
      <xdr:row>1539</xdr:row>
      <xdr:rowOff>28575</xdr:rowOff>
    </xdr:from>
    <xdr:to>
      <xdr:col>3</xdr:col>
      <xdr:colOff>1552575</xdr:colOff>
      <xdr:row>1539</xdr:row>
      <xdr:rowOff>1266825</xdr:rowOff>
    </xdr:to>
    <xdr:pic>
      <xdr:nvPicPr>
        <xdr:cNvPr id="657" name="Имя " descr="Descr ">
          <a:extLst>
            <a:ext uri="{FF2B5EF4-FFF2-40B4-BE49-F238E27FC236}">
              <a16:creationId xmlns:a16="http://schemas.microsoft.com/office/drawing/2014/main" id="{00000000-0008-0000-0000-000091020000}"/>
            </a:ext>
          </a:extLst>
        </xdr:cNvPr>
        <xdr:cNvPicPr>
          <a:picLocks noChangeAspect="1"/>
        </xdr:cNvPicPr>
      </xdr:nvPicPr>
      <xdr:blipFill>
        <a:blip xmlns:r="http://schemas.openxmlformats.org/officeDocument/2006/relationships" r:embed="rId644"/>
        <a:stretch>
          <a:fillRect/>
        </a:stretch>
      </xdr:blipFill>
      <xdr:spPr>
        <a:prstGeom prst="rect">
          <a:avLst/>
        </a:prstGeom>
        <a:ln w="9525">
          <a:solidFill>
            <a:srgbClr val="000000"/>
          </a:solidFill>
          <a:prstDash val="solid"/>
        </a:ln>
      </xdr:spPr>
    </xdr:pic>
    <xdr:clientData/>
  </xdr:twoCellAnchor>
  <xdr:twoCellAnchor>
    <xdr:from>
      <xdr:col>3</xdr:col>
      <xdr:colOff>114300</xdr:colOff>
      <xdr:row>1540</xdr:row>
      <xdr:rowOff>28575</xdr:rowOff>
    </xdr:from>
    <xdr:to>
      <xdr:col>3</xdr:col>
      <xdr:colOff>1552575</xdr:colOff>
      <xdr:row>1540</xdr:row>
      <xdr:rowOff>1266825</xdr:rowOff>
    </xdr:to>
    <xdr:pic>
      <xdr:nvPicPr>
        <xdr:cNvPr id="658" name="Имя " descr="Descr ">
          <a:extLst>
            <a:ext uri="{FF2B5EF4-FFF2-40B4-BE49-F238E27FC236}">
              <a16:creationId xmlns:a16="http://schemas.microsoft.com/office/drawing/2014/main" id="{00000000-0008-0000-0000-000092020000}"/>
            </a:ext>
          </a:extLst>
        </xdr:cNvPr>
        <xdr:cNvPicPr>
          <a:picLocks noChangeAspect="1"/>
        </xdr:cNvPicPr>
      </xdr:nvPicPr>
      <xdr:blipFill>
        <a:blip xmlns:r="http://schemas.openxmlformats.org/officeDocument/2006/relationships" r:embed="rId645"/>
        <a:stretch>
          <a:fillRect/>
        </a:stretch>
      </xdr:blipFill>
      <xdr:spPr>
        <a:prstGeom prst="rect">
          <a:avLst/>
        </a:prstGeom>
        <a:ln w="9525">
          <a:solidFill>
            <a:srgbClr val="000000"/>
          </a:solidFill>
          <a:prstDash val="solid"/>
        </a:ln>
      </xdr:spPr>
    </xdr:pic>
    <xdr:clientData/>
  </xdr:twoCellAnchor>
  <xdr:twoCellAnchor>
    <xdr:from>
      <xdr:col>3</xdr:col>
      <xdr:colOff>114300</xdr:colOff>
      <xdr:row>1541</xdr:row>
      <xdr:rowOff>28575</xdr:rowOff>
    </xdr:from>
    <xdr:to>
      <xdr:col>3</xdr:col>
      <xdr:colOff>1552575</xdr:colOff>
      <xdr:row>1541</xdr:row>
      <xdr:rowOff>1266825</xdr:rowOff>
    </xdr:to>
    <xdr:pic>
      <xdr:nvPicPr>
        <xdr:cNvPr id="659" name="Имя " descr="Descr ">
          <a:extLst>
            <a:ext uri="{FF2B5EF4-FFF2-40B4-BE49-F238E27FC236}">
              <a16:creationId xmlns:a16="http://schemas.microsoft.com/office/drawing/2014/main" id="{00000000-0008-0000-0000-000093020000}"/>
            </a:ext>
          </a:extLst>
        </xdr:cNvPr>
        <xdr:cNvPicPr>
          <a:picLocks noChangeAspect="1"/>
        </xdr:cNvPicPr>
      </xdr:nvPicPr>
      <xdr:blipFill>
        <a:blip xmlns:r="http://schemas.openxmlformats.org/officeDocument/2006/relationships" r:embed="rId646"/>
        <a:stretch>
          <a:fillRect/>
        </a:stretch>
      </xdr:blipFill>
      <xdr:spPr>
        <a:prstGeom prst="rect">
          <a:avLst/>
        </a:prstGeom>
        <a:ln w="9525">
          <a:solidFill>
            <a:srgbClr val="000000"/>
          </a:solidFill>
          <a:prstDash val="solid"/>
        </a:ln>
      </xdr:spPr>
    </xdr:pic>
    <xdr:clientData/>
  </xdr:twoCellAnchor>
  <xdr:twoCellAnchor>
    <xdr:from>
      <xdr:col>3</xdr:col>
      <xdr:colOff>114300</xdr:colOff>
      <xdr:row>1542</xdr:row>
      <xdr:rowOff>28575</xdr:rowOff>
    </xdr:from>
    <xdr:to>
      <xdr:col>3</xdr:col>
      <xdr:colOff>1552575</xdr:colOff>
      <xdr:row>1542</xdr:row>
      <xdr:rowOff>1266825</xdr:rowOff>
    </xdr:to>
    <xdr:pic>
      <xdr:nvPicPr>
        <xdr:cNvPr id="660" name="Имя " descr="Descr ">
          <a:extLst>
            <a:ext uri="{FF2B5EF4-FFF2-40B4-BE49-F238E27FC236}">
              <a16:creationId xmlns:a16="http://schemas.microsoft.com/office/drawing/2014/main" id="{00000000-0008-0000-0000-000094020000}"/>
            </a:ext>
          </a:extLst>
        </xdr:cNvPr>
        <xdr:cNvPicPr>
          <a:picLocks noChangeAspect="1"/>
        </xdr:cNvPicPr>
      </xdr:nvPicPr>
      <xdr:blipFill>
        <a:blip xmlns:r="http://schemas.openxmlformats.org/officeDocument/2006/relationships" r:embed="rId647"/>
        <a:stretch>
          <a:fillRect/>
        </a:stretch>
      </xdr:blipFill>
      <xdr:spPr>
        <a:prstGeom prst="rect">
          <a:avLst/>
        </a:prstGeom>
        <a:ln w="9525">
          <a:solidFill>
            <a:srgbClr val="000000"/>
          </a:solidFill>
          <a:prstDash val="solid"/>
        </a:ln>
      </xdr:spPr>
    </xdr:pic>
    <xdr:clientData/>
  </xdr:twoCellAnchor>
  <xdr:twoCellAnchor>
    <xdr:from>
      <xdr:col>3</xdr:col>
      <xdr:colOff>114300</xdr:colOff>
      <xdr:row>1543</xdr:row>
      <xdr:rowOff>28575</xdr:rowOff>
    </xdr:from>
    <xdr:to>
      <xdr:col>3</xdr:col>
      <xdr:colOff>1552575</xdr:colOff>
      <xdr:row>1543</xdr:row>
      <xdr:rowOff>1266825</xdr:rowOff>
    </xdr:to>
    <xdr:pic>
      <xdr:nvPicPr>
        <xdr:cNvPr id="661" name="Имя " descr="Descr ">
          <a:extLst>
            <a:ext uri="{FF2B5EF4-FFF2-40B4-BE49-F238E27FC236}">
              <a16:creationId xmlns:a16="http://schemas.microsoft.com/office/drawing/2014/main" id="{00000000-0008-0000-0000-000095020000}"/>
            </a:ext>
          </a:extLst>
        </xdr:cNvPr>
        <xdr:cNvPicPr>
          <a:picLocks noChangeAspect="1"/>
        </xdr:cNvPicPr>
      </xdr:nvPicPr>
      <xdr:blipFill>
        <a:blip xmlns:r="http://schemas.openxmlformats.org/officeDocument/2006/relationships" r:embed="rId648"/>
        <a:stretch>
          <a:fillRect/>
        </a:stretch>
      </xdr:blipFill>
      <xdr:spPr>
        <a:prstGeom prst="rect">
          <a:avLst/>
        </a:prstGeom>
        <a:ln w="9525">
          <a:solidFill>
            <a:srgbClr val="000000"/>
          </a:solidFill>
          <a:prstDash val="solid"/>
        </a:ln>
      </xdr:spPr>
    </xdr:pic>
    <xdr:clientData/>
  </xdr:twoCellAnchor>
  <xdr:twoCellAnchor>
    <xdr:from>
      <xdr:col>3</xdr:col>
      <xdr:colOff>114300</xdr:colOff>
      <xdr:row>1544</xdr:row>
      <xdr:rowOff>28575</xdr:rowOff>
    </xdr:from>
    <xdr:to>
      <xdr:col>3</xdr:col>
      <xdr:colOff>1552575</xdr:colOff>
      <xdr:row>1544</xdr:row>
      <xdr:rowOff>1266825</xdr:rowOff>
    </xdr:to>
    <xdr:pic>
      <xdr:nvPicPr>
        <xdr:cNvPr id="662" name="Имя " descr="Descr ">
          <a:extLst>
            <a:ext uri="{FF2B5EF4-FFF2-40B4-BE49-F238E27FC236}">
              <a16:creationId xmlns:a16="http://schemas.microsoft.com/office/drawing/2014/main" id="{00000000-0008-0000-0000-000096020000}"/>
            </a:ext>
          </a:extLst>
        </xdr:cNvPr>
        <xdr:cNvPicPr>
          <a:picLocks noChangeAspect="1"/>
        </xdr:cNvPicPr>
      </xdr:nvPicPr>
      <xdr:blipFill>
        <a:blip xmlns:r="http://schemas.openxmlformats.org/officeDocument/2006/relationships" r:embed="rId649"/>
        <a:stretch>
          <a:fillRect/>
        </a:stretch>
      </xdr:blipFill>
      <xdr:spPr>
        <a:prstGeom prst="rect">
          <a:avLst/>
        </a:prstGeom>
        <a:ln w="9525">
          <a:solidFill>
            <a:srgbClr val="000000"/>
          </a:solidFill>
          <a:prstDash val="solid"/>
        </a:ln>
      </xdr:spPr>
    </xdr:pic>
    <xdr:clientData/>
  </xdr:twoCellAnchor>
  <xdr:twoCellAnchor>
    <xdr:from>
      <xdr:col>3</xdr:col>
      <xdr:colOff>114300</xdr:colOff>
      <xdr:row>1545</xdr:row>
      <xdr:rowOff>28575</xdr:rowOff>
    </xdr:from>
    <xdr:to>
      <xdr:col>3</xdr:col>
      <xdr:colOff>1552575</xdr:colOff>
      <xdr:row>1545</xdr:row>
      <xdr:rowOff>1266825</xdr:rowOff>
    </xdr:to>
    <xdr:pic>
      <xdr:nvPicPr>
        <xdr:cNvPr id="663" name="Имя " descr="Descr ">
          <a:extLst>
            <a:ext uri="{FF2B5EF4-FFF2-40B4-BE49-F238E27FC236}">
              <a16:creationId xmlns:a16="http://schemas.microsoft.com/office/drawing/2014/main" id="{00000000-0008-0000-0000-000097020000}"/>
            </a:ext>
          </a:extLst>
        </xdr:cNvPr>
        <xdr:cNvPicPr>
          <a:picLocks noChangeAspect="1"/>
        </xdr:cNvPicPr>
      </xdr:nvPicPr>
      <xdr:blipFill>
        <a:blip xmlns:r="http://schemas.openxmlformats.org/officeDocument/2006/relationships" r:embed="rId650"/>
        <a:stretch>
          <a:fillRect/>
        </a:stretch>
      </xdr:blipFill>
      <xdr:spPr>
        <a:prstGeom prst="rect">
          <a:avLst/>
        </a:prstGeom>
        <a:ln w="9525">
          <a:solidFill>
            <a:srgbClr val="000000"/>
          </a:solidFill>
          <a:prstDash val="solid"/>
        </a:ln>
      </xdr:spPr>
    </xdr:pic>
    <xdr:clientData/>
  </xdr:twoCellAnchor>
  <xdr:twoCellAnchor>
    <xdr:from>
      <xdr:col>3</xdr:col>
      <xdr:colOff>114300</xdr:colOff>
      <xdr:row>1546</xdr:row>
      <xdr:rowOff>28575</xdr:rowOff>
    </xdr:from>
    <xdr:to>
      <xdr:col>3</xdr:col>
      <xdr:colOff>1552575</xdr:colOff>
      <xdr:row>1546</xdr:row>
      <xdr:rowOff>1266825</xdr:rowOff>
    </xdr:to>
    <xdr:pic>
      <xdr:nvPicPr>
        <xdr:cNvPr id="664" name="Имя " descr="Descr ">
          <a:extLst>
            <a:ext uri="{FF2B5EF4-FFF2-40B4-BE49-F238E27FC236}">
              <a16:creationId xmlns:a16="http://schemas.microsoft.com/office/drawing/2014/main" id="{00000000-0008-0000-0000-000098020000}"/>
            </a:ext>
          </a:extLst>
        </xdr:cNvPr>
        <xdr:cNvPicPr>
          <a:picLocks noChangeAspect="1"/>
        </xdr:cNvPicPr>
      </xdr:nvPicPr>
      <xdr:blipFill>
        <a:blip xmlns:r="http://schemas.openxmlformats.org/officeDocument/2006/relationships" r:embed="rId651"/>
        <a:stretch>
          <a:fillRect/>
        </a:stretch>
      </xdr:blipFill>
      <xdr:spPr>
        <a:prstGeom prst="rect">
          <a:avLst/>
        </a:prstGeom>
        <a:ln w="9525">
          <a:solidFill>
            <a:srgbClr val="000000"/>
          </a:solidFill>
          <a:prstDash val="solid"/>
        </a:ln>
      </xdr:spPr>
    </xdr:pic>
    <xdr:clientData/>
  </xdr:twoCellAnchor>
  <xdr:twoCellAnchor>
    <xdr:from>
      <xdr:col>3</xdr:col>
      <xdr:colOff>114300</xdr:colOff>
      <xdr:row>1547</xdr:row>
      <xdr:rowOff>28575</xdr:rowOff>
    </xdr:from>
    <xdr:to>
      <xdr:col>3</xdr:col>
      <xdr:colOff>1552575</xdr:colOff>
      <xdr:row>1547</xdr:row>
      <xdr:rowOff>1266825</xdr:rowOff>
    </xdr:to>
    <xdr:pic>
      <xdr:nvPicPr>
        <xdr:cNvPr id="665" name="Имя " descr="Descr ">
          <a:extLst>
            <a:ext uri="{FF2B5EF4-FFF2-40B4-BE49-F238E27FC236}">
              <a16:creationId xmlns:a16="http://schemas.microsoft.com/office/drawing/2014/main" id="{00000000-0008-0000-0000-000099020000}"/>
            </a:ext>
          </a:extLst>
        </xdr:cNvPr>
        <xdr:cNvPicPr>
          <a:picLocks noChangeAspect="1"/>
        </xdr:cNvPicPr>
      </xdr:nvPicPr>
      <xdr:blipFill>
        <a:blip xmlns:r="http://schemas.openxmlformats.org/officeDocument/2006/relationships" r:embed="rId652"/>
        <a:stretch>
          <a:fillRect/>
        </a:stretch>
      </xdr:blipFill>
      <xdr:spPr>
        <a:prstGeom prst="rect">
          <a:avLst/>
        </a:prstGeom>
        <a:ln w="9525">
          <a:solidFill>
            <a:srgbClr val="000000"/>
          </a:solidFill>
          <a:prstDash val="solid"/>
        </a:ln>
      </xdr:spPr>
    </xdr:pic>
    <xdr:clientData/>
  </xdr:twoCellAnchor>
  <xdr:twoCellAnchor>
    <xdr:from>
      <xdr:col>3</xdr:col>
      <xdr:colOff>114300</xdr:colOff>
      <xdr:row>1548</xdr:row>
      <xdr:rowOff>28575</xdr:rowOff>
    </xdr:from>
    <xdr:to>
      <xdr:col>3</xdr:col>
      <xdr:colOff>1552575</xdr:colOff>
      <xdr:row>1548</xdr:row>
      <xdr:rowOff>1266825</xdr:rowOff>
    </xdr:to>
    <xdr:pic>
      <xdr:nvPicPr>
        <xdr:cNvPr id="666" name="Имя " descr="Descr ">
          <a:extLst>
            <a:ext uri="{FF2B5EF4-FFF2-40B4-BE49-F238E27FC236}">
              <a16:creationId xmlns:a16="http://schemas.microsoft.com/office/drawing/2014/main" id="{00000000-0008-0000-0000-00009A020000}"/>
            </a:ext>
          </a:extLst>
        </xdr:cNvPr>
        <xdr:cNvPicPr>
          <a:picLocks noChangeAspect="1"/>
        </xdr:cNvPicPr>
      </xdr:nvPicPr>
      <xdr:blipFill>
        <a:blip xmlns:r="http://schemas.openxmlformats.org/officeDocument/2006/relationships" r:embed="rId653"/>
        <a:stretch>
          <a:fillRect/>
        </a:stretch>
      </xdr:blipFill>
      <xdr:spPr>
        <a:prstGeom prst="rect">
          <a:avLst/>
        </a:prstGeom>
        <a:ln w="9525">
          <a:solidFill>
            <a:srgbClr val="000000"/>
          </a:solidFill>
          <a:prstDash val="solid"/>
        </a:ln>
      </xdr:spPr>
    </xdr:pic>
    <xdr:clientData/>
  </xdr:twoCellAnchor>
  <xdr:twoCellAnchor>
    <xdr:from>
      <xdr:col>3</xdr:col>
      <xdr:colOff>114300</xdr:colOff>
      <xdr:row>1549</xdr:row>
      <xdr:rowOff>28575</xdr:rowOff>
    </xdr:from>
    <xdr:to>
      <xdr:col>3</xdr:col>
      <xdr:colOff>1552575</xdr:colOff>
      <xdr:row>1549</xdr:row>
      <xdr:rowOff>1266825</xdr:rowOff>
    </xdr:to>
    <xdr:pic>
      <xdr:nvPicPr>
        <xdr:cNvPr id="667" name="Имя " descr="Descr ">
          <a:extLst>
            <a:ext uri="{FF2B5EF4-FFF2-40B4-BE49-F238E27FC236}">
              <a16:creationId xmlns:a16="http://schemas.microsoft.com/office/drawing/2014/main" id="{00000000-0008-0000-0000-00009B020000}"/>
            </a:ext>
          </a:extLst>
        </xdr:cNvPr>
        <xdr:cNvPicPr>
          <a:picLocks noChangeAspect="1"/>
        </xdr:cNvPicPr>
      </xdr:nvPicPr>
      <xdr:blipFill>
        <a:blip xmlns:r="http://schemas.openxmlformats.org/officeDocument/2006/relationships" r:embed="rId654"/>
        <a:stretch>
          <a:fillRect/>
        </a:stretch>
      </xdr:blipFill>
      <xdr:spPr>
        <a:prstGeom prst="rect">
          <a:avLst/>
        </a:prstGeom>
        <a:ln w="9525">
          <a:solidFill>
            <a:srgbClr val="000000"/>
          </a:solidFill>
          <a:prstDash val="solid"/>
        </a:ln>
      </xdr:spPr>
    </xdr:pic>
    <xdr:clientData/>
  </xdr:twoCellAnchor>
  <xdr:twoCellAnchor>
    <xdr:from>
      <xdr:col>3</xdr:col>
      <xdr:colOff>114300</xdr:colOff>
      <xdr:row>1550</xdr:row>
      <xdr:rowOff>28575</xdr:rowOff>
    </xdr:from>
    <xdr:to>
      <xdr:col>3</xdr:col>
      <xdr:colOff>1552575</xdr:colOff>
      <xdr:row>1550</xdr:row>
      <xdr:rowOff>1266825</xdr:rowOff>
    </xdr:to>
    <xdr:pic>
      <xdr:nvPicPr>
        <xdr:cNvPr id="668" name="Имя " descr="Descr ">
          <a:extLst>
            <a:ext uri="{FF2B5EF4-FFF2-40B4-BE49-F238E27FC236}">
              <a16:creationId xmlns:a16="http://schemas.microsoft.com/office/drawing/2014/main" id="{00000000-0008-0000-0000-00009C020000}"/>
            </a:ext>
          </a:extLst>
        </xdr:cNvPr>
        <xdr:cNvPicPr>
          <a:picLocks noChangeAspect="1"/>
        </xdr:cNvPicPr>
      </xdr:nvPicPr>
      <xdr:blipFill>
        <a:blip xmlns:r="http://schemas.openxmlformats.org/officeDocument/2006/relationships" r:embed="rId655"/>
        <a:stretch>
          <a:fillRect/>
        </a:stretch>
      </xdr:blipFill>
      <xdr:spPr>
        <a:prstGeom prst="rect">
          <a:avLst/>
        </a:prstGeom>
        <a:ln w="9525">
          <a:solidFill>
            <a:srgbClr val="000000"/>
          </a:solidFill>
          <a:prstDash val="solid"/>
        </a:ln>
      </xdr:spPr>
    </xdr:pic>
    <xdr:clientData/>
  </xdr:twoCellAnchor>
  <xdr:twoCellAnchor>
    <xdr:from>
      <xdr:col>3</xdr:col>
      <xdr:colOff>114300</xdr:colOff>
      <xdr:row>1551</xdr:row>
      <xdr:rowOff>28575</xdr:rowOff>
    </xdr:from>
    <xdr:to>
      <xdr:col>3</xdr:col>
      <xdr:colOff>1552575</xdr:colOff>
      <xdr:row>1551</xdr:row>
      <xdr:rowOff>1266825</xdr:rowOff>
    </xdr:to>
    <xdr:pic>
      <xdr:nvPicPr>
        <xdr:cNvPr id="669" name="Имя " descr="Descr ">
          <a:extLst>
            <a:ext uri="{FF2B5EF4-FFF2-40B4-BE49-F238E27FC236}">
              <a16:creationId xmlns:a16="http://schemas.microsoft.com/office/drawing/2014/main" id="{00000000-0008-0000-0000-00009D020000}"/>
            </a:ext>
          </a:extLst>
        </xdr:cNvPr>
        <xdr:cNvPicPr>
          <a:picLocks noChangeAspect="1"/>
        </xdr:cNvPicPr>
      </xdr:nvPicPr>
      <xdr:blipFill>
        <a:blip xmlns:r="http://schemas.openxmlformats.org/officeDocument/2006/relationships" r:embed="rId656"/>
        <a:stretch>
          <a:fillRect/>
        </a:stretch>
      </xdr:blipFill>
      <xdr:spPr>
        <a:prstGeom prst="rect">
          <a:avLst/>
        </a:prstGeom>
        <a:ln w="9525">
          <a:solidFill>
            <a:srgbClr val="000000"/>
          </a:solidFill>
          <a:prstDash val="solid"/>
        </a:ln>
      </xdr:spPr>
    </xdr:pic>
    <xdr:clientData/>
  </xdr:twoCellAnchor>
  <xdr:twoCellAnchor>
    <xdr:from>
      <xdr:col>3</xdr:col>
      <xdr:colOff>114300</xdr:colOff>
      <xdr:row>1552</xdr:row>
      <xdr:rowOff>28575</xdr:rowOff>
    </xdr:from>
    <xdr:to>
      <xdr:col>3</xdr:col>
      <xdr:colOff>1552575</xdr:colOff>
      <xdr:row>1552</xdr:row>
      <xdr:rowOff>1266825</xdr:rowOff>
    </xdr:to>
    <xdr:pic>
      <xdr:nvPicPr>
        <xdr:cNvPr id="670" name="Имя " descr="Descr ">
          <a:extLst>
            <a:ext uri="{FF2B5EF4-FFF2-40B4-BE49-F238E27FC236}">
              <a16:creationId xmlns:a16="http://schemas.microsoft.com/office/drawing/2014/main" id="{00000000-0008-0000-0000-00009E020000}"/>
            </a:ext>
          </a:extLst>
        </xdr:cNvPr>
        <xdr:cNvPicPr>
          <a:picLocks noChangeAspect="1"/>
        </xdr:cNvPicPr>
      </xdr:nvPicPr>
      <xdr:blipFill>
        <a:blip xmlns:r="http://schemas.openxmlformats.org/officeDocument/2006/relationships" r:embed="rId657"/>
        <a:stretch>
          <a:fillRect/>
        </a:stretch>
      </xdr:blipFill>
      <xdr:spPr>
        <a:prstGeom prst="rect">
          <a:avLst/>
        </a:prstGeom>
        <a:ln w="9525">
          <a:solidFill>
            <a:srgbClr val="000000"/>
          </a:solidFill>
          <a:prstDash val="solid"/>
        </a:ln>
      </xdr:spPr>
    </xdr:pic>
    <xdr:clientData/>
  </xdr:twoCellAnchor>
  <xdr:twoCellAnchor>
    <xdr:from>
      <xdr:col>3</xdr:col>
      <xdr:colOff>114300</xdr:colOff>
      <xdr:row>1553</xdr:row>
      <xdr:rowOff>28575</xdr:rowOff>
    </xdr:from>
    <xdr:to>
      <xdr:col>3</xdr:col>
      <xdr:colOff>1552575</xdr:colOff>
      <xdr:row>1553</xdr:row>
      <xdr:rowOff>1266825</xdr:rowOff>
    </xdr:to>
    <xdr:pic>
      <xdr:nvPicPr>
        <xdr:cNvPr id="671" name="Имя " descr="Descr ">
          <a:extLst>
            <a:ext uri="{FF2B5EF4-FFF2-40B4-BE49-F238E27FC236}">
              <a16:creationId xmlns:a16="http://schemas.microsoft.com/office/drawing/2014/main" id="{00000000-0008-0000-0000-00009F020000}"/>
            </a:ext>
          </a:extLst>
        </xdr:cNvPr>
        <xdr:cNvPicPr>
          <a:picLocks noChangeAspect="1"/>
        </xdr:cNvPicPr>
      </xdr:nvPicPr>
      <xdr:blipFill>
        <a:blip xmlns:r="http://schemas.openxmlformats.org/officeDocument/2006/relationships" r:embed="rId658"/>
        <a:stretch>
          <a:fillRect/>
        </a:stretch>
      </xdr:blipFill>
      <xdr:spPr>
        <a:prstGeom prst="rect">
          <a:avLst/>
        </a:prstGeom>
        <a:ln w="9525">
          <a:solidFill>
            <a:srgbClr val="000000"/>
          </a:solidFill>
          <a:prstDash val="solid"/>
        </a:ln>
      </xdr:spPr>
    </xdr:pic>
    <xdr:clientData/>
  </xdr:twoCellAnchor>
  <xdr:twoCellAnchor>
    <xdr:from>
      <xdr:col>3</xdr:col>
      <xdr:colOff>114300</xdr:colOff>
      <xdr:row>1554</xdr:row>
      <xdr:rowOff>28575</xdr:rowOff>
    </xdr:from>
    <xdr:to>
      <xdr:col>3</xdr:col>
      <xdr:colOff>1552575</xdr:colOff>
      <xdr:row>1554</xdr:row>
      <xdr:rowOff>1266825</xdr:rowOff>
    </xdr:to>
    <xdr:pic>
      <xdr:nvPicPr>
        <xdr:cNvPr id="672" name="Имя " descr="Descr ">
          <a:extLst>
            <a:ext uri="{FF2B5EF4-FFF2-40B4-BE49-F238E27FC236}">
              <a16:creationId xmlns:a16="http://schemas.microsoft.com/office/drawing/2014/main" id="{00000000-0008-0000-0000-0000A0020000}"/>
            </a:ext>
          </a:extLst>
        </xdr:cNvPr>
        <xdr:cNvPicPr>
          <a:picLocks noChangeAspect="1"/>
        </xdr:cNvPicPr>
      </xdr:nvPicPr>
      <xdr:blipFill>
        <a:blip xmlns:r="http://schemas.openxmlformats.org/officeDocument/2006/relationships" r:embed="rId659"/>
        <a:stretch>
          <a:fillRect/>
        </a:stretch>
      </xdr:blipFill>
      <xdr:spPr>
        <a:prstGeom prst="rect">
          <a:avLst/>
        </a:prstGeom>
        <a:ln w="9525">
          <a:solidFill>
            <a:srgbClr val="000000"/>
          </a:solidFill>
          <a:prstDash val="solid"/>
        </a:ln>
      </xdr:spPr>
    </xdr:pic>
    <xdr:clientData/>
  </xdr:twoCellAnchor>
  <xdr:twoCellAnchor>
    <xdr:from>
      <xdr:col>3</xdr:col>
      <xdr:colOff>114300</xdr:colOff>
      <xdr:row>1555</xdr:row>
      <xdr:rowOff>28575</xdr:rowOff>
    </xdr:from>
    <xdr:to>
      <xdr:col>3</xdr:col>
      <xdr:colOff>1552575</xdr:colOff>
      <xdr:row>1555</xdr:row>
      <xdr:rowOff>1266825</xdr:rowOff>
    </xdr:to>
    <xdr:pic>
      <xdr:nvPicPr>
        <xdr:cNvPr id="673" name="Имя " descr="Descr ">
          <a:extLst>
            <a:ext uri="{FF2B5EF4-FFF2-40B4-BE49-F238E27FC236}">
              <a16:creationId xmlns:a16="http://schemas.microsoft.com/office/drawing/2014/main" id="{00000000-0008-0000-0000-0000A1020000}"/>
            </a:ext>
          </a:extLst>
        </xdr:cNvPr>
        <xdr:cNvPicPr>
          <a:picLocks noChangeAspect="1"/>
        </xdr:cNvPicPr>
      </xdr:nvPicPr>
      <xdr:blipFill>
        <a:blip xmlns:r="http://schemas.openxmlformats.org/officeDocument/2006/relationships" r:embed="rId660"/>
        <a:stretch>
          <a:fillRect/>
        </a:stretch>
      </xdr:blipFill>
      <xdr:spPr>
        <a:prstGeom prst="rect">
          <a:avLst/>
        </a:prstGeom>
        <a:ln w="9525">
          <a:solidFill>
            <a:srgbClr val="000000"/>
          </a:solidFill>
          <a:prstDash val="solid"/>
        </a:ln>
      </xdr:spPr>
    </xdr:pic>
    <xdr:clientData/>
  </xdr:twoCellAnchor>
  <xdr:twoCellAnchor>
    <xdr:from>
      <xdr:col>3</xdr:col>
      <xdr:colOff>114300</xdr:colOff>
      <xdr:row>1556</xdr:row>
      <xdr:rowOff>28575</xdr:rowOff>
    </xdr:from>
    <xdr:to>
      <xdr:col>3</xdr:col>
      <xdr:colOff>1552575</xdr:colOff>
      <xdr:row>1556</xdr:row>
      <xdr:rowOff>1266825</xdr:rowOff>
    </xdr:to>
    <xdr:pic>
      <xdr:nvPicPr>
        <xdr:cNvPr id="674" name="Имя " descr="Descr ">
          <a:extLst>
            <a:ext uri="{FF2B5EF4-FFF2-40B4-BE49-F238E27FC236}">
              <a16:creationId xmlns:a16="http://schemas.microsoft.com/office/drawing/2014/main" id="{00000000-0008-0000-0000-0000A2020000}"/>
            </a:ext>
          </a:extLst>
        </xdr:cNvPr>
        <xdr:cNvPicPr>
          <a:picLocks noChangeAspect="1"/>
        </xdr:cNvPicPr>
      </xdr:nvPicPr>
      <xdr:blipFill>
        <a:blip xmlns:r="http://schemas.openxmlformats.org/officeDocument/2006/relationships" r:embed="rId661"/>
        <a:stretch>
          <a:fillRect/>
        </a:stretch>
      </xdr:blipFill>
      <xdr:spPr>
        <a:prstGeom prst="rect">
          <a:avLst/>
        </a:prstGeom>
        <a:ln w="9525">
          <a:solidFill>
            <a:srgbClr val="000000"/>
          </a:solidFill>
          <a:prstDash val="solid"/>
        </a:ln>
      </xdr:spPr>
    </xdr:pic>
    <xdr:clientData/>
  </xdr:twoCellAnchor>
  <xdr:twoCellAnchor>
    <xdr:from>
      <xdr:col>3</xdr:col>
      <xdr:colOff>114300</xdr:colOff>
      <xdr:row>1557</xdr:row>
      <xdr:rowOff>28575</xdr:rowOff>
    </xdr:from>
    <xdr:to>
      <xdr:col>3</xdr:col>
      <xdr:colOff>1552575</xdr:colOff>
      <xdr:row>1557</xdr:row>
      <xdr:rowOff>1266825</xdr:rowOff>
    </xdr:to>
    <xdr:pic>
      <xdr:nvPicPr>
        <xdr:cNvPr id="675" name="Имя " descr="Descr ">
          <a:extLst>
            <a:ext uri="{FF2B5EF4-FFF2-40B4-BE49-F238E27FC236}">
              <a16:creationId xmlns:a16="http://schemas.microsoft.com/office/drawing/2014/main" id="{00000000-0008-0000-0000-0000A3020000}"/>
            </a:ext>
          </a:extLst>
        </xdr:cNvPr>
        <xdr:cNvPicPr>
          <a:picLocks noChangeAspect="1"/>
        </xdr:cNvPicPr>
      </xdr:nvPicPr>
      <xdr:blipFill>
        <a:blip xmlns:r="http://schemas.openxmlformats.org/officeDocument/2006/relationships" r:embed="rId662"/>
        <a:stretch>
          <a:fillRect/>
        </a:stretch>
      </xdr:blipFill>
      <xdr:spPr>
        <a:prstGeom prst="rect">
          <a:avLst/>
        </a:prstGeom>
        <a:ln w="9525">
          <a:solidFill>
            <a:srgbClr val="000000"/>
          </a:solidFill>
          <a:prstDash val="solid"/>
        </a:ln>
      </xdr:spPr>
    </xdr:pic>
    <xdr:clientData/>
  </xdr:twoCellAnchor>
  <xdr:twoCellAnchor>
    <xdr:from>
      <xdr:col>3</xdr:col>
      <xdr:colOff>114300</xdr:colOff>
      <xdr:row>1558</xdr:row>
      <xdr:rowOff>28575</xdr:rowOff>
    </xdr:from>
    <xdr:to>
      <xdr:col>3</xdr:col>
      <xdr:colOff>1552575</xdr:colOff>
      <xdr:row>1558</xdr:row>
      <xdr:rowOff>1266825</xdr:rowOff>
    </xdr:to>
    <xdr:pic>
      <xdr:nvPicPr>
        <xdr:cNvPr id="676" name="Имя " descr="Descr ">
          <a:extLst>
            <a:ext uri="{FF2B5EF4-FFF2-40B4-BE49-F238E27FC236}">
              <a16:creationId xmlns:a16="http://schemas.microsoft.com/office/drawing/2014/main" id="{00000000-0008-0000-0000-0000A4020000}"/>
            </a:ext>
          </a:extLst>
        </xdr:cNvPr>
        <xdr:cNvPicPr>
          <a:picLocks noChangeAspect="1"/>
        </xdr:cNvPicPr>
      </xdr:nvPicPr>
      <xdr:blipFill>
        <a:blip xmlns:r="http://schemas.openxmlformats.org/officeDocument/2006/relationships" r:embed="rId663"/>
        <a:stretch>
          <a:fillRect/>
        </a:stretch>
      </xdr:blipFill>
      <xdr:spPr>
        <a:prstGeom prst="rect">
          <a:avLst/>
        </a:prstGeom>
        <a:ln w="9525">
          <a:solidFill>
            <a:srgbClr val="000000"/>
          </a:solidFill>
          <a:prstDash val="solid"/>
        </a:ln>
      </xdr:spPr>
    </xdr:pic>
    <xdr:clientData/>
  </xdr:twoCellAnchor>
  <xdr:twoCellAnchor>
    <xdr:from>
      <xdr:col>3</xdr:col>
      <xdr:colOff>114300</xdr:colOff>
      <xdr:row>1559</xdr:row>
      <xdr:rowOff>28575</xdr:rowOff>
    </xdr:from>
    <xdr:to>
      <xdr:col>3</xdr:col>
      <xdr:colOff>1552575</xdr:colOff>
      <xdr:row>1559</xdr:row>
      <xdr:rowOff>1266825</xdr:rowOff>
    </xdr:to>
    <xdr:pic>
      <xdr:nvPicPr>
        <xdr:cNvPr id="677" name="Имя " descr="Descr ">
          <a:extLst>
            <a:ext uri="{FF2B5EF4-FFF2-40B4-BE49-F238E27FC236}">
              <a16:creationId xmlns:a16="http://schemas.microsoft.com/office/drawing/2014/main" id="{00000000-0008-0000-0000-0000A5020000}"/>
            </a:ext>
          </a:extLst>
        </xdr:cNvPr>
        <xdr:cNvPicPr>
          <a:picLocks noChangeAspect="1"/>
        </xdr:cNvPicPr>
      </xdr:nvPicPr>
      <xdr:blipFill>
        <a:blip xmlns:r="http://schemas.openxmlformats.org/officeDocument/2006/relationships" r:embed="rId664"/>
        <a:stretch>
          <a:fillRect/>
        </a:stretch>
      </xdr:blipFill>
      <xdr:spPr>
        <a:prstGeom prst="rect">
          <a:avLst/>
        </a:prstGeom>
        <a:ln w="9525">
          <a:solidFill>
            <a:srgbClr val="000000"/>
          </a:solidFill>
          <a:prstDash val="solid"/>
        </a:ln>
      </xdr:spPr>
    </xdr:pic>
    <xdr:clientData/>
  </xdr:twoCellAnchor>
  <xdr:twoCellAnchor>
    <xdr:from>
      <xdr:col>3</xdr:col>
      <xdr:colOff>114300</xdr:colOff>
      <xdr:row>1560</xdr:row>
      <xdr:rowOff>28575</xdr:rowOff>
    </xdr:from>
    <xdr:to>
      <xdr:col>3</xdr:col>
      <xdr:colOff>1552575</xdr:colOff>
      <xdr:row>1560</xdr:row>
      <xdr:rowOff>1266825</xdr:rowOff>
    </xdr:to>
    <xdr:pic>
      <xdr:nvPicPr>
        <xdr:cNvPr id="678" name="Имя " descr="Descr ">
          <a:extLst>
            <a:ext uri="{FF2B5EF4-FFF2-40B4-BE49-F238E27FC236}">
              <a16:creationId xmlns:a16="http://schemas.microsoft.com/office/drawing/2014/main" id="{00000000-0008-0000-0000-0000A6020000}"/>
            </a:ext>
          </a:extLst>
        </xdr:cNvPr>
        <xdr:cNvPicPr>
          <a:picLocks noChangeAspect="1"/>
        </xdr:cNvPicPr>
      </xdr:nvPicPr>
      <xdr:blipFill>
        <a:blip xmlns:r="http://schemas.openxmlformats.org/officeDocument/2006/relationships" r:embed="rId665"/>
        <a:stretch>
          <a:fillRect/>
        </a:stretch>
      </xdr:blipFill>
      <xdr:spPr>
        <a:prstGeom prst="rect">
          <a:avLst/>
        </a:prstGeom>
        <a:ln w="9525">
          <a:solidFill>
            <a:srgbClr val="000000"/>
          </a:solidFill>
          <a:prstDash val="solid"/>
        </a:ln>
      </xdr:spPr>
    </xdr:pic>
    <xdr:clientData/>
  </xdr:twoCellAnchor>
  <xdr:twoCellAnchor>
    <xdr:from>
      <xdr:col>3</xdr:col>
      <xdr:colOff>114300</xdr:colOff>
      <xdr:row>1561</xdr:row>
      <xdr:rowOff>28575</xdr:rowOff>
    </xdr:from>
    <xdr:to>
      <xdr:col>3</xdr:col>
      <xdr:colOff>1552575</xdr:colOff>
      <xdr:row>1561</xdr:row>
      <xdr:rowOff>1266825</xdr:rowOff>
    </xdr:to>
    <xdr:pic>
      <xdr:nvPicPr>
        <xdr:cNvPr id="679" name="Имя " descr="Descr ">
          <a:extLst>
            <a:ext uri="{FF2B5EF4-FFF2-40B4-BE49-F238E27FC236}">
              <a16:creationId xmlns:a16="http://schemas.microsoft.com/office/drawing/2014/main" id="{00000000-0008-0000-0000-0000A7020000}"/>
            </a:ext>
          </a:extLst>
        </xdr:cNvPr>
        <xdr:cNvPicPr>
          <a:picLocks noChangeAspect="1"/>
        </xdr:cNvPicPr>
      </xdr:nvPicPr>
      <xdr:blipFill>
        <a:blip xmlns:r="http://schemas.openxmlformats.org/officeDocument/2006/relationships" r:embed="rId666"/>
        <a:stretch>
          <a:fillRect/>
        </a:stretch>
      </xdr:blipFill>
      <xdr:spPr>
        <a:prstGeom prst="rect">
          <a:avLst/>
        </a:prstGeom>
        <a:ln w="9525">
          <a:solidFill>
            <a:srgbClr val="000000"/>
          </a:solidFill>
          <a:prstDash val="solid"/>
        </a:ln>
      </xdr:spPr>
    </xdr:pic>
    <xdr:clientData/>
  </xdr:twoCellAnchor>
  <xdr:twoCellAnchor>
    <xdr:from>
      <xdr:col>3</xdr:col>
      <xdr:colOff>114300</xdr:colOff>
      <xdr:row>1562</xdr:row>
      <xdr:rowOff>28575</xdr:rowOff>
    </xdr:from>
    <xdr:to>
      <xdr:col>3</xdr:col>
      <xdr:colOff>1552575</xdr:colOff>
      <xdr:row>1562</xdr:row>
      <xdr:rowOff>1266825</xdr:rowOff>
    </xdr:to>
    <xdr:pic>
      <xdr:nvPicPr>
        <xdr:cNvPr id="680" name="Имя " descr="Descr ">
          <a:extLst>
            <a:ext uri="{FF2B5EF4-FFF2-40B4-BE49-F238E27FC236}">
              <a16:creationId xmlns:a16="http://schemas.microsoft.com/office/drawing/2014/main" id="{00000000-0008-0000-0000-0000A8020000}"/>
            </a:ext>
          </a:extLst>
        </xdr:cNvPr>
        <xdr:cNvPicPr>
          <a:picLocks noChangeAspect="1"/>
        </xdr:cNvPicPr>
      </xdr:nvPicPr>
      <xdr:blipFill>
        <a:blip xmlns:r="http://schemas.openxmlformats.org/officeDocument/2006/relationships" r:embed="rId667"/>
        <a:stretch>
          <a:fillRect/>
        </a:stretch>
      </xdr:blipFill>
      <xdr:spPr>
        <a:prstGeom prst="rect">
          <a:avLst/>
        </a:prstGeom>
        <a:ln w="9525">
          <a:solidFill>
            <a:srgbClr val="000000"/>
          </a:solidFill>
          <a:prstDash val="solid"/>
        </a:ln>
      </xdr:spPr>
    </xdr:pic>
    <xdr:clientData/>
  </xdr:twoCellAnchor>
  <xdr:twoCellAnchor>
    <xdr:from>
      <xdr:col>3</xdr:col>
      <xdr:colOff>114300</xdr:colOff>
      <xdr:row>1563</xdr:row>
      <xdr:rowOff>28575</xdr:rowOff>
    </xdr:from>
    <xdr:to>
      <xdr:col>3</xdr:col>
      <xdr:colOff>1552575</xdr:colOff>
      <xdr:row>1563</xdr:row>
      <xdr:rowOff>1266825</xdr:rowOff>
    </xdr:to>
    <xdr:pic>
      <xdr:nvPicPr>
        <xdr:cNvPr id="681" name="Имя " descr="Descr ">
          <a:extLst>
            <a:ext uri="{FF2B5EF4-FFF2-40B4-BE49-F238E27FC236}">
              <a16:creationId xmlns:a16="http://schemas.microsoft.com/office/drawing/2014/main" id="{00000000-0008-0000-0000-0000A9020000}"/>
            </a:ext>
          </a:extLst>
        </xdr:cNvPr>
        <xdr:cNvPicPr>
          <a:picLocks noChangeAspect="1"/>
        </xdr:cNvPicPr>
      </xdr:nvPicPr>
      <xdr:blipFill>
        <a:blip xmlns:r="http://schemas.openxmlformats.org/officeDocument/2006/relationships" r:embed="rId668"/>
        <a:stretch>
          <a:fillRect/>
        </a:stretch>
      </xdr:blipFill>
      <xdr:spPr>
        <a:prstGeom prst="rect">
          <a:avLst/>
        </a:prstGeom>
        <a:ln w="9525">
          <a:solidFill>
            <a:srgbClr val="000000"/>
          </a:solidFill>
          <a:prstDash val="solid"/>
        </a:ln>
      </xdr:spPr>
    </xdr:pic>
    <xdr:clientData/>
  </xdr:twoCellAnchor>
  <xdr:twoCellAnchor>
    <xdr:from>
      <xdr:col>3</xdr:col>
      <xdr:colOff>114300</xdr:colOff>
      <xdr:row>1564</xdr:row>
      <xdr:rowOff>28575</xdr:rowOff>
    </xdr:from>
    <xdr:to>
      <xdr:col>3</xdr:col>
      <xdr:colOff>1552575</xdr:colOff>
      <xdr:row>1564</xdr:row>
      <xdr:rowOff>1266825</xdr:rowOff>
    </xdr:to>
    <xdr:pic>
      <xdr:nvPicPr>
        <xdr:cNvPr id="682" name="Имя " descr="Descr ">
          <a:extLst>
            <a:ext uri="{FF2B5EF4-FFF2-40B4-BE49-F238E27FC236}">
              <a16:creationId xmlns:a16="http://schemas.microsoft.com/office/drawing/2014/main" id="{00000000-0008-0000-0000-0000AA020000}"/>
            </a:ext>
          </a:extLst>
        </xdr:cNvPr>
        <xdr:cNvPicPr>
          <a:picLocks noChangeAspect="1"/>
        </xdr:cNvPicPr>
      </xdr:nvPicPr>
      <xdr:blipFill>
        <a:blip xmlns:r="http://schemas.openxmlformats.org/officeDocument/2006/relationships" r:embed="rId669"/>
        <a:stretch>
          <a:fillRect/>
        </a:stretch>
      </xdr:blipFill>
      <xdr:spPr>
        <a:prstGeom prst="rect">
          <a:avLst/>
        </a:prstGeom>
        <a:ln w="9525">
          <a:solidFill>
            <a:srgbClr val="000000"/>
          </a:solidFill>
          <a:prstDash val="solid"/>
        </a:ln>
      </xdr:spPr>
    </xdr:pic>
    <xdr:clientData/>
  </xdr:twoCellAnchor>
  <xdr:twoCellAnchor>
    <xdr:from>
      <xdr:col>3</xdr:col>
      <xdr:colOff>114300</xdr:colOff>
      <xdr:row>1565</xdr:row>
      <xdr:rowOff>28575</xdr:rowOff>
    </xdr:from>
    <xdr:to>
      <xdr:col>3</xdr:col>
      <xdr:colOff>1552575</xdr:colOff>
      <xdr:row>1565</xdr:row>
      <xdr:rowOff>1266825</xdr:rowOff>
    </xdr:to>
    <xdr:pic>
      <xdr:nvPicPr>
        <xdr:cNvPr id="683" name="Имя " descr="Descr ">
          <a:extLst>
            <a:ext uri="{FF2B5EF4-FFF2-40B4-BE49-F238E27FC236}">
              <a16:creationId xmlns:a16="http://schemas.microsoft.com/office/drawing/2014/main" id="{00000000-0008-0000-0000-0000AB020000}"/>
            </a:ext>
          </a:extLst>
        </xdr:cNvPr>
        <xdr:cNvPicPr>
          <a:picLocks noChangeAspect="1"/>
        </xdr:cNvPicPr>
      </xdr:nvPicPr>
      <xdr:blipFill>
        <a:blip xmlns:r="http://schemas.openxmlformats.org/officeDocument/2006/relationships" r:embed="rId670"/>
        <a:stretch>
          <a:fillRect/>
        </a:stretch>
      </xdr:blipFill>
      <xdr:spPr>
        <a:prstGeom prst="rect">
          <a:avLst/>
        </a:prstGeom>
        <a:ln w="9525">
          <a:solidFill>
            <a:srgbClr val="000000"/>
          </a:solidFill>
          <a:prstDash val="solid"/>
        </a:ln>
      </xdr:spPr>
    </xdr:pic>
    <xdr:clientData/>
  </xdr:twoCellAnchor>
  <xdr:twoCellAnchor>
    <xdr:from>
      <xdr:col>3</xdr:col>
      <xdr:colOff>114300</xdr:colOff>
      <xdr:row>1566</xdr:row>
      <xdr:rowOff>28575</xdr:rowOff>
    </xdr:from>
    <xdr:to>
      <xdr:col>3</xdr:col>
      <xdr:colOff>1552575</xdr:colOff>
      <xdr:row>1566</xdr:row>
      <xdr:rowOff>1266825</xdr:rowOff>
    </xdr:to>
    <xdr:pic>
      <xdr:nvPicPr>
        <xdr:cNvPr id="684" name="Имя " descr="Descr ">
          <a:extLst>
            <a:ext uri="{FF2B5EF4-FFF2-40B4-BE49-F238E27FC236}">
              <a16:creationId xmlns:a16="http://schemas.microsoft.com/office/drawing/2014/main" id="{00000000-0008-0000-0000-0000AC020000}"/>
            </a:ext>
          </a:extLst>
        </xdr:cNvPr>
        <xdr:cNvPicPr>
          <a:picLocks noChangeAspect="1"/>
        </xdr:cNvPicPr>
      </xdr:nvPicPr>
      <xdr:blipFill>
        <a:blip xmlns:r="http://schemas.openxmlformats.org/officeDocument/2006/relationships" r:embed="rId671"/>
        <a:stretch>
          <a:fillRect/>
        </a:stretch>
      </xdr:blipFill>
      <xdr:spPr>
        <a:prstGeom prst="rect">
          <a:avLst/>
        </a:prstGeom>
        <a:ln w="9525">
          <a:solidFill>
            <a:srgbClr val="000000"/>
          </a:solidFill>
          <a:prstDash val="solid"/>
        </a:ln>
      </xdr:spPr>
    </xdr:pic>
    <xdr:clientData/>
  </xdr:twoCellAnchor>
  <xdr:twoCellAnchor>
    <xdr:from>
      <xdr:col>3</xdr:col>
      <xdr:colOff>114300</xdr:colOff>
      <xdr:row>1567</xdr:row>
      <xdr:rowOff>28575</xdr:rowOff>
    </xdr:from>
    <xdr:to>
      <xdr:col>3</xdr:col>
      <xdr:colOff>1552575</xdr:colOff>
      <xdr:row>1567</xdr:row>
      <xdr:rowOff>1266825</xdr:rowOff>
    </xdr:to>
    <xdr:pic>
      <xdr:nvPicPr>
        <xdr:cNvPr id="685" name="Имя " descr="Descr ">
          <a:extLst>
            <a:ext uri="{FF2B5EF4-FFF2-40B4-BE49-F238E27FC236}">
              <a16:creationId xmlns:a16="http://schemas.microsoft.com/office/drawing/2014/main" id="{00000000-0008-0000-0000-0000AD020000}"/>
            </a:ext>
          </a:extLst>
        </xdr:cNvPr>
        <xdr:cNvPicPr>
          <a:picLocks noChangeAspect="1"/>
        </xdr:cNvPicPr>
      </xdr:nvPicPr>
      <xdr:blipFill>
        <a:blip xmlns:r="http://schemas.openxmlformats.org/officeDocument/2006/relationships" r:embed="rId672"/>
        <a:stretch>
          <a:fillRect/>
        </a:stretch>
      </xdr:blipFill>
      <xdr:spPr>
        <a:prstGeom prst="rect">
          <a:avLst/>
        </a:prstGeom>
        <a:ln w="9525">
          <a:solidFill>
            <a:srgbClr val="000000"/>
          </a:solidFill>
          <a:prstDash val="solid"/>
        </a:ln>
      </xdr:spPr>
    </xdr:pic>
    <xdr:clientData/>
  </xdr:twoCellAnchor>
  <xdr:twoCellAnchor>
    <xdr:from>
      <xdr:col>3</xdr:col>
      <xdr:colOff>114300</xdr:colOff>
      <xdr:row>1568</xdr:row>
      <xdr:rowOff>28575</xdr:rowOff>
    </xdr:from>
    <xdr:to>
      <xdr:col>3</xdr:col>
      <xdr:colOff>1552575</xdr:colOff>
      <xdr:row>1568</xdr:row>
      <xdr:rowOff>1266825</xdr:rowOff>
    </xdr:to>
    <xdr:pic>
      <xdr:nvPicPr>
        <xdr:cNvPr id="686" name="Имя " descr="Descr ">
          <a:extLst>
            <a:ext uri="{FF2B5EF4-FFF2-40B4-BE49-F238E27FC236}">
              <a16:creationId xmlns:a16="http://schemas.microsoft.com/office/drawing/2014/main" id="{00000000-0008-0000-0000-0000AE020000}"/>
            </a:ext>
          </a:extLst>
        </xdr:cNvPr>
        <xdr:cNvPicPr>
          <a:picLocks noChangeAspect="1"/>
        </xdr:cNvPicPr>
      </xdr:nvPicPr>
      <xdr:blipFill>
        <a:blip xmlns:r="http://schemas.openxmlformats.org/officeDocument/2006/relationships" r:embed="rId673"/>
        <a:stretch>
          <a:fillRect/>
        </a:stretch>
      </xdr:blipFill>
      <xdr:spPr>
        <a:prstGeom prst="rect">
          <a:avLst/>
        </a:prstGeom>
        <a:ln w="9525">
          <a:solidFill>
            <a:srgbClr val="000000"/>
          </a:solidFill>
          <a:prstDash val="solid"/>
        </a:ln>
      </xdr:spPr>
    </xdr:pic>
    <xdr:clientData/>
  </xdr:twoCellAnchor>
  <xdr:twoCellAnchor>
    <xdr:from>
      <xdr:col>3</xdr:col>
      <xdr:colOff>114300</xdr:colOff>
      <xdr:row>1569</xdr:row>
      <xdr:rowOff>28575</xdr:rowOff>
    </xdr:from>
    <xdr:to>
      <xdr:col>3</xdr:col>
      <xdr:colOff>1552575</xdr:colOff>
      <xdr:row>1569</xdr:row>
      <xdr:rowOff>1266825</xdr:rowOff>
    </xdr:to>
    <xdr:pic>
      <xdr:nvPicPr>
        <xdr:cNvPr id="687" name="Имя " descr="Descr ">
          <a:extLst>
            <a:ext uri="{FF2B5EF4-FFF2-40B4-BE49-F238E27FC236}">
              <a16:creationId xmlns:a16="http://schemas.microsoft.com/office/drawing/2014/main" id="{00000000-0008-0000-0000-0000AF020000}"/>
            </a:ext>
          </a:extLst>
        </xdr:cNvPr>
        <xdr:cNvPicPr>
          <a:picLocks noChangeAspect="1"/>
        </xdr:cNvPicPr>
      </xdr:nvPicPr>
      <xdr:blipFill>
        <a:blip xmlns:r="http://schemas.openxmlformats.org/officeDocument/2006/relationships" r:embed="rId674"/>
        <a:stretch>
          <a:fillRect/>
        </a:stretch>
      </xdr:blipFill>
      <xdr:spPr>
        <a:prstGeom prst="rect">
          <a:avLst/>
        </a:prstGeom>
        <a:ln w="9525">
          <a:solidFill>
            <a:srgbClr val="000000"/>
          </a:solidFill>
          <a:prstDash val="solid"/>
        </a:ln>
      </xdr:spPr>
    </xdr:pic>
    <xdr:clientData/>
  </xdr:twoCellAnchor>
  <xdr:twoCellAnchor>
    <xdr:from>
      <xdr:col>3</xdr:col>
      <xdr:colOff>114300</xdr:colOff>
      <xdr:row>1570</xdr:row>
      <xdr:rowOff>28575</xdr:rowOff>
    </xdr:from>
    <xdr:to>
      <xdr:col>3</xdr:col>
      <xdr:colOff>1552575</xdr:colOff>
      <xdr:row>1570</xdr:row>
      <xdr:rowOff>1266825</xdr:rowOff>
    </xdr:to>
    <xdr:pic>
      <xdr:nvPicPr>
        <xdr:cNvPr id="688" name="Имя " descr="Descr ">
          <a:extLst>
            <a:ext uri="{FF2B5EF4-FFF2-40B4-BE49-F238E27FC236}">
              <a16:creationId xmlns:a16="http://schemas.microsoft.com/office/drawing/2014/main" id="{00000000-0008-0000-0000-0000B0020000}"/>
            </a:ext>
          </a:extLst>
        </xdr:cNvPr>
        <xdr:cNvPicPr>
          <a:picLocks noChangeAspect="1"/>
        </xdr:cNvPicPr>
      </xdr:nvPicPr>
      <xdr:blipFill>
        <a:blip xmlns:r="http://schemas.openxmlformats.org/officeDocument/2006/relationships" r:embed="rId675"/>
        <a:stretch>
          <a:fillRect/>
        </a:stretch>
      </xdr:blipFill>
      <xdr:spPr>
        <a:prstGeom prst="rect">
          <a:avLst/>
        </a:prstGeom>
        <a:ln w="9525">
          <a:solidFill>
            <a:srgbClr val="000000"/>
          </a:solidFill>
          <a:prstDash val="solid"/>
        </a:ln>
      </xdr:spPr>
    </xdr:pic>
    <xdr:clientData/>
  </xdr:twoCellAnchor>
  <xdr:twoCellAnchor>
    <xdr:from>
      <xdr:col>3</xdr:col>
      <xdr:colOff>114300</xdr:colOff>
      <xdr:row>1571</xdr:row>
      <xdr:rowOff>28575</xdr:rowOff>
    </xdr:from>
    <xdr:to>
      <xdr:col>3</xdr:col>
      <xdr:colOff>1552575</xdr:colOff>
      <xdr:row>1571</xdr:row>
      <xdr:rowOff>1266825</xdr:rowOff>
    </xdr:to>
    <xdr:pic>
      <xdr:nvPicPr>
        <xdr:cNvPr id="689" name="Имя " descr="Descr ">
          <a:extLst>
            <a:ext uri="{FF2B5EF4-FFF2-40B4-BE49-F238E27FC236}">
              <a16:creationId xmlns:a16="http://schemas.microsoft.com/office/drawing/2014/main" id="{00000000-0008-0000-0000-0000B1020000}"/>
            </a:ext>
          </a:extLst>
        </xdr:cNvPr>
        <xdr:cNvPicPr>
          <a:picLocks noChangeAspect="1"/>
        </xdr:cNvPicPr>
      </xdr:nvPicPr>
      <xdr:blipFill>
        <a:blip xmlns:r="http://schemas.openxmlformats.org/officeDocument/2006/relationships" r:embed="rId676"/>
        <a:stretch>
          <a:fillRect/>
        </a:stretch>
      </xdr:blipFill>
      <xdr:spPr>
        <a:prstGeom prst="rect">
          <a:avLst/>
        </a:prstGeom>
        <a:ln w="9525">
          <a:solidFill>
            <a:srgbClr val="000000"/>
          </a:solidFill>
          <a:prstDash val="solid"/>
        </a:ln>
      </xdr:spPr>
    </xdr:pic>
    <xdr:clientData/>
  </xdr:twoCellAnchor>
  <xdr:twoCellAnchor>
    <xdr:from>
      <xdr:col>3</xdr:col>
      <xdr:colOff>114300</xdr:colOff>
      <xdr:row>1572</xdr:row>
      <xdr:rowOff>28575</xdr:rowOff>
    </xdr:from>
    <xdr:to>
      <xdr:col>3</xdr:col>
      <xdr:colOff>1552575</xdr:colOff>
      <xdr:row>1572</xdr:row>
      <xdr:rowOff>1266825</xdr:rowOff>
    </xdr:to>
    <xdr:pic>
      <xdr:nvPicPr>
        <xdr:cNvPr id="690" name="Имя " descr="Descr ">
          <a:extLst>
            <a:ext uri="{FF2B5EF4-FFF2-40B4-BE49-F238E27FC236}">
              <a16:creationId xmlns:a16="http://schemas.microsoft.com/office/drawing/2014/main" id="{00000000-0008-0000-0000-0000B2020000}"/>
            </a:ext>
          </a:extLst>
        </xdr:cNvPr>
        <xdr:cNvPicPr>
          <a:picLocks noChangeAspect="1"/>
        </xdr:cNvPicPr>
      </xdr:nvPicPr>
      <xdr:blipFill>
        <a:blip xmlns:r="http://schemas.openxmlformats.org/officeDocument/2006/relationships" r:embed="rId677"/>
        <a:stretch>
          <a:fillRect/>
        </a:stretch>
      </xdr:blipFill>
      <xdr:spPr>
        <a:prstGeom prst="rect">
          <a:avLst/>
        </a:prstGeom>
        <a:ln w="9525">
          <a:solidFill>
            <a:srgbClr val="000000"/>
          </a:solidFill>
          <a:prstDash val="solid"/>
        </a:ln>
      </xdr:spPr>
    </xdr:pic>
    <xdr:clientData/>
  </xdr:twoCellAnchor>
  <xdr:twoCellAnchor>
    <xdr:from>
      <xdr:col>3</xdr:col>
      <xdr:colOff>114300</xdr:colOff>
      <xdr:row>1573</xdr:row>
      <xdr:rowOff>28575</xdr:rowOff>
    </xdr:from>
    <xdr:to>
      <xdr:col>3</xdr:col>
      <xdr:colOff>1552575</xdr:colOff>
      <xdr:row>1573</xdr:row>
      <xdr:rowOff>1266825</xdr:rowOff>
    </xdr:to>
    <xdr:pic>
      <xdr:nvPicPr>
        <xdr:cNvPr id="691" name="Имя " descr="Descr ">
          <a:extLst>
            <a:ext uri="{FF2B5EF4-FFF2-40B4-BE49-F238E27FC236}">
              <a16:creationId xmlns:a16="http://schemas.microsoft.com/office/drawing/2014/main" id="{00000000-0008-0000-0000-0000B3020000}"/>
            </a:ext>
          </a:extLst>
        </xdr:cNvPr>
        <xdr:cNvPicPr>
          <a:picLocks noChangeAspect="1"/>
        </xdr:cNvPicPr>
      </xdr:nvPicPr>
      <xdr:blipFill>
        <a:blip xmlns:r="http://schemas.openxmlformats.org/officeDocument/2006/relationships" r:embed="rId678"/>
        <a:stretch>
          <a:fillRect/>
        </a:stretch>
      </xdr:blipFill>
      <xdr:spPr>
        <a:prstGeom prst="rect">
          <a:avLst/>
        </a:prstGeom>
        <a:ln w="9525">
          <a:solidFill>
            <a:srgbClr val="000000"/>
          </a:solidFill>
          <a:prstDash val="solid"/>
        </a:ln>
      </xdr:spPr>
    </xdr:pic>
    <xdr:clientData/>
  </xdr:twoCellAnchor>
  <xdr:twoCellAnchor>
    <xdr:from>
      <xdr:col>3</xdr:col>
      <xdr:colOff>114300</xdr:colOff>
      <xdr:row>1574</xdr:row>
      <xdr:rowOff>28575</xdr:rowOff>
    </xdr:from>
    <xdr:to>
      <xdr:col>3</xdr:col>
      <xdr:colOff>1552575</xdr:colOff>
      <xdr:row>1574</xdr:row>
      <xdr:rowOff>1266825</xdr:rowOff>
    </xdr:to>
    <xdr:pic>
      <xdr:nvPicPr>
        <xdr:cNvPr id="692" name="Имя " descr="Descr ">
          <a:extLst>
            <a:ext uri="{FF2B5EF4-FFF2-40B4-BE49-F238E27FC236}">
              <a16:creationId xmlns:a16="http://schemas.microsoft.com/office/drawing/2014/main" id="{00000000-0008-0000-0000-0000B4020000}"/>
            </a:ext>
          </a:extLst>
        </xdr:cNvPr>
        <xdr:cNvPicPr>
          <a:picLocks noChangeAspect="1"/>
        </xdr:cNvPicPr>
      </xdr:nvPicPr>
      <xdr:blipFill>
        <a:blip xmlns:r="http://schemas.openxmlformats.org/officeDocument/2006/relationships" r:embed="rId679"/>
        <a:stretch>
          <a:fillRect/>
        </a:stretch>
      </xdr:blipFill>
      <xdr:spPr>
        <a:prstGeom prst="rect">
          <a:avLst/>
        </a:prstGeom>
        <a:ln w="9525">
          <a:solidFill>
            <a:srgbClr val="000000"/>
          </a:solidFill>
          <a:prstDash val="solid"/>
        </a:ln>
      </xdr:spPr>
    </xdr:pic>
    <xdr:clientData/>
  </xdr:twoCellAnchor>
  <xdr:twoCellAnchor>
    <xdr:from>
      <xdr:col>3</xdr:col>
      <xdr:colOff>114300</xdr:colOff>
      <xdr:row>1575</xdr:row>
      <xdr:rowOff>28575</xdr:rowOff>
    </xdr:from>
    <xdr:to>
      <xdr:col>3</xdr:col>
      <xdr:colOff>1552575</xdr:colOff>
      <xdr:row>1575</xdr:row>
      <xdr:rowOff>1266825</xdr:rowOff>
    </xdr:to>
    <xdr:pic>
      <xdr:nvPicPr>
        <xdr:cNvPr id="693" name="Имя " descr="Descr ">
          <a:extLst>
            <a:ext uri="{FF2B5EF4-FFF2-40B4-BE49-F238E27FC236}">
              <a16:creationId xmlns:a16="http://schemas.microsoft.com/office/drawing/2014/main" id="{00000000-0008-0000-0000-0000B5020000}"/>
            </a:ext>
          </a:extLst>
        </xdr:cNvPr>
        <xdr:cNvPicPr>
          <a:picLocks noChangeAspect="1"/>
        </xdr:cNvPicPr>
      </xdr:nvPicPr>
      <xdr:blipFill>
        <a:blip xmlns:r="http://schemas.openxmlformats.org/officeDocument/2006/relationships" r:embed="rId680"/>
        <a:stretch>
          <a:fillRect/>
        </a:stretch>
      </xdr:blipFill>
      <xdr:spPr>
        <a:prstGeom prst="rect">
          <a:avLst/>
        </a:prstGeom>
        <a:ln w="9525">
          <a:solidFill>
            <a:srgbClr val="000000"/>
          </a:solidFill>
          <a:prstDash val="solid"/>
        </a:ln>
      </xdr:spPr>
    </xdr:pic>
    <xdr:clientData/>
  </xdr:twoCellAnchor>
  <xdr:twoCellAnchor>
    <xdr:from>
      <xdr:col>3</xdr:col>
      <xdr:colOff>114300</xdr:colOff>
      <xdr:row>1576</xdr:row>
      <xdr:rowOff>28575</xdr:rowOff>
    </xdr:from>
    <xdr:to>
      <xdr:col>3</xdr:col>
      <xdr:colOff>1552575</xdr:colOff>
      <xdr:row>1576</xdr:row>
      <xdr:rowOff>1266825</xdr:rowOff>
    </xdr:to>
    <xdr:pic>
      <xdr:nvPicPr>
        <xdr:cNvPr id="694" name="Имя " descr="Descr ">
          <a:extLst>
            <a:ext uri="{FF2B5EF4-FFF2-40B4-BE49-F238E27FC236}">
              <a16:creationId xmlns:a16="http://schemas.microsoft.com/office/drawing/2014/main" id="{00000000-0008-0000-0000-0000B6020000}"/>
            </a:ext>
          </a:extLst>
        </xdr:cNvPr>
        <xdr:cNvPicPr>
          <a:picLocks noChangeAspect="1"/>
        </xdr:cNvPicPr>
      </xdr:nvPicPr>
      <xdr:blipFill>
        <a:blip xmlns:r="http://schemas.openxmlformats.org/officeDocument/2006/relationships" r:embed="rId681"/>
        <a:stretch>
          <a:fillRect/>
        </a:stretch>
      </xdr:blipFill>
      <xdr:spPr>
        <a:prstGeom prst="rect">
          <a:avLst/>
        </a:prstGeom>
        <a:ln w="9525">
          <a:solidFill>
            <a:srgbClr val="000000"/>
          </a:solidFill>
          <a:prstDash val="solid"/>
        </a:ln>
      </xdr:spPr>
    </xdr:pic>
    <xdr:clientData/>
  </xdr:twoCellAnchor>
  <xdr:twoCellAnchor>
    <xdr:from>
      <xdr:col>3</xdr:col>
      <xdr:colOff>114300</xdr:colOff>
      <xdr:row>1577</xdr:row>
      <xdr:rowOff>28575</xdr:rowOff>
    </xdr:from>
    <xdr:to>
      <xdr:col>3</xdr:col>
      <xdr:colOff>1552575</xdr:colOff>
      <xdr:row>1577</xdr:row>
      <xdr:rowOff>1266825</xdr:rowOff>
    </xdr:to>
    <xdr:pic>
      <xdr:nvPicPr>
        <xdr:cNvPr id="695" name="Имя " descr="Descr ">
          <a:extLst>
            <a:ext uri="{FF2B5EF4-FFF2-40B4-BE49-F238E27FC236}">
              <a16:creationId xmlns:a16="http://schemas.microsoft.com/office/drawing/2014/main" id="{00000000-0008-0000-0000-0000B7020000}"/>
            </a:ext>
          </a:extLst>
        </xdr:cNvPr>
        <xdr:cNvPicPr>
          <a:picLocks noChangeAspect="1"/>
        </xdr:cNvPicPr>
      </xdr:nvPicPr>
      <xdr:blipFill>
        <a:blip xmlns:r="http://schemas.openxmlformats.org/officeDocument/2006/relationships" r:embed="rId682"/>
        <a:stretch>
          <a:fillRect/>
        </a:stretch>
      </xdr:blipFill>
      <xdr:spPr>
        <a:prstGeom prst="rect">
          <a:avLst/>
        </a:prstGeom>
        <a:ln w="9525">
          <a:solidFill>
            <a:srgbClr val="000000"/>
          </a:solidFill>
          <a:prstDash val="solid"/>
        </a:ln>
      </xdr:spPr>
    </xdr:pic>
    <xdr:clientData/>
  </xdr:twoCellAnchor>
  <xdr:twoCellAnchor>
    <xdr:from>
      <xdr:col>3</xdr:col>
      <xdr:colOff>114300</xdr:colOff>
      <xdr:row>1578</xdr:row>
      <xdr:rowOff>28575</xdr:rowOff>
    </xdr:from>
    <xdr:to>
      <xdr:col>3</xdr:col>
      <xdr:colOff>1552575</xdr:colOff>
      <xdr:row>1578</xdr:row>
      <xdr:rowOff>1266825</xdr:rowOff>
    </xdr:to>
    <xdr:pic>
      <xdr:nvPicPr>
        <xdr:cNvPr id="696" name="Имя " descr="Descr ">
          <a:extLst>
            <a:ext uri="{FF2B5EF4-FFF2-40B4-BE49-F238E27FC236}">
              <a16:creationId xmlns:a16="http://schemas.microsoft.com/office/drawing/2014/main" id="{00000000-0008-0000-0000-0000B8020000}"/>
            </a:ext>
          </a:extLst>
        </xdr:cNvPr>
        <xdr:cNvPicPr>
          <a:picLocks noChangeAspect="1"/>
        </xdr:cNvPicPr>
      </xdr:nvPicPr>
      <xdr:blipFill>
        <a:blip xmlns:r="http://schemas.openxmlformats.org/officeDocument/2006/relationships" r:embed="rId683"/>
        <a:stretch>
          <a:fillRect/>
        </a:stretch>
      </xdr:blipFill>
      <xdr:spPr>
        <a:prstGeom prst="rect">
          <a:avLst/>
        </a:prstGeom>
        <a:ln w="9525">
          <a:solidFill>
            <a:srgbClr val="000000"/>
          </a:solidFill>
          <a:prstDash val="solid"/>
        </a:ln>
      </xdr:spPr>
    </xdr:pic>
    <xdr:clientData/>
  </xdr:twoCellAnchor>
  <xdr:twoCellAnchor>
    <xdr:from>
      <xdr:col>3</xdr:col>
      <xdr:colOff>114300</xdr:colOff>
      <xdr:row>1579</xdr:row>
      <xdr:rowOff>28575</xdr:rowOff>
    </xdr:from>
    <xdr:to>
      <xdr:col>3</xdr:col>
      <xdr:colOff>1552575</xdr:colOff>
      <xdr:row>1579</xdr:row>
      <xdr:rowOff>1266825</xdr:rowOff>
    </xdr:to>
    <xdr:pic>
      <xdr:nvPicPr>
        <xdr:cNvPr id="697" name="Имя " descr="Descr ">
          <a:extLst>
            <a:ext uri="{FF2B5EF4-FFF2-40B4-BE49-F238E27FC236}">
              <a16:creationId xmlns:a16="http://schemas.microsoft.com/office/drawing/2014/main" id="{00000000-0008-0000-0000-0000B9020000}"/>
            </a:ext>
          </a:extLst>
        </xdr:cNvPr>
        <xdr:cNvPicPr>
          <a:picLocks noChangeAspect="1"/>
        </xdr:cNvPicPr>
      </xdr:nvPicPr>
      <xdr:blipFill>
        <a:blip xmlns:r="http://schemas.openxmlformats.org/officeDocument/2006/relationships" r:embed="rId684"/>
        <a:stretch>
          <a:fillRect/>
        </a:stretch>
      </xdr:blipFill>
      <xdr:spPr>
        <a:prstGeom prst="rect">
          <a:avLst/>
        </a:prstGeom>
        <a:ln w="9525">
          <a:solidFill>
            <a:srgbClr val="000000"/>
          </a:solidFill>
          <a:prstDash val="solid"/>
        </a:ln>
      </xdr:spPr>
    </xdr:pic>
    <xdr:clientData/>
  </xdr:twoCellAnchor>
  <xdr:twoCellAnchor>
    <xdr:from>
      <xdr:col>3</xdr:col>
      <xdr:colOff>114300</xdr:colOff>
      <xdr:row>1580</xdr:row>
      <xdr:rowOff>28575</xdr:rowOff>
    </xdr:from>
    <xdr:to>
      <xdr:col>3</xdr:col>
      <xdr:colOff>1552575</xdr:colOff>
      <xdr:row>1580</xdr:row>
      <xdr:rowOff>1266825</xdr:rowOff>
    </xdr:to>
    <xdr:pic>
      <xdr:nvPicPr>
        <xdr:cNvPr id="698" name="Имя " descr="Descr ">
          <a:extLst>
            <a:ext uri="{FF2B5EF4-FFF2-40B4-BE49-F238E27FC236}">
              <a16:creationId xmlns:a16="http://schemas.microsoft.com/office/drawing/2014/main" id="{00000000-0008-0000-0000-0000BA020000}"/>
            </a:ext>
          </a:extLst>
        </xdr:cNvPr>
        <xdr:cNvPicPr>
          <a:picLocks noChangeAspect="1"/>
        </xdr:cNvPicPr>
      </xdr:nvPicPr>
      <xdr:blipFill>
        <a:blip xmlns:r="http://schemas.openxmlformats.org/officeDocument/2006/relationships" r:embed="rId685"/>
        <a:stretch>
          <a:fillRect/>
        </a:stretch>
      </xdr:blipFill>
      <xdr:spPr>
        <a:prstGeom prst="rect">
          <a:avLst/>
        </a:prstGeom>
        <a:ln w="9525">
          <a:solidFill>
            <a:srgbClr val="000000"/>
          </a:solidFill>
          <a:prstDash val="solid"/>
        </a:ln>
      </xdr:spPr>
    </xdr:pic>
    <xdr:clientData/>
  </xdr:twoCellAnchor>
  <xdr:twoCellAnchor>
    <xdr:from>
      <xdr:col>3</xdr:col>
      <xdr:colOff>114300</xdr:colOff>
      <xdr:row>1581</xdr:row>
      <xdr:rowOff>28575</xdr:rowOff>
    </xdr:from>
    <xdr:to>
      <xdr:col>3</xdr:col>
      <xdr:colOff>1552575</xdr:colOff>
      <xdr:row>1581</xdr:row>
      <xdr:rowOff>1266825</xdr:rowOff>
    </xdr:to>
    <xdr:pic>
      <xdr:nvPicPr>
        <xdr:cNvPr id="699" name="Имя " descr="Descr ">
          <a:extLst>
            <a:ext uri="{FF2B5EF4-FFF2-40B4-BE49-F238E27FC236}">
              <a16:creationId xmlns:a16="http://schemas.microsoft.com/office/drawing/2014/main" id="{00000000-0008-0000-0000-0000BB020000}"/>
            </a:ext>
          </a:extLst>
        </xdr:cNvPr>
        <xdr:cNvPicPr>
          <a:picLocks noChangeAspect="1"/>
        </xdr:cNvPicPr>
      </xdr:nvPicPr>
      <xdr:blipFill>
        <a:blip xmlns:r="http://schemas.openxmlformats.org/officeDocument/2006/relationships" r:embed="rId686"/>
        <a:stretch>
          <a:fillRect/>
        </a:stretch>
      </xdr:blipFill>
      <xdr:spPr>
        <a:prstGeom prst="rect">
          <a:avLst/>
        </a:prstGeom>
        <a:ln w="9525">
          <a:solidFill>
            <a:srgbClr val="000000"/>
          </a:solidFill>
          <a:prstDash val="solid"/>
        </a:ln>
      </xdr:spPr>
    </xdr:pic>
    <xdr:clientData/>
  </xdr:twoCellAnchor>
  <xdr:twoCellAnchor>
    <xdr:from>
      <xdr:col>3</xdr:col>
      <xdr:colOff>114300</xdr:colOff>
      <xdr:row>1582</xdr:row>
      <xdr:rowOff>28575</xdr:rowOff>
    </xdr:from>
    <xdr:to>
      <xdr:col>3</xdr:col>
      <xdr:colOff>1552575</xdr:colOff>
      <xdr:row>1582</xdr:row>
      <xdr:rowOff>1266825</xdr:rowOff>
    </xdr:to>
    <xdr:pic>
      <xdr:nvPicPr>
        <xdr:cNvPr id="700" name="Имя " descr="Descr ">
          <a:extLst>
            <a:ext uri="{FF2B5EF4-FFF2-40B4-BE49-F238E27FC236}">
              <a16:creationId xmlns:a16="http://schemas.microsoft.com/office/drawing/2014/main" id="{00000000-0008-0000-0000-0000BC020000}"/>
            </a:ext>
          </a:extLst>
        </xdr:cNvPr>
        <xdr:cNvPicPr>
          <a:picLocks noChangeAspect="1"/>
        </xdr:cNvPicPr>
      </xdr:nvPicPr>
      <xdr:blipFill>
        <a:blip xmlns:r="http://schemas.openxmlformats.org/officeDocument/2006/relationships" r:embed="rId687"/>
        <a:stretch>
          <a:fillRect/>
        </a:stretch>
      </xdr:blipFill>
      <xdr:spPr>
        <a:prstGeom prst="rect">
          <a:avLst/>
        </a:prstGeom>
        <a:ln w="9525">
          <a:solidFill>
            <a:srgbClr val="000000"/>
          </a:solidFill>
          <a:prstDash val="solid"/>
        </a:ln>
      </xdr:spPr>
    </xdr:pic>
    <xdr:clientData/>
  </xdr:twoCellAnchor>
  <xdr:twoCellAnchor>
    <xdr:from>
      <xdr:col>3</xdr:col>
      <xdr:colOff>114300</xdr:colOff>
      <xdr:row>1583</xdr:row>
      <xdr:rowOff>28575</xdr:rowOff>
    </xdr:from>
    <xdr:to>
      <xdr:col>3</xdr:col>
      <xdr:colOff>1552575</xdr:colOff>
      <xdr:row>1583</xdr:row>
      <xdr:rowOff>1266825</xdr:rowOff>
    </xdr:to>
    <xdr:pic>
      <xdr:nvPicPr>
        <xdr:cNvPr id="701" name="Имя " descr="Descr ">
          <a:extLst>
            <a:ext uri="{FF2B5EF4-FFF2-40B4-BE49-F238E27FC236}">
              <a16:creationId xmlns:a16="http://schemas.microsoft.com/office/drawing/2014/main" id="{00000000-0008-0000-0000-0000BD020000}"/>
            </a:ext>
          </a:extLst>
        </xdr:cNvPr>
        <xdr:cNvPicPr>
          <a:picLocks noChangeAspect="1"/>
        </xdr:cNvPicPr>
      </xdr:nvPicPr>
      <xdr:blipFill>
        <a:blip xmlns:r="http://schemas.openxmlformats.org/officeDocument/2006/relationships" r:embed="rId688"/>
        <a:stretch>
          <a:fillRect/>
        </a:stretch>
      </xdr:blipFill>
      <xdr:spPr>
        <a:prstGeom prst="rect">
          <a:avLst/>
        </a:prstGeom>
        <a:ln w="9525">
          <a:solidFill>
            <a:srgbClr val="000000"/>
          </a:solidFill>
          <a:prstDash val="solid"/>
        </a:ln>
      </xdr:spPr>
    </xdr:pic>
    <xdr:clientData/>
  </xdr:twoCellAnchor>
  <xdr:twoCellAnchor>
    <xdr:from>
      <xdr:col>3</xdr:col>
      <xdr:colOff>114300</xdr:colOff>
      <xdr:row>1584</xdr:row>
      <xdr:rowOff>28575</xdr:rowOff>
    </xdr:from>
    <xdr:to>
      <xdr:col>3</xdr:col>
      <xdr:colOff>1552575</xdr:colOff>
      <xdr:row>1584</xdr:row>
      <xdr:rowOff>1266825</xdr:rowOff>
    </xdr:to>
    <xdr:pic>
      <xdr:nvPicPr>
        <xdr:cNvPr id="702" name="Имя " descr="Descr ">
          <a:extLst>
            <a:ext uri="{FF2B5EF4-FFF2-40B4-BE49-F238E27FC236}">
              <a16:creationId xmlns:a16="http://schemas.microsoft.com/office/drawing/2014/main" id="{00000000-0008-0000-0000-0000BE020000}"/>
            </a:ext>
          </a:extLst>
        </xdr:cNvPr>
        <xdr:cNvPicPr>
          <a:picLocks noChangeAspect="1"/>
        </xdr:cNvPicPr>
      </xdr:nvPicPr>
      <xdr:blipFill>
        <a:blip xmlns:r="http://schemas.openxmlformats.org/officeDocument/2006/relationships" r:embed="rId689"/>
        <a:stretch>
          <a:fillRect/>
        </a:stretch>
      </xdr:blipFill>
      <xdr:spPr>
        <a:prstGeom prst="rect">
          <a:avLst/>
        </a:prstGeom>
        <a:ln w="9525">
          <a:solidFill>
            <a:srgbClr val="000000"/>
          </a:solidFill>
          <a:prstDash val="solid"/>
        </a:ln>
      </xdr:spPr>
    </xdr:pic>
    <xdr:clientData/>
  </xdr:twoCellAnchor>
  <xdr:twoCellAnchor>
    <xdr:from>
      <xdr:col>3</xdr:col>
      <xdr:colOff>114300</xdr:colOff>
      <xdr:row>1585</xdr:row>
      <xdr:rowOff>28575</xdr:rowOff>
    </xdr:from>
    <xdr:to>
      <xdr:col>3</xdr:col>
      <xdr:colOff>1552575</xdr:colOff>
      <xdr:row>1585</xdr:row>
      <xdr:rowOff>1266825</xdr:rowOff>
    </xdr:to>
    <xdr:pic>
      <xdr:nvPicPr>
        <xdr:cNvPr id="703" name="Имя " descr="Descr ">
          <a:extLst>
            <a:ext uri="{FF2B5EF4-FFF2-40B4-BE49-F238E27FC236}">
              <a16:creationId xmlns:a16="http://schemas.microsoft.com/office/drawing/2014/main" id="{00000000-0008-0000-0000-0000BF020000}"/>
            </a:ext>
          </a:extLst>
        </xdr:cNvPr>
        <xdr:cNvPicPr>
          <a:picLocks noChangeAspect="1"/>
        </xdr:cNvPicPr>
      </xdr:nvPicPr>
      <xdr:blipFill>
        <a:blip xmlns:r="http://schemas.openxmlformats.org/officeDocument/2006/relationships" r:embed="rId690"/>
        <a:stretch>
          <a:fillRect/>
        </a:stretch>
      </xdr:blipFill>
      <xdr:spPr>
        <a:prstGeom prst="rect">
          <a:avLst/>
        </a:prstGeom>
        <a:ln w="9525">
          <a:solidFill>
            <a:srgbClr val="000000"/>
          </a:solidFill>
          <a:prstDash val="solid"/>
        </a:ln>
      </xdr:spPr>
    </xdr:pic>
    <xdr:clientData/>
  </xdr:twoCellAnchor>
  <xdr:twoCellAnchor>
    <xdr:from>
      <xdr:col>3</xdr:col>
      <xdr:colOff>114300</xdr:colOff>
      <xdr:row>1586</xdr:row>
      <xdr:rowOff>28575</xdr:rowOff>
    </xdr:from>
    <xdr:to>
      <xdr:col>3</xdr:col>
      <xdr:colOff>1552575</xdr:colOff>
      <xdr:row>1586</xdr:row>
      <xdr:rowOff>1266825</xdr:rowOff>
    </xdr:to>
    <xdr:pic>
      <xdr:nvPicPr>
        <xdr:cNvPr id="704" name="Имя " descr="Descr ">
          <a:extLst>
            <a:ext uri="{FF2B5EF4-FFF2-40B4-BE49-F238E27FC236}">
              <a16:creationId xmlns:a16="http://schemas.microsoft.com/office/drawing/2014/main" id="{00000000-0008-0000-0000-0000C0020000}"/>
            </a:ext>
          </a:extLst>
        </xdr:cNvPr>
        <xdr:cNvPicPr>
          <a:picLocks noChangeAspect="1"/>
        </xdr:cNvPicPr>
      </xdr:nvPicPr>
      <xdr:blipFill>
        <a:blip xmlns:r="http://schemas.openxmlformats.org/officeDocument/2006/relationships" r:embed="rId691"/>
        <a:stretch>
          <a:fillRect/>
        </a:stretch>
      </xdr:blipFill>
      <xdr:spPr>
        <a:prstGeom prst="rect">
          <a:avLst/>
        </a:prstGeom>
        <a:ln w="9525">
          <a:solidFill>
            <a:srgbClr val="000000"/>
          </a:solidFill>
          <a:prstDash val="solid"/>
        </a:ln>
      </xdr:spPr>
    </xdr:pic>
    <xdr:clientData/>
  </xdr:twoCellAnchor>
  <xdr:twoCellAnchor>
    <xdr:from>
      <xdr:col>3</xdr:col>
      <xdr:colOff>114300</xdr:colOff>
      <xdr:row>1587</xdr:row>
      <xdr:rowOff>28575</xdr:rowOff>
    </xdr:from>
    <xdr:to>
      <xdr:col>3</xdr:col>
      <xdr:colOff>1552575</xdr:colOff>
      <xdr:row>1587</xdr:row>
      <xdr:rowOff>1266825</xdr:rowOff>
    </xdr:to>
    <xdr:pic>
      <xdr:nvPicPr>
        <xdr:cNvPr id="705" name="Имя " descr="Descr ">
          <a:extLst>
            <a:ext uri="{FF2B5EF4-FFF2-40B4-BE49-F238E27FC236}">
              <a16:creationId xmlns:a16="http://schemas.microsoft.com/office/drawing/2014/main" id="{00000000-0008-0000-0000-0000C1020000}"/>
            </a:ext>
          </a:extLst>
        </xdr:cNvPr>
        <xdr:cNvPicPr>
          <a:picLocks noChangeAspect="1"/>
        </xdr:cNvPicPr>
      </xdr:nvPicPr>
      <xdr:blipFill>
        <a:blip xmlns:r="http://schemas.openxmlformats.org/officeDocument/2006/relationships" r:embed="rId692"/>
        <a:stretch>
          <a:fillRect/>
        </a:stretch>
      </xdr:blipFill>
      <xdr:spPr>
        <a:prstGeom prst="rect">
          <a:avLst/>
        </a:prstGeom>
        <a:ln w="9525">
          <a:solidFill>
            <a:srgbClr val="000000"/>
          </a:solidFill>
          <a:prstDash val="solid"/>
        </a:ln>
      </xdr:spPr>
    </xdr:pic>
    <xdr:clientData/>
  </xdr:twoCellAnchor>
  <xdr:twoCellAnchor>
    <xdr:from>
      <xdr:col>3</xdr:col>
      <xdr:colOff>114300</xdr:colOff>
      <xdr:row>1588</xdr:row>
      <xdr:rowOff>28575</xdr:rowOff>
    </xdr:from>
    <xdr:to>
      <xdr:col>3</xdr:col>
      <xdr:colOff>1552575</xdr:colOff>
      <xdr:row>1588</xdr:row>
      <xdr:rowOff>1266825</xdr:rowOff>
    </xdr:to>
    <xdr:pic>
      <xdr:nvPicPr>
        <xdr:cNvPr id="706" name="Имя " descr="Descr ">
          <a:extLst>
            <a:ext uri="{FF2B5EF4-FFF2-40B4-BE49-F238E27FC236}">
              <a16:creationId xmlns:a16="http://schemas.microsoft.com/office/drawing/2014/main" id="{00000000-0008-0000-0000-0000C2020000}"/>
            </a:ext>
          </a:extLst>
        </xdr:cNvPr>
        <xdr:cNvPicPr>
          <a:picLocks noChangeAspect="1"/>
        </xdr:cNvPicPr>
      </xdr:nvPicPr>
      <xdr:blipFill>
        <a:blip xmlns:r="http://schemas.openxmlformats.org/officeDocument/2006/relationships" r:embed="rId693"/>
        <a:stretch>
          <a:fillRect/>
        </a:stretch>
      </xdr:blipFill>
      <xdr:spPr>
        <a:prstGeom prst="rect">
          <a:avLst/>
        </a:prstGeom>
        <a:ln w="9525">
          <a:solidFill>
            <a:srgbClr val="000000"/>
          </a:solidFill>
          <a:prstDash val="solid"/>
        </a:ln>
      </xdr:spPr>
    </xdr:pic>
    <xdr:clientData/>
  </xdr:twoCellAnchor>
  <xdr:twoCellAnchor>
    <xdr:from>
      <xdr:col>3</xdr:col>
      <xdr:colOff>114300</xdr:colOff>
      <xdr:row>1589</xdr:row>
      <xdr:rowOff>28575</xdr:rowOff>
    </xdr:from>
    <xdr:to>
      <xdr:col>3</xdr:col>
      <xdr:colOff>1552575</xdr:colOff>
      <xdr:row>1589</xdr:row>
      <xdr:rowOff>1266825</xdr:rowOff>
    </xdr:to>
    <xdr:pic>
      <xdr:nvPicPr>
        <xdr:cNvPr id="707" name="Имя " descr="Descr ">
          <a:extLst>
            <a:ext uri="{FF2B5EF4-FFF2-40B4-BE49-F238E27FC236}">
              <a16:creationId xmlns:a16="http://schemas.microsoft.com/office/drawing/2014/main" id="{00000000-0008-0000-0000-0000C3020000}"/>
            </a:ext>
          </a:extLst>
        </xdr:cNvPr>
        <xdr:cNvPicPr>
          <a:picLocks noChangeAspect="1"/>
        </xdr:cNvPicPr>
      </xdr:nvPicPr>
      <xdr:blipFill>
        <a:blip xmlns:r="http://schemas.openxmlformats.org/officeDocument/2006/relationships" r:embed="rId694"/>
        <a:stretch>
          <a:fillRect/>
        </a:stretch>
      </xdr:blipFill>
      <xdr:spPr>
        <a:prstGeom prst="rect">
          <a:avLst/>
        </a:prstGeom>
        <a:ln w="9525">
          <a:solidFill>
            <a:srgbClr val="000000"/>
          </a:solidFill>
          <a:prstDash val="solid"/>
        </a:ln>
      </xdr:spPr>
    </xdr:pic>
    <xdr:clientData/>
  </xdr:twoCellAnchor>
  <xdr:twoCellAnchor>
    <xdr:from>
      <xdr:col>3</xdr:col>
      <xdr:colOff>114300</xdr:colOff>
      <xdr:row>1590</xdr:row>
      <xdr:rowOff>28575</xdr:rowOff>
    </xdr:from>
    <xdr:to>
      <xdr:col>3</xdr:col>
      <xdr:colOff>1552575</xdr:colOff>
      <xdr:row>1590</xdr:row>
      <xdr:rowOff>1266825</xdr:rowOff>
    </xdr:to>
    <xdr:pic>
      <xdr:nvPicPr>
        <xdr:cNvPr id="708" name="Имя " descr="Descr ">
          <a:extLst>
            <a:ext uri="{FF2B5EF4-FFF2-40B4-BE49-F238E27FC236}">
              <a16:creationId xmlns:a16="http://schemas.microsoft.com/office/drawing/2014/main" id="{00000000-0008-0000-0000-0000C4020000}"/>
            </a:ext>
          </a:extLst>
        </xdr:cNvPr>
        <xdr:cNvPicPr>
          <a:picLocks noChangeAspect="1"/>
        </xdr:cNvPicPr>
      </xdr:nvPicPr>
      <xdr:blipFill>
        <a:blip xmlns:r="http://schemas.openxmlformats.org/officeDocument/2006/relationships" r:embed="rId695"/>
        <a:stretch>
          <a:fillRect/>
        </a:stretch>
      </xdr:blipFill>
      <xdr:spPr>
        <a:prstGeom prst="rect">
          <a:avLst/>
        </a:prstGeom>
        <a:ln w="9525">
          <a:solidFill>
            <a:srgbClr val="000000"/>
          </a:solidFill>
          <a:prstDash val="solid"/>
        </a:ln>
      </xdr:spPr>
    </xdr:pic>
    <xdr:clientData/>
  </xdr:twoCellAnchor>
  <xdr:twoCellAnchor>
    <xdr:from>
      <xdr:col>3</xdr:col>
      <xdr:colOff>114300</xdr:colOff>
      <xdr:row>1591</xdr:row>
      <xdr:rowOff>28575</xdr:rowOff>
    </xdr:from>
    <xdr:to>
      <xdr:col>3</xdr:col>
      <xdr:colOff>1552575</xdr:colOff>
      <xdr:row>1591</xdr:row>
      <xdr:rowOff>1266825</xdr:rowOff>
    </xdr:to>
    <xdr:pic>
      <xdr:nvPicPr>
        <xdr:cNvPr id="709" name="Имя " descr="Descr ">
          <a:extLst>
            <a:ext uri="{FF2B5EF4-FFF2-40B4-BE49-F238E27FC236}">
              <a16:creationId xmlns:a16="http://schemas.microsoft.com/office/drawing/2014/main" id="{00000000-0008-0000-0000-0000C5020000}"/>
            </a:ext>
          </a:extLst>
        </xdr:cNvPr>
        <xdr:cNvPicPr>
          <a:picLocks noChangeAspect="1"/>
        </xdr:cNvPicPr>
      </xdr:nvPicPr>
      <xdr:blipFill>
        <a:blip xmlns:r="http://schemas.openxmlformats.org/officeDocument/2006/relationships" r:embed="rId696"/>
        <a:stretch>
          <a:fillRect/>
        </a:stretch>
      </xdr:blipFill>
      <xdr:spPr>
        <a:prstGeom prst="rect">
          <a:avLst/>
        </a:prstGeom>
        <a:ln w="9525">
          <a:solidFill>
            <a:srgbClr val="000000"/>
          </a:solidFill>
          <a:prstDash val="solid"/>
        </a:ln>
      </xdr:spPr>
    </xdr:pic>
    <xdr:clientData/>
  </xdr:twoCellAnchor>
  <xdr:twoCellAnchor>
    <xdr:from>
      <xdr:col>3</xdr:col>
      <xdr:colOff>114300</xdr:colOff>
      <xdr:row>1592</xdr:row>
      <xdr:rowOff>28575</xdr:rowOff>
    </xdr:from>
    <xdr:to>
      <xdr:col>3</xdr:col>
      <xdr:colOff>1552575</xdr:colOff>
      <xdr:row>1592</xdr:row>
      <xdr:rowOff>1266825</xdr:rowOff>
    </xdr:to>
    <xdr:pic>
      <xdr:nvPicPr>
        <xdr:cNvPr id="710" name="Имя " descr="Descr ">
          <a:extLst>
            <a:ext uri="{FF2B5EF4-FFF2-40B4-BE49-F238E27FC236}">
              <a16:creationId xmlns:a16="http://schemas.microsoft.com/office/drawing/2014/main" id="{00000000-0008-0000-0000-0000C6020000}"/>
            </a:ext>
          </a:extLst>
        </xdr:cNvPr>
        <xdr:cNvPicPr>
          <a:picLocks noChangeAspect="1"/>
        </xdr:cNvPicPr>
      </xdr:nvPicPr>
      <xdr:blipFill>
        <a:blip xmlns:r="http://schemas.openxmlformats.org/officeDocument/2006/relationships" r:embed="rId697"/>
        <a:stretch>
          <a:fillRect/>
        </a:stretch>
      </xdr:blipFill>
      <xdr:spPr>
        <a:prstGeom prst="rect">
          <a:avLst/>
        </a:prstGeom>
        <a:ln w="9525">
          <a:solidFill>
            <a:srgbClr val="000000"/>
          </a:solidFill>
          <a:prstDash val="solid"/>
        </a:ln>
      </xdr:spPr>
    </xdr:pic>
    <xdr:clientData/>
  </xdr:twoCellAnchor>
  <xdr:twoCellAnchor>
    <xdr:from>
      <xdr:col>3</xdr:col>
      <xdr:colOff>114300</xdr:colOff>
      <xdr:row>1593</xdr:row>
      <xdr:rowOff>28575</xdr:rowOff>
    </xdr:from>
    <xdr:to>
      <xdr:col>3</xdr:col>
      <xdr:colOff>1552575</xdr:colOff>
      <xdr:row>1596</xdr:row>
      <xdr:rowOff>209550</xdr:rowOff>
    </xdr:to>
    <xdr:pic>
      <xdr:nvPicPr>
        <xdr:cNvPr id="711" name="Имя " descr="Descr ">
          <a:extLst>
            <a:ext uri="{FF2B5EF4-FFF2-40B4-BE49-F238E27FC236}">
              <a16:creationId xmlns:a16="http://schemas.microsoft.com/office/drawing/2014/main" id="{00000000-0008-0000-0000-0000C7020000}"/>
            </a:ext>
          </a:extLst>
        </xdr:cNvPr>
        <xdr:cNvPicPr>
          <a:picLocks noChangeAspect="1"/>
        </xdr:cNvPicPr>
      </xdr:nvPicPr>
      <xdr:blipFill>
        <a:blip xmlns:r="http://schemas.openxmlformats.org/officeDocument/2006/relationships" r:embed="rId698"/>
        <a:stretch>
          <a:fillRect/>
        </a:stretch>
      </xdr:blipFill>
      <xdr:spPr>
        <a:prstGeom prst="rect">
          <a:avLst/>
        </a:prstGeom>
        <a:ln w="9525">
          <a:solidFill>
            <a:srgbClr val="000000"/>
          </a:solidFill>
          <a:prstDash val="solid"/>
        </a:ln>
      </xdr:spPr>
    </xdr:pic>
    <xdr:clientData/>
  </xdr:twoCellAnchor>
  <xdr:twoCellAnchor>
    <xdr:from>
      <xdr:col>3</xdr:col>
      <xdr:colOff>114300</xdr:colOff>
      <xdr:row>1597</xdr:row>
      <xdr:rowOff>38100</xdr:rowOff>
    </xdr:from>
    <xdr:to>
      <xdr:col>3</xdr:col>
      <xdr:colOff>1552575</xdr:colOff>
      <xdr:row>1598</xdr:row>
      <xdr:rowOff>638175</xdr:rowOff>
    </xdr:to>
    <xdr:pic>
      <xdr:nvPicPr>
        <xdr:cNvPr id="712" name="Имя " descr="Descr ">
          <a:extLst>
            <a:ext uri="{FF2B5EF4-FFF2-40B4-BE49-F238E27FC236}">
              <a16:creationId xmlns:a16="http://schemas.microsoft.com/office/drawing/2014/main" id="{00000000-0008-0000-0000-0000C8020000}"/>
            </a:ext>
          </a:extLst>
        </xdr:cNvPr>
        <xdr:cNvPicPr>
          <a:picLocks noChangeAspect="1"/>
        </xdr:cNvPicPr>
      </xdr:nvPicPr>
      <xdr:blipFill>
        <a:blip xmlns:r="http://schemas.openxmlformats.org/officeDocument/2006/relationships" r:embed="rId699"/>
        <a:stretch>
          <a:fillRect/>
        </a:stretch>
      </xdr:blipFill>
      <xdr:spPr>
        <a:prstGeom prst="rect">
          <a:avLst/>
        </a:prstGeom>
        <a:ln w="9525">
          <a:solidFill>
            <a:srgbClr val="000000"/>
          </a:solidFill>
          <a:prstDash val="solid"/>
        </a:ln>
      </xdr:spPr>
    </xdr:pic>
    <xdr:clientData/>
  </xdr:twoCellAnchor>
  <xdr:twoCellAnchor>
    <xdr:from>
      <xdr:col>3</xdr:col>
      <xdr:colOff>114300</xdr:colOff>
      <xdr:row>1599</xdr:row>
      <xdr:rowOff>28575</xdr:rowOff>
    </xdr:from>
    <xdr:to>
      <xdr:col>3</xdr:col>
      <xdr:colOff>1552575</xdr:colOff>
      <xdr:row>1603</xdr:row>
      <xdr:rowOff>333375</xdr:rowOff>
    </xdr:to>
    <xdr:pic>
      <xdr:nvPicPr>
        <xdr:cNvPr id="713" name="Имя " descr="Descr ">
          <a:extLst>
            <a:ext uri="{FF2B5EF4-FFF2-40B4-BE49-F238E27FC236}">
              <a16:creationId xmlns:a16="http://schemas.microsoft.com/office/drawing/2014/main" id="{00000000-0008-0000-0000-0000C9020000}"/>
            </a:ext>
          </a:extLst>
        </xdr:cNvPr>
        <xdr:cNvPicPr>
          <a:picLocks noChangeAspect="1"/>
        </xdr:cNvPicPr>
      </xdr:nvPicPr>
      <xdr:blipFill>
        <a:blip xmlns:r="http://schemas.openxmlformats.org/officeDocument/2006/relationships" r:embed="rId700"/>
        <a:stretch>
          <a:fillRect/>
        </a:stretch>
      </xdr:blipFill>
      <xdr:spPr>
        <a:prstGeom prst="rect">
          <a:avLst/>
        </a:prstGeom>
        <a:ln w="9525">
          <a:solidFill>
            <a:srgbClr val="000000"/>
          </a:solidFill>
          <a:prstDash val="solid"/>
        </a:ln>
      </xdr:spPr>
    </xdr:pic>
    <xdr:clientData/>
  </xdr:twoCellAnchor>
  <xdr:twoCellAnchor>
    <xdr:from>
      <xdr:col>3</xdr:col>
      <xdr:colOff>114300</xdr:colOff>
      <xdr:row>1604</xdr:row>
      <xdr:rowOff>28575</xdr:rowOff>
    </xdr:from>
    <xdr:to>
      <xdr:col>3</xdr:col>
      <xdr:colOff>1552575</xdr:colOff>
      <xdr:row>1607</xdr:row>
      <xdr:rowOff>209550</xdr:rowOff>
    </xdr:to>
    <xdr:pic>
      <xdr:nvPicPr>
        <xdr:cNvPr id="714" name="Имя " descr="Descr ">
          <a:extLst>
            <a:ext uri="{FF2B5EF4-FFF2-40B4-BE49-F238E27FC236}">
              <a16:creationId xmlns:a16="http://schemas.microsoft.com/office/drawing/2014/main" id="{00000000-0008-0000-0000-0000CA020000}"/>
            </a:ext>
          </a:extLst>
        </xdr:cNvPr>
        <xdr:cNvPicPr>
          <a:picLocks noChangeAspect="1"/>
        </xdr:cNvPicPr>
      </xdr:nvPicPr>
      <xdr:blipFill>
        <a:blip xmlns:r="http://schemas.openxmlformats.org/officeDocument/2006/relationships" r:embed="rId701"/>
        <a:stretch>
          <a:fillRect/>
        </a:stretch>
      </xdr:blipFill>
      <xdr:spPr>
        <a:prstGeom prst="rect">
          <a:avLst/>
        </a:prstGeom>
        <a:ln w="9525">
          <a:solidFill>
            <a:srgbClr val="000000"/>
          </a:solidFill>
          <a:prstDash val="solid"/>
        </a:ln>
      </xdr:spPr>
    </xdr:pic>
    <xdr:clientData/>
  </xdr:twoCellAnchor>
  <xdr:twoCellAnchor>
    <xdr:from>
      <xdr:col>3</xdr:col>
      <xdr:colOff>114300</xdr:colOff>
      <xdr:row>1608</xdr:row>
      <xdr:rowOff>28575</xdr:rowOff>
    </xdr:from>
    <xdr:to>
      <xdr:col>3</xdr:col>
      <xdr:colOff>1552575</xdr:colOff>
      <xdr:row>1611</xdr:row>
      <xdr:rowOff>209550</xdr:rowOff>
    </xdr:to>
    <xdr:pic>
      <xdr:nvPicPr>
        <xdr:cNvPr id="715" name="Имя " descr="Descr ">
          <a:extLst>
            <a:ext uri="{FF2B5EF4-FFF2-40B4-BE49-F238E27FC236}">
              <a16:creationId xmlns:a16="http://schemas.microsoft.com/office/drawing/2014/main" id="{00000000-0008-0000-0000-0000CB020000}"/>
            </a:ext>
          </a:extLst>
        </xdr:cNvPr>
        <xdr:cNvPicPr>
          <a:picLocks noChangeAspect="1"/>
        </xdr:cNvPicPr>
      </xdr:nvPicPr>
      <xdr:blipFill>
        <a:blip xmlns:r="http://schemas.openxmlformats.org/officeDocument/2006/relationships" r:embed="rId702"/>
        <a:stretch>
          <a:fillRect/>
        </a:stretch>
      </xdr:blipFill>
      <xdr:spPr>
        <a:prstGeom prst="rect">
          <a:avLst/>
        </a:prstGeom>
        <a:ln w="9525">
          <a:solidFill>
            <a:srgbClr val="000000"/>
          </a:solidFill>
          <a:prstDash val="solid"/>
        </a:ln>
      </xdr:spPr>
    </xdr:pic>
    <xdr:clientData/>
  </xdr:twoCellAnchor>
  <xdr:twoCellAnchor>
    <xdr:from>
      <xdr:col>3</xdr:col>
      <xdr:colOff>114300</xdr:colOff>
      <xdr:row>1612</xdr:row>
      <xdr:rowOff>28575</xdr:rowOff>
    </xdr:from>
    <xdr:to>
      <xdr:col>3</xdr:col>
      <xdr:colOff>1552575</xdr:colOff>
      <xdr:row>1615</xdr:row>
      <xdr:rowOff>209550</xdr:rowOff>
    </xdr:to>
    <xdr:pic>
      <xdr:nvPicPr>
        <xdr:cNvPr id="716" name="Имя " descr="Descr ">
          <a:extLst>
            <a:ext uri="{FF2B5EF4-FFF2-40B4-BE49-F238E27FC236}">
              <a16:creationId xmlns:a16="http://schemas.microsoft.com/office/drawing/2014/main" id="{00000000-0008-0000-0000-0000CC020000}"/>
            </a:ext>
          </a:extLst>
        </xdr:cNvPr>
        <xdr:cNvPicPr>
          <a:picLocks noChangeAspect="1"/>
        </xdr:cNvPicPr>
      </xdr:nvPicPr>
      <xdr:blipFill>
        <a:blip xmlns:r="http://schemas.openxmlformats.org/officeDocument/2006/relationships" r:embed="rId703"/>
        <a:stretch>
          <a:fillRect/>
        </a:stretch>
      </xdr:blipFill>
      <xdr:spPr>
        <a:prstGeom prst="rect">
          <a:avLst/>
        </a:prstGeom>
        <a:ln w="9525">
          <a:solidFill>
            <a:srgbClr val="000000"/>
          </a:solidFill>
          <a:prstDash val="solid"/>
        </a:ln>
      </xdr:spPr>
    </xdr:pic>
    <xdr:clientData/>
  </xdr:twoCellAnchor>
  <xdr:twoCellAnchor>
    <xdr:from>
      <xdr:col>3</xdr:col>
      <xdr:colOff>114300</xdr:colOff>
      <xdr:row>1616</xdr:row>
      <xdr:rowOff>38100</xdr:rowOff>
    </xdr:from>
    <xdr:to>
      <xdr:col>3</xdr:col>
      <xdr:colOff>1552575</xdr:colOff>
      <xdr:row>1617</xdr:row>
      <xdr:rowOff>638175</xdr:rowOff>
    </xdr:to>
    <xdr:pic>
      <xdr:nvPicPr>
        <xdr:cNvPr id="717" name="Имя " descr="Descr ">
          <a:extLst>
            <a:ext uri="{FF2B5EF4-FFF2-40B4-BE49-F238E27FC236}">
              <a16:creationId xmlns:a16="http://schemas.microsoft.com/office/drawing/2014/main" id="{00000000-0008-0000-0000-0000CD020000}"/>
            </a:ext>
          </a:extLst>
        </xdr:cNvPr>
        <xdr:cNvPicPr>
          <a:picLocks noChangeAspect="1"/>
        </xdr:cNvPicPr>
      </xdr:nvPicPr>
      <xdr:blipFill>
        <a:blip xmlns:r="http://schemas.openxmlformats.org/officeDocument/2006/relationships" r:embed="rId704"/>
        <a:stretch>
          <a:fillRect/>
        </a:stretch>
      </xdr:blipFill>
      <xdr:spPr>
        <a:prstGeom prst="rect">
          <a:avLst/>
        </a:prstGeom>
        <a:ln w="9525">
          <a:solidFill>
            <a:srgbClr val="000000"/>
          </a:solidFill>
          <a:prstDash val="solid"/>
        </a:ln>
      </xdr:spPr>
    </xdr:pic>
    <xdr:clientData/>
  </xdr:twoCellAnchor>
  <xdr:twoCellAnchor>
    <xdr:from>
      <xdr:col>3</xdr:col>
      <xdr:colOff>114300</xdr:colOff>
      <xdr:row>1618</xdr:row>
      <xdr:rowOff>28575</xdr:rowOff>
    </xdr:from>
    <xdr:to>
      <xdr:col>3</xdr:col>
      <xdr:colOff>1552575</xdr:colOff>
      <xdr:row>1621</xdr:row>
      <xdr:rowOff>209550</xdr:rowOff>
    </xdr:to>
    <xdr:pic>
      <xdr:nvPicPr>
        <xdr:cNvPr id="718" name="Имя " descr="Descr ">
          <a:extLst>
            <a:ext uri="{FF2B5EF4-FFF2-40B4-BE49-F238E27FC236}">
              <a16:creationId xmlns:a16="http://schemas.microsoft.com/office/drawing/2014/main" id="{00000000-0008-0000-0000-0000CE020000}"/>
            </a:ext>
          </a:extLst>
        </xdr:cNvPr>
        <xdr:cNvPicPr>
          <a:picLocks noChangeAspect="1"/>
        </xdr:cNvPicPr>
      </xdr:nvPicPr>
      <xdr:blipFill>
        <a:blip xmlns:r="http://schemas.openxmlformats.org/officeDocument/2006/relationships" r:embed="rId705"/>
        <a:stretch>
          <a:fillRect/>
        </a:stretch>
      </xdr:blipFill>
      <xdr:spPr>
        <a:prstGeom prst="rect">
          <a:avLst/>
        </a:prstGeom>
        <a:ln w="9525">
          <a:solidFill>
            <a:srgbClr val="000000"/>
          </a:solidFill>
          <a:prstDash val="solid"/>
        </a:ln>
      </xdr:spPr>
    </xdr:pic>
    <xdr:clientData/>
  </xdr:twoCellAnchor>
  <xdr:twoCellAnchor>
    <xdr:from>
      <xdr:col>3</xdr:col>
      <xdr:colOff>114300</xdr:colOff>
      <xdr:row>1622</xdr:row>
      <xdr:rowOff>38100</xdr:rowOff>
    </xdr:from>
    <xdr:to>
      <xdr:col>3</xdr:col>
      <xdr:colOff>1552575</xdr:colOff>
      <xdr:row>1623</xdr:row>
      <xdr:rowOff>638175</xdr:rowOff>
    </xdr:to>
    <xdr:pic>
      <xdr:nvPicPr>
        <xdr:cNvPr id="719" name="Имя " descr="Descr ">
          <a:extLst>
            <a:ext uri="{FF2B5EF4-FFF2-40B4-BE49-F238E27FC236}">
              <a16:creationId xmlns:a16="http://schemas.microsoft.com/office/drawing/2014/main" id="{00000000-0008-0000-0000-0000CF020000}"/>
            </a:ext>
          </a:extLst>
        </xdr:cNvPr>
        <xdr:cNvPicPr>
          <a:picLocks noChangeAspect="1"/>
        </xdr:cNvPicPr>
      </xdr:nvPicPr>
      <xdr:blipFill>
        <a:blip xmlns:r="http://schemas.openxmlformats.org/officeDocument/2006/relationships" r:embed="rId706"/>
        <a:stretch>
          <a:fillRect/>
        </a:stretch>
      </xdr:blipFill>
      <xdr:spPr>
        <a:prstGeom prst="rect">
          <a:avLst/>
        </a:prstGeom>
        <a:ln w="9525">
          <a:solidFill>
            <a:srgbClr val="000000"/>
          </a:solidFill>
          <a:prstDash val="solid"/>
        </a:ln>
      </xdr:spPr>
    </xdr:pic>
    <xdr:clientData/>
  </xdr:twoCellAnchor>
  <xdr:twoCellAnchor>
    <xdr:from>
      <xdr:col>3</xdr:col>
      <xdr:colOff>114300</xdr:colOff>
      <xdr:row>1624</xdr:row>
      <xdr:rowOff>28575</xdr:rowOff>
    </xdr:from>
    <xdr:to>
      <xdr:col>3</xdr:col>
      <xdr:colOff>1552575</xdr:colOff>
      <xdr:row>1627</xdr:row>
      <xdr:rowOff>209550</xdr:rowOff>
    </xdr:to>
    <xdr:pic>
      <xdr:nvPicPr>
        <xdr:cNvPr id="720" name="Имя " descr="Descr ">
          <a:extLst>
            <a:ext uri="{FF2B5EF4-FFF2-40B4-BE49-F238E27FC236}">
              <a16:creationId xmlns:a16="http://schemas.microsoft.com/office/drawing/2014/main" id="{00000000-0008-0000-0000-0000D0020000}"/>
            </a:ext>
          </a:extLst>
        </xdr:cNvPr>
        <xdr:cNvPicPr>
          <a:picLocks noChangeAspect="1"/>
        </xdr:cNvPicPr>
      </xdr:nvPicPr>
      <xdr:blipFill>
        <a:blip xmlns:r="http://schemas.openxmlformats.org/officeDocument/2006/relationships" r:embed="rId707"/>
        <a:stretch>
          <a:fillRect/>
        </a:stretch>
      </xdr:blipFill>
      <xdr:spPr>
        <a:prstGeom prst="rect">
          <a:avLst/>
        </a:prstGeom>
        <a:ln w="9525">
          <a:solidFill>
            <a:srgbClr val="000000"/>
          </a:solidFill>
          <a:prstDash val="solid"/>
        </a:ln>
      </xdr:spPr>
    </xdr:pic>
    <xdr:clientData/>
  </xdr:twoCellAnchor>
  <xdr:twoCellAnchor>
    <xdr:from>
      <xdr:col>3</xdr:col>
      <xdr:colOff>114300</xdr:colOff>
      <xdr:row>1628</xdr:row>
      <xdr:rowOff>28575</xdr:rowOff>
    </xdr:from>
    <xdr:to>
      <xdr:col>3</xdr:col>
      <xdr:colOff>1552575</xdr:colOff>
      <xdr:row>1631</xdr:row>
      <xdr:rowOff>209550</xdr:rowOff>
    </xdr:to>
    <xdr:pic>
      <xdr:nvPicPr>
        <xdr:cNvPr id="721" name="Имя " descr="Descr ">
          <a:extLst>
            <a:ext uri="{FF2B5EF4-FFF2-40B4-BE49-F238E27FC236}">
              <a16:creationId xmlns:a16="http://schemas.microsoft.com/office/drawing/2014/main" id="{00000000-0008-0000-0000-0000D1020000}"/>
            </a:ext>
          </a:extLst>
        </xdr:cNvPr>
        <xdr:cNvPicPr>
          <a:picLocks noChangeAspect="1"/>
        </xdr:cNvPicPr>
      </xdr:nvPicPr>
      <xdr:blipFill>
        <a:blip xmlns:r="http://schemas.openxmlformats.org/officeDocument/2006/relationships" r:embed="rId708"/>
        <a:stretch>
          <a:fillRect/>
        </a:stretch>
      </xdr:blipFill>
      <xdr:spPr>
        <a:prstGeom prst="rect">
          <a:avLst/>
        </a:prstGeom>
        <a:ln w="9525">
          <a:solidFill>
            <a:srgbClr val="000000"/>
          </a:solidFill>
          <a:prstDash val="solid"/>
        </a:ln>
      </xdr:spPr>
    </xdr:pic>
    <xdr:clientData/>
  </xdr:twoCellAnchor>
  <xdr:twoCellAnchor>
    <xdr:from>
      <xdr:col>3</xdr:col>
      <xdr:colOff>114300</xdr:colOff>
      <xdr:row>1632</xdr:row>
      <xdr:rowOff>28575</xdr:rowOff>
    </xdr:from>
    <xdr:to>
      <xdr:col>3</xdr:col>
      <xdr:colOff>1552575</xdr:colOff>
      <xdr:row>1634</xdr:row>
      <xdr:rowOff>419100</xdr:rowOff>
    </xdr:to>
    <xdr:pic>
      <xdr:nvPicPr>
        <xdr:cNvPr id="722" name="Имя " descr="Descr ">
          <a:extLst>
            <a:ext uri="{FF2B5EF4-FFF2-40B4-BE49-F238E27FC236}">
              <a16:creationId xmlns:a16="http://schemas.microsoft.com/office/drawing/2014/main" id="{00000000-0008-0000-0000-0000D2020000}"/>
            </a:ext>
          </a:extLst>
        </xdr:cNvPr>
        <xdr:cNvPicPr>
          <a:picLocks noChangeAspect="1"/>
        </xdr:cNvPicPr>
      </xdr:nvPicPr>
      <xdr:blipFill>
        <a:blip xmlns:r="http://schemas.openxmlformats.org/officeDocument/2006/relationships" r:embed="rId709"/>
        <a:stretch>
          <a:fillRect/>
        </a:stretch>
      </xdr:blipFill>
      <xdr:spPr>
        <a:prstGeom prst="rect">
          <a:avLst/>
        </a:prstGeom>
        <a:ln w="9525">
          <a:solidFill>
            <a:srgbClr val="000000"/>
          </a:solidFill>
          <a:prstDash val="solid"/>
        </a:ln>
      </xdr:spPr>
    </xdr:pic>
    <xdr:clientData/>
  </xdr:twoCellAnchor>
  <xdr:twoCellAnchor>
    <xdr:from>
      <xdr:col>3</xdr:col>
      <xdr:colOff>114300</xdr:colOff>
      <xdr:row>1635</xdr:row>
      <xdr:rowOff>28575</xdr:rowOff>
    </xdr:from>
    <xdr:to>
      <xdr:col>3</xdr:col>
      <xdr:colOff>1552575</xdr:colOff>
      <xdr:row>1637</xdr:row>
      <xdr:rowOff>419100</xdr:rowOff>
    </xdr:to>
    <xdr:pic>
      <xdr:nvPicPr>
        <xdr:cNvPr id="723" name="Имя " descr="Descr ">
          <a:extLst>
            <a:ext uri="{FF2B5EF4-FFF2-40B4-BE49-F238E27FC236}">
              <a16:creationId xmlns:a16="http://schemas.microsoft.com/office/drawing/2014/main" id="{00000000-0008-0000-0000-0000D3020000}"/>
            </a:ext>
          </a:extLst>
        </xdr:cNvPr>
        <xdr:cNvPicPr>
          <a:picLocks noChangeAspect="1"/>
        </xdr:cNvPicPr>
      </xdr:nvPicPr>
      <xdr:blipFill>
        <a:blip xmlns:r="http://schemas.openxmlformats.org/officeDocument/2006/relationships" r:embed="rId710"/>
        <a:stretch>
          <a:fillRect/>
        </a:stretch>
      </xdr:blipFill>
      <xdr:spPr>
        <a:prstGeom prst="rect">
          <a:avLst/>
        </a:prstGeom>
        <a:ln w="9525">
          <a:solidFill>
            <a:srgbClr val="000000"/>
          </a:solidFill>
          <a:prstDash val="solid"/>
        </a:ln>
      </xdr:spPr>
    </xdr:pic>
    <xdr:clientData/>
  </xdr:twoCellAnchor>
  <xdr:twoCellAnchor>
    <xdr:from>
      <xdr:col>3</xdr:col>
      <xdr:colOff>114300</xdr:colOff>
      <xdr:row>1638</xdr:row>
      <xdr:rowOff>38100</xdr:rowOff>
    </xdr:from>
    <xdr:to>
      <xdr:col>3</xdr:col>
      <xdr:colOff>1552575</xdr:colOff>
      <xdr:row>1639</xdr:row>
      <xdr:rowOff>638175</xdr:rowOff>
    </xdr:to>
    <xdr:pic>
      <xdr:nvPicPr>
        <xdr:cNvPr id="724" name="Имя " descr="Descr ">
          <a:extLst>
            <a:ext uri="{FF2B5EF4-FFF2-40B4-BE49-F238E27FC236}">
              <a16:creationId xmlns:a16="http://schemas.microsoft.com/office/drawing/2014/main" id="{00000000-0008-0000-0000-0000D4020000}"/>
            </a:ext>
          </a:extLst>
        </xdr:cNvPr>
        <xdr:cNvPicPr>
          <a:picLocks noChangeAspect="1"/>
        </xdr:cNvPicPr>
      </xdr:nvPicPr>
      <xdr:blipFill>
        <a:blip xmlns:r="http://schemas.openxmlformats.org/officeDocument/2006/relationships" r:embed="rId711"/>
        <a:stretch>
          <a:fillRect/>
        </a:stretch>
      </xdr:blipFill>
      <xdr:spPr>
        <a:prstGeom prst="rect">
          <a:avLst/>
        </a:prstGeom>
        <a:ln w="9525">
          <a:solidFill>
            <a:srgbClr val="000000"/>
          </a:solidFill>
          <a:prstDash val="solid"/>
        </a:ln>
      </xdr:spPr>
    </xdr:pic>
    <xdr:clientData/>
  </xdr:twoCellAnchor>
  <xdr:twoCellAnchor>
    <xdr:from>
      <xdr:col>3</xdr:col>
      <xdr:colOff>114300</xdr:colOff>
      <xdr:row>1640</xdr:row>
      <xdr:rowOff>28575</xdr:rowOff>
    </xdr:from>
    <xdr:to>
      <xdr:col>3</xdr:col>
      <xdr:colOff>1552575</xdr:colOff>
      <xdr:row>1642</xdr:row>
      <xdr:rowOff>419100</xdr:rowOff>
    </xdr:to>
    <xdr:pic>
      <xdr:nvPicPr>
        <xdr:cNvPr id="725" name="Имя " descr="Descr ">
          <a:extLst>
            <a:ext uri="{FF2B5EF4-FFF2-40B4-BE49-F238E27FC236}">
              <a16:creationId xmlns:a16="http://schemas.microsoft.com/office/drawing/2014/main" id="{00000000-0008-0000-0000-0000D5020000}"/>
            </a:ext>
          </a:extLst>
        </xdr:cNvPr>
        <xdr:cNvPicPr>
          <a:picLocks noChangeAspect="1"/>
        </xdr:cNvPicPr>
      </xdr:nvPicPr>
      <xdr:blipFill>
        <a:blip xmlns:r="http://schemas.openxmlformats.org/officeDocument/2006/relationships" r:embed="rId712"/>
        <a:stretch>
          <a:fillRect/>
        </a:stretch>
      </xdr:blipFill>
      <xdr:spPr>
        <a:prstGeom prst="rect">
          <a:avLst/>
        </a:prstGeom>
        <a:ln w="9525">
          <a:solidFill>
            <a:srgbClr val="000000"/>
          </a:solidFill>
          <a:prstDash val="solid"/>
        </a:ln>
      </xdr:spPr>
    </xdr:pic>
    <xdr:clientData/>
  </xdr:twoCellAnchor>
  <xdr:twoCellAnchor>
    <xdr:from>
      <xdr:col>3</xdr:col>
      <xdr:colOff>114300</xdr:colOff>
      <xdr:row>1643</xdr:row>
      <xdr:rowOff>28575</xdr:rowOff>
    </xdr:from>
    <xdr:to>
      <xdr:col>3</xdr:col>
      <xdr:colOff>1552575</xdr:colOff>
      <xdr:row>1646</xdr:row>
      <xdr:rowOff>209550</xdr:rowOff>
    </xdr:to>
    <xdr:pic>
      <xdr:nvPicPr>
        <xdr:cNvPr id="726" name="Имя " descr="Descr ">
          <a:extLst>
            <a:ext uri="{FF2B5EF4-FFF2-40B4-BE49-F238E27FC236}">
              <a16:creationId xmlns:a16="http://schemas.microsoft.com/office/drawing/2014/main" id="{00000000-0008-0000-0000-0000D6020000}"/>
            </a:ext>
          </a:extLst>
        </xdr:cNvPr>
        <xdr:cNvPicPr>
          <a:picLocks noChangeAspect="1"/>
        </xdr:cNvPicPr>
      </xdr:nvPicPr>
      <xdr:blipFill>
        <a:blip xmlns:r="http://schemas.openxmlformats.org/officeDocument/2006/relationships" r:embed="rId713"/>
        <a:stretch>
          <a:fillRect/>
        </a:stretch>
      </xdr:blipFill>
      <xdr:spPr>
        <a:prstGeom prst="rect">
          <a:avLst/>
        </a:prstGeom>
        <a:ln w="9525">
          <a:solidFill>
            <a:srgbClr val="000000"/>
          </a:solidFill>
          <a:prstDash val="solid"/>
        </a:ln>
      </xdr:spPr>
    </xdr:pic>
    <xdr:clientData/>
  </xdr:twoCellAnchor>
  <xdr:twoCellAnchor>
    <xdr:from>
      <xdr:col>3</xdr:col>
      <xdr:colOff>114300</xdr:colOff>
      <xdr:row>1647</xdr:row>
      <xdr:rowOff>28575</xdr:rowOff>
    </xdr:from>
    <xdr:to>
      <xdr:col>3</xdr:col>
      <xdr:colOff>1552575</xdr:colOff>
      <xdr:row>1647</xdr:row>
      <xdr:rowOff>1266825</xdr:rowOff>
    </xdr:to>
    <xdr:pic>
      <xdr:nvPicPr>
        <xdr:cNvPr id="727" name="Имя " descr="Descr ">
          <a:extLst>
            <a:ext uri="{FF2B5EF4-FFF2-40B4-BE49-F238E27FC236}">
              <a16:creationId xmlns:a16="http://schemas.microsoft.com/office/drawing/2014/main" id="{00000000-0008-0000-0000-0000D7020000}"/>
            </a:ext>
          </a:extLst>
        </xdr:cNvPr>
        <xdr:cNvPicPr>
          <a:picLocks noChangeAspect="1"/>
        </xdr:cNvPicPr>
      </xdr:nvPicPr>
      <xdr:blipFill>
        <a:blip xmlns:r="http://schemas.openxmlformats.org/officeDocument/2006/relationships" r:embed="rId714"/>
        <a:stretch>
          <a:fillRect/>
        </a:stretch>
      </xdr:blipFill>
      <xdr:spPr>
        <a:prstGeom prst="rect">
          <a:avLst/>
        </a:prstGeom>
        <a:ln w="9525">
          <a:solidFill>
            <a:srgbClr val="000000"/>
          </a:solidFill>
          <a:prstDash val="solid"/>
        </a:ln>
      </xdr:spPr>
    </xdr:pic>
    <xdr:clientData/>
  </xdr:twoCellAnchor>
  <xdr:twoCellAnchor>
    <xdr:from>
      <xdr:col>3</xdr:col>
      <xdr:colOff>114300</xdr:colOff>
      <xdr:row>1648</xdr:row>
      <xdr:rowOff>28575</xdr:rowOff>
    </xdr:from>
    <xdr:to>
      <xdr:col>3</xdr:col>
      <xdr:colOff>1552575</xdr:colOff>
      <xdr:row>1650</xdr:row>
      <xdr:rowOff>419100</xdr:rowOff>
    </xdr:to>
    <xdr:pic>
      <xdr:nvPicPr>
        <xdr:cNvPr id="728" name="Имя " descr="Descr ">
          <a:extLst>
            <a:ext uri="{FF2B5EF4-FFF2-40B4-BE49-F238E27FC236}">
              <a16:creationId xmlns:a16="http://schemas.microsoft.com/office/drawing/2014/main" id="{00000000-0008-0000-0000-0000D8020000}"/>
            </a:ext>
          </a:extLst>
        </xdr:cNvPr>
        <xdr:cNvPicPr>
          <a:picLocks noChangeAspect="1"/>
        </xdr:cNvPicPr>
      </xdr:nvPicPr>
      <xdr:blipFill>
        <a:blip xmlns:r="http://schemas.openxmlformats.org/officeDocument/2006/relationships" r:embed="rId715"/>
        <a:stretch>
          <a:fillRect/>
        </a:stretch>
      </xdr:blipFill>
      <xdr:spPr>
        <a:prstGeom prst="rect">
          <a:avLst/>
        </a:prstGeom>
        <a:ln w="9525">
          <a:solidFill>
            <a:srgbClr val="000000"/>
          </a:solidFill>
          <a:prstDash val="solid"/>
        </a:ln>
      </xdr:spPr>
    </xdr:pic>
    <xdr:clientData/>
  </xdr:twoCellAnchor>
  <xdr:twoCellAnchor>
    <xdr:from>
      <xdr:col>3</xdr:col>
      <xdr:colOff>114300</xdr:colOff>
      <xdr:row>1651</xdr:row>
      <xdr:rowOff>28575</xdr:rowOff>
    </xdr:from>
    <xdr:to>
      <xdr:col>3</xdr:col>
      <xdr:colOff>1552575</xdr:colOff>
      <xdr:row>1655</xdr:row>
      <xdr:rowOff>333375</xdr:rowOff>
    </xdr:to>
    <xdr:pic>
      <xdr:nvPicPr>
        <xdr:cNvPr id="729" name="Имя " descr="Descr ">
          <a:extLst>
            <a:ext uri="{FF2B5EF4-FFF2-40B4-BE49-F238E27FC236}">
              <a16:creationId xmlns:a16="http://schemas.microsoft.com/office/drawing/2014/main" id="{00000000-0008-0000-0000-0000D9020000}"/>
            </a:ext>
          </a:extLst>
        </xdr:cNvPr>
        <xdr:cNvPicPr>
          <a:picLocks noChangeAspect="1"/>
        </xdr:cNvPicPr>
      </xdr:nvPicPr>
      <xdr:blipFill>
        <a:blip xmlns:r="http://schemas.openxmlformats.org/officeDocument/2006/relationships" r:embed="rId716"/>
        <a:stretch>
          <a:fillRect/>
        </a:stretch>
      </xdr:blipFill>
      <xdr:spPr>
        <a:prstGeom prst="rect">
          <a:avLst/>
        </a:prstGeom>
        <a:ln w="9525">
          <a:solidFill>
            <a:srgbClr val="000000"/>
          </a:solidFill>
          <a:prstDash val="solid"/>
        </a:ln>
      </xdr:spPr>
    </xdr:pic>
    <xdr:clientData/>
  </xdr:twoCellAnchor>
  <xdr:twoCellAnchor>
    <xdr:from>
      <xdr:col>3</xdr:col>
      <xdr:colOff>114300</xdr:colOff>
      <xdr:row>1656</xdr:row>
      <xdr:rowOff>28575</xdr:rowOff>
    </xdr:from>
    <xdr:to>
      <xdr:col>3</xdr:col>
      <xdr:colOff>1552575</xdr:colOff>
      <xdr:row>1658</xdr:row>
      <xdr:rowOff>419100</xdr:rowOff>
    </xdr:to>
    <xdr:pic>
      <xdr:nvPicPr>
        <xdr:cNvPr id="730" name="Имя " descr="Descr ">
          <a:extLst>
            <a:ext uri="{FF2B5EF4-FFF2-40B4-BE49-F238E27FC236}">
              <a16:creationId xmlns:a16="http://schemas.microsoft.com/office/drawing/2014/main" id="{00000000-0008-0000-0000-0000DA020000}"/>
            </a:ext>
          </a:extLst>
        </xdr:cNvPr>
        <xdr:cNvPicPr>
          <a:picLocks noChangeAspect="1"/>
        </xdr:cNvPicPr>
      </xdr:nvPicPr>
      <xdr:blipFill>
        <a:blip xmlns:r="http://schemas.openxmlformats.org/officeDocument/2006/relationships" r:embed="rId717"/>
        <a:stretch>
          <a:fillRect/>
        </a:stretch>
      </xdr:blipFill>
      <xdr:spPr>
        <a:prstGeom prst="rect">
          <a:avLst/>
        </a:prstGeom>
        <a:ln w="9525">
          <a:solidFill>
            <a:srgbClr val="000000"/>
          </a:solidFill>
          <a:prstDash val="solid"/>
        </a:ln>
      </xdr:spPr>
    </xdr:pic>
    <xdr:clientData/>
  </xdr:twoCellAnchor>
  <xdr:twoCellAnchor>
    <xdr:from>
      <xdr:col>3</xdr:col>
      <xdr:colOff>114300</xdr:colOff>
      <xdr:row>1659</xdr:row>
      <xdr:rowOff>28575</xdr:rowOff>
    </xdr:from>
    <xdr:to>
      <xdr:col>3</xdr:col>
      <xdr:colOff>1552575</xdr:colOff>
      <xdr:row>1661</xdr:row>
      <xdr:rowOff>419100</xdr:rowOff>
    </xdr:to>
    <xdr:pic>
      <xdr:nvPicPr>
        <xdr:cNvPr id="731" name="Имя " descr="Descr ">
          <a:extLst>
            <a:ext uri="{FF2B5EF4-FFF2-40B4-BE49-F238E27FC236}">
              <a16:creationId xmlns:a16="http://schemas.microsoft.com/office/drawing/2014/main" id="{00000000-0008-0000-0000-0000DB020000}"/>
            </a:ext>
          </a:extLst>
        </xdr:cNvPr>
        <xdr:cNvPicPr>
          <a:picLocks noChangeAspect="1"/>
        </xdr:cNvPicPr>
      </xdr:nvPicPr>
      <xdr:blipFill>
        <a:blip xmlns:r="http://schemas.openxmlformats.org/officeDocument/2006/relationships" r:embed="rId718"/>
        <a:stretch>
          <a:fillRect/>
        </a:stretch>
      </xdr:blipFill>
      <xdr:spPr>
        <a:prstGeom prst="rect">
          <a:avLst/>
        </a:prstGeom>
        <a:ln w="9525">
          <a:solidFill>
            <a:srgbClr val="000000"/>
          </a:solidFill>
          <a:prstDash val="solid"/>
        </a:ln>
      </xdr:spPr>
    </xdr:pic>
    <xdr:clientData/>
  </xdr:twoCellAnchor>
  <xdr:twoCellAnchor>
    <xdr:from>
      <xdr:col>3</xdr:col>
      <xdr:colOff>114300</xdr:colOff>
      <xdr:row>1662</xdr:row>
      <xdr:rowOff>28575</xdr:rowOff>
    </xdr:from>
    <xdr:to>
      <xdr:col>3</xdr:col>
      <xdr:colOff>1552575</xdr:colOff>
      <xdr:row>1665</xdr:row>
      <xdr:rowOff>209550</xdr:rowOff>
    </xdr:to>
    <xdr:pic>
      <xdr:nvPicPr>
        <xdr:cNvPr id="732" name="Имя " descr="Descr ">
          <a:extLst>
            <a:ext uri="{FF2B5EF4-FFF2-40B4-BE49-F238E27FC236}">
              <a16:creationId xmlns:a16="http://schemas.microsoft.com/office/drawing/2014/main" id="{00000000-0008-0000-0000-0000DC020000}"/>
            </a:ext>
          </a:extLst>
        </xdr:cNvPr>
        <xdr:cNvPicPr>
          <a:picLocks noChangeAspect="1"/>
        </xdr:cNvPicPr>
      </xdr:nvPicPr>
      <xdr:blipFill>
        <a:blip xmlns:r="http://schemas.openxmlformats.org/officeDocument/2006/relationships" r:embed="rId719"/>
        <a:stretch>
          <a:fillRect/>
        </a:stretch>
      </xdr:blipFill>
      <xdr:spPr>
        <a:prstGeom prst="rect">
          <a:avLst/>
        </a:prstGeom>
        <a:ln w="9525">
          <a:solidFill>
            <a:srgbClr val="000000"/>
          </a:solidFill>
          <a:prstDash val="solid"/>
        </a:ln>
      </xdr:spPr>
    </xdr:pic>
    <xdr:clientData/>
  </xdr:twoCellAnchor>
  <xdr:twoCellAnchor>
    <xdr:from>
      <xdr:col>3</xdr:col>
      <xdr:colOff>114300</xdr:colOff>
      <xdr:row>1666</xdr:row>
      <xdr:rowOff>38100</xdr:rowOff>
    </xdr:from>
    <xdr:to>
      <xdr:col>3</xdr:col>
      <xdr:colOff>1552575</xdr:colOff>
      <xdr:row>1667</xdr:row>
      <xdr:rowOff>638175</xdr:rowOff>
    </xdr:to>
    <xdr:pic>
      <xdr:nvPicPr>
        <xdr:cNvPr id="733" name="Имя " descr="Descr ">
          <a:extLst>
            <a:ext uri="{FF2B5EF4-FFF2-40B4-BE49-F238E27FC236}">
              <a16:creationId xmlns:a16="http://schemas.microsoft.com/office/drawing/2014/main" id="{00000000-0008-0000-0000-0000DD020000}"/>
            </a:ext>
          </a:extLst>
        </xdr:cNvPr>
        <xdr:cNvPicPr>
          <a:picLocks noChangeAspect="1"/>
        </xdr:cNvPicPr>
      </xdr:nvPicPr>
      <xdr:blipFill>
        <a:blip xmlns:r="http://schemas.openxmlformats.org/officeDocument/2006/relationships" r:embed="rId720"/>
        <a:stretch>
          <a:fillRect/>
        </a:stretch>
      </xdr:blipFill>
      <xdr:spPr>
        <a:prstGeom prst="rect">
          <a:avLst/>
        </a:prstGeom>
        <a:ln w="9525">
          <a:solidFill>
            <a:srgbClr val="000000"/>
          </a:solidFill>
          <a:prstDash val="solid"/>
        </a:ln>
      </xdr:spPr>
    </xdr:pic>
    <xdr:clientData/>
  </xdr:twoCellAnchor>
  <xdr:twoCellAnchor>
    <xdr:from>
      <xdr:col>3</xdr:col>
      <xdr:colOff>114300</xdr:colOff>
      <xdr:row>1668</xdr:row>
      <xdr:rowOff>28575</xdr:rowOff>
    </xdr:from>
    <xdr:to>
      <xdr:col>3</xdr:col>
      <xdr:colOff>1552575</xdr:colOff>
      <xdr:row>1668</xdr:row>
      <xdr:rowOff>1266825</xdr:rowOff>
    </xdr:to>
    <xdr:pic>
      <xdr:nvPicPr>
        <xdr:cNvPr id="734" name="Имя " descr="Descr ">
          <a:extLst>
            <a:ext uri="{FF2B5EF4-FFF2-40B4-BE49-F238E27FC236}">
              <a16:creationId xmlns:a16="http://schemas.microsoft.com/office/drawing/2014/main" id="{00000000-0008-0000-0000-0000DE020000}"/>
            </a:ext>
          </a:extLst>
        </xdr:cNvPr>
        <xdr:cNvPicPr>
          <a:picLocks noChangeAspect="1"/>
        </xdr:cNvPicPr>
      </xdr:nvPicPr>
      <xdr:blipFill>
        <a:blip xmlns:r="http://schemas.openxmlformats.org/officeDocument/2006/relationships" r:embed="rId721"/>
        <a:stretch>
          <a:fillRect/>
        </a:stretch>
      </xdr:blipFill>
      <xdr:spPr>
        <a:prstGeom prst="rect">
          <a:avLst/>
        </a:prstGeom>
        <a:ln w="9525">
          <a:solidFill>
            <a:srgbClr val="000000"/>
          </a:solidFill>
          <a:prstDash val="solid"/>
        </a:ln>
      </xdr:spPr>
    </xdr:pic>
    <xdr:clientData/>
  </xdr:twoCellAnchor>
  <xdr:twoCellAnchor>
    <xdr:from>
      <xdr:col>3</xdr:col>
      <xdr:colOff>114300</xdr:colOff>
      <xdr:row>1669</xdr:row>
      <xdr:rowOff>28575</xdr:rowOff>
    </xdr:from>
    <xdr:to>
      <xdr:col>3</xdr:col>
      <xdr:colOff>1552575</xdr:colOff>
      <xdr:row>1669</xdr:row>
      <xdr:rowOff>1266825</xdr:rowOff>
    </xdr:to>
    <xdr:pic>
      <xdr:nvPicPr>
        <xdr:cNvPr id="735" name="Имя " descr="Descr ">
          <a:extLst>
            <a:ext uri="{FF2B5EF4-FFF2-40B4-BE49-F238E27FC236}">
              <a16:creationId xmlns:a16="http://schemas.microsoft.com/office/drawing/2014/main" id="{00000000-0008-0000-0000-0000DF020000}"/>
            </a:ext>
          </a:extLst>
        </xdr:cNvPr>
        <xdr:cNvPicPr>
          <a:picLocks noChangeAspect="1"/>
        </xdr:cNvPicPr>
      </xdr:nvPicPr>
      <xdr:blipFill>
        <a:blip xmlns:r="http://schemas.openxmlformats.org/officeDocument/2006/relationships" r:embed="rId722"/>
        <a:stretch>
          <a:fillRect/>
        </a:stretch>
      </xdr:blipFill>
      <xdr:spPr>
        <a:prstGeom prst="rect">
          <a:avLst/>
        </a:prstGeom>
        <a:ln w="9525">
          <a:solidFill>
            <a:srgbClr val="000000"/>
          </a:solidFill>
          <a:prstDash val="solid"/>
        </a:ln>
      </xdr:spPr>
    </xdr:pic>
    <xdr:clientData/>
  </xdr:twoCellAnchor>
  <xdr:twoCellAnchor>
    <xdr:from>
      <xdr:col>3</xdr:col>
      <xdr:colOff>114300</xdr:colOff>
      <xdr:row>1670</xdr:row>
      <xdr:rowOff>28575</xdr:rowOff>
    </xdr:from>
    <xdr:to>
      <xdr:col>3</xdr:col>
      <xdr:colOff>1552575</xdr:colOff>
      <xdr:row>1670</xdr:row>
      <xdr:rowOff>1266825</xdr:rowOff>
    </xdr:to>
    <xdr:pic>
      <xdr:nvPicPr>
        <xdr:cNvPr id="736" name="Имя " descr="Descr ">
          <a:extLst>
            <a:ext uri="{FF2B5EF4-FFF2-40B4-BE49-F238E27FC236}">
              <a16:creationId xmlns:a16="http://schemas.microsoft.com/office/drawing/2014/main" id="{00000000-0008-0000-0000-0000E0020000}"/>
            </a:ext>
          </a:extLst>
        </xdr:cNvPr>
        <xdr:cNvPicPr>
          <a:picLocks noChangeAspect="1"/>
        </xdr:cNvPicPr>
      </xdr:nvPicPr>
      <xdr:blipFill>
        <a:blip xmlns:r="http://schemas.openxmlformats.org/officeDocument/2006/relationships" r:embed="rId723"/>
        <a:stretch>
          <a:fillRect/>
        </a:stretch>
      </xdr:blipFill>
      <xdr:spPr>
        <a:prstGeom prst="rect">
          <a:avLst/>
        </a:prstGeom>
        <a:ln w="9525">
          <a:solidFill>
            <a:srgbClr val="000000"/>
          </a:solidFill>
          <a:prstDash val="solid"/>
        </a:ln>
      </xdr:spPr>
    </xdr:pic>
    <xdr:clientData/>
  </xdr:twoCellAnchor>
  <xdr:twoCellAnchor>
    <xdr:from>
      <xdr:col>3</xdr:col>
      <xdr:colOff>114300</xdr:colOff>
      <xdr:row>1671</xdr:row>
      <xdr:rowOff>28575</xdr:rowOff>
    </xdr:from>
    <xdr:to>
      <xdr:col>3</xdr:col>
      <xdr:colOff>1552575</xdr:colOff>
      <xdr:row>1671</xdr:row>
      <xdr:rowOff>1266825</xdr:rowOff>
    </xdr:to>
    <xdr:pic>
      <xdr:nvPicPr>
        <xdr:cNvPr id="737" name="Имя " descr="Descr ">
          <a:extLst>
            <a:ext uri="{FF2B5EF4-FFF2-40B4-BE49-F238E27FC236}">
              <a16:creationId xmlns:a16="http://schemas.microsoft.com/office/drawing/2014/main" id="{00000000-0008-0000-0000-0000E1020000}"/>
            </a:ext>
          </a:extLst>
        </xdr:cNvPr>
        <xdr:cNvPicPr>
          <a:picLocks noChangeAspect="1"/>
        </xdr:cNvPicPr>
      </xdr:nvPicPr>
      <xdr:blipFill>
        <a:blip xmlns:r="http://schemas.openxmlformats.org/officeDocument/2006/relationships" r:embed="rId724"/>
        <a:stretch>
          <a:fillRect/>
        </a:stretch>
      </xdr:blipFill>
      <xdr:spPr>
        <a:prstGeom prst="rect">
          <a:avLst/>
        </a:prstGeom>
        <a:ln w="9525">
          <a:solidFill>
            <a:srgbClr val="000000"/>
          </a:solidFill>
          <a:prstDash val="solid"/>
        </a:ln>
      </xdr:spPr>
    </xdr:pic>
    <xdr:clientData/>
  </xdr:twoCellAnchor>
  <xdr:twoCellAnchor>
    <xdr:from>
      <xdr:col>3</xdr:col>
      <xdr:colOff>114300</xdr:colOff>
      <xdr:row>1672</xdr:row>
      <xdr:rowOff>28575</xdr:rowOff>
    </xdr:from>
    <xdr:to>
      <xdr:col>3</xdr:col>
      <xdr:colOff>1552575</xdr:colOff>
      <xdr:row>1672</xdr:row>
      <xdr:rowOff>1266825</xdr:rowOff>
    </xdr:to>
    <xdr:pic>
      <xdr:nvPicPr>
        <xdr:cNvPr id="738" name="Имя " descr="Descr ">
          <a:extLst>
            <a:ext uri="{FF2B5EF4-FFF2-40B4-BE49-F238E27FC236}">
              <a16:creationId xmlns:a16="http://schemas.microsoft.com/office/drawing/2014/main" id="{00000000-0008-0000-0000-0000E2020000}"/>
            </a:ext>
          </a:extLst>
        </xdr:cNvPr>
        <xdr:cNvPicPr>
          <a:picLocks noChangeAspect="1"/>
        </xdr:cNvPicPr>
      </xdr:nvPicPr>
      <xdr:blipFill>
        <a:blip xmlns:r="http://schemas.openxmlformats.org/officeDocument/2006/relationships" r:embed="rId725"/>
        <a:stretch>
          <a:fillRect/>
        </a:stretch>
      </xdr:blipFill>
      <xdr:spPr>
        <a:prstGeom prst="rect">
          <a:avLst/>
        </a:prstGeom>
        <a:ln w="9525">
          <a:solidFill>
            <a:srgbClr val="000000"/>
          </a:solidFill>
          <a:prstDash val="solid"/>
        </a:ln>
      </xdr:spPr>
    </xdr:pic>
    <xdr:clientData/>
  </xdr:twoCellAnchor>
  <xdr:twoCellAnchor>
    <xdr:from>
      <xdr:col>3</xdr:col>
      <xdr:colOff>114300</xdr:colOff>
      <xdr:row>1673</xdr:row>
      <xdr:rowOff>28575</xdr:rowOff>
    </xdr:from>
    <xdr:to>
      <xdr:col>3</xdr:col>
      <xdr:colOff>1552575</xdr:colOff>
      <xdr:row>1673</xdr:row>
      <xdr:rowOff>1266825</xdr:rowOff>
    </xdr:to>
    <xdr:pic>
      <xdr:nvPicPr>
        <xdr:cNvPr id="739" name="Имя " descr="Descr ">
          <a:extLst>
            <a:ext uri="{FF2B5EF4-FFF2-40B4-BE49-F238E27FC236}">
              <a16:creationId xmlns:a16="http://schemas.microsoft.com/office/drawing/2014/main" id="{00000000-0008-0000-0000-0000E3020000}"/>
            </a:ext>
          </a:extLst>
        </xdr:cNvPr>
        <xdr:cNvPicPr>
          <a:picLocks noChangeAspect="1"/>
        </xdr:cNvPicPr>
      </xdr:nvPicPr>
      <xdr:blipFill>
        <a:blip xmlns:r="http://schemas.openxmlformats.org/officeDocument/2006/relationships" r:embed="rId726"/>
        <a:stretch>
          <a:fillRect/>
        </a:stretch>
      </xdr:blipFill>
      <xdr:spPr>
        <a:prstGeom prst="rect">
          <a:avLst/>
        </a:prstGeom>
        <a:ln w="9525">
          <a:solidFill>
            <a:srgbClr val="000000"/>
          </a:solidFill>
          <a:prstDash val="solid"/>
        </a:ln>
      </xdr:spPr>
    </xdr:pic>
    <xdr:clientData/>
  </xdr:twoCellAnchor>
  <xdr:twoCellAnchor>
    <xdr:from>
      <xdr:col>3</xdr:col>
      <xdr:colOff>114300</xdr:colOff>
      <xdr:row>1674</xdr:row>
      <xdr:rowOff>28575</xdr:rowOff>
    </xdr:from>
    <xdr:to>
      <xdr:col>3</xdr:col>
      <xdr:colOff>1552575</xdr:colOff>
      <xdr:row>1674</xdr:row>
      <xdr:rowOff>1266825</xdr:rowOff>
    </xdr:to>
    <xdr:pic>
      <xdr:nvPicPr>
        <xdr:cNvPr id="740" name="Имя " descr="Descr ">
          <a:extLst>
            <a:ext uri="{FF2B5EF4-FFF2-40B4-BE49-F238E27FC236}">
              <a16:creationId xmlns:a16="http://schemas.microsoft.com/office/drawing/2014/main" id="{00000000-0008-0000-0000-0000E4020000}"/>
            </a:ext>
          </a:extLst>
        </xdr:cNvPr>
        <xdr:cNvPicPr>
          <a:picLocks noChangeAspect="1"/>
        </xdr:cNvPicPr>
      </xdr:nvPicPr>
      <xdr:blipFill>
        <a:blip xmlns:r="http://schemas.openxmlformats.org/officeDocument/2006/relationships" r:embed="rId727"/>
        <a:stretch>
          <a:fillRect/>
        </a:stretch>
      </xdr:blipFill>
      <xdr:spPr>
        <a:prstGeom prst="rect">
          <a:avLst/>
        </a:prstGeom>
        <a:ln w="9525">
          <a:solidFill>
            <a:srgbClr val="000000"/>
          </a:solidFill>
          <a:prstDash val="solid"/>
        </a:ln>
      </xdr:spPr>
    </xdr:pic>
    <xdr:clientData/>
  </xdr:twoCellAnchor>
  <xdr:twoCellAnchor>
    <xdr:from>
      <xdr:col>3</xdr:col>
      <xdr:colOff>114300</xdr:colOff>
      <xdr:row>1675</xdr:row>
      <xdr:rowOff>28575</xdr:rowOff>
    </xdr:from>
    <xdr:to>
      <xdr:col>3</xdr:col>
      <xdr:colOff>1552575</xdr:colOff>
      <xdr:row>1675</xdr:row>
      <xdr:rowOff>1266825</xdr:rowOff>
    </xdr:to>
    <xdr:pic>
      <xdr:nvPicPr>
        <xdr:cNvPr id="741" name="Имя " descr="Descr ">
          <a:extLst>
            <a:ext uri="{FF2B5EF4-FFF2-40B4-BE49-F238E27FC236}">
              <a16:creationId xmlns:a16="http://schemas.microsoft.com/office/drawing/2014/main" id="{00000000-0008-0000-0000-0000E5020000}"/>
            </a:ext>
          </a:extLst>
        </xdr:cNvPr>
        <xdr:cNvPicPr>
          <a:picLocks noChangeAspect="1"/>
        </xdr:cNvPicPr>
      </xdr:nvPicPr>
      <xdr:blipFill>
        <a:blip xmlns:r="http://schemas.openxmlformats.org/officeDocument/2006/relationships" r:embed="rId728"/>
        <a:stretch>
          <a:fillRect/>
        </a:stretch>
      </xdr:blipFill>
      <xdr:spPr>
        <a:prstGeom prst="rect">
          <a:avLst/>
        </a:prstGeom>
        <a:ln w="9525">
          <a:solidFill>
            <a:srgbClr val="000000"/>
          </a:solidFill>
          <a:prstDash val="solid"/>
        </a:ln>
      </xdr:spPr>
    </xdr:pic>
    <xdr:clientData/>
  </xdr:twoCellAnchor>
  <xdr:twoCellAnchor>
    <xdr:from>
      <xdr:col>3</xdr:col>
      <xdr:colOff>114300</xdr:colOff>
      <xdr:row>1676</xdr:row>
      <xdr:rowOff>28575</xdr:rowOff>
    </xdr:from>
    <xdr:to>
      <xdr:col>3</xdr:col>
      <xdr:colOff>1552575</xdr:colOff>
      <xdr:row>1676</xdr:row>
      <xdr:rowOff>1266825</xdr:rowOff>
    </xdr:to>
    <xdr:pic>
      <xdr:nvPicPr>
        <xdr:cNvPr id="742" name="Имя " descr="Descr ">
          <a:extLst>
            <a:ext uri="{FF2B5EF4-FFF2-40B4-BE49-F238E27FC236}">
              <a16:creationId xmlns:a16="http://schemas.microsoft.com/office/drawing/2014/main" id="{00000000-0008-0000-0000-0000E6020000}"/>
            </a:ext>
          </a:extLst>
        </xdr:cNvPr>
        <xdr:cNvPicPr>
          <a:picLocks noChangeAspect="1"/>
        </xdr:cNvPicPr>
      </xdr:nvPicPr>
      <xdr:blipFill>
        <a:blip xmlns:r="http://schemas.openxmlformats.org/officeDocument/2006/relationships" r:embed="rId729"/>
        <a:stretch>
          <a:fillRect/>
        </a:stretch>
      </xdr:blipFill>
      <xdr:spPr>
        <a:prstGeom prst="rect">
          <a:avLst/>
        </a:prstGeom>
        <a:ln w="9525">
          <a:solidFill>
            <a:srgbClr val="000000"/>
          </a:solidFill>
          <a:prstDash val="solid"/>
        </a:ln>
      </xdr:spPr>
    </xdr:pic>
    <xdr:clientData/>
  </xdr:twoCellAnchor>
  <xdr:twoCellAnchor>
    <xdr:from>
      <xdr:col>3</xdr:col>
      <xdr:colOff>114300</xdr:colOff>
      <xdr:row>1677</xdr:row>
      <xdr:rowOff>28575</xdr:rowOff>
    </xdr:from>
    <xdr:to>
      <xdr:col>3</xdr:col>
      <xdr:colOff>1552575</xdr:colOff>
      <xdr:row>1677</xdr:row>
      <xdr:rowOff>1266825</xdr:rowOff>
    </xdr:to>
    <xdr:pic>
      <xdr:nvPicPr>
        <xdr:cNvPr id="743" name="Имя " descr="Descr ">
          <a:extLst>
            <a:ext uri="{FF2B5EF4-FFF2-40B4-BE49-F238E27FC236}">
              <a16:creationId xmlns:a16="http://schemas.microsoft.com/office/drawing/2014/main" id="{00000000-0008-0000-0000-0000E7020000}"/>
            </a:ext>
          </a:extLst>
        </xdr:cNvPr>
        <xdr:cNvPicPr>
          <a:picLocks noChangeAspect="1"/>
        </xdr:cNvPicPr>
      </xdr:nvPicPr>
      <xdr:blipFill>
        <a:blip xmlns:r="http://schemas.openxmlformats.org/officeDocument/2006/relationships" r:embed="rId730"/>
        <a:stretch>
          <a:fillRect/>
        </a:stretch>
      </xdr:blipFill>
      <xdr:spPr>
        <a:prstGeom prst="rect">
          <a:avLst/>
        </a:prstGeom>
        <a:ln w="9525">
          <a:solidFill>
            <a:srgbClr val="000000"/>
          </a:solidFill>
          <a:prstDash val="solid"/>
        </a:ln>
      </xdr:spPr>
    </xdr:pic>
    <xdr:clientData/>
  </xdr:twoCellAnchor>
  <xdr:twoCellAnchor>
    <xdr:from>
      <xdr:col>3</xdr:col>
      <xdr:colOff>114300</xdr:colOff>
      <xdr:row>1678</xdr:row>
      <xdr:rowOff>38100</xdr:rowOff>
    </xdr:from>
    <xdr:to>
      <xdr:col>3</xdr:col>
      <xdr:colOff>1552575</xdr:colOff>
      <xdr:row>1679</xdr:row>
      <xdr:rowOff>638175</xdr:rowOff>
    </xdr:to>
    <xdr:pic>
      <xdr:nvPicPr>
        <xdr:cNvPr id="744" name="Имя " descr="Descr ">
          <a:extLst>
            <a:ext uri="{FF2B5EF4-FFF2-40B4-BE49-F238E27FC236}">
              <a16:creationId xmlns:a16="http://schemas.microsoft.com/office/drawing/2014/main" id="{00000000-0008-0000-0000-0000E8020000}"/>
            </a:ext>
          </a:extLst>
        </xdr:cNvPr>
        <xdr:cNvPicPr>
          <a:picLocks noChangeAspect="1"/>
        </xdr:cNvPicPr>
      </xdr:nvPicPr>
      <xdr:blipFill>
        <a:blip xmlns:r="http://schemas.openxmlformats.org/officeDocument/2006/relationships" r:embed="rId731"/>
        <a:stretch>
          <a:fillRect/>
        </a:stretch>
      </xdr:blipFill>
      <xdr:spPr>
        <a:prstGeom prst="rect">
          <a:avLst/>
        </a:prstGeom>
        <a:ln w="9525">
          <a:solidFill>
            <a:srgbClr val="000000"/>
          </a:solidFill>
          <a:prstDash val="solid"/>
        </a:ln>
      </xdr:spPr>
    </xdr:pic>
    <xdr:clientData/>
  </xdr:twoCellAnchor>
  <xdr:twoCellAnchor>
    <xdr:from>
      <xdr:col>3</xdr:col>
      <xdr:colOff>114300</xdr:colOff>
      <xdr:row>1680</xdr:row>
      <xdr:rowOff>28575</xdr:rowOff>
    </xdr:from>
    <xdr:to>
      <xdr:col>3</xdr:col>
      <xdr:colOff>1552575</xdr:colOff>
      <xdr:row>1680</xdr:row>
      <xdr:rowOff>1266825</xdr:rowOff>
    </xdr:to>
    <xdr:pic>
      <xdr:nvPicPr>
        <xdr:cNvPr id="745" name="Имя " descr="Descr ">
          <a:extLst>
            <a:ext uri="{FF2B5EF4-FFF2-40B4-BE49-F238E27FC236}">
              <a16:creationId xmlns:a16="http://schemas.microsoft.com/office/drawing/2014/main" id="{00000000-0008-0000-0000-0000E9020000}"/>
            </a:ext>
          </a:extLst>
        </xdr:cNvPr>
        <xdr:cNvPicPr>
          <a:picLocks noChangeAspect="1"/>
        </xdr:cNvPicPr>
      </xdr:nvPicPr>
      <xdr:blipFill>
        <a:blip xmlns:r="http://schemas.openxmlformats.org/officeDocument/2006/relationships" r:embed="rId732"/>
        <a:stretch>
          <a:fillRect/>
        </a:stretch>
      </xdr:blipFill>
      <xdr:spPr>
        <a:prstGeom prst="rect">
          <a:avLst/>
        </a:prstGeom>
        <a:ln w="9525">
          <a:solidFill>
            <a:srgbClr val="000000"/>
          </a:solidFill>
          <a:prstDash val="solid"/>
        </a:ln>
      </xdr:spPr>
    </xdr:pic>
    <xdr:clientData/>
  </xdr:twoCellAnchor>
  <xdr:twoCellAnchor>
    <xdr:from>
      <xdr:col>3</xdr:col>
      <xdr:colOff>114300</xdr:colOff>
      <xdr:row>1681</xdr:row>
      <xdr:rowOff>28575</xdr:rowOff>
    </xdr:from>
    <xdr:to>
      <xdr:col>3</xdr:col>
      <xdr:colOff>1552575</xdr:colOff>
      <xdr:row>1685</xdr:row>
      <xdr:rowOff>333375</xdr:rowOff>
    </xdr:to>
    <xdr:pic>
      <xdr:nvPicPr>
        <xdr:cNvPr id="746" name="Имя " descr="Descr ">
          <a:extLst>
            <a:ext uri="{FF2B5EF4-FFF2-40B4-BE49-F238E27FC236}">
              <a16:creationId xmlns:a16="http://schemas.microsoft.com/office/drawing/2014/main" id="{00000000-0008-0000-0000-0000EA020000}"/>
            </a:ext>
          </a:extLst>
        </xdr:cNvPr>
        <xdr:cNvPicPr>
          <a:picLocks noChangeAspect="1"/>
        </xdr:cNvPicPr>
      </xdr:nvPicPr>
      <xdr:blipFill>
        <a:blip xmlns:r="http://schemas.openxmlformats.org/officeDocument/2006/relationships" r:embed="rId733"/>
        <a:stretch>
          <a:fillRect/>
        </a:stretch>
      </xdr:blipFill>
      <xdr:spPr>
        <a:prstGeom prst="rect">
          <a:avLst/>
        </a:prstGeom>
        <a:ln w="9525">
          <a:solidFill>
            <a:srgbClr val="000000"/>
          </a:solidFill>
          <a:prstDash val="solid"/>
        </a:ln>
      </xdr:spPr>
    </xdr:pic>
    <xdr:clientData/>
  </xdr:twoCellAnchor>
  <xdr:twoCellAnchor>
    <xdr:from>
      <xdr:col>3</xdr:col>
      <xdr:colOff>114300</xdr:colOff>
      <xdr:row>1686</xdr:row>
      <xdr:rowOff>28575</xdr:rowOff>
    </xdr:from>
    <xdr:to>
      <xdr:col>3</xdr:col>
      <xdr:colOff>1552575</xdr:colOff>
      <xdr:row>1689</xdr:row>
      <xdr:rowOff>209550</xdr:rowOff>
    </xdr:to>
    <xdr:pic>
      <xdr:nvPicPr>
        <xdr:cNvPr id="747" name="Имя " descr="Descr ">
          <a:extLst>
            <a:ext uri="{FF2B5EF4-FFF2-40B4-BE49-F238E27FC236}">
              <a16:creationId xmlns:a16="http://schemas.microsoft.com/office/drawing/2014/main" id="{00000000-0008-0000-0000-0000EB020000}"/>
            </a:ext>
          </a:extLst>
        </xdr:cNvPr>
        <xdr:cNvPicPr>
          <a:picLocks noChangeAspect="1"/>
        </xdr:cNvPicPr>
      </xdr:nvPicPr>
      <xdr:blipFill>
        <a:blip xmlns:r="http://schemas.openxmlformats.org/officeDocument/2006/relationships" r:embed="rId734"/>
        <a:stretch>
          <a:fillRect/>
        </a:stretch>
      </xdr:blipFill>
      <xdr:spPr>
        <a:prstGeom prst="rect">
          <a:avLst/>
        </a:prstGeom>
        <a:ln w="9525">
          <a:solidFill>
            <a:srgbClr val="000000"/>
          </a:solidFill>
          <a:prstDash val="solid"/>
        </a:ln>
      </xdr:spPr>
    </xdr:pic>
    <xdr:clientData/>
  </xdr:twoCellAnchor>
  <xdr:twoCellAnchor>
    <xdr:from>
      <xdr:col>3</xdr:col>
      <xdr:colOff>114300</xdr:colOff>
      <xdr:row>1690</xdr:row>
      <xdr:rowOff>38100</xdr:rowOff>
    </xdr:from>
    <xdr:to>
      <xdr:col>3</xdr:col>
      <xdr:colOff>1552575</xdr:colOff>
      <xdr:row>1691</xdr:row>
      <xdr:rowOff>638175</xdr:rowOff>
    </xdr:to>
    <xdr:pic>
      <xdr:nvPicPr>
        <xdr:cNvPr id="748" name="Имя " descr="Descr ">
          <a:extLst>
            <a:ext uri="{FF2B5EF4-FFF2-40B4-BE49-F238E27FC236}">
              <a16:creationId xmlns:a16="http://schemas.microsoft.com/office/drawing/2014/main" id="{00000000-0008-0000-0000-0000EC020000}"/>
            </a:ext>
          </a:extLst>
        </xdr:cNvPr>
        <xdr:cNvPicPr>
          <a:picLocks noChangeAspect="1"/>
        </xdr:cNvPicPr>
      </xdr:nvPicPr>
      <xdr:blipFill>
        <a:blip xmlns:r="http://schemas.openxmlformats.org/officeDocument/2006/relationships" r:embed="rId735"/>
        <a:stretch>
          <a:fillRect/>
        </a:stretch>
      </xdr:blipFill>
      <xdr:spPr>
        <a:prstGeom prst="rect">
          <a:avLst/>
        </a:prstGeom>
        <a:ln w="9525">
          <a:solidFill>
            <a:srgbClr val="000000"/>
          </a:solidFill>
          <a:prstDash val="solid"/>
        </a:ln>
      </xdr:spPr>
    </xdr:pic>
    <xdr:clientData/>
  </xdr:twoCellAnchor>
  <xdr:twoCellAnchor>
    <xdr:from>
      <xdr:col>3</xdr:col>
      <xdr:colOff>114300</xdr:colOff>
      <xdr:row>1692</xdr:row>
      <xdr:rowOff>28575</xdr:rowOff>
    </xdr:from>
    <xdr:to>
      <xdr:col>3</xdr:col>
      <xdr:colOff>1552575</xdr:colOff>
      <xdr:row>1695</xdr:row>
      <xdr:rowOff>209550</xdr:rowOff>
    </xdr:to>
    <xdr:pic>
      <xdr:nvPicPr>
        <xdr:cNvPr id="749" name="Имя " descr="Descr ">
          <a:extLst>
            <a:ext uri="{FF2B5EF4-FFF2-40B4-BE49-F238E27FC236}">
              <a16:creationId xmlns:a16="http://schemas.microsoft.com/office/drawing/2014/main" id="{00000000-0008-0000-0000-0000ED020000}"/>
            </a:ext>
          </a:extLst>
        </xdr:cNvPr>
        <xdr:cNvPicPr>
          <a:picLocks noChangeAspect="1"/>
        </xdr:cNvPicPr>
      </xdr:nvPicPr>
      <xdr:blipFill>
        <a:blip xmlns:r="http://schemas.openxmlformats.org/officeDocument/2006/relationships" r:embed="rId736"/>
        <a:stretch>
          <a:fillRect/>
        </a:stretch>
      </xdr:blipFill>
      <xdr:spPr>
        <a:prstGeom prst="rect">
          <a:avLst/>
        </a:prstGeom>
        <a:ln w="9525">
          <a:solidFill>
            <a:srgbClr val="000000"/>
          </a:solidFill>
          <a:prstDash val="solid"/>
        </a:ln>
      </xdr:spPr>
    </xdr:pic>
    <xdr:clientData/>
  </xdr:twoCellAnchor>
  <xdr:twoCellAnchor>
    <xdr:from>
      <xdr:col>3</xdr:col>
      <xdr:colOff>114300</xdr:colOff>
      <xdr:row>1696</xdr:row>
      <xdr:rowOff>28575</xdr:rowOff>
    </xdr:from>
    <xdr:to>
      <xdr:col>3</xdr:col>
      <xdr:colOff>1552575</xdr:colOff>
      <xdr:row>1698</xdr:row>
      <xdr:rowOff>419100</xdr:rowOff>
    </xdr:to>
    <xdr:pic>
      <xdr:nvPicPr>
        <xdr:cNvPr id="750" name="Имя " descr="Descr ">
          <a:extLst>
            <a:ext uri="{FF2B5EF4-FFF2-40B4-BE49-F238E27FC236}">
              <a16:creationId xmlns:a16="http://schemas.microsoft.com/office/drawing/2014/main" id="{00000000-0008-0000-0000-0000EE020000}"/>
            </a:ext>
          </a:extLst>
        </xdr:cNvPr>
        <xdr:cNvPicPr>
          <a:picLocks noChangeAspect="1"/>
        </xdr:cNvPicPr>
      </xdr:nvPicPr>
      <xdr:blipFill>
        <a:blip xmlns:r="http://schemas.openxmlformats.org/officeDocument/2006/relationships" r:embed="rId737"/>
        <a:stretch>
          <a:fillRect/>
        </a:stretch>
      </xdr:blipFill>
      <xdr:spPr>
        <a:prstGeom prst="rect">
          <a:avLst/>
        </a:prstGeom>
        <a:ln w="9525">
          <a:solidFill>
            <a:srgbClr val="000000"/>
          </a:solidFill>
          <a:prstDash val="solid"/>
        </a:ln>
      </xdr:spPr>
    </xdr:pic>
    <xdr:clientData/>
  </xdr:twoCellAnchor>
  <xdr:twoCellAnchor>
    <xdr:from>
      <xdr:col>3</xdr:col>
      <xdr:colOff>114300</xdr:colOff>
      <xdr:row>1699</xdr:row>
      <xdr:rowOff>28575</xdr:rowOff>
    </xdr:from>
    <xdr:to>
      <xdr:col>3</xdr:col>
      <xdr:colOff>1552575</xdr:colOff>
      <xdr:row>1699</xdr:row>
      <xdr:rowOff>1266825</xdr:rowOff>
    </xdr:to>
    <xdr:pic>
      <xdr:nvPicPr>
        <xdr:cNvPr id="751" name="Имя " descr="Descr ">
          <a:extLst>
            <a:ext uri="{FF2B5EF4-FFF2-40B4-BE49-F238E27FC236}">
              <a16:creationId xmlns:a16="http://schemas.microsoft.com/office/drawing/2014/main" id="{00000000-0008-0000-0000-0000EF020000}"/>
            </a:ext>
          </a:extLst>
        </xdr:cNvPr>
        <xdr:cNvPicPr>
          <a:picLocks noChangeAspect="1"/>
        </xdr:cNvPicPr>
      </xdr:nvPicPr>
      <xdr:blipFill>
        <a:blip xmlns:r="http://schemas.openxmlformats.org/officeDocument/2006/relationships" r:embed="rId738"/>
        <a:stretch>
          <a:fillRect/>
        </a:stretch>
      </xdr:blipFill>
      <xdr:spPr>
        <a:prstGeom prst="rect">
          <a:avLst/>
        </a:prstGeom>
        <a:ln w="9525">
          <a:solidFill>
            <a:srgbClr val="000000"/>
          </a:solidFill>
          <a:prstDash val="solid"/>
        </a:ln>
      </xdr:spPr>
    </xdr:pic>
    <xdr:clientData/>
  </xdr:twoCellAnchor>
  <xdr:twoCellAnchor>
    <xdr:from>
      <xdr:col>3</xdr:col>
      <xdr:colOff>114300</xdr:colOff>
      <xdr:row>1700</xdr:row>
      <xdr:rowOff>38100</xdr:rowOff>
    </xdr:from>
    <xdr:to>
      <xdr:col>3</xdr:col>
      <xdr:colOff>1552575</xdr:colOff>
      <xdr:row>1701</xdr:row>
      <xdr:rowOff>638175</xdr:rowOff>
    </xdr:to>
    <xdr:pic>
      <xdr:nvPicPr>
        <xdr:cNvPr id="752" name="Имя " descr="Descr ">
          <a:extLst>
            <a:ext uri="{FF2B5EF4-FFF2-40B4-BE49-F238E27FC236}">
              <a16:creationId xmlns:a16="http://schemas.microsoft.com/office/drawing/2014/main" id="{00000000-0008-0000-0000-0000F0020000}"/>
            </a:ext>
          </a:extLst>
        </xdr:cNvPr>
        <xdr:cNvPicPr>
          <a:picLocks noChangeAspect="1"/>
        </xdr:cNvPicPr>
      </xdr:nvPicPr>
      <xdr:blipFill>
        <a:blip xmlns:r="http://schemas.openxmlformats.org/officeDocument/2006/relationships" r:embed="rId739"/>
        <a:stretch>
          <a:fillRect/>
        </a:stretch>
      </xdr:blipFill>
      <xdr:spPr>
        <a:prstGeom prst="rect">
          <a:avLst/>
        </a:prstGeom>
        <a:ln w="9525">
          <a:solidFill>
            <a:srgbClr val="000000"/>
          </a:solidFill>
          <a:prstDash val="solid"/>
        </a:ln>
      </xdr:spPr>
    </xdr:pic>
    <xdr:clientData/>
  </xdr:twoCellAnchor>
  <xdr:twoCellAnchor>
    <xdr:from>
      <xdr:col>3</xdr:col>
      <xdr:colOff>114300</xdr:colOff>
      <xdr:row>1702</xdr:row>
      <xdr:rowOff>38100</xdr:rowOff>
    </xdr:from>
    <xdr:to>
      <xdr:col>3</xdr:col>
      <xdr:colOff>1552575</xdr:colOff>
      <xdr:row>1703</xdr:row>
      <xdr:rowOff>638175</xdr:rowOff>
    </xdr:to>
    <xdr:pic>
      <xdr:nvPicPr>
        <xdr:cNvPr id="753" name="Имя " descr="Descr ">
          <a:extLst>
            <a:ext uri="{FF2B5EF4-FFF2-40B4-BE49-F238E27FC236}">
              <a16:creationId xmlns:a16="http://schemas.microsoft.com/office/drawing/2014/main" id="{00000000-0008-0000-0000-0000F1020000}"/>
            </a:ext>
          </a:extLst>
        </xdr:cNvPr>
        <xdr:cNvPicPr>
          <a:picLocks noChangeAspect="1"/>
        </xdr:cNvPicPr>
      </xdr:nvPicPr>
      <xdr:blipFill>
        <a:blip xmlns:r="http://schemas.openxmlformats.org/officeDocument/2006/relationships" r:embed="rId740"/>
        <a:stretch>
          <a:fillRect/>
        </a:stretch>
      </xdr:blipFill>
      <xdr:spPr>
        <a:prstGeom prst="rect">
          <a:avLst/>
        </a:prstGeom>
        <a:ln w="9525">
          <a:solidFill>
            <a:srgbClr val="000000"/>
          </a:solidFill>
          <a:prstDash val="solid"/>
        </a:ln>
      </xdr:spPr>
    </xdr:pic>
    <xdr:clientData/>
  </xdr:twoCellAnchor>
  <xdr:twoCellAnchor>
    <xdr:from>
      <xdr:col>3</xdr:col>
      <xdr:colOff>114300</xdr:colOff>
      <xdr:row>1704</xdr:row>
      <xdr:rowOff>38100</xdr:rowOff>
    </xdr:from>
    <xdr:to>
      <xdr:col>3</xdr:col>
      <xdr:colOff>1552575</xdr:colOff>
      <xdr:row>1705</xdr:row>
      <xdr:rowOff>638175</xdr:rowOff>
    </xdr:to>
    <xdr:pic>
      <xdr:nvPicPr>
        <xdr:cNvPr id="754" name="Имя " descr="Descr ">
          <a:extLst>
            <a:ext uri="{FF2B5EF4-FFF2-40B4-BE49-F238E27FC236}">
              <a16:creationId xmlns:a16="http://schemas.microsoft.com/office/drawing/2014/main" id="{00000000-0008-0000-0000-0000F2020000}"/>
            </a:ext>
          </a:extLst>
        </xdr:cNvPr>
        <xdr:cNvPicPr>
          <a:picLocks noChangeAspect="1"/>
        </xdr:cNvPicPr>
      </xdr:nvPicPr>
      <xdr:blipFill>
        <a:blip xmlns:r="http://schemas.openxmlformats.org/officeDocument/2006/relationships" r:embed="rId741"/>
        <a:stretch>
          <a:fillRect/>
        </a:stretch>
      </xdr:blipFill>
      <xdr:spPr>
        <a:prstGeom prst="rect">
          <a:avLst/>
        </a:prstGeom>
        <a:ln w="9525">
          <a:solidFill>
            <a:srgbClr val="000000"/>
          </a:solidFill>
          <a:prstDash val="solid"/>
        </a:ln>
      </xdr:spPr>
    </xdr:pic>
    <xdr:clientData/>
  </xdr:twoCellAnchor>
  <xdr:twoCellAnchor>
    <xdr:from>
      <xdr:col>3</xdr:col>
      <xdr:colOff>114300</xdr:colOff>
      <xdr:row>1706</xdr:row>
      <xdr:rowOff>28575</xdr:rowOff>
    </xdr:from>
    <xdr:to>
      <xdr:col>3</xdr:col>
      <xdr:colOff>1552575</xdr:colOff>
      <xdr:row>1706</xdr:row>
      <xdr:rowOff>1266825</xdr:rowOff>
    </xdr:to>
    <xdr:pic>
      <xdr:nvPicPr>
        <xdr:cNvPr id="755" name="Имя " descr="Descr ">
          <a:extLst>
            <a:ext uri="{FF2B5EF4-FFF2-40B4-BE49-F238E27FC236}">
              <a16:creationId xmlns:a16="http://schemas.microsoft.com/office/drawing/2014/main" id="{00000000-0008-0000-0000-0000F3020000}"/>
            </a:ext>
          </a:extLst>
        </xdr:cNvPr>
        <xdr:cNvPicPr>
          <a:picLocks noChangeAspect="1"/>
        </xdr:cNvPicPr>
      </xdr:nvPicPr>
      <xdr:blipFill>
        <a:blip xmlns:r="http://schemas.openxmlformats.org/officeDocument/2006/relationships" r:embed="rId742"/>
        <a:stretch>
          <a:fillRect/>
        </a:stretch>
      </xdr:blipFill>
      <xdr:spPr>
        <a:prstGeom prst="rect">
          <a:avLst/>
        </a:prstGeom>
        <a:ln w="9525">
          <a:solidFill>
            <a:srgbClr val="000000"/>
          </a:solidFill>
          <a:prstDash val="solid"/>
        </a:ln>
      </xdr:spPr>
    </xdr:pic>
    <xdr:clientData/>
  </xdr:twoCellAnchor>
  <xdr:twoCellAnchor>
    <xdr:from>
      <xdr:col>3</xdr:col>
      <xdr:colOff>114300</xdr:colOff>
      <xdr:row>1707</xdr:row>
      <xdr:rowOff>28575</xdr:rowOff>
    </xdr:from>
    <xdr:to>
      <xdr:col>3</xdr:col>
      <xdr:colOff>1552575</xdr:colOff>
      <xdr:row>1707</xdr:row>
      <xdr:rowOff>1266825</xdr:rowOff>
    </xdr:to>
    <xdr:pic>
      <xdr:nvPicPr>
        <xdr:cNvPr id="756" name="Имя " descr="Descr ">
          <a:extLst>
            <a:ext uri="{FF2B5EF4-FFF2-40B4-BE49-F238E27FC236}">
              <a16:creationId xmlns:a16="http://schemas.microsoft.com/office/drawing/2014/main" id="{00000000-0008-0000-0000-0000F4020000}"/>
            </a:ext>
          </a:extLst>
        </xdr:cNvPr>
        <xdr:cNvPicPr>
          <a:picLocks noChangeAspect="1"/>
        </xdr:cNvPicPr>
      </xdr:nvPicPr>
      <xdr:blipFill>
        <a:blip xmlns:r="http://schemas.openxmlformats.org/officeDocument/2006/relationships" r:embed="rId743"/>
        <a:stretch>
          <a:fillRect/>
        </a:stretch>
      </xdr:blipFill>
      <xdr:spPr>
        <a:prstGeom prst="rect">
          <a:avLst/>
        </a:prstGeom>
        <a:ln w="9525">
          <a:solidFill>
            <a:srgbClr val="000000"/>
          </a:solidFill>
          <a:prstDash val="solid"/>
        </a:ln>
      </xdr:spPr>
    </xdr:pic>
    <xdr:clientData/>
  </xdr:twoCellAnchor>
  <xdr:twoCellAnchor>
    <xdr:from>
      <xdr:col>3</xdr:col>
      <xdr:colOff>114300</xdr:colOff>
      <xdr:row>1708</xdr:row>
      <xdr:rowOff>28575</xdr:rowOff>
    </xdr:from>
    <xdr:to>
      <xdr:col>3</xdr:col>
      <xdr:colOff>1552575</xdr:colOff>
      <xdr:row>1708</xdr:row>
      <xdr:rowOff>1266825</xdr:rowOff>
    </xdr:to>
    <xdr:pic>
      <xdr:nvPicPr>
        <xdr:cNvPr id="757" name="Имя " descr="Descr ">
          <a:extLst>
            <a:ext uri="{FF2B5EF4-FFF2-40B4-BE49-F238E27FC236}">
              <a16:creationId xmlns:a16="http://schemas.microsoft.com/office/drawing/2014/main" id="{00000000-0008-0000-0000-0000F5020000}"/>
            </a:ext>
          </a:extLst>
        </xdr:cNvPr>
        <xdr:cNvPicPr>
          <a:picLocks noChangeAspect="1"/>
        </xdr:cNvPicPr>
      </xdr:nvPicPr>
      <xdr:blipFill>
        <a:blip xmlns:r="http://schemas.openxmlformats.org/officeDocument/2006/relationships" r:embed="rId744"/>
        <a:stretch>
          <a:fillRect/>
        </a:stretch>
      </xdr:blipFill>
      <xdr:spPr>
        <a:prstGeom prst="rect">
          <a:avLst/>
        </a:prstGeom>
        <a:ln w="9525">
          <a:solidFill>
            <a:srgbClr val="000000"/>
          </a:solidFill>
          <a:prstDash val="solid"/>
        </a:ln>
      </xdr:spPr>
    </xdr:pic>
    <xdr:clientData/>
  </xdr:twoCellAnchor>
  <xdr:twoCellAnchor>
    <xdr:from>
      <xdr:col>3</xdr:col>
      <xdr:colOff>114300</xdr:colOff>
      <xdr:row>1709</xdr:row>
      <xdr:rowOff>38100</xdr:rowOff>
    </xdr:from>
    <xdr:to>
      <xdr:col>3</xdr:col>
      <xdr:colOff>1552575</xdr:colOff>
      <xdr:row>1710</xdr:row>
      <xdr:rowOff>638175</xdr:rowOff>
    </xdr:to>
    <xdr:pic>
      <xdr:nvPicPr>
        <xdr:cNvPr id="758" name="Имя " descr="Descr ">
          <a:extLst>
            <a:ext uri="{FF2B5EF4-FFF2-40B4-BE49-F238E27FC236}">
              <a16:creationId xmlns:a16="http://schemas.microsoft.com/office/drawing/2014/main" id="{00000000-0008-0000-0000-0000F6020000}"/>
            </a:ext>
          </a:extLst>
        </xdr:cNvPr>
        <xdr:cNvPicPr>
          <a:picLocks noChangeAspect="1"/>
        </xdr:cNvPicPr>
      </xdr:nvPicPr>
      <xdr:blipFill>
        <a:blip xmlns:r="http://schemas.openxmlformats.org/officeDocument/2006/relationships" r:embed="rId745"/>
        <a:stretch>
          <a:fillRect/>
        </a:stretch>
      </xdr:blipFill>
      <xdr:spPr>
        <a:prstGeom prst="rect">
          <a:avLst/>
        </a:prstGeom>
        <a:ln w="9525">
          <a:solidFill>
            <a:srgbClr val="000000"/>
          </a:solidFill>
          <a:prstDash val="solid"/>
        </a:ln>
      </xdr:spPr>
    </xdr:pic>
    <xdr:clientData/>
  </xdr:twoCellAnchor>
  <xdr:twoCellAnchor>
    <xdr:from>
      <xdr:col>3</xdr:col>
      <xdr:colOff>114300</xdr:colOff>
      <xdr:row>1711</xdr:row>
      <xdr:rowOff>28575</xdr:rowOff>
    </xdr:from>
    <xdr:to>
      <xdr:col>3</xdr:col>
      <xdr:colOff>1552575</xdr:colOff>
      <xdr:row>1711</xdr:row>
      <xdr:rowOff>1266825</xdr:rowOff>
    </xdr:to>
    <xdr:pic>
      <xdr:nvPicPr>
        <xdr:cNvPr id="759" name="Имя " descr="Descr ">
          <a:extLst>
            <a:ext uri="{FF2B5EF4-FFF2-40B4-BE49-F238E27FC236}">
              <a16:creationId xmlns:a16="http://schemas.microsoft.com/office/drawing/2014/main" id="{00000000-0008-0000-0000-0000F7020000}"/>
            </a:ext>
          </a:extLst>
        </xdr:cNvPr>
        <xdr:cNvPicPr>
          <a:picLocks noChangeAspect="1"/>
        </xdr:cNvPicPr>
      </xdr:nvPicPr>
      <xdr:blipFill>
        <a:blip xmlns:r="http://schemas.openxmlformats.org/officeDocument/2006/relationships" r:embed="rId746"/>
        <a:stretch>
          <a:fillRect/>
        </a:stretch>
      </xdr:blipFill>
      <xdr:spPr>
        <a:prstGeom prst="rect">
          <a:avLst/>
        </a:prstGeom>
        <a:ln w="9525">
          <a:solidFill>
            <a:srgbClr val="000000"/>
          </a:solidFill>
          <a:prstDash val="solid"/>
        </a:ln>
      </xdr:spPr>
    </xdr:pic>
    <xdr:clientData/>
  </xdr:twoCellAnchor>
  <xdr:twoCellAnchor>
    <xdr:from>
      <xdr:col>3</xdr:col>
      <xdr:colOff>114300</xdr:colOff>
      <xdr:row>1712</xdr:row>
      <xdr:rowOff>38100</xdr:rowOff>
    </xdr:from>
    <xdr:to>
      <xdr:col>3</xdr:col>
      <xdr:colOff>1552575</xdr:colOff>
      <xdr:row>1713</xdr:row>
      <xdr:rowOff>638175</xdr:rowOff>
    </xdr:to>
    <xdr:pic>
      <xdr:nvPicPr>
        <xdr:cNvPr id="760" name="Имя " descr="Descr ">
          <a:extLst>
            <a:ext uri="{FF2B5EF4-FFF2-40B4-BE49-F238E27FC236}">
              <a16:creationId xmlns:a16="http://schemas.microsoft.com/office/drawing/2014/main" id="{00000000-0008-0000-0000-0000F8020000}"/>
            </a:ext>
          </a:extLst>
        </xdr:cNvPr>
        <xdr:cNvPicPr>
          <a:picLocks noChangeAspect="1"/>
        </xdr:cNvPicPr>
      </xdr:nvPicPr>
      <xdr:blipFill>
        <a:blip xmlns:r="http://schemas.openxmlformats.org/officeDocument/2006/relationships" r:embed="rId747"/>
        <a:stretch>
          <a:fillRect/>
        </a:stretch>
      </xdr:blipFill>
      <xdr:spPr>
        <a:prstGeom prst="rect">
          <a:avLst/>
        </a:prstGeom>
        <a:ln w="9525">
          <a:solidFill>
            <a:srgbClr val="000000"/>
          </a:solidFill>
          <a:prstDash val="solid"/>
        </a:ln>
      </xdr:spPr>
    </xdr:pic>
    <xdr:clientData/>
  </xdr:twoCellAnchor>
  <xdr:twoCellAnchor>
    <xdr:from>
      <xdr:col>3</xdr:col>
      <xdr:colOff>114300</xdr:colOff>
      <xdr:row>1714</xdr:row>
      <xdr:rowOff>28575</xdr:rowOff>
    </xdr:from>
    <xdr:to>
      <xdr:col>3</xdr:col>
      <xdr:colOff>1552575</xdr:colOff>
      <xdr:row>1717</xdr:row>
      <xdr:rowOff>209550</xdr:rowOff>
    </xdr:to>
    <xdr:pic>
      <xdr:nvPicPr>
        <xdr:cNvPr id="761" name="Имя " descr="Descr ">
          <a:extLst>
            <a:ext uri="{FF2B5EF4-FFF2-40B4-BE49-F238E27FC236}">
              <a16:creationId xmlns:a16="http://schemas.microsoft.com/office/drawing/2014/main" id="{00000000-0008-0000-0000-0000F9020000}"/>
            </a:ext>
          </a:extLst>
        </xdr:cNvPr>
        <xdr:cNvPicPr>
          <a:picLocks noChangeAspect="1"/>
        </xdr:cNvPicPr>
      </xdr:nvPicPr>
      <xdr:blipFill>
        <a:blip xmlns:r="http://schemas.openxmlformats.org/officeDocument/2006/relationships" r:embed="rId748"/>
        <a:stretch>
          <a:fillRect/>
        </a:stretch>
      </xdr:blipFill>
      <xdr:spPr>
        <a:prstGeom prst="rect">
          <a:avLst/>
        </a:prstGeom>
        <a:ln w="9525">
          <a:solidFill>
            <a:srgbClr val="000000"/>
          </a:solidFill>
          <a:prstDash val="solid"/>
        </a:ln>
      </xdr:spPr>
    </xdr:pic>
    <xdr:clientData/>
  </xdr:twoCellAnchor>
  <xdr:twoCellAnchor>
    <xdr:from>
      <xdr:col>3</xdr:col>
      <xdr:colOff>114300</xdr:colOff>
      <xdr:row>1718</xdr:row>
      <xdr:rowOff>28575</xdr:rowOff>
    </xdr:from>
    <xdr:to>
      <xdr:col>3</xdr:col>
      <xdr:colOff>1552575</xdr:colOff>
      <xdr:row>1721</xdr:row>
      <xdr:rowOff>209550</xdr:rowOff>
    </xdr:to>
    <xdr:pic>
      <xdr:nvPicPr>
        <xdr:cNvPr id="762" name="Имя " descr="Descr ">
          <a:extLst>
            <a:ext uri="{FF2B5EF4-FFF2-40B4-BE49-F238E27FC236}">
              <a16:creationId xmlns:a16="http://schemas.microsoft.com/office/drawing/2014/main" id="{00000000-0008-0000-0000-0000FA020000}"/>
            </a:ext>
          </a:extLst>
        </xdr:cNvPr>
        <xdr:cNvPicPr>
          <a:picLocks noChangeAspect="1"/>
        </xdr:cNvPicPr>
      </xdr:nvPicPr>
      <xdr:blipFill>
        <a:blip xmlns:r="http://schemas.openxmlformats.org/officeDocument/2006/relationships" r:embed="rId749"/>
        <a:stretch>
          <a:fillRect/>
        </a:stretch>
      </xdr:blipFill>
      <xdr:spPr>
        <a:prstGeom prst="rect">
          <a:avLst/>
        </a:prstGeom>
        <a:ln w="9525">
          <a:solidFill>
            <a:srgbClr val="000000"/>
          </a:solidFill>
          <a:prstDash val="solid"/>
        </a:ln>
      </xdr:spPr>
    </xdr:pic>
    <xdr:clientData/>
  </xdr:twoCellAnchor>
  <xdr:twoCellAnchor>
    <xdr:from>
      <xdr:col>3</xdr:col>
      <xdr:colOff>114300</xdr:colOff>
      <xdr:row>1722</xdr:row>
      <xdr:rowOff>28575</xdr:rowOff>
    </xdr:from>
    <xdr:to>
      <xdr:col>3</xdr:col>
      <xdr:colOff>1552575</xdr:colOff>
      <xdr:row>1725</xdr:row>
      <xdr:rowOff>209550</xdr:rowOff>
    </xdr:to>
    <xdr:pic>
      <xdr:nvPicPr>
        <xdr:cNvPr id="763" name="Имя " descr="Descr ">
          <a:extLst>
            <a:ext uri="{FF2B5EF4-FFF2-40B4-BE49-F238E27FC236}">
              <a16:creationId xmlns:a16="http://schemas.microsoft.com/office/drawing/2014/main" id="{00000000-0008-0000-0000-0000FB020000}"/>
            </a:ext>
          </a:extLst>
        </xdr:cNvPr>
        <xdr:cNvPicPr>
          <a:picLocks noChangeAspect="1"/>
        </xdr:cNvPicPr>
      </xdr:nvPicPr>
      <xdr:blipFill>
        <a:blip xmlns:r="http://schemas.openxmlformats.org/officeDocument/2006/relationships" r:embed="rId750"/>
        <a:stretch>
          <a:fillRect/>
        </a:stretch>
      </xdr:blipFill>
      <xdr:spPr>
        <a:prstGeom prst="rect">
          <a:avLst/>
        </a:prstGeom>
        <a:ln w="9525">
          <a:solidFill>
            <a:srgbClr val="000000"/>
          </a:solidFill>
          <a:prstDash val="solid"/>
        </a:ln>
      </xdr:spPr>
    </xdr:pic>
    <xdr:clientData/>
  </xdr:twoCellAnchor>
  <xdr:twoCellAnchor>
    <xdr:from>
      <xdr:col>3</xdr:col>
      <xdr:colOff>114300</xdr:colOff>
      <xdr:row>1726</xdr:row>
      <xdr:rowOff>28575</xdr:rowOff>
    </xdr:from>
    <xdr:to>
      <xdr:col>3</xdr:col>
      <xdr:colOff>1552575</xdr:colOff>
      <xdr:row>1729</xdr:row>
      <xdr:rowOff>209550</xdr:rowOff>
    </xdr:to>
    <xdr:pic>
      <xdr:nvPicPr>
        <xdr:cNvPr id="764" name="Имя " descr="Descr ">
          <a:extLst>
            <a:ext uri="{FF2B5EF4-FFF2-40B4-BE49-F238E27FC236}">
              <a16:creationId xmlns:a16="http://schemas.microsoft.com/office/drawing/2014/main" id="{00000000-0008-0000-0000-0000FC020000}"/>
            </a:ext>
          </a:extLst>
        </xdr:cNvPr>
        <xdr:cNvPicPr>
          <a:picLocks noChangeAspect="1"/>
        </xdr:cNvPicPr>
      </xdr:nvPicPr>
      <xdr:blipFill>
        <a:blip xmlns:r="http://schemas.openxmlformats.org/officeDocument/2006/relationships" r:embed="rId751"/>
        <a:stretch>
          <a:fillRect/>
        </a:stretch>
      </xdr:blipFill>
      <xdr:spPr>
        <a:prstGeom prst="rect">
          <a:avLst/>
        </a:prstGeom>
        <a:ln w="9525">
          <a:solidFill>
            <a:srgbClr val="000000"/>
          </a:solidFill>
          <a:prstDash val="solid"/>
        </a:ln>
      </xdr:spPr>
    </xdr:pic>
    <xdr:clientData/>
  </xdr:twoCellAnchor>
  <xdr:twoCellAnchor>
    <xdr:from>
      <xdr:col>3</xdr:col>
      <xdr:colOff>114300</xdr:colOff>
      <xdr:row>1730</xdr:row>
      <xdr:rowOff>28575</xdr:rowOff>
    </xdr:from>
    <xdr:to>
      <xdr:col>3</xdr:col>
      <xdr:colOff>1552575</xdr:colOff>
      <xdr:row>1732</xdr:row>
      <xdr:rowOff>419100</xdr:rowOff>
    </xdr:to>
    <xdr:pic>
      <xdr:nvPicPr>
        <xdr:cNvPr id="765" name="Имя " descr="Descr ">
          <a:extLst>
            <a:ext uri="{FF2B5EF4-FFF2-40B4-BE49-F238E27FC236}">
              <a16:creationId xmlns:a16="http://schemas.microsoft.com/office/drawing/2014/main" id="{00000000-0008-0000-0000-0000FD020000}"/>
            </a:ext>
          </a:extLst>
        </xdr:cNvPr>
        <xdr:cNvPicPr>
          <a:picLocks noChangeAspect="1"/>
        </xdr:cNvPicPr>
      </xdr:nvPicPr>
      <xdr:blipFill>
        <a:blip xmlns:r="http://schemas.openxmlformats.org/officeDocument/2006/relationships" r:embed="rId752"/>
        <a:stretch>
          <a:fillRect/>
        </a:stretch>
      </xdr:blipFill>
      <xdr:spPr>
        <a:prstGeom prst="rect">
          <a:avLst/>
        </a:prstGeom>
        <a:ln w="9525">
          <a:solidFill>
            <a:srgbClr val="000000"/>
          </a:solidFill>
          <a:prstDash val="solid"/>
        </a:ln>
      </xdr:spPr>
    </xdr:pic>
    <xdr:clientData/>
  </xdr:twoCellAnchor>
  <xdr:twoCellAnchor>
    <xdr:from>
      <xdr:col>3</xdr:col>
      <xdr:colOff>114300</xdr:colOff>
      <xdr:row>1733</xdr:row>
      <xdr:rowOff>38100</xdr:rowOff>
    </xdr:from>
    <xdr:to>
      <xdr:col>3</xdr:col>
      <xdr:colOff>1552575</xdr:colOff>
      <xdr:row>1734</xdr:row>
      <xdr:rowOff>638175</xdr:rowOff>
    </xdr:to>
    <xdr:pic>
      <xdr:nvPicPr>
        <xdr:cNvPr id="766" name="Имя " descr="Descr ">
          <a:extLst>
            <a:ext uri="{FF2B5EF4-FFF2-40B4-BE49-F238E27FC236}">
              <a16:creationId xmlns:a16="http://schemas.microsoft.com/office/drawing/2014/main" id="{00000000-0008-0000-0000-0000FE020000}"/>
            </a:ext>
          </a:extLst>
        </xdr:cNvPr>
        <xdr:cNvPicPr>
          <a:picLocks noChangeAspect="1"/>
        </xdr:cNvPicPr>
      </xdr:nvPicPr>
      <xdr:blipFill>
        <a:blip xmlns:r="http://schemas.openxmlformats.org/officeDocument/2006/relationships" r:embed="rId753"/>
        <a:stretch>
          <a:fillRect/>
        </a:stretch>
      </xdr:blipFill>
      <xdr:spPr>
        <a:prstGeom prst="rect">
          <a:avLst/>
        </a:prstGeom>
        <a:ln w="9525">
          <a:solidFill>
            <a:srgbClr val="000000"/>
          </a:solidFill>
          <a:prstDash val="solid"/>
        </a:ln>
      </xdr:spPr>
    </xdr:pic>
    <xdr:clientData/>
  </xdr:twoCellAnchor>
  <xdr:twoCellAnchor>
    <xdr:from>
      <xdr:col>3</xdr:col>
      <xdr:colOff>114300</xdr:colOff>
      <xdr:row>1735</xdr:row>
      <xdr:rowOff>28575</xdr:rowOff>
    </xdr:from>
    <xdr:to>
      <xdr:col>3</xdr:col>
      <xdr:colOff>1552575</xdr:colOff>
      <xdr:row>1737</xdr:row>
      <xdr:rowOff>419100</xdr:rowOff>
    </xdr:to>
    <xdr:pic>
      <xdr:nvPicPr>
        <xdr:cNvPr id="767" name="Имя " descr="Descr ">
          <a:extLst>
            <a:ext uri="{FF2B5EF4-FFF2-40B4-BE49-F238E27FC236}">
              <a16:creationId xmlns:a16="http://schemas.microsoft.com/office/drawing/2014/main" id="{00000000-0008-0000-0000-0000FF020000}"/>
            </a:ext>
          </a:extLst>
        </xdr:cNvPr>
        <xdr:cNvPicPr>
          <a:picLocks noChangeAspect="1"/>
        </xdr:cNvPicPr>
      </xdr:nvPicPr>
      <xdr:blipFill>
        <a:blip xmlns:r="http://schemas.openxmlformats.org/officeDocument/2006/relationships" r:embed="rId754"/>
        <a:stretch>
          <a:fillRect/>
        </a:stretch>
      </xdr:blipFill>
      <xdr:spPr>
        <a:prstGeom prst="rect">
          <a:avLst/>
        </a:prstGeom>
        <a:ln w="9525">
          <a:solidFill>
            <a:srgbClr val="000000"/>
          </a:solidFill>
          <a:prstDash val="solid"/>
        </a:ln>
      </xdr:spPr>
    </xdr:pic>
    <xdr:clientData/>
  </xdr:twoCellAnchor>
  <xdr:twoCellAnchor>
    <xdr:from>
      <xdr:col>3</xdr:col>
      <xdr:colOff>114300</xdr:colOff>
      <xdr:row>1738</xdr:row>
      <xdr:rowOff>28575</xdr:rowOff>
    </xdr:from>
    <xdr:to>
      <xdr:col>3</xdr:col>
      <xdr:colOff>1552575</xdr:colOff>
      <xdr:row>1740</xdr:row>
      <xdr:rowOff>419100</xdr:rowOff>
    </xdr:to>
    <xdr:pic>
      <xdr:nvPicPr>
        <xdr:cNvPr id="768" name="Имя " descr="Descr ">
          <a:extLst>
            <a:ext uri="{FF2B5EF4-FFF2-40B4-BE49-F238E27FC236}">
              <a16:creationId xmlns:a16="http://schemas.microsoft.com/office/drawing/2014/main" id="{00000000-0008-0000-0000-000000030000}"/>
            </a:ext>
          </a:extLst>
        </xdr:cNvPr>
        <xdr:cNvPicPr>
          <a:picLocks noChangeAspect="1"/>
        </xdr:cNvPicPr>
      </xdr:nvPicPr>
      <xdr:blipFill>
        <a:blip xmlns:r="http://schemas.openxmlformats.org/officeDocument/2006/relationships" r:embed="rId755"/>
        <a:stretch>
          <a:fillRect/>
        </a:stretch>
      </xdr:blipFill>
      <xdr:spPr>
        <a:prstGeom prst="rect">
          <a:avLst/>
        </a:prstGeom>
        <a:ln w="9525">
          <a:solidFill>
            <a:srgbClr val="000000"/>
          </a:solidFill>
          <a:prstDash val="solid"/>
        </a:ln>
      </xdr:spPr>
    </xdr:pic>
    <xdr:clientData/>
  </xdr:twoCellAnchor>
  <xdr:twoCellAnchor>
    <xdr:from>
      <xdr:col>3</xdr:col>
      <xdr:colOff>114300</xdr:colOff>
      <xdr:row>1741</xdr:row>
      <xdr:rowOff>28575</xdr:rowOff>
    </xdr:from>
    <xdr:to>
      <xdr:col>3</xdr:col>
      <xdr:colOff>1552575</xdr:colOff>
      <xdr:row>1744</xdr:row>
      <xdr:rowOff>209550</xdr:rowOff>
    </xdr:to>
    <xdr:pic>
      <xdr:nvPicPr>
        <xdr:cNvPr id="769" name="Имя " descr="Descr ">
          <a:extLst>
            <a:ext uri="{FF2B5EF4-FFF2-40B4-BE49-F238E27FC236}">
              <a16:creationId xmlns:a16="http://schemas.microsoft.com/office/drawing/2014/main" id="{00000000-0008-0000-0000-000001030000}"/>
            </a:ext>
          </a:extLst>
        </xdr:cNvPr>
        <xdr:cNvPicPr>
          <a:picLocks noChangeAspect="1"/>
        </xdr:cNvPicPr>
      </xdr:nvPicPr>
      <xdr:blipFill>
        <a:blip xmlns:r="http://schemas.openxmlformats.org/officeDocument/2006/relationships" r:embed="rId756"/>
        <a:stretch>
          <a:fillRect/>
        </a:stretch>
      </xdr:blipFill>
      <xdr:spPr>
        <a:prstGeom prst="rect">
          <a:avLst/>
        </a:prstGeom>
        <a:ln w="9525">
          <a:solidFill>
            <a:srgbClr val="000000"/>
          </a:solidFill>
          <a:prstDash val="solid"/>
        </a:ln>
      </xdr:spPr>
    </xdr:pic>
    <xdr:clientData/>
  </xdr:twoCellAnchor>
  <xdr:twoCellAnchor>
    <xdr:from>
      <xdr:col>3</xdr:col>
      <xdr:colOff>114300</xdr:colOff>
      <xdr:row>1745</xdr:row>
      <xdr:rowOff>28575</xdr:rowOff>
    </xdr:from>
    <xdr:to>
      <xdr:col>3</xdr:col>
      <xdr:colOff>1552575</xdr:colOff>
      <xdr:row>1747</xdr:row>
      <xdr:rowOff>419100</xdr:rowOff>
    </xdr:to>
    <xdr:pic>
      <xdr:nvPicPr>
        <xdr:cNvPr id="770" name="Имя " descr="Descr ">
          <a:extLst>
            <a:ext uri="{FF2B5EF4-FFF2-40B4-BE49-F238E27FC236}">
              <a16:creationId xmlns:a16="http://schemas.microsoft.com/office/drawing/2014/main" id="{00000000-0008-0000-0000-000002030000}"/>
            </a:ext>
          </a:extLst>
        </xdr:cNvPr>
        <xdr:cNvPicPr>
          <a:picLocks noChangeAspect="1"/>
        </xdr:cNvPicPr>
      </xdr:nvPicPr>
      <xdr:blipFill>
        <a:blip xmlns:r="http://schemas.openxmlformats.org/officeDocument/2006/relationships" r:embed="rId757"/>
        <a:stretch>
          <a:fillRect/>
        </a:stretch>
      </xdr:blipFill>
      <xdr:spPr>
        <a:prstGeom prst="rect">
          <a:avLst/>
        </a:prstGeom>
        <a:ln w="9525">
          <a:solidFill>
            <a:srgbClr val="000000"/>
          </a:solidFill>
          <a:prstDash val="solid"/>
        </a:ln>
      </xdr:spPr>
    </xdr:pic>
    <xdr:clientData/>
  </xdr:twoCellAnchor>
  <xdr:twoCellAnchor>
    <xdr:from>
      <xdr:col>3</xdr:col>
      <xdr:colOff>114300</xdr:colOff>
      <xdr:row>1748</xdr:row>
      <xdr:rowOff>28575</xdr:rowOff>
    </xdr:from>
    <xdr:to>
      <xdr:col>3</xdr:col>
      <xdr:colOff>1552575</xdr:colOff>
      <xdr:row>1750</xdr:row>
      <xdr:rowOff>419100</xdr:rowOff>
    </xdr:to>
    <xdr:pic>
      <xdr:nvPicPr>
        <xdr:cNvPr id="771" name="Имя " descr="Descr ">
          <a:extLst>
            <a:ext uri="{FF2B5EF4-FFF2-40B4-BE49-F238E27FC236}">
              <a16:creationId xmlns:a16="http://schemas.microsoft.com/office/drawing/2014/main" id="{00000000-0008-0000-0000-000003030000}"/>
            </a:ext>
          </a:extLst>
        </xdr:cNvPr>
        <xdr:cNvPicPr>
          <a:picLocks noChangeAspect="1"/>
        </xdr:cNvPicPr>
      </xdr:nvPicPr>
      <xdr:blipFill>
        <a:blip xmlns:r="http://schemas.openxmlformats.org/officeDocument/2006/relationships" r:embed="rId758"/>
        <a:stretch>
          <a:fillRect/>
        </a:stretch>
      </xdr:blipFill>
      <xdr:spPr>
        <a:prstGeom prst="rect">
          <a:avLst/>
        </a:prstGeom>
        <a:ln w="9525">
          <a:solidFill>
            <a:srgbClr val="000000"/>
          </a:solidFill>
          <a:prstDash val="solid"/>
        </a:ln>
      </xdr:spPr>
    </xdr:pic>
    <xdr:clientData/>
  </xdr:twoCellAnchor>
  <xdr:twoCellAnchor>
    <xdr:from>
      <xdr:col>3</xdr:col>
      <xdr:colOff>114300</xdr:colOff>
      <xdr:row>1751</xdr:row>
      <xdr:rowOff>28575</xdr:rowOff>
    </xdr:from>
    <xdr:to>
      <xdr:col>3</xdr:col>
      <xdr:colOff>1552575</xdr:colOff>
      <xdr:row>1753</xdr:row>
      <xdr:rowOff>419100</xdr:rowOff>
    </xdr:to>
    <xdr:pic>
      <xdr:nvPicPr>
        <xdr:cNvPr id="772" name="Имя " descr="Descr ">
          <a:extLst>
            <a:ext uri="{FF2B5EF4-FFF2-40B4-BE49-F238E27FC236}">
              <a16:creationId xmlns:a16="http://schemas.microsoft.com/office/drawing/2014/main" id="{00000000-0008-0000-0000-000004030000}"/>
            </a:ext>
          </a:extLst>
        </xdr:cNvPr>
        <xdr:cNvPicPr>
          <a:picLocks noChangeAspect="1"/>
        </xdr:cNvPicPr>
      </xdr:nvPicPr>
      <xdr:blipFill>
        <a:blip xmlns:r="http://schemas.openxmlformats.org/officeDocument/2006/relationships" r:embed="rId759"/>
        <a:stretch>
          <a:fillRect/>
        </a:stretch>
      </xdr:blipFill>
      <xdr:spPr>
        <a:prstGeom prst="rect">
          <a:avLst/>
        </a:prstGeom>
        <a:ln w="9525">
          <a:solidFill>
            <a:srgbClr val="000000"/>
          </a:solidFill>
          <a:prstDash val="solid"/>
        </a:ln>
      </xdr:spPr>
    </xdr:pic>
    <xdr:clientData/>
  </xdr:twoCellAnchor>
  <xdr:twoCellAnchor>
    <xdr:from>
      <xdr:col>3</xdr:col>
      <xdr:colOff>114300</xdr:colOff>
      <xdr:row>1754</xdr:row>
      <xdr:rowOff>28575</xdr:rowOff>
    </xdr:from>
    <xdr:to>
      <xdr:col>3</xdr:col>
      <xdr:colOff>1552575</xdr:colOff>
      <xdr:row>1754</xdr:row>
      <xdr:rowOff>1266825</xdr:rowOff>
    </xdr:to>
    <xdr:pic>
      <xdr:nvPicPr>
        <xdr:cNvPr id="773" name="Имя " descr="Descr ">
          <a:extLst>
            <a:ext uri="{FF2B5EF4-FFF2-40B4-BE49-F238E27FC236}">
              <a16:creationId xmlns:a16="http://schemas.microsoft.com/office/drawing/2014/main" id="{00000000-0008-0000-0000-000005030000}"/>
            </a:ext>
          </a:extLst>
        </xdr:cNvPr>
        <xdr:cNvPicPr>
          <a:picLocks noChangeAspect="1"/>
        </xdr:cNvPicPr>
      </xdr:nvPicPr>
      <xdr:blipFill>
        <a:blip xmlns:r="http://schemas.openxmlformats.org/officeDocument/2006/relationships" r:embed="rId760"/>
        <a:stretch>
          <a:fillRect/>
        </a:stretch>
      </xdr:blipFill>
      <xdr:spPr>
        <a:prstGeom prst="rect">
          <a:avLst/>
        </a:prstGeom>
        <a:ln w="9525">
          <a:solidFill>
            <a:srgbClr val="000000"/>
          </a:solidFill>
          <a:prstDash val="solid"/>
        </a:ln>
      </xdr:spPr>
    </xdr:pic>
    <xdr:clientData/>
  </xdr:twoCellAnchor>
  <xdr:twoCellAnchor>
    <xdr:from>
      <xdr:col>3</xdr:col>
      <xdr:colOff>114300</xdr:colOff>
      <xdr:row>1755</xdr:row>
      <xdr:rowOff>28575</xdr:rowOff>
    </xdr:from>
    <xdr:to>
      <xdr:col>3</xdr:col>
      <xdr:colOff>1552575</xdr:colOff>
      <xdr:row>1755</xdr:row>
      <xdr:rowOff>1266825</xdr:rowOff>
    </xdr:to>
    <xdr:pic>
      <xdr:nvPicPr>
        <xdr:cNvPr id="774" name="Имя " descr="Descr ">
          <a:extLst>
            <a:ext uri="{FF2B5EF4-FFF2-40B4-BE49-F238E27FC236}">
              <a16:creationId xmlns:a16="http://schemas.microsoft.com/office/drawing/2014/main" id="{00000000-0008-0000-0000-000006030000}"/>
            </a:ext>
          </a:extLst>
        </xdr:cNvPr>
        <xdr:cNvPicPr>
          <a:picLocks noChangeAspect="1"/>
        </xdr:cNvPicPr>
      </xdr:nvPicPr>
      <xdr:blipFill>
        <a:blip xmlns:r="http://schemas.openxmlformats.org/officeDocument/2006/relationships" r:embed="rId761"/>
        <a:stretch>
          <a:fillRect/>
        </a:stretch>
      </xdr:blipFill>
      <xdr:spPr>
        <a:prstGeom prst="rect">
          <a:avLst/>
        </a:prstGeom>
        <a:ln w="9525">
          <a:solidFill>
            <a:srgbClr val="000000"/>
          </a:solidFill>
          <a:prstDash val="solid"/>
        </a:ln>
      </xdr:spPr>
    </xdr:pic>
    <xdr:clientData/>
  </xdr:twoCellAnchor>
  <xdr:twoCellAnchor>
    <xdr:from>
      <xdr:col>3</xdr:col>
      <xdr:colOff>114300</xdr:colOff>
      <xdr:row>1756</xdr:row>
      <xdr:rowOff>38100</xdr:rowOff>
    </xdr:from>
    <xdr:to>
      <xdr:col>3</xdr:col>
      <xdr:colOff>1552575</xdr:colOff>
      <xdr:row>1757</xdr:row>
      <xdr:rowOff>638175</xdr:rowOff>
    </xdr:to>
    <xdr:pic>
      <xdr:nvPicPr>
        <xdr:cNvPr id="775" name="Имя " descr="Descr ">
          <a:extLst>
            <a:ext uri="{FF2B5EF4-FFF2-40B4-BE49-F238E27FC236}">
              <a16:creationId xmlns:a16="http://schemas.microsoft.com/office/drawing/2014/main" id="{00000000-0008-0000-0000-000007030000}"/>
            </a:ext>
          </a:extLst>
        </xdr:cNvPr>
        <xdr:cNvPicPr>
          <a:picLocks noChangeAspect="1"/>
        </xdr:cNvPicPr>
      </xdr:nvPicPr>
      <xdr:blipFill>
        <a:blip xmlns:r="http://schemas.openxmlformats.org/officeDocument/2006/relationships" r:embed="rId762"/>
        <a:stretch>
          <a:fillRect/>
        </a:stretch>
      </xdr:blipFill>
      <xdr:spPr>
        <a:prstGeom prst="rect">
          <a:avLst/>
        </a:prstGeom>
        <a:ln w="9525">
          <a:solidFill>
            <a:srgbClr val="000000"/>
          </a:solidFill>
          <a:prstDash val="solid"/>
        </a:ln>
      </xdr:spPr>
    </xdr:pic>
    <xdr:clientData/>
  </xdr:twoCellAnchor>
  <xdr:twoCellAnchor>
    <xdr:from>
      <xdr:col>3</xdr:col>
      <xdr:colOff>114300</xdr:colOff>
      <xdr:row>1758</xdr:row>
      <xdr:rowOff>28575</xdr:rowOff>
    </xdr:from>
    <xdr:to>
      <xdr:col>3</xdr:col>
      <xdr:colOff>1552575</xdr:colOff>
      <xdr:row>1758</xdr:row>
      <xdr:rowOff>1266825</xdr:rowOff>
    </xdr:to>
    <xdr:pic>
      <xdr:nvPicPr>
        <xdr:cNvPr id="776" name="Имя " descr="Descr ">
          <a:extLst>
            <a:ext uri="{FF2B5EF4-FFF2-40B4-BE49-F238E27FC236}">
              <a16:creationId xmlns:a16="http://schemas.microsoft.com/office/drawing/2014/main" id="{00000000-0008-0000-0000-000008030000}"/>
            </a:ext>
          </a:extLst>
        </xdr:cNvPr>
        <xdr:cNvPicPr>
          <a:picLocks noChangeAspect="1"/>
        </xdr:cNvPicPr>
      </xdr:nvPicPr>
      <xdr:blipFill>
        <a:blip xmlns:r="http://schemas.openxmlformats.org/officeDocument/2006/relationships" r:embed="rId763"/>
        <a:stretch>
          <a:fillRect/>
        </a:stretch>
      </xdr:blipFill>
      <xdr:spPr>
        <a:prstGeom prst="rect">
          <a:avLst/>
        </a:prstGeom>
        <a:ln w="9525">
          <a:solidFill>
            <a:srgbClr val="000000"/>
          </a:solidFill>
          <a:prstDash val="solid"/>
        </a:ln>
      </xdr:spPr>
    </xdr:pic>
    <xdr:clientData/>
  </xdr:twoCellAnchor>
  <xdr:twoCellAnchor>
    <xdr:from>
      <xdr:col>3</xdr:col>
      <xdr:colOff>114300</xdr:colOff>
      <xdr:row>1759</xdr:row>
      <xdr:rowOff>28575</xdr:rowOff>
    </xdr:from>
    <xdr:to>
      <xdr:col>3</xdr:col>
      <xdr:colOff>1552575</xdr:colOff>
      <xdr:row>1759</xdr:row>
      <xdr:rowOff>1266825</xdr:rowOff>
    </xdr:to>
    <xdr:pic>
      <xdr:nvPicPr>
        <xdr:cNvPr id="777" name="Имя " descr="Descr ">
          <a:extLst>
            <a:ext uri="{FF2B5EF4-FFF2-40B4-BE49-F238E27FC236}">
              <a16:creationId xmlns:a16="http://schemas.microsoft.com/office/drawing/2014/main" id="{00000000-0008-0000-0000-000009030000}"/>
            </a:ext>
          </a:extLst>
        </xdr:cNvPr>
        <xdr:cNvPicPr>
          <a:picLocks noChangeAspect="1"/>
        </xdr:cNvPicPr>
      </xdr:nvPicPr>
      <xdr:blipFill>
        <a:blip xmlns:r="http://schemas.openxmlformats.org/officeDocument/2006/relationships" r:embed="rId764"/>
        <a:stretch>
          <a:fillRect/>
        </a:stretch>
      </xdr:blipFill>
      <xdr:spPr>
        <a:prstGeom prst="rect">
          <a:avLst/>
        </a:prstGeom>
        <a:ln w="9525">
          <a:solidFill>
            <a:srgbClr val="000000"/>
          </a:solidFill>
          <a:prstDash val="solid"/>
        </a:ln>
      </xdr:spPr>
    </xdr:pic>
    <xdr:clientData/>
  </xdr:twoCellAnchor>
  <xdr:twoCellAnchor>
    <xdr:from>
      <xdr:col>3</xdr:col>
      <xdr:colOff>114300</xdr:colOff>
      <xdr:row>1760</xdr:row>
      <xdr:rowOff>28575</xdr:rowOff>
    </xdr:from>
    <xdr:to>
      <xdr:col>3</xdr:col>
      <xdr:colOff>1552575</xdr:colOff>
      <xdr:row>1762</xdr:row>
      <xdr:rowOff>419100</xdr:rowOff>
    </xdr:to>
    <xdr:pic>
      <xdr:nvPicPr>
        <xdr:cNvPr id="778" name="Имя " descr="Descr ">
          <a:extLst>
            <a:ext uri="{FF2B5EF4-FFF2-40B4-BE49-F238E27FC236}">
              <a16:creationId xmlns:a16="http://schemas.microsoft.com/office/drawing/2014/main" id="{00000000-0008-0000-0000-00000A030000}"/>
            </a:ext>
          </a:extLst>
        </xdr:cNvPr>
        <xdr:cNvPicPr>
          <a:picLocks noChangeAspect="1"/>
        </xdr:cNvPicPr>
      </xdr:nvPicPr>
      <xdr:blipFill>
        <a:blip xmlns:r="http://schemas.openxmlformats.org/officeDocument/2006/relationships" r:embed="rId765"/>
        <a:stretch>
          <a:fillRect/>
        </a:stretch>
      </xdr:blipFill>
      <xdr:spPr>
        <a:prstGeom prst="rect">
          <a:avLst/>
        </a:prstGeom>
        <a:ln w="9525">
          <a:solidFill>
            <a:srgbClr val="000000"/>
          </a:solidFill>
          <a:prstDash val="solid"/>
        </a:ln>
      </xdr:spPr>
    </xdr:pic>
    <xdr:clientData/>
  </xdr:twoCellAnchor>
  <xdr:twoCellAnchor>
    <xdr:from>
      <xdr:col>3</xdr:col>
      <xdr:colOff>114300</xdr:colOff>
      <xdr:row>1763</xdr:row>
      <xdr:rowOff>38100</xdr:rowOff>
    </xdr:from>
    <xdr:to>
      <xdr:col>3</xdr:col>
      <xdr:colOff>1552575</xdr:colOff>
      <xdr:row>1764</xdr:row>
      <xdr:rowOff>638175</xdr:rowOff>
    </xdr:to>
    <xdr:pic>
      <xdr:nvPicPr>
        <xdr:cNvPr id="779" name="Имя " descr="Descr ">
          <a:extLst>
            <a:ext uri="{FF2B5EF4-FFF2-40B4-BE49-F238E27FC236}">
              <a16:creationId xmlns:a16="http://schemas.microsoft.com/office/drawing/2014/main" id="{00000000-0008-0000-0000-00000B030000}"/>
            </a:ext>
          </a:extLst>
        </xdr:cNvPr>
        <xdr:cNvPicPr>
          <a:picLocks noChangeAspect="1"/>
        </xdr:cNvPicPr>
      </xdr:nvPicPr>
      <xdr:blipFill>
        <a:blip xmlns:r="http://schemas.openxmlformats.org/officeDocument/2006/relationships" r:embed="rId766"/>
        <a:stretch>
          <a:fillRect/>
        </a:stretch>
      </xdr:blipFill>
      <xdr:spPr>
        <a:prstGeom prst="rect">
          <a:avLst/>
        </a:prstGeom>
        <a:ln w="9525">
          <a:solidFill>
            <a:srgbClr val="000000"/>
          </a:solidFill>
          <a:prstDash val="solid"/>
        </a:ln>
      </xdr:spPr>
    </xdr:pic>
    <xdr:clientData/>
  </xdr:twoCellAnchor>
  <xdr:twoCellAnchor>
    <xdr:from>
      <xdr:col>3</xdr:col>
      <xdr:colOff>114300</xdr:colOff>
      <xdr:row>1765</xdr:row>
      <xdr:rowOff>38100</xdr:rowOff>
    </xdr:from>
    <xdr:to>
      <xdr:col>3</xdr:col>
      <xdr:colOff>1552575</xdr:colOff>
      <xdr:row>1766</xdr:row>
      <xdr:rowOff>638175</xdr:rowOff>
    </xdr:to>
    <xdr:pic>
      <xdr:nvPicPr>
        <xdr:cNvPr id="780" name="Имя " descr="Descr ">
          <a:extLst>
            <a:ext uri="{FF2B5EF4-FFF2-40B4-BE49-F238E27FC236}">
              <a16:creationId xmlns:a16="http://schemas.microsoft.com/office/drawing/2014/main" id="{00000000-0008-0000-0000-00000C030000}"/>
            </a:ext>
          </a:extLst>
        </xdr:cNvPr>
        <xdr:cNvPicPr>
          <a:picLocks noChangeAspect="1"/>
        </xdr:cNvPicPr>
      </xdr:nvPicPr>
      <xdr:blipFill>
        <a:blip xmlns:r="http://schemas.openxmlformats.org/officeDocument/2006/relationships" r:embed="rId767"/>
        <a:stretch>
          <a:fillRect/>
        </a:stretch>
      </xdr:blipFill>
      <xdr:spPr>
        <a:prstGeom prst="rect">
          <a:avLst/>
        </a:prstGeom>
        <a:ln w="9525">
          <a:solidFill>
            <a:srgbClr val="000000"/>
          </a:solidFill>
          <a:prstDash val="solid"/>
        </a:ln>
      </xdr:spPr>
    </xdr:pic>
    <xdr:clientData/>
  </xdr:twoCellAnchor>
  <xdr:twoCellAnchor>
    <xdr:from>
      <xdr:col>3</xdr:col>
      <xdr:colOff>114300</xdr:colOff>
      <xdr:row>1767</xdr:row>
      <xdr:rowOff>28575</xdr:rowOff>
    </xdr:from>
    <xdr:to>
      <xdr:col>3</xdr:col>
      <xdr:colOff>1552575</xdr:colOff>
      <xdr:row>1767</xdr:row>
      <xdr:rowOff>1266825</xdr:rowOff>
    </xdr:to>
    <xdr:pic>
      <xdr:nvPicPr>
        <xdr:cNvPr id="781" name="Имя " descr="Descr ">
          <a:extLst>
            <a:ext uri="{FF2B5EF4-FFF2-40B4-BE49-F238E27FC236}">
              <a16:creationId xmlns:a16="http://schemas.microsoft.com/office/drawing/2014/main" id="{00000000-0008-0000-0000-00000D030000}"/>
            </a:ext>
          </a:extLst>
        </xdr:cNvPr>
        <xdr:cNvPicPr>
          <a:picLocks noChangeAspect="1"/>
        </xdr:cNvPicPr>
      </xdr:nvPicPr>
      <xdr:blipFill>
        <a:blip xmlns:r="http://schemas.openxmlformats.org/officeDocument/2006/relationships" r:embed="rId768"/>
        <a:stretch>
          <a:fillRect/>
        </a:stretch>
      </xdr:blipFill>
      <xdr:spPr>
        <a:prstGeom prst="rect">
          <a:avLst/>
        </a:prstGeom>
        <a:ln w="9525">
          <a:solidFill>
            <a:srgbClr val="000000"/>
          </a:solidFill>
          <a:prstDash val="solid"/>
        </a:ln>
      </xdr:spPr>
    </xdr:pic>
    <xdr:clientData/>
  </xdr:twoCellAnchor>
  <xdr:twoCellAnchor>
    <xdr:from>
      <xdr:col>3</xdr:col>
      <xdr:colOff>114300</xdr:colOff>
      <xdr:row>1768</xdr:row>
      <xdr:rowOff>28575</xdr:rowOff>
    </xdr:from>
    <xdr:to>
      <xdr:col>3</xdr:col>
      <xdr:colOff>1552575</xdr:colOff>
      <xdr:row>1768</xdr:row>
      <xdr:rowOff>1266825</xdr:rowOff>
    </xdr:to>
    <xdr:pic>
      <xdr:nvPicPr>
        <xdr:cNvPr id="782" name="Имя " descr="Descr ">
          <a:extLst>
            <a:ext uri="{FF2B5EF4-FFF2-40B4-BE49-F238E27FC236}">
              <a16:creationId xmlns:a16="http://schemas.microsoft.com/office/drawing/2014/main" id="{00000000-0008-0000-0000-00000E030000}"/>
            </a:ext>
          </a:extLst>
        </xdr:cNvPr>
        <xdr:cNvPicPr>
          <a:picLocks noChangeAspect="1"/>
        </xdr:cNvPicPr>
      </xdr:nvPicPr>
      <xdr:blipFill>
        <a:blip xmlns:r="http://schemas.openxmlformats.org/officeDocument/2006/relationships" r:embed="rId769"/>
        <a:stretch>
          <a:fillRect/>
        </a:stretch>
      </xdr:blipFill>
      <xdr:spPr>
        <a:prstGeom prst="rect">
          <a:avLst/>
        </a:prstGeom>
        <a:ln w="9525">
          <a:solidFill>
            <a:srgbClr val="000000"/>
          </a:solidFill>
          <a:prstDash val="solid"/>
        </a:ln>
      </xdr:spPr>
    </xdr:pic>
    <xdr:clientData/>
  </xdr:twoCellAnchor>
  <xdr:twoCellAnchor>
    <xdr:from>
      <xdr:col>3</xdr:col>
      <xdr:colOff>114300</xdr:colOff>
      <xdr:row>1769</xdr:row>
      <xdr:rowOff>28575</xdr:rowOff>
    </xdr:from>
    <xdr:to>
      <xdr:col>3</xdr:col>
      <xdr:colOff>1552575</xdr:colOff>
      <xdr:row>1769</xdr:row>
      <xdr:rowOff>1266825</xdr:rowOff>
    </xdr:to>
    <xdr:pic>
      <xdr:nvPicPr>
        <xdr:cNvPr id="783" name="Имя " descr="Descr ">
          <a:extLst>
            <a:ext uri="{FF2B5EF4-FFF2-40B4-BE49-F238E27FC236}">
              <a16:creationId xmlns:a16="http://schemas.microsoft.com/office/drawing/2014/main" id="{00000000-0008-0000-0000-00000F030000}"/>
            </a:ext>
          </a:extLst>
        </xdr:cNvPr>
        <xdr:cNvPicPr>
          <a:picLocks noChangeAspect="1"/>
        </xdr:cNvPicPr>
      </xdr:nvPicPr>
      <xdr:blipFill>
        <a:blip xmlns:r="http://schemas.openxmlformats.org/officeDocument/2006/relationships" r:embed="rId770"/>
        <a:stretch>
          <a:fillRect/>
        </a:stretch>
      </xdr:blipFill>
      <xdr:spPr>
        <a:prstGeom prst="rect">
          <a:avLst/>
        </a:prstGeom>
        <a:ln w="9525">
          <a:solidFill>
            <a:srgbClr val="000000"/>
          </a:solidFill>
          <a:prstDash val="solid"/>
        </a:ln>
      </xdr:spPr>
    </xdr:pic>
    <xdr:clientData/>
  </xdr:twoCellAnchor>
  <xdr:twoCellAnchor>
    <xdr:from>
      <xdr:col>3</xdr:col>
      <xdr:colOff>114300</xdr:colOff>
      <xdr:row>1770</xdr:row>
      <xdr:rowOff>28575</xdr:rowOff>
    </xdr:from>
    <xdr:to>
      <xdr:col>3</xdr:col>
      <xdr:colOff>1552575</xdr:colOff>
      <xdr:row>1772</xdr:row>
      <xdr:rowOff>419100</xdr:rowOff>
    </xdr:to>
    <xdr:pic>
      <xdr:nvPicPr>
        <xdr:cNvPr id="784" name="Имя " descr="Descr ">
          <a:extLst>
            <a:ext uri="{FF2B5EF4-FFF2-40B4-BE49-F238E27FC236}">
              <a16:creationId xmlns:a16="http://schemas.microsoft.com/office/drawing/2014/main" id="{00000000-0008-0000-0000-000010030000}"/>
            </a:ext>
          </a:extLst>
        </xdr:cNvPr>
        <xdr:cNvPicPr>
          <a:picLocks noChangeAspect="1"/>
        </xdr:cNvPicPr>
      </xdr:nvPicPr>
      <xdr:blipFill>
        <a:blip xmlns:r="http://schemas.openxmlformats.org/officeDocument/2006/relationships" r:embed="rId771"/>
        <a:stretch>
          <a:fillRect/>
        </a:stretch>
      </xdr:blipFill>
      <xdr:spPr>
        <a:prstGeom prst="rect">
          <a:avLst/>
        </a:prstGeom>
        <a:ln w="9525">
          <a:solidFill>
            <a:srgbClr val="000000"/>
          </a:solidFill>
          <a:prstDash val="solid"/>
        </a:ln>
      </xdr:spPr>
    </xdr:pic>
    <xdr:clientData/>
  </xdr:twoCellAnchor>
  <xdr:twoCellAnchor>
    <xdr:from>
      <xdr:col>3</xdr:col>
      <xdr:colOff>114300</xdr:colOff>
      <xdr:row>1773</xdr:row>
      <xdr:rowOff>28575</xdr:rowOff>
    </xdr:from>
    <xdr:to>
      <xdr:col>3</xdr:col>
      <xdr:colOff>1552575</xdr:colOff>
      <xdr:row>1773</xdr:row>
      <xdr:rowOff>1266825</xdr:rowOff>
    </xdr:to>
    <xdr:pic>
      <xdr:nvPicPr>
        <xdr:cNvPr id="785" name="Имя " descr="Descr ">
          <a:extLst>
            <a:ext uri="{FF2B5EF4-FFF2-40B4-BE49-F238E27FC236}">
              <a16:creationId xmlns:a16="http://schemas.microsoft.com/office/drawing/2014/main" id="{00000000-0008-0000-0000-000011030000}"/>
            </a:ext>
          </a:extLst>
        </xdr:cNvPr>
        <xdr:cNvPicPr>
          <a:picLocks noChangeAspect="1"/>
        </xdr:cNvPicPr>
      </xdr:nvPicPr>
      <xdr:blipFill>
        <a:blip xmlns:r="http://schemas.openxmlformats.org/officeDocument/2006/relationships" r:embed="rId772"/>
        <a:stretch>
          <a:fillRect/>
        </a:stretch>
      </xdr:blipFill>
      <xdr:spPr>
        <a:prstGeom prst="rect">
          <a:avLst/>
        </a:prstGeom>
        <a:ln w="9525">
          <a:solidFill>
            <a:srgbClr val="000000"/>
          </a:solidFill>
          <a:prstDash val="solid"/>
        </a:ln>
      </xdr:spPr>
    </xdr:pic>
    <xdr:clientData/>
  </xdr:twoCellAnchor>
  <xdr:twoCellAnchor>
    <xdr:from>
      <xdr:col>3</xdr:col>
      <xdr:colOff>114300</xdr:colOff>
      <xdr:row>1774</xdr:row>
      <xdr:rowOff>38100</xdr:rowOff>
    </xdr:from>
    <xdr:to>
      <xdr:col>3</xdr:col>
      <xdr:colOff>1552575</xdr:colOff>
      <xdr:row>1775</xdr:row>
      <xdr:rowOff>638175</xdr:rowOff>
    </xdr:to>
    <xdr:pic>
      <xdr:nvPicPr>
        <xdr:cNvPr id="786" name="Имя " descr="Descr ">
          <a:extLst>
            <a:ext uri="{FF2B5EF4-FFF2-40B4-BE49-F238E27FC236}">
              <a16:creationId xmlns:a16="http://schemas.microsoft.com/office/drawing/2014/main" id="{00000000-0008-0000-0000-000012030000}"/>
            </a:ext>
          </a:extLst>
        </xdr:cNvPr>
        <xdr:cNvPicPr>
          <a:picLocks noChangeAspect="1"/>
        </xdr:cNvPicPr>
      </xdr:nvPicPr>
      <xdr:blipFill>
        <a:blip xmlns:r="http://schemas.openxmlformats.org/officeDocument/2006/relationships" r:embed="rId773"/>
        <a:stretch>
          <a:fillRect/>
        </a:stretch>
      </xdr:blipFill>
      <xdr:spPr>
        <a:prstGeom prst="rect">
          <a:avLst/>
        </a:prstGeom>
        <a:ln w="9525">
          <a:solidFill>
            <a:srgbClr val="000000"/>
          </a:solidFill>
          <a:prstDash val="solid"/>
        </a:ln>
      </xdr:spPr>
    </xdr:pic>
    <xdr:clientData/>
  </xdr:twoCellAnchor>
  <xdr:twoCellAnchor>
    <xdr:from>
      <xdr:col>3</xdr:col>
      <xdr:colOff>114300</xdr:colOff>
      <xdr:row>1776</xdr:row>
      <xdr:rowOff>28575</xdr:rowOff>
    </xdr:from>
    <xdr:to>
      <xdr:col>3</xdr:col>
      <xdr:colOff>1552575</xdr:colOff>
      <xdr:row>1776</xdr:row>
      <xdr:rowOff>1266825</xdr:rowOff>
    </xdr:to>
    <xdr:pic>
      <xdr:nvPicPr>
        <xdr:cNvPr id="787" name="Имя " descr="Descr ">
          <a:extLst>
            <a:ext uri="{FF2B5EF4-FFF2-40B4-BE49-F238E27FC236}">
              <a16:creationId xmlns:a16="http://schemas.microsoft.com/office/drawing/2014/main" id="{00000000-0008-0000-0000-000013030000}"/>
            </a:ext>
          </a:extLst>
        </xdr:cNvPr>
        <xdr:cNvPicPr>
          <a:picLocks noChangeAspect="1"/>
        </xdr:cNvPicPr>
      </xdr:nvPicPr>
      <xdr:blipFill>
        <a:blip xmlns:r="http://schemas.openxmlformats.org/officeDocument/2006/relationships" r:embed="rId767"/>
        <a:stretch>
          <a:fillRect/>
        </a:stretch>
      </xdr:blipFill>
      <xdr:spPr>
        <a:prstGeom prst="rect">
          <a:avLst/>
        </a:prstGeom>
        <a:ln w="9525">
          <a:solidFill>
            <a:srgbClr val="000000"/>
          </a:solidFill>
          <a:prstDash val="solid"/>
        </a:ln>
      </xdr:spPr>
    </xdr:pic>
    <xdr:clientData/>
  </xdr:twoCellAnchor>
  <xdr:twoCellAnchor>
    <xdr:from>
      <xdr:col>3</xdr:col>
      <xdr:colOff>114300</xdr:colOff>
      <xdr:row>1777</xdr:row>
      <xdr:rowOff>28575</xdr:rowOff>
    </xdr:from>
    <xdr:to>
      <xdr:col>3</xdr:col>
      <xdr:colOff>1552575</xdr:colOff>
      <xdr:row>1777</xdr:row>
      <xdr:rowOff>1266825</xdr:rowOff>
    </xdr:to>
    <xdr:pic>
      <xdr:nvPicPr>
        <xdr:cNvPr id="788" name="Имя " descr="Descr ">
          <a:extLst>
            <a:ext uri="{FF2B5EF4-FFF2-40B4-BE49-F238E27FC236}">
              <a16:creationId xmlns:a16="http://schemas.microsoft.com/office/drawing/2014/main" id="{00000000-0008-0000-0000-000014030000}"/>
            </a:ext>
          </a:extLst>
        </xdr:cNvPr>
        <xdr:cNvPicPr>
          <a:picLocks noChangeAspect="1"/>
        </xdr:cNvPicPr>
      </xdr:nvPicPr>
      <xdr:blipFill>
        <a:blip xmlns:r="http://schemas.openxmlformats.org/officeDocument/2006/relationships" r:embed="rId769"/>
        <a:stretch>
          <a:fillRect/>
        </a:stretch>
      </xdr:blipFill>
      <xdr:spPr>
        <a:prstGeom prst="rect">
          <a:avLst/>
        </a:prstGeom>
        <a:ln w="9525">
          <a:solidFill>
            <a:srgbClr val="000000"/>
          </a:solidFill>
          <a:prstDash val="solid"/>
        </a:ln>
      </xdr:spPr>
    </xdr:pic>
    <xdr:clientData/>
  </xdr:twoCellAnchor>
  <xdr:twoCellAnchor>
    <xdr:from>
      <xdr:col>3</xdr:col>
      <xdr:colOff>114300</xdr:colOff>
      <xdr:row>1778</xdr:row>
      <xdr:rowOff>28575</xdr:rowOff>
    </xdr:from>
    <xdr:to>
      <xdr:col>3</xdr:col>
      <xdr:colOff>1552575</xdr:colOff>
      <xdr:row>1780</xdr:row>
      <xdr:rowOff>419100</xdr:rowOff>
    </xdr:to>
    <xdr:pic>
      <xdr:nvPicPr>
        <xdr:cNvPr id="789" name="Имя " descr="Descr ">
          <a:extLst>
            <a:ext uri="{FF2B5EF4-FFF2-40B4-BE49-F238E27FC236}">
              <a16:creationId xmlns:a16="http://schemas.microsoft.com/office/drawing/2014/main" id="{00000000-0008-0000-0000-000015030000}"/>
            </a:ext>
          </a:extLst>
        </xdr:cNvPr>
        <xdr:cNvPicPr>
          <a:picLocks noChangeAspect="1"/>
        </xdr:cNvPicPr>
      </xdr:nvPicPr>
      <xdr:blipFill>
        <a:blip xmlns:r="http://schemas.openxmlformats.org/officeDocument/2006/relationships" r:embed="rId774"/>
        <a:stretch>
          <a:fillRect/>
        </a:stretch>
      </xdr:blipFill>
      <xdr:spPr>
        <a:prstGeom prst="rect">
          <a:avLst/>
        </a:prstGeom>
        <a:ln w="9525">
          <a:solidFill>
            <a:srgbClr val="000000"/>
          </a:solidFill>
          <a:prstDash val="solid"/>
        </a:ln>
      </xdr:spPr>
    </xdr:pic>
    <xdr:clientData/>
  </xdr:twoCellAnchor>
  <xdr:twoCellAnchor>
    <xdr:from>
      <xdr:col>3</xdr:col>
      <xdr:colOff>114300</xdr:colOff>
      <xdr:row>1781</xdr:row>
      <xdr:rowOff>28575</xdr:rowOff>
    </xdr:from>
    <xdr:to>
      <xdr:col>3</xdr:col>
      <xdr:colOff>1552575</xdr:colOff>
      <xdr:row>1783</xdr:row>
      <xdr:rowOff>419100</xdr:rowOff>
    </xdr:to>
    <xdr:pic>
      <xdr:nvPicPr>
        <xdr:cNvPr id="790" name="Имя " descr="Descr ">
          <a:extLst>
            <a:ext uri="{FF2B5EF4-FFF2-40B4-BE49-F238E27FC236}">
              <a16:creationId xmlns:a16="http://schemas.microsoft.com/office/drawing/2014/main" id="{00000000-0008-0000-0000-000016030000}"/>
            </a:ext>
          </a:extLst>
        </xdr:cNvPr>
        <xdr:cNvPicPr>
          <a:picLocks noChangeAspect="1"/>
        </xdr:cNvPicPr>
      </xdr:nvPicPr>
      <xdr:blipFill>
        <a:blip xmlns:r="http://schemas.openxmlformats.org/officeDocument/2006/relationships" r:embed="rId775"/>
        <a:stretch>
          <a:fillRect/>
        </a:stretch>
      </xdr:blipFill>
      <xdr:spPr>
        <a:prstGeom prst="rect">
          <a:avLst/>
        </a:prstGeom>
        <a:ln w="9525">
          <a:solidFill>
            <a:srgbClr val="000000"/>
          </a:solidFill>
          <a:prstDash val="solid"/>
        </a:ln>
      </xdr:spPr>
    </xdr:pic>
    <xdr:clientData/>
  </xdr:twoCellAnchor>
  <xdr:twoCellAnchor>
    <xdr:from>
      <xdr:col>3</xdr:col>
      <xdr:colOff>114300</xdr:colOff>
      <xdr:row>1784</xdr:row>
      <xdr:rowOff>28575</xdr:rowOff>
    </xdr:from>
    <xdr:to>
      <xdr:col>3</xdr:col>
      <xdr:colOff>1552575</xdr:colOff>
      <xdr:row>1787</xdr:row>
      <xdr:rowOff>209550</xdr:rowOff>
    </xdr:to>
    <xdr:pic>
      <xdr:nvPicPr>
        <xdr:cNvPr id="791" name="Имя " descr="Descr ">
          <a:extLst>
            <a:ext uri="{FF2B5EF4-FFF2-40B4-BE49-F238E27FC236}">
              <a16:creationId xmlns:a16="http://schemas.microsoft.com/office/drawing/2014/main" id="{00000000-0008-0000-0000-000017030000}"/>
            </a:ext>
          </a:extLst>
        </xdr:cNvPr>
        <xdr:cNvPicPr>
          <a:picLocks noChangeAspect="1"/>
        </xdr:cNvPicPr>
      </xdr:nvPicPr>
      <xdr:blipFill>
        <a:blip xmlns:r="http://schemas.openxmlformats.org/officeDocument/2006/relationships" r:embed="rId776"/>
        <a:stretch>
          <a:fillRect/>
        </a:stretch>
      </xdr:blipFill>
      <xdr:spPr>
        <a:prstGeom prst="rect">
          <a:avLst/>
        </a:prstGeom>
        <a:ln w="9525">
          <a:solidFill>
            <a:srgbClr val="000000"/>
          </a:solidFill>
          <a:prstDash val="solid"/>
        </a:ln>
      </xdr:spPr>
    </xdr:pic>
    <xdr:clientData/>
  </xdr:twoCellAnchor>
  <xdr:twoCellAnchor>
    <xdr:from>
      <xdr:col>3</xdr:col>
      <xdr:colOff>114300</xdr:colOff>
      <xdr:row>1788</xdr:row>
      <xdr:rowOff>28575</xdr:rowOff>
    </xdr:from>
    <xdr:to>
      <xdr:col>3</xdr:col>
      <xdr:colOff>1552575</xdr:colOff>
      <xdr:row>1791</xdr:row>
      <xdr:rowOff>209550</xdr:rowOff>
    </xdr:to>
    <xdr:pic>
      <xdr:nvPicPr>
        <xdr:cNvPr id="792" name="Имя " descr="Descr ">
          <a:extLst>
            <a:ext uri="{FF2B5EF4-FFF2-40B4-BE49-F238E27FC236}">
              <a16:creationId xmlns:a16="http://schemas.microsoft.com/office/drawing/2014/main" id="{00000000-0008-0000-0000-000018030000}"/>
            </a:ext>
          </a:extLst>
        </xdr:cNvPr>
        <xdr:cNvPicPr>
          <a:picLocks noChangeAspect="1"/>
        </xdr:cNvPicPr>
      </xdr:nvPicPr>
      <xdr:blipFill>
        <a:blip xmlns:r="http://schemas.openxmlformats.org/officeDocument/2006/relationships" r:embed="rId777"/>
        <a:stretch>
          <a:fillRect/>
        </a:stretch>
      </xdr:blipFill>
      <xdr:spPr>
        <a:prstGeom prst="rect">
          <a:avLst/>
        </a:prstGeom>
        <a:ln w="9525">
          <a:solidFill>
            <a:srgbClr val="000000"/>
          </a:solidFill>
          <a:prstDash val="solid"/>
        </a:ln>
      </xdr:spPr>
    </xdr:pic>
    <xdr:clientData/>
  </xdr:twoCellAnchor>
  <xdr:twoCellAnchor>
    <xdr:from>
      <xdr:col>3</xdr:col>
      <xdr:colOff>114300</xdr:colOff>
      <xdr:row>1792</xdr:row>
      <xdr:rowOff>38100</xdr:rowOff>
    </xdr:from>
    <xdr:to>
      <xdr:col>3</xdr:col>
      <xdr:colOff>1552575</xdr:colOff>
      <xdr:row>1793</xdr:row>
      <xdr:rowOff>638175</xdr:rowOff>
    </xdr:to>
    <xdr:pic>
      <xdr:nvPicPr>
        <xdr:cNvPr id="793" name="Имя " descr="Descr ">
          <a:extLst>
            <a:ext uri="{FF2B5EF4-FFF2-40B4-BE49-F238E27FC236}">
              <a16:creationId xmlns:a16="http://schemas.microsoft.com/office/drawing/2014/main" id="{00000000-0008-0000-0000-000019030000}"/>
            </a:ext>
          </a:extLst>
        </xdr:cNvPr>
        <xdr:cNvPicPr>
          <a:picLocks noChangeAspect="1"/>
        </xdr:cNvPicPr>
      </xdr:nvPicPr>
      <xdr:blipFill>
        <a:blip xmlns:r="http://schemas.openxmlformats.org/officeDocument/2006/relationships" r:embed="rId778"/>
        <a:stretch>
          <a:fillRect/>
        </a:stretch>
      </xdr:blipFill>
      <xdr:spPr>
        <a:prstGeom prst="rect">
          <a:avLst/>
        </a:prstGeom>
        <a:ln w="9525">
          <a:solidFill>
            <a:srgbClr val="000000"/>
          </a:solidFill>
          <a:prstDash val="solid"/>
        </a:ln>
      </xdr:spPr>
    </xdr:pic>
    <xdr:clientData/>
  </xdr:twoCellAnchor>
  <xdr:twoCellAnchor>
    <xdr:from>
      <xdr:col>3</xdr:col>
      <xdr:colOff>114300</xdr:colOff>
      <xdr:row>1794</xdr:row>
      <xdr:rowOff>28575</xdr:rowOff>
    </xdr:from>
    <xdr:to>
      <xdr:col>3</xdr:col>
      <xdr:colOff>1552575</xdr:colOff>
      <xdr:row>1796</xdr:row>
      <xdr:rowOff>419100</xdr:rowOff>
    </xdr:to>
    <xdr:pic>
      <xdr:nvPicPr>
        <xdr:cNvPr id="794" name="Имя " descr="Descr ">
          <a:extLst>
            <a:ext uri="{FF2B5EF4-FFF2-40B4-BE49-F238E27FC236}">
              <a16:creationId xmlns:a16="http://schemas.microsoft.com/office/drawing/2014/main" id="{00000000-0008-0000-0000-00001A030000}"/>
            </a:ext>
          </a:extLst>
        </xdr:cNvPr>
        <xdr:cNvPicPr>
          <a:picLocks noChangeAspect="1"/>
        </xdr:cNvPicPr>
      </xdr:nvPicPr>
      <xdr:blipFill>
        <a:blip xmlns:r="http://schemas.openxmlformats.org/officeDocument/2006/relationships" r:embed="rId779"/>
        <a:stretch>
          <a:fillRect/>
        </a:stretch>
      </xdr:blipFill>
      <xdr:spPr>
        <a:prstGeom prst="rect">
          <a:avLst/>
        </a:prstGeom>
        <a:ln w="9525">
          <a:solidFill>
            <a:srgbClr val="000000"/>
          </a:solidFill>
          <a:prstDash val="solid"/>
        </a:ln>
      </xdr:spPr>
    </xdr:pic>
    <xdr:clientData/>
  </xdr:twoCellAnchor>
  <xdr:twoCellAnchor>
    <xdr:from>
      <xdr:col>3</xdr:col>
      <xdr:colOff>114300</xdr:colOff>
      <xdr:row>1797</xdr:row>
      <xdr:rowOff>28575</xdr:rowOff>
    </xdr:from>
    <xdr:to>
      <xdr:col>3</xdr:col>
      <xdr:colOff>1552575</xdr:colOff>
      <xdr:row>1797</xdr:row>
      <xdr:rowOff>1266825</xdr:rowOff>
    </xdr:to>
    <xdr:pic>
      <xdr:nvPicPr>
        <xdr:cNvPr id="795" name="Имя " descr="Descr ">
          <a:extLst>
            <a:ext uri="{FF2B5EF4-FFF2-40B4-BE49-F238E27FC236}">
              <a16:creationId xmlns:a16="http://schemas.microsoft.com/office/drawing/2014/main" id="{00000000-0008-0000-0000-00001B030000}"/>
            </a:ext>
          </a:extLst>
        </xdr:cNvPr>
        <xdr:cNvPicPr>
          <a:picLocks noChangeAspect="1"/>
        </xdr:cNvPicPr>
      </xdr:nvPicPr>
      <xdr:blipFill>
        <a:blip xmlns:r="http://schemas.openxmlformats.org/officeDocument/2006/relationships" r:embed="rId780"/>
        <a:stretch>
          <a:fillRect/>
        </a:stretch>
      </xdr:blipFill>
      <xdr:spPr>
        <a:prstGeom prst="rect">
          <a:avLst/>
        </a:prstGeom>
        <a:ln w="9525">
          <a:solidFill>
            <a:srgbClr val="000000"/>
          </a:solidFill>
          <a:prstDash val="solid"/>
        </a:ln>
      </xdr:spPr>
    </xdr:pic>
    <xdr:clientData/>
  </xdr:twoCellAnchor>
  <xdr:twoCellAnchor>
    <xdr:from>
      <xdr:col>3</xdr:col>
      <xdr:colOff>114300</xdr:colOff>
      <xdr:row>1798</xdr:row>
      <xdr:rowOff>28575</xdr:rowOff>
    </xdr:from>
    <xdr:to>
      <xdr:col>3</xdr:col>
      <xdr:colOff>1552575</xdr:colOff>
      <xdr:row>1798</xdr:row>
      <xdr:rowOff>1266825</xdr:rowOff>
    </xdr:to>
    <xdr:pic>
      <xdr:nvPicPr>
        <xdr:cNvPr id="796" name="Имя " descr="Descr ">
          <a:extLst>
            <a:ext uri="{FF2B5EF4-FFF2-40B4-BE49-F238E27FC236}">
              <a16:creationId xmlns:a16="http://schemas.microsoft.com/office/drawing/2014/main" id="{00000000-0008-0000-0000-00001C030000}"/>
            </a:ext>
          </a:extLst>
        </xdr:cNvPr>
        <xdr:cNvPicPr>
          <a:picLocks noChangeAspect="1"/>
        </xdr:cNvPicPr>
      </xdr:nvPicPr>
      <xdr:blipFill>
        <a:blip xmlns:r="http://schemas.openxmlformats.org/officeDocument/2006/relationships" r:embed="rId781"/>
        <a:stretch>
          <a:fillRect/>
        </a:stretch>
      </xdr:blipFill>
      <xdr:spPr>
        <a:prstGeom prst="rect">
          <a:avLst/>
        </a:prstGeom>
        <a:ln w="9525">
          <a:solidFill>
            <a:srgbClr val="000000"/>
          </a:solidFill>
          <a:prstDash val="solid"/>
        </a:ln>
      </xdr:spPr>
    </xdr:pic>
    <xdr:clientData/>
  </xdr:twoCellAnchor>
  <xdr:twoCellAnchor>
    <xdr:from>
      <xdr:col>3</xdr:col>
      <xdr:colOff>114300</xdr:colOff>
      <xdr:row>1799</xdr:row>
      <xdr:rowOff>28575</xdr:rowOff>
    </xdr:from>
    <xdr:to>
      <xdr:col>3</xdr:col>
      <xdr:colOff>1552575</xdr:colOff>
      <xdr:row>1799</xdr:row>
      <xdr:rowOff>1266825</xdr:rowOff>
    </xdr:to>
    <xdr:pic>
      <xdr:nvPicPr>
        <xdr:cNvPr id="797" name="Имя " descr="Descr ">
          <a:extLst>
            <a:ext uri="{FF2B5EF4-FFF2-40B4-BE49-F238E27FC236}">
              <a16:creationId xmlns:a16="http://schemas.microsoft.com/office/drawing/2014/main" id="{00000000-0008-0000-0000-00001D030000}"/>
            </a:ext>
          </a:extLst>
        </xdr:cNvPr>
        <xdr:cNvPicPr>
          <a:picLocks noChangeAspect="1"/>
        </xdr:cNvPicPr>
      </xdr:nvPicPr>
      <xdr:blipFill>
        <a:blip xmlns:r="http://schemas.openxmlformats.org/officeDocument/2006/relationships" r:embed="rId782"/>
        <a:stretch>
          <a:fillRect/>
        </a:stretch>
      </xdr:blipFill>
      <xdr:spPr>
        <a:prstGeom prst="rect">
          <a:avLst/>
        </a:prstGeom>
        <a:ln w="9525">
          <a:solidFill>
            <a:srgbClr val="000000"/>
          </a:solidFill>
          <a:prstDash val="solid"/>
        </a:ln>
      </xdr:spPr>
    </xdr:pic>
    <xdr:clientData/>
  </xdr:twoCellAnchor>
  <xdr:twoCellAnchor>
    <xdr:from>
      <xdr:col>3</xdr:col>
      <xdr:colOff>114300</xdr:colOff>
      <xdr:row>1800</xdr:row>
      <xdr:rowOff>28575</xdr:rowOff>
    </xdr:from>
    <xdr:to>
      <xdr:col>3</xdr:col>
      <xdr:colOff>1552575</xdr:colOff>
      <xdr:row>1800</xdr:row>
      <xdr:rowOff>1266825</xdr:rowOff>
    </xdr:to>
    <xdr:pic>
      <xdr:nvPicPr>
        <xdr:cNvPr id="798" name="Имя " descr="Descr ">
          <a:extLst>
            <a:ext uri="{FF2B5EF4-FFF2-40B4-BE49-F238E27FC236}">
              <a16:creationId xmlns:a16="http://schemas.microsoft.com/office/drawing/2014/main" id="{00000000-0008-0000-0000-00001E030000}"/>
            </a:ext>
          </a:extLst>
        </xdr:cNvPr>
        <xdr:cNvPicPr>
          <a:picLocks noChangeAspect="1"/>
        </xdr:cNvPicPr>
      </xdr:nvPicPr>
      <xdr:blipFill>
        <a:blip xmlns:r="http://schemas.openxmlformats.org/officeDocument/2006/relationships" r:embed="rId783"/>
        <a:stretch>
          <a:fillRect/>
        </a:stretch>
      </xdr:blipFill>
      <xdr:spPr>
        <a:prstGeom prst="rect">
          <a:avLst/>
        </a:prstGeom>
        <a:ln w="9525">
          <a:solidFill>
            <a:srgbClr val="000000"/>
          </a:solidFill>
          <a:prstDash val="solid"/>
        </a:ln>
      </xdr:spPr>
    </xdr:pic>
    <xdr:clientData/>
  </xdr:twoCellAnchor>
  <xdr:twoCellAnchor>
    <xdr:from>
      <xdr:col>3</xdr:col>
      <xdr:colOff>114300</xdr:colOff>
      <xdr:row>1801</xdr:row>
      <xdr:rowOff>38100</xdr:rowOff>
    </xdr:from>
    <xdr:to>
      <xdr:col>3</xdr:col>
      <xdr:colOff>1552575</xdr:colOff>
      <xdr:row>1802</xdr:row>
      <xdr:rowOff>638175</xdr:rowOff>
    </xdr:to>
    <xdr:pic>
      <xdr:nvPicPr>
        <xdr:cNvPr id="799" name="Имя " descr="Descr ">
          <a:extLst>
            <a:ext uri="{FF2B5EF4-FFF2-40B4-BE49-F238E27FC236}">
              <a16:creationId xmlns:a16="http://schemas.microsoft.com/office/drawing/2014/main" id="{00000000-0008-0000-0000-00001F030000}"/>
            </a:ext>
          </a:extLst>
        </xdr:cNvPr>
        <xdr:cNvPicPr>
          <a:picLocks noChangeAspect="1"/>
        </xdr:cNvPicPr>
      </xdr:nvPicPr>
      <xdr:blipFill>
        <a:blip xmlns:r="http://schemas.openxmlformats.org/officeDocument/2006/relationships" r:embed="rId784"/>
        <a:stretch>
          <a:fillRect/>
        </a:stretch>
      </xdr:blipFill>
      <xdr:spPr>
        <a:prstGeom prst="rect">
          <a:avLst/>
        </a:prstGeom>
        <a:ln w="9525">
          <a:solidFill>
            <a:srgbClr val="000000"/>
          </a:solidFill>
          <a:prstDash val="solid"/>
        </a:ln>
      </xdr:spPr>
    </xdr:pic>
    <xdr:clientData/>
  </xdr:twoCellAnchor>
  <xdr:twoCellAnchor>
    <xdr:from>
      <xdr:col>3</xdr:col>
      <xdr:colOff>114300</xdr:colOff>
      <xdr:row>1803</xdr:row>
      <xdr:rowOff>38100</xdr:rowOff>
    </xdr:from>
    <xdr:to>
      <xdr:col>3</xdr:col>
      <xdr:colOff>1552575</xdr:colOff>
      <xdr:row>1804</xdr:row>
      <xdr:rowOff>638175</xdr:rowOff>
    </xdr:to>
    <xdr:pic>
      <xdr:nvPicPr>
        <xdr:cNvPr id="800" name="Имя " descr="Descr ">
          <a:extLst>
            <a:ext uri="{FF2B5EF4-FFF2-40B4-BE49-F238E27FC236}">
              <a16:creationId xmlns:a16="http://schemas.microsoft.com/office/drawing/2014/main" id="{00000000-0008-0000-0000-000020030000}"/>
            </a:ext>
          </a:extLst>
        </xdr:cNvPr>
        <xdr:cNvPicPr>
          <a:picLocks noChangeAspect="1"/>
        </xdr:cNvPicPr>
      </xdr:nvPicPr>
      <xdr:blipFill>
        <a:blip xmlns:r="http://schemas.openxmlformats.org/officeDocument/2006/relationships" r:embed="rId785"/>
        <a:stretch>
          <a:fillRect/>
        </a:stretch>
      </xdr:blipFill>
      <xdr:spPr>
        <a:prstGeom prst="rect">
          <a:avLst/>
        </a:prstGeom>
        <a:ln w="9525">
          <a:solidFill>
            <a:srgbClr val="000000"/>
          </a:solidFill>
          <a:prstDash val="solid"/>
        </a:ln>
      </xdr:spPr>
    </xdr:pic>
    <xdr:clientData/>
  </xdr:twoCellAnchor>
  <xdr:twoCellAnchor>
    <xdr:from>
      <xdr:col>3</xdr:col>
      <xdr:colOff>114300</xdr:colOff>
      <xdr:row>1805</xdr:row>
      <xdr:rowOff>28575</xdr:rowOff>
    </xdr:from>
    <xdr:to>
      <xdr:col>3</xdr:col>
      <xdr:colOff>1552575</xdr:colOff>
      <xdr:row>1805</xdr:row>
      <xdr:rowOff>1266825</xdr:rowOff>
    </xdr:to>
    <xdr:pic>
      <xdr:nvPicPr>
        <xdr:cNvPr id="801" name="Имя " descr="Descr ">
          <a:extLst>
            <a:ext uri="{FF2B5EF4-FFF2-40B4-BE49-F238E27FC236}">
              <a16:creationId xmlns:a16="http://schemas.microsoft.com/office/drawing/2014/main" id="{00000000-0008-0000-0000-000021030000}"/>
            </a:ext>
          </a:extLst>
        </xdr:cNvPr>
        <xdr:cNvPicPr>
          <a:picLocks noChangeAspect="1"/>
        </xdr:cNvPicPr>
      </xdr:nvPicPr>
      <xdr:blipFill>
        <a:blip xmlns:r="http://schemas.openxmlformats.org/officeDocument/2006/relationships" r:embed="rId786"/>
        <a:stretch>
          <a:fillRect/>
        </a:stretch>
      </xdr:blipFill>
      <xdr:spPr>
        <a:prstGeom prst="rect">
          <a:avLst/>
        </a:prstGeom>
        <a:ln w="9525">
          <a:solidFill>
            <a:srgbClr val="000000"/>
          </a:solidFill>
          <a:prstDash val="solid"/>
        </a:ln>
      </xdr:spPr>
    </xdr:pic>
    <xdr:clientData/>
  </xdr:twoCellAnchor>
  <xdr:twoCellAnchor>
    <xdr:from>
      <xdr:col>3</xdr:col>
      <xdr:colOff>114300</xdr:colOff>
      <xdr:row>1806</xdr:row>
      <xdr:rowOff>28575</xdr:rowOff>
    </xdr:from>
    <xdr:to>
      <xdr:col>3</xdr:col>
      <xdr:colOff>1552575</xdr:colOff>
      <xdr:row>1806</xdr:row>
      <xdr:rowOff>1266825</xdr:rowOff>
    </xdr:to>
    <xdr:pic>
      <xdr:nvPicPr>
        <xdr:cNvPr id="802" name="Имя " descr="Descr ">
          <a:extLst>
            <a:ext uri="{FF2B5EF4-FFF2-40B4-BE49-F238E27FC236}">
              <a16:creationId xmlns:a16="http://schemas.microsoft.com/office/drawing/2014/main" id="{00000000-0008-0000-0000-000022030000}"/>
            </a:ext>
          </a:extLst>
        </xdr:cNvPr>
        <xdr:cNvPicPr>
          <a:picLocks noChangeAspect="1"/>
        </xdr:cNvPicPr>
      </xdr:nvPicPr>
      <xdr:blipFill>
        <a:blip xmlns:r="http://schemas.openxmlformats.org/officeDocument/2006/relationships" r:embed="rId787"/>
        <a:stretch>
          <a:fillRect/>
        </a:stretch>
      </xdr:blipFill>
      <xdr:spPr>
        <a:prstGeom prst="rect">
          <a:avLst/>
        </a:prstGeom>
        <a:ln w="9525">
          <a:solidFill>
            <a:srgbClr val="000000"/>
          </a:solidFill>
          <a:prstDash val="solid"/>
        </a:ln>
      </xdr:spPr>
    </xdr:pic>
    <xdr:clientData/>
  </xdr:twoCellAnchor>
  <xdr:twoCellAnchor>
    <xdr:from>
      <xdr:col>3</xdr:col>
      <xdr:colOff>114300</xdr:colOff>
      <xdr:row>1807</xdr:row>
      <xdr:rowOff>28575</xdr:rowOff>
    </xdr:from>
    <xdr:to>
      <xdr:col>3</xdr:col>
      <xdr:colOff>1552575</xdr:colOff>
      <xdr:row>1807</xdr:row>
      <xdr:rowOff>1266825</xdr:rowOff>
    </xdr:to>
    <xdr:pic>
      <xdr:nvPicPr>
        <xdr:cNvPr id="803" name="Имя " descr="Descr ">
          <a:extLst>
            <a:ext uri="{FF2B5EF4-FFF2-40B4-BE49-F238E27FC236}">
              <a16:creationId xmlns:a16="http://schemas.microsoft.com/office/drawing/2014/main" id="{00000000-0008-0000-0000-000023030000}"/>
            </a:ext>
          </a:extLst>
        </xdr:cNvPr>
        <xdr:cNvPicPr>
          <a:picLocks noChangeAspect="1"/>
        </xdr:cNvPicPr>
      </xdr:nvPicPr>
      <xdr:blipFill>
        <a:blip xmlns:r="http://schemas.openxmlformats.org/officeDocument/2006/relationships" r:embed="rId788"/>
        <a:stretch>
          <a:fillRect/>
        </a:stretch>
      </xdr:blipFill>
      <xdr:spPr>
        <a:prstGeom prst="rect">
          <a:avLst/>
        </a:prstGeom>
        <a:ln w="9525">
          <a:solidFill>
            <a:srgbClr val="000000"/>
          </a:solidFill>
          <a:prstDash val="solid"/>
        </a:ln>
      </xdr:spPr>
    </xdr:pic>
    <xdr:clientData/>
  </xdr:twoCellAnchor>
  <xdr:twoCellAnchor>
    <xdr:from>
      <xdr:col>3</xdr:col>
      <xdr:colOff>114300</xdr:colOff>
      <xdr:row>1808</xdr:row>
      <xdr:rowOff>38100</xdr:rowOff>
    </xdr:from>
    <xdr:to>
      <xdr:col>3</xdr:col>
      <xdr:colOff>1552575</xdr:colOff>
      <xdr:row>1809</xdr:row>
      <xdr:rowOff>638175</xdr:rowOff>
    </xdr:to>
    <xdr:pic>
      <xdr:nvPicPr>
        <xdr:cNvPr id="804" name="Имя " descr="Descr ">
          <a:extLst>
            <a:ext uri="{FF2B5EF4-FFF2-40B4-BE49-F238E27FC236}">
              <a16:creationId xmlns:a16="http://schemas.microsoft.com/office/drawing/2014/main" id="{00000000-0008-0000-0000-000024030000}"/>
            </a:ext>
          </a:extLst>
        </xdr:cNvPr>
        <xdr:cNvPicPr>
          <a:picLocks noChangeAspect="1"/>
        </xdr:cNvPicPr>
      </xdr:nvPicPr>
      <xdr:blipFill>
        <a:blip xmlns:r="http://schemas.openxmlformats.org/officeDocument/2006/relationships" r:embed="rId789"/>
        <a:stretch>
          <a:fillRect/>
        </a:stretch>
      </xdr:blipFill>
      <xdr:spPr>
        <a:prstGeom prst="rect">
          <a:avLst/>
        </a:prstGeom>
        <a:ln w="9525">
          <a:solidFill>
            <a:srgbClr val="000000"/>
          </a:solidFill>
          <a:prstDash val="solid"/>
        </a:ln>
      </xdr:spPr>
    </xdr:pic>
    <xdr:clientData/>
  </xdr:twoCellAnchor>
  <xdr:twoCellAnchor>
    <xdr:from>
      <xdr:col>3</xdr:col>
      <xdr:colOff>114300</xdr:colOff>
      <xdr:row>1810</xdr:row>
      <xdr:rowOff>28575</xdr:rowOff>
    </xdr:from>
    <xdr:to>
      <xdr:col>3</xdr:col>
      <xdr:colOff>1552575</xdr:colOff>
      <xdr:row>1813</xdr:row>
      <xdr:rowOff>209550</xdr:rowOff>
    </xdr:to>
    <xdr:pic>
      <xdr:nvPicPr>
        <xdr:cNvPr id="805" name="Имя " descr="Descr ">
          <a:extLst>
            <a:ext uri="{FF2B5EF4-FFF2-40B4-BE49-F238E27FC236}">
              <a16:creationId xmlns:a16="http://schemas.microsoft.com/office/drawing/2014/main" id="{00000000-0008-0000-0000-000025030000}"/>
            </a:ext>
          </a:extLst>
        </xdr:cNvPr>
        <xdr:cNvPicPr>
          <a:picLocks noChangeAspect="1"/>
        </xdr:cNvPicPr>
      </xdr:nvPicPr>
      <xdr:blipFill>
        <a:blip xmlns:r="http://schemas.openxmlformats.org/officeDocument/2006/relationships" r:embed="rId790"/>
        <a:stretch>
          <a:fillRect/>
        </a:stretch>
      </xdr:blipFill>
      <xdr:spPr>
        <a:prstGeom prst="rect">
          <a:avLst/>
        </a:prstGeom>
        <a:ln w="9525">
          <a:solidFill>
            <a:srgbClr val="000000"/>
          </a:solidFill>
          <a:prstDash val="solid"/>
        </a:ln>
      </xdr:spPr>
    </xdr:pic>
    <xdr:clientData/>
  </xdr:twoCellAnchor>
  <xdr:twoCellAnchor>
    <xdr:from>
      <xdr:col>3</xdr:col>
      <xdr:colOff>114300</xdr:colOff>
      <xdr:row>1814</xdr:row>
      <xdr:rowOff>28575</xdr:rowOff>
    </xdr:from>
    <xdr:to>
      <xdr:col>3</xdr:col>
      <xdr:colOff>1552575</xdr:colOff>
      <xdr:row>1814</xdr:row>
      <xdr:rowOff>1266825</xdr:rowOff>
    </xdr:to>
    <xdr:pic>
      <xdr:nvPicPr>
        <xdr:cNvPr id="806" name="Имя " descr="Descr ">
          <a:extLst>
            <a:ext uri="{FF2B5EF4-FFF2-40B4-BE49-F238E27FC236}">
              <a16:creationId xmlns:a16="http://schemas.microsoft.com/office/drawing/2014/main" id="{00000000-0008-0000-0000-000026030000}"/>
            </a:ext>
          </a:extLst>
        </xdr:cNvPr>
        <xdr:cNvPicPr>
          <a:picLocks noChangeAspect="1"/>
        </xdr:cNvPicPr>
      </xdr:nvPicPr>
      <xdr:blipFill>
        <a:blip xmlns:r="http://schemas.openxmlformats.org/officeDocument/2006/relationships" r:embed="rId791"/>
        <a:stretch>
          <a:fillRect/>
        </a:stretch>
      </xdr:blipFill>
      <xdr:spPr>
        <a:prstGeom prst="rect">
          <a:avLst/>
        </a:prstGeom>
        <a:ln w="9525">
          <a:solidFill>
            <a:srgbClr val="000000"/>
          </a:solidFill>
          <a:prstDash val="solid"/>
        </a:ln>
      </xdr:spPr>
    </xdr:pic>
    <xdr:clientData/>
  </xdr:twoCellAnchor>
  <xdr:twoCellAnchor>
    <xdr:from>
      <xdr:col>3</xdr:col>
      <xdr:colOff>114300</xdr:colOff>
      <xdr:row>1815</xdr:row>
      <xdr:rowOff>28575</xdr:rowOff>
    </xdr:from>
    <xdr:to>
      <xdr:col>3</xdr:col>
      <xdr:colOff>1552575</xdr:colOff>
      <xdr:row>1815</xdr:row>
      <xdr:rowOff>1266825</xdr:rowOff>
    </xdr:to>
    <xdr:pic>
      <xdr:nvPicPr>
        <xdr:cNvPr id="807" name="Имя " descr="Descr ">
          <a:extLst>
            <a:ext uri="{FF2B5EF4-FFF2-40B4-BE49-F238E27FC236}">
              <a16:creationId xmlns:a16="http://schemas.microsoft.com/office/drawing/2014/main" id="{00000000-0008-0000-0000-000027030000}"/>
            </a:ext>
          </a:extLst>
        </xdr:cNvPr>
        <xdr:cNvPicPr>
          <a:picLocks noChangeAspect="1"/>
        </xdr:cNvPicPr>
      </xdr:nvPicPr>
      <xdr:blipFill>
        <a:blip xmlns:r="http://schemas.openxmlformats.org/officeDocument/2006/relationships" r:embed="rId792"/>
        <a:stretch>
          <a:fillRect/>
        </a:stretch>
      </xdr:blipFill>
      <xdr:spPr>
        <a:prstGeom prst="rect">
          <a:avLst/>
        </a:prstGeom>
        <a:ln w="9525">
          <a:solidFill>
            <a:srgbClr val="000000"/>
          </a:solidFill>
          <a:prstDash val="solid"/>
        </a:ln>
      </xdr:spPr>
    </xdr:pic>
    <xdr:clientData/>
  </xdr:twoCellAnchor>
  <xdr:twoCellAnchor>
    <xdr:from>
      <xdr:col>3</xdr:col>
      <xdr:colOff>114300</xdr:colOff>
      <xdr:row>1816</xdr:row>
      <xdr:rowOff>28575</xdr:rowOff>
    </xdr:from>
    <xdr:to>
      <xdr:col>3</xdr:col>
      <xdr:colOff>1552575</xdr:colOff>
      <xdr:row>1816</xdr:row>
      <xdr:rowOff>1266825</xdr:rowOff>
    </xdr:to>
    <xdr:pic>
      <xdr:nvPicPr>
        <xdr:cNvPr id="808" name="Имя " descr="Descr ">
          <a:extLst>
            <a:ext uri="{FF2B5EF4-FFF2-40B4-BE49-F238E27FC236}">
              <a16:creationId xmlns:a16="http://schemas.microsoft.com/office/drawing/2014/main" id="{00000000-0008-0000-0000-000028030000}"/>
            </a:ext>
          </a:extLst>
        </xdr:cNvPr>
        <xdr:cNvPicPr>
          <a:picLocks noChangeAspect="1"/>
        </xdr:cNvPicPr>
      </xdr:nvPicPr>
      <xdr:blipFill>
        <a:blip xmlns:r="http://schemas.openxmlformats.org/officeDocument/2006/relationships" r:embed="rId793"/>
        <a:stretch>
          <a:fillRect/>
        </a:stretch>
      </xdr:blipFill>
      <xdr:spPr>
        <a:prstGeom prst="rect">
          <a:avLst/>
        </a:prstGeom>
        <a:ln w="9525">
          <a:solidFill>
            <a:srgbClr val="000000"/>
          </a:solidFill>
          <a:prstDash val="solid"/>
        </a:ln>
      </xdr:spPr>
    </xdr:pic>
    <xdr:clientData/>
  </xdr:twoCellAnchor>
  <xdr:twoCellAnchor>
    <xdr:from>
      <xdr:col>3</xdr:col>
      <xdr:colOff>114300</xdr:colOff>
      <xdr:row>1817</xdr:row>
      <xdr:rowOff>28575</xdr:rowOff>
    </xdr:from>
    <xdr:to>
      <xdr:col>3</xdr:col>
      <xdr:colOff>1552575</xdr:colOff>
      <xdr:row>1819</xdr:row>
      <xdr:rowOff>419100</xdr:rowOff>
    </xdr:to>
    <xdr:pic>
      <xdr:nvPicPr>
        <xdr:cNvPr id="809" name="Имя " descr="Descr ">
          <a:extLst>
            <a:ext uri="{FF2B5EF4-FFF2-40B4-BE49-F238E27FC236}">
              <a16:creationId xmlns:a16="http://schemas.microsoft.com/office/drawing/2014/main" id="{00000000-0008-0000-0000-000029030000}"/>
            </a:ext>
          </a:extLst>
        </xdr:cNvPr>
        <xdr:cNvPicPr>
          <a:picLocks noChangeAspect="1"/>
        </xdr:cNvPicPr>
      </xdr:nvPicPr>
      <xdr:blipFill>
        <a:blip xmlns:r="http://schemas.openxmlformats.org/officeDocument/2006/relationships" r:embed="rId794"/>
        <a:stretch>
          <a:fillRect/>
        </a:stretch>
      </xdr:blipFill>
      <xdr:spPr>
        <a:prstGeom prst="rect">
          <a:avLst/>
        </a:prstGeom>
        <a:ln w="9525">
          <a:solidFill>
            <a:srgbClr val="000000"/>
          </a:solidFill>
          <a:prstDash val="solid"/>
        </a:ln>
      </xdr:spPr>
    </xdr:pic>
    <xdr:clientData/>
  </xdr:twoCellAnchor>
  <xdr:twoCellAnchor>
    <xdr:from>
      <xdr:col>3</xdr:col>
      <xdr:colOff>114300</xdr:colOff>
      <xdr:row>1820</xdr:row>
      <xdr:rowOff>28575</xdr:rowOff>
    </xdr:from>
    <xdr:to>
      <xdr:col>3</xdr:col>
      <xdr:colOff>1552575</xdr:colOff>
      <xdr:row>1820</xdr:row>
      <xdr:rowOff>1266825</xdr:rowOff>
    </xdr:to>
    <xdr:pic>
      <xdr:nvPicPr>
        <xdr:cNvPr id="810" name="Имя " descr="Descr ">
          <a:extLst>
            <a:ext uri="{FF2B5EF4-FFF2-40B4-BE49-F238E27FC236}">
              <a16:creationId xmlns:a16="http://schemas.microsoft.com/office/drawing/2014/main" id="{00000000-0008-0000-0000-00002A030000}"/>
            </a:ext>
          </a:extLst>
        </xdr:cNvPr>
        <xdr:cNvPicPr>
          <a:picLocks noChangeAspect="1"/>
        </xdr:cNvPicPr>
      </xdr:nvPicPr>
      <xdr:blipFill>
        <a:blip xmlns:r="http://schemas.openxmlformats.org/officeDocument/2006/relationships" r:embed="rId795"/>
        <a:stretch>
          <a:fillRect/>
        </a:stretch>
      </xdr:blipFill>
      <xdr:spPr>
        <a:prstGeom prst="rect">
          <a:avLst/>
        </a:prstGeom>
        <a:ln w="9525">
          <a:solidFill>
            <a:srgbClr val="000000"/>
          </a:solidFill>
          <a:prstDash val="solid"/>
        </a:ln>
      </xdr:spPr>
    </xdr:pic>
    <xdr:clientData/>
  </xdr:twoCellAnchor>
  <xdr:twoCellAnchor>
    <xdr:from>
      <xdr:col>3</xdr:col>
      <xdr:colOff>114300</xdr:colOff>
      <xdr:row>1821</xdr:row>
      <xdr:rowOff>28575</xdr:rowOff>
    </xdr:from>
    <xdr:to>
      <xdr:col>3</xdr:col>
      <xdr:colOff>1552575</xdr:colOff>
      <xdr:row>1821</xdr:row>
      <xdr:rowOff>1266825</xdr:rowOff>
    </xdr:to>
    <xdr:pic>
      <xdr:nvPicPr>
        <xdr:cNvPr id="811" name="Имя " descr="Descr ">
          <a:extLst>
            <a:ext uri="{FF2B5EF4-FFF2-40B4-BE49-F238E27FC236}">
              <a16:creationId xmlns:a16="http://schemas.microsoft.com/office/drawing/2014/main" id="{00000000-0008-0000-0000-00002B030000}"/>
            </a:ext>
          </a:extLst>
        </xdr:cNvPr>
        <xdr:cNvPicPr>
          <a:picLocks noChangeAspect="1"/>
        </xdr:cNvPicPr>
      </xdr:nvPicPr>
      <xdr:blipFill>
        <a:blip xmlns:r="http://schemas.openxmlformats.org/officeDocument/2006/relationships" r:embed="rId796"/>
        <a:stretch>
          <a:fillRect/>
        </a:stretch>
      </xdr:blipFill>
      <xdr:spPr>
        <a:prstGeom prst="rect">
          <a:avLst/>
        </a:prstGeom>
        <a:ln w="9525">
          <a:solidFill>
            <a:srgbClr val="000000"/>
          </a:solidFill>
          <a:prstDash val="solid"/>
        </a:ln>
      </xdr:spPr>
    </xdr:pic>
    <xdr:clientData/>
  </xdr:twoCellAnchor>
  <xdr:twoCellAnchor>
    <xdr:from>
      <xdr:col>3</xdr:col>
      <xdr:colOff>114300</xdr:colOff>
      <xdr:row>1822</xdr:row>
      <xdr:rowOff>28575</xdr:rowOff>
    </xdr:from>
    <xdr:to>
      <xdr:col>3</xdr:col>
      <xdr:colOff>1552575</xdr:colOff>
      <xdr:row>1822</xdr:row>
      <xdr:rowOff>1266825</xdr:rowOff>
    </xdr:to>
    <xdr:pic>
      <xdr:nvPicPr>
        <xdr:cNvPr id="812" name="Имя " descr="Descr ">
          <a:extLst>
            <a:ext uri="{FF2B5EF4-FFF2-40B4-BE49-F238E27FC236}">
              <a16:creationId xmlns:a16="http://schemas.microsoft.com/office/drawing/2014/main" id="{00000000-0008-0000-0000-00002C030000}"/>
            </a:ext>
          </a:extLst>
        </xdr:cNvPr>
        <xdr:cNvPicPr>
          <a:picLocks noChangeAspect="1"/>
        </xdr:cNvPicPr>
      </xdr:nvPicPr>
      <xdr:blipFill>
        <a:blip xmlns:r="http://schemas.openxmlformats.org/officeDocument/2006/relationships" r:embed="rId797"/>
        <a:stretch>
          <a:fillRect/>
        </a:stretch>
      </xdr:blipFill>
      <xdr:spPr>
        <a:prstGeom prst="rect">
          <a:avLst/>
        </a:prstGeom>
        <a:ln w="9525">
          <a:solidFill>
            <a:srgbClr val="000000"/>
          </a:solidFill>
          <a:prstDash val="solid"/>
        </a:ln>
      </xdr:spPr>
    </xdr:pic>
    <xdr:clientData/>
  </xdr:twoCellAnchor>
  <xdr:twoCellAnchor>
    <xdr:from>
      <xdr:col>3</xdr:col>
      <xdr:colOff>114300</xdr:colOff>
      <xdr:row>1823</xdr:row>
      <xdr:rowOff>28575</xdr:rowOff>
    </xdr:from>
    <xdr:to>
      <xdr:col>3</xdr:col>
      <xdr:colOff>1552575</xdr:colOff>
      <xdr:row>1823</xdr:row>
      <xdr:rowOff>1266825</xdr:rowOff>
    </xdr:to>
    <xdr:pic>
      <xdr:nvPicPr>
        <xdr:cNvPr id="813" name="Имя " descr="Descr ">
          <a:extLst>
            <a:ext uri="{FF2B5EF4-FFF2-40B4-BE49-F238E27FC236}">
              <a16:creationId xmlns:a16="http://schemas.microsoft.com/office/drawing/2014/main" id="{00000000-0008-0000-0000-00002D030000}"/>
            </a:ext>
          </a:extLst>
        </xdr:cNvPr>
        <xdr:cNvPicPr>
          <a:picLocks noChangeAspect="1"/>
        </xdr:cNvPicPr>
      </xdr:nvPicPr>
      <xdr:blipFill>
        <a:blip xmlns:r="http://schemas.openxmlformats.org/officeDocument/2006/relationships" r:embed="rId798"/>
        <a:stretch>
          <a:fillRect/>
        </a:stretch>
      </xdr:blipFill>
      <xdr:spPr>
        <a:prstGeom prst="rect">
          <a:avLst/>
        </a:prstGeom>
        <a:ln w="9525">
          <a:solidFill>
            <a:srgbClr val="000000"/>
          </a:solidFill>
          <a:prstDash val="solid"/>
        </a:ln>
      </xdr:spPr>
    </xdr:pic>
    <xdr:clientData/>
  </xdr:twoCellAnchor>
  <xdr:twoCellAnchor>
    <xdr:from>
      <xdr:col>3</xdr:col>
      <xdr:colOff>114300</xdr:colOff>
      <xdr:row>1824</xdr:row>
      <xdr:rowOff>28575</xdr:rowOff>
    </xdr:from>
    <xdr:to>
      <xdr:col>3</xdr:col>
      <xdr:colOff>1552575</xdr:colOff>
      <xdr:row>1824</xdr:row>
      <xdr:rowOff>1266825</xdr:rowOff>
    </xdr:to>
    <xdr:pic>
      <xdr:nvPicPr>
        <xdr:cNvPr id="814" name="Имя " descr="Descr ">
          <a:extLst>
            <a:ext uri="{FF2B5EF4-FFF2-40B4-BE49-F238E27FC236}">
              <a16:creationId xmlns:a16="http://schemas.microsoft.com/office/drawing/2014/main" id="{00000000-0008-0000-0000-00002E030000}"/>
            </a:ext>
          </a:extLst>
        </xdr:cNvPr>
        <xdr:cNvPicPr>
          <a:picLocks noChangeAspect="1"/>
        </xdr:cNvPicPr>
      </xdr:nvPicPr>
      <xdr:blipFill>
        <a:blip xmlns:r="http://schemas.openxmlformats.org/officeDocument/2006/relationships" r:embed="rId799"/>
        <a:stretch>
          <a:fillRect/>
        </a:stretch>
      </xdr:blipFill>
      <xdr:spPr>
        <a:prstGeom prst="rect">
          <a:avLst/>
        </a:prstGeom>
        <a:ln w="9525">
          <a:solidFill>
            <a:srgbClr val="000000"/>
          </a:solidFill>
          <a:prstDash val="solid"/>
        </a:ln>
      </xdr:spPr>
    </xdr:pic>
    <xdr:clientData/>
  </xdr:twoCellAnchor>
  <xdr:twoCellAnchor>
    <xdr:from>
      <xdr:col>3</xdr:col>
      <xdr:colOff>114300</xdr:colOff>
      <xdr:row>1825</xdr:row>
      <xdr:rowOff>28575</xdr:rowOff>
    </xdr:from>
    <xdr:to>
      <xdr:col>3</xdr:col>
      <xdr:colOff>1552575</xdr:colOff>
      <xdr:row>1825</xdr:row>
      <xdr:rowOff>1266825</xdr:rowOff>
    </xdr:to>
    <xdr:pic>
      <xdr:nvPicPr>
        <xdr:cNvPr id="815" name="Имя " descr="Descr ">
          <a:extLst>
            <a:ext uri="{FF2B5EF4-FFF2-40B4-BE49-F238E27FC236}">
              <a16:creationId xmlns:a16="http://schemas.microsoft.com/office/drawing/2014/main" id="{00000000-0008-0000-0000-00002F030000}"/>
            </a:ext>
          </a:extLst>
        </xdr:cNvPr>
        <xdr:cNvPicPr>
          <a:picLocks noChangeAspect="1"/>
        </xdr:cNvPicPr>
      </xdr:nvPicPr>
      <xdr:blipFill>
        <a:blip xmlns:r="http://schemas.openxmlformats.org/officeDocument/2006/relationships" r:embed="rId800"/>
        <a:stretch>
          <a:fillRect/>
        </a:stretch>
      </xdr:blipFill>
      <xdr:spPr>
        <a:prstGeom prst="rect">
          <a:avLst/>
        </a:prstGeom>
        <a:ln w="9525">
          <a:solidFill>
            <a:srgbClr val="000000"/>
          </a:solidFill>
          <a:prstDash val="solid"/>
        </a:ln>
      </xdr:spPr>
    </xdr:pic>
    <xdr:clientData/>
  </xdr:twoCellAnchor>
  <xdr:twoCellAnchor>
    <xdr:from>
      <xdr:col>3</xdr:col>
      <xdr:colOff>114300</xdr:colOff>
      <xdr:row>1826</xdr:row>
      <xdr:rowOff>28575</xdr:rowOff>
    </xdr:from>
    <xdr:to>
      <xdr:col>3</xdr:col>
      <xdr:colOff>1552575</xdr:colOff>
      <xdr:row>1826</xdr:row>
      <xdr:rowOff>1266825</xdr:rowOff>
    </xdr:to>
    <xdr:pic>
      <xdr:nvPicPr>
        <xdr:cNvPr id="816" name="Имя " descr="Descr ">
          <a:extLst>
            <a:ext uri="{FF2B5EF4-FFF2-40B4-BE49-F238E27FC236}">
              <a16:creationId xmlns:a16="http://schemas.microsoft.com/office/drawing/2014/main" id="{00000000-0008-0000-0000-000030030000}"/>
            </a:ext>
          </a:extLst>
        </xdr:cNvPr>
        <xdr:cNvPicPr>
          <a:picLocks noChangeAspect="1"/>
        </xdr:cNvPicPr>
      </xdr:nvPicPr>
      <xdr:blipFill>
        <a:blip xmlns:r="http://schemas.openxmlformats.org/officeDocument/2006/relationships" r:embed="rId801"/>
        <a:stretch>
          <a:fillRect/>
        </a:stretch>
      </xdr:blipFill>
      <xdr:spPr>
        <a:prstGeom prst="rect">
          <a:avLst/>
        </a:prstGeom>
        <a:ln w="9525">
          <a:solidFill>
            <a:srgbClr val="000000"/>
          </a:solidFill>
          <a:prstDash val="solid"/>
        </a:ln>
      </xdr:spPr>
    </xdr:pic>
    <xdr:clientData/>
  </xdr:twoCellAnchor>
  <xdr:twoCellAnchor>
    <xdr:from>
      <xdr:col>3</xdr:col>
      <xdr:colOff>114300</xdr:colOff>
      <xdr:row>1827</xdr:row>
      <xdr:rowOff>28575</xdr:rowOff>
    </xdr:from>
    <xdr:to>
      <xdr:col>3</xdr:col>
      <xdr:colOff>1552575</xdr:colOff>
      <xdr:row>1827</xdr:row>
      <xdr:rowOff>1266825</xdr:rowOff>
    </xdr:to>
    <xdr:pic>
      <xdr:nvPicPr>
        <xdr:cNvPr id="817" name="Имя " descr="Descr ">
          <a:extLst>
            <a:ext uri="{FF2B5EF4-FFF2-40B4-BE49-F238E27FC236}">
              <a16:creationId xmlns:a16="http://schemas.microsoft.com/office/drawing/2014/main" id="{00000000-0008-0000-0000-000031030000}"/>
            </a:ext>
          </a:extLst>
        </xdr:cNvPr>
        <xdr:cNvPicPr>
          <a:picLocks noChangeAspect="1"/>
        </xdr:cNvPicPr>
      </xdr:nvPicPr>
      <xdr:blipFill>
        <a:blip xmlns:r="http://schemas.openxmlformats.org/officeDocument/2006/relationships" r:embed="rId802"/>
        <a:stretch>
          <a:fillRect/>
        </a:stretch>
      </xdr:blipFill>
      <xdr:spPr>
        <a:prstGeom prst="rect">
          <a:avLst/>
        </a:prstGeom>
        <a:ln w="9525">
          <a:solidFill>
            <a:srgbClr val="000000"/>
          </a:solidFill>
          <a:prstDash val="solid"/>
        </a:ln>
      </xdr:spPr>
    </xdr:pic>
    <xdr:clientData/>
  </xdr:twoCellAnchor>
  <xdr:twoCellAnchor>
    <xdr:from>
      <xdr:col>3</xdr:col>
      <xdr:colOff>114300</xdr:colOff>
      <xdr:row>1828</xdr:row>
      <xdr:rowOff>28575</xdr:rowOff>
    </xdr:from>
    <xdr:to>
      <xdr:col>3</xdr:col>
      <xdr:colOff>1552575</xdr:colOff>
      <xdr:row>1828</xdr:row>
      <xdr:rowOff>1266825</xdr:rowOff>
    </xdr:to>
    <xdr:pic>
      <xdr:nvPicPr>
        <xdr:cNvPr id="818" name="Имя " descr="Descr ">
          <a:extLst>
            <a:ext uri="{FF2B5EF4-FFF2-40B4-BE49-F238E27FC236}">
              <a16:creationId xmlns:a16="http://schemas.microsoft.com/office/drawing/2014/main" id="{00000000-0008-0000-0000-000032030000}"/>
            </a:ext>
          </a:extLst>
        </xdr:cNvPr>
        <xdr:cNvPicPr>
          <a:picLocks noChangeAspect="1"/>
        </xdr:cNvPicPr>
      </xdr:nvPicPr>
      <xdr:blipFill>
        <a:blip xmlns:r="http://schemas.openxmlformats.org/officeDocument/2006/relationships" r:embed="rId803"/>
        <a:stretch>
          <a:fillRect/>
        </a:stretch>
      </xdr:blipFill>
      <xdr:spPr>
        <a:prstGeom prst="rect">
          <a:avLst/>
        </a:prstGeom>
        <a:ln w="9525">
          <a:solidFill>
            <a:srgbClr val="000000"/>
          </a:solidFill>
          <a:prstDash val="solid"/>
        </a:ln>
      </xdr:spPr>
    </xdr:pic>
    <xdr:clientData/>
  </xdr:twoCellAnchor>
  <xdr:twoCellAnchor>
    <xdr:from>
      <xdr:col>3</xdr:col>
      <xdr:colOff>114300</xdr:colOff>
      <xdr:row>1829</xdr:row>
      <xdr:rowOff>28575</xdr:rowOff>
    </xdr:from>
    <xdr:to>
      <xdr:col>3</xdr:col>
      <xdr:colOff>1552575</xdr:colOff>
      <xdr:row>1829</xdr:row>
      <xdr:rowOff>1266825</xdr:rowOff>
    </xdr:to>
    <xdr:pic>
      <xdr:nvPicPr>
        <xdr:cNvPr id="819" name="Имя " descr="Descr ">
          <a:extLst>
            <a:ext uri="{FF2B5EF4-FFF2-40B4-BE49-F238E27FC236}">
              <a16:creationId xmlns:a16="http://schemas.microsoft.com/office/drawing/2014/main" id="{00000000-0008-0000-0000-000033030000}"/>
            </a:ext>
          </a:extLst>
        </xdr:cNvPr>
        <xdr:cNvPicPr>
          <a:picLocks noChangeAspect="1"/>
        </xdr:cNvPicPr>
      </xdr:nvPicPr>
      <xdr:blipFill>
        <a:blip xmlns:r="http://schemas.openxmlformats.org/officeDocument/2006/relationships" r:embed="rId804"/>
        <a:stretch>
          <a:fillRect/>
        </a:stretch>
      </xdr:blipFill>
      <xdr:spPr>
        <a:prstGeom prst="rect">
          <a:avLst/>
        </a:prstGeom>
        <a:ln w="9525">
          <a:solidFill>
            <a:srgbClr val="000000"/>
          </a:solidFill>
          <a:prstDash val="solid"/>
        </a:ln>
      </xdr:spPr>
    </xdr:pic>
    <xdr:clientData/>
  </xdr:twoCellAnchor>
  <xdr:twoCellAnchor>
    <xdr:from>
      <xdr:col>3</xdr:col>
      <xdr:colOff>114300</xdr:colOff>
      <xdr:row>1830</xdr:row>
      <xdr:rowOff>28575</xdr:rowOff>
    </xdr:from>
    <xdr:to>
      <xdr:col>3</xdr:col>
      <xdr:colOff>1552575</xdr:colOff>
      <xdr:row>1830</xdr:row>
      <xdr:rowOff>1266825</xdr:rowOff>
    </xdr:to>
    <xdr:pic>
      <xdr:nvPicPr>
        <xdr:cNvPr id="820" name="Имя " descr="Descr ">
          <a:extLst>
            <a:ext uri="{FF2B5EF4-FFF2-40B4-BE49-F238E27FC236}">
              <a16:creationId xmlns:a16="http://schemas.microsoft.com/office/drawing/2014/main" id="{00000000-0008-0000-0000-000034030000}"/>
            </a:ext>
          </a:extLst>
        </xdr:cNvPr>
        <xdr:cNvPicPr>
          <a:picLocks noChangeAspect="1"/>
        </xdr:cNvPicPr>
      </xdr:nvPicPr>
      <xdr:blipFill>
        <a:blip xmlns:r="http://schemas.openxmlformats.org/officeDocument/2006/relationships" r:embed="rId805"/>
        <a:stretch>
          <a:fillRect/>
        </a:stretch>
      </xdr:blipFill>
      <xdr:spPr>
        <a:prstGeom prst="rect">
          <a:avLst/>
        </a:prstGeom>
        <a:ln w="9525">
          <a:solidFill>
            <a:srgbClr val="000000"/>
          </a:solidFill>
          <a:prstDash val="solid"/>
        </a:ln>
      </xdr:spPr>
    </xdr:pic>
    <xdr:clientData/>
  </xdr:twoCellAnchor>
  <xdr:twoCellAnchor>
    <xdr:from>
      <xdr:col>3</xdr:col>
      <xdr:colOff>114300</xdr:colOff>
      <xdr:row>1831</xdr:row>
      <xdr:rowOff>28575</xdr:rowOff>
    </xdr:from>
    <xdr:to>
      <xdr:col>3</xdr:col>
      <xdr:colOff>1552575</xdr:colOff>
      <xdr:row>1833</xdr:row>
      <xdr:rowOff>419100</xdr:rowOff>
    </xdr:to>
    <xdr:pic>
      <xdr:nvPicPr>
        <xdr:cNvPr id="821" name="Имя " descr="Descr ">
          <a:extLst>
            <a:ext uri="{FF2B5EF4-FFF2-40B4-BE49-F238E27FC236}">
              <a16:creationId xmlns:a16="http://schemas.microsoft.com/office/drawing/2014/main" id="{00000000-0008-0000-0000-000035030000}"/>
            </a:ext>
          </a:extLst>
        </xdr:cNvPr>
        <xdr:cNvPicPr>
          <a:picLocks noChangeAspect="1"/>
        </xdr:cNvPicPr>
      </xdr:nvPicPr>
      <xdr:blipFill>
        <a:blip xmlns:r="http://schemas.openxmlformats.org/officeDocument/2006/relationships" r:embed="rId806"/>
        <a:stretch>
          <a:fillRect/>
        </a:stretch>
      </xdr:blipFill>
      <xdr:spPr>
        <a:prstGeom prst="rect">
          <a:avLst/>
        </a:prstGeom>
        <a:ln w="9525">
          <a:solidFill>
            <a:srgbClr val="000000"/>
          </a:solidFill>
          <a:prstDash val="solid"/>
        </a:ln>
      </xdr:spPr>
    </xdr:pic>
    <xdr:clientData/>
  </xdr:twoCellAnchor>
  <xdr:twoCellAnchor>
    <xdr:from>
      <xdr:col>3</xdr:col>
      <xdr:colOff>114300</xdr:colOff>
      <xdr:row>1834</xdr:row>
      <xdr:rowOff>28575</xdr:rowOff>
    </xdr:from>
    <xdr:to>
      <xdr:col>3</xdr:col>
      <xdr:colOff>1552575</xdr:colOff>
      <xdr:row>1836</xdr:row>
      <xdr:rowOff>419100</xdr:rowOff>
    </xdr:to>
    <xdr:pic>
      <xdr:nvPicPr>
        <xdr:cNvPr id="822" name="Имя " descr="Descr ">
          <a:extLst>
            <a:ext uri="{FF2B5EF4-FFF2-40B4-BE49-F238E27FC236}">
              <a16:creationId xmlns:a16="http://schemas.microsoft.com/office/drawing/2014/main" id="{00000000-0008-0000-0000-000036030000}"/>
            </a:ext>
          </a:extLst>
        </xdr:cNvPr>
        <xdr:cNvPicPr>
          <a:picLocks noChangeAspect="1"/>
        </xdr:cNvPicPr>
      </xdr:nvPicPr>
      <xdr:blipFill>
        <a:blip xmlns:r="http://schemas.openxmlformats.org/officeDocument/2006/relationships" r:embed="rId807"/>
        <a:stretch>
          <a:fillRect/>
        </a:stretch>
      </xdr:blipFill>
      <xdr:spPr>
        <a:prstGeom prst="rect">
          <a:avLst/>
        </a:prstGeom>
        <a:ln w="9525">
          <a:solidFill>
            <a:srgbClr val="000000"/>
          </a:solidFill>
          <a:prstDash val="solid"/>
        </a:ln>
      </xdr:spPr>
    </xdr:pic>
    <xdr:clientData/>
  </xdr:twoCellAnchor>
  <xdr:twoCellAnchor>
    <xdr:from>
      <xdr:col>3</xdr:col>
      <xdr:colOff>114300</xdr:colOff>
      <xdr:row>1837</xdr:row>
      <xdr:rowOff>28575</xdr:rowOff>
    </xdr:from>
    <xdr:to>
      <xdr:col>3</xdr:col>
      <xdr:colOff>1552575</xdr:colOff>
      <xdr:row>1839</xdr:row>
      <xdr:rowOff>419100</xdr:rowOff>
    </xdr:to>
    <xdr:pic>
      <xdr:nvPicPr>
        <xdr:cNvPr id="823" name="Имя " descr="Descr ">
          <a:extLst>
            <a:ext uri="{FF2B5EF4-FFF2-40B4-BE49-F238E27FC236}">
              <a16:creationId xmlns:a16="http://schemas.microsoft.com/office/drawing/2014/main" id="{00000000-0008-0000-0000-000037030000}"/>
            </a:ext>
          </a:extLst>
        </xdr:cNvPr>
        <xdr:cNvPicPr>
          <a:picLocks noChangeAspect="1"/>
        </xdr:cNvPicPr>
      </xdr:nvPicPr>
      <xdr:blipFill>
        <a:blip xmlns:r="http://schemas.openxmlformats.org/officeDocument/2006/relationships" r:embed="rId808"/>
        <a:stretch>
          <a:fillRect/>
        </a:stretch>
      </xdr:blipFill>
      <xdr:spPr>
        <a:prstGeom prst="rect">
          <a:avLst/>
        </a:prstGeom>
        <a:ln w="9525">
          <a:solidFill>
            <a:srgbClr val="000000"/>
          </a:solidFill>
          <a:prstDash val="solid"/>
        </a:ln>
      </xdr:spPr>
    </xdr:pic>
    <xdr:clientData/>
  </xdr:twoCellAnchor>
  <xdr:twoCellAnchor>
    <xdr:from>
      <xdr:col>3</xdr:col>
      <xdr:colOff>114300</xdr:colOff>
      <xdr:row>1840</xdr:row>
      <xdr:rowOff>38100</xdr:rowOff>
    </xdr:from>
    <xdr:to>
      <xdr:col>3</xdr:col>
      <xdr:colOff>1552575</xdr:colOff>
      <xdr:row>1841</xdr:row>
      <xdr:rowOff>638175</xdr:rowOff>
    </xdr:to>
    <xdr:pic>
      <xdr:nvPicPr>
        <xdr:cNvPr id="824" name="Имя " descr="Descr ">
          <a:extLst>
            <a:ext uri="{FF2B5EF4-FFF2-40B4-BE49-F238E27FC236}">
              <a16:creationId xmlns:a16="http://schemas.microsoft.com/office/drawing/2014/main" id="{00000000-0008-0000-0000-000038030000}"/>
            </a:ext>
          </a:extLst>
        </xdr:cNvPr>
        <xdr:cNvPicPr>
          <a:picLocks noChangeAspect="1"/>
        </xdr:cNvPicPr>
      </xdr:nvPicPr>
      <xdr:blipFill>
        <a:blip xmlns:r="http://schemas.openxmlformats.org/officeDocument/2006/relationships" r:embed="rId809"/>
        <a:stretch>
          <a:fillRect/>
        </a:stretch>
      </xdr:blipFill>
      <xdr:spPr>
        <a:prstGeom prst="rect">
          <a:avLst/>
        </a:prstGeom>
        <a:ln w="9525">
          <a:solidFill>
            <a:srgbClr val="000000"/>
          </a:solidFill>
          <a:prstDash val="solid"/>
        </a:ln>
      </xdr:spPr>
    </xdr:pic>
    <xdr:clientData/>
  </xdr:twoCellAnchor>
  <xdr:twoCellAnchor>
    <xdr:from>
      <xdr:col>3</xdr:col>
      <xdr:colOff>114300</xdr:colOff>
      <xdr:row>1842</xdr:row>
      <xdr:rowOff>28575</xdr:rowOff>
    </xdr:from>
    <xdr:to>
      <xdr:col>3</xdr:col>
      <xdr:colOff>1552575</xdr:colOff>
      <xdr:row>1844</xdr:row>
      <xdr:rowOff>419100</xdr:rowOff>
    </xdr:to>
    <xdr:pic>
      <xdr:nvPicPr>
        <xdr:cNvPr id="825" name="Имя " descr="Descr ">
          <a:extLst>
            <a:ext uri="{FF2B5EF4-FFF2-40B4-BE49-F238E27FC236}">
              <a16:creationId xmlns:a16="http://schemas.microsoft.com/office/drawing/2014/main" id="{00000000-0008-0000-0000-000039030000}"/>
            </a:ext>
          </a:extLst>
        </xdr:cNvPr>
        <xdr:cNvPicPr>
          <a:picLocks noChangeAspect="1"/>
        </xdr:cNvPicPr>
      </xdr:nvPicPr>
      <xdr:blipFill>
        <a:blip xmlns:r="http://schemas.openxmlformats.org/officeDocument/2006/relationships" r:embed="rId810"/>
        <a:stretch>
          <a:fillRect/>
        </a:stretch>
      </xdr:blipFill>
      <xdr:spPr>
        <a:prstGeom prst="rect">
          <a:avLst/>
        </a:prstGeom>
        <a:ln w="9525">
          <a:solidFill>
            <a:srgbClr val="000000"/>
          </a:solidFill>
          <a:prstDash val="solid"/>
        </a:ln>
      </xdr:spPr>
    </xdr:pic>
    <xdr:clientData/>
  </xdr:twoCellAnchor>
  <xdr:twoCellAnchor>
    <xdr:from>
      <xdr:col>3</xdr:col>
      <xdr:colOff>114300</xdr:colOff>
      <xdr:row>1845</xdr:row>
      <xdr:rowOff>38100</xdr:rowOff>
    </xdr:from>
    <xdr:to>
      <xdr:col>3</xdr:col>
      <xdr:colOff>1552575</xdr:colOff>
      <xdr:row>1846</xdr:row>
      <xdr:rowOff>638175</xdr:rowOff>
    </xdr:to>
    <xdr:pic>
      <xdr:nvPicPr>
        <xdr:cNvPr id="826" name="Имя " descr="Descr ">
          <a:extLst>
            <a:ext uri="{FF2B5EF4-FFF2-40B4-BE49-F238E27FC236}">
              <a16:creationId xmlns:a16="http://schemas.microsoft.com/office/drawing/2014/main" id="{00000000-0008-0000-0000-00003A030000}"/>
            </a:ext>
          </a:extLst>
        </xdr:cNvPr>
        <xdr:cNvPicPr>
          <a:picLocks noChangeAspect="1"/>
        </xdr:cNvPicPr>
      </xdr:nvPicPr>
      <xdr:blipFill>
        <a:blip xmlns:r="http://schemas.openxmlformats.org/officeDocument/2006/relationships" r:embed="rId811"/>
        <a:stretch>
          <a:fillRect/>
        </a:stretch>
      </xdr:blipFill>
      <xdr:spPr>
        <a:prstGeom prst="rect">
          <a:avLst/>
        </a:prstGeom>
        <a:ln w="9525">
          <a:solidFill>
            <a:srgbClr val="000000"/>
          </a:solidFill>
          <a:prstDash val="solid"/>
        </a:ln>
      </xdr:spPr>
    </xdr:pic>
    <xdr:clientData/>
  </xdr:twoCellAnchor>
  <xdr:twoCellAnchor>
    <xdr:from>
      <xdr:col>3</xdr:col>
      <xdr:colOff>114300</xdr:colOff>
      <xdr:row>1847</xdr:row>
      <xdr:rowOff>28575</xdr:rowOff>
    </xdr:from>
    <xdr:to>
      <xdr:col>3</xdr:col>
      <xdr:colOff>1552575</xdr:colOff>
      <xdr:row>1849</xdr:row>
      <xdr:rowOff>419100</xdr:rowOff>
    </xdr:to>
    <xdr:pic>
      <xdr:nvPicPr>
        <xdr:cNvPr id="827" name="Имя " descr="Descr ">
          <a:extLst>
            <a:ext uri="{FF2B5EF4-FFF2-40B4-BE49-F238E27FC236}">
              <a16:creationId xmlns:a16="http://schemas.microsoft.com/office/drawing/2014/main" id="{00000000-0008-0000-0000-00003B030000}"/>
            </a:ext>
          </a:extLst>
        </xdr:cNvPr>
        <xdr:cNvPicPr>
          <a:picLocks noChangeAspect="1"/>
        </xdr:cNvPicPr>
      </xdr:nvPicPr>
      <xdr:blipFill>
        <a:blip xmlns:r="http://schemas.openxmlformats.org/officeDocument/2006/relationships" r:embed="rId812"/>
        <a:stretch>
          <a:fillRect/>
        </a:stretch>
      </xdr:blipFill>
      <xdr:spPr>
        <a:prstGeom prst="rect">
          <a:avLst/>
        </a:prstGeom>
        <a:ln w="9525">
          <a:solidFill>
            <a:srgbClr val="000000"/>
          </a:solidFill>
          <a:prstDash val="solid"/>
        </a:ln>
      </xdr:spPr>
    </xdr:pic>
    <xdr:clientData/>
  </xdr:twoCellAnchor>
  <xdr:twoCellAnchor>
    <xdr:from>
      <xdr:col>3</xdr:col>
      <xdr:colOff>114300</xdr:colOff>
      <xdr:row>1850</xdr:row>
      <xdr:rowOff>28575</xdr:rowOff>
    </xdr:from>
    <xdr:to>
      <xdr:col>3</xdr:col>
      <xdr:colOff>1552575</xdr:colOff>
      <xdr:row>1852</xdr:row>
      <xdr:rowOff>419100</xdr:rowOff>
    </xdr:to>
    <xdr:pic>
      <xdr:nvPicPr>
        <xdr:cNvPr id="828" name="Имя " descr="Descr ">
          <a:extLst>
            <a:ext uri="{FF2B5EF4-FFF2-40B4-BE49-F238E27FC236}">
              <a16:creationId xmlns:a16="http://schemas.microsoft.com/office/drawing/2014/main" id="{00000000-0008-0000-0000-00003C030000}"/>
            </a:ext>
          </a:extLst>
        </xdr:cNvPr>
        <xdr:cNvPicPr>
          <a:picLocks noChangeAspect="1"/>
        </xdr:cNvPicPr>
      </xdr:nvPicPr>
      <xdr:blipFill>
        <a:blip xmlns:r="http://schemas.openxmlformats.org/officeDocument/2006/relationships" r:embed="rId813"/>
        <a:stretch>
          <a:fillRect/>
        </a:stretch>
      </xdr:blipFill>
      <xdr:spPr>
        <a:prstGeom prst="rect">
          <a:avLst/>
        </a:prstGeom>
        <a:ln w="9525">
          <a:solidFill>
            <a:srgbClr val="000000"/>
          </a:solidFill>
          <a:prstDash val="solid"/>
        </a:ln>
      </xdr:spPr>
    </xdr:pic>
    <xdr:clientData/>
  </xdr:twoCellAnchor>
  <xdr:twoCellAnchor>
    <xdr:from>
      <xdr:col>3</xdr:col>
      <xdr:colOff>114300</xdr:colOff>
      <xdr:row>1853</xdr:row>
      <xdr:rowOff>28575</xdr:rowOff>
    </xdr:from>
    <xdr:to>
      <xdr:col>3</xdr:col>
      <xdr:colOff>1552575</xdr:colOff>
      <xdr:row>1855</xdr:row>
      <xdr:rowOff>419100</xdr:rowOff>
    </xdr:to>
    <xdr:pic>
      <xdr:nvPicPr>
        <xdr:cNvPr id="829" name="Имя " descr="Descr ">
          <a:extLst>
            <a:ext uri="{FF2B5EF4-FFF2-40B4-BE49-F238E27FC236}">
              <a16:creationId xmlns:a16="http://schemas.microsoft.com/office/drawing/2014/main" id="{00000000-0008-0000-0000-00003D030000}"/>
            </a:ext>
          </a:extLst>
        </xdr:cNvPr>
        <xdr:cNvPicPr>
          <a:picLocks noChangeAspect="1"/>
        </xdr:cNvPicPr>
      </xdr:nvPicPr>
      <xdr:blipFill>
        <a:blip xmlns:r="http://schemas.openxmlformats.org/officeDocument/2006/relationships" r:embed="rId814"/>
        <a:stretch>
          <a:fillRect/>
        </a:stretch>
      </xdr:blipFill>
      <xdr:spPr>
        <a:prstGeom prst="rect">
          <a:avLst/>
        </a:prstGeom>
        <a:ln w="9525">
          <a:solidFill>
            <a:srgbClr val="000000"/>
          </a:solidFill>
          <a:prstDash val="solid"/>
        </a:ln>
      </xdr:spPr>
    </xdr:pic>
    <xdr:clientData/>
  </xdr:twoCellAnchor>
  <xdr:twoCellAnchor>
    <xdr:from>
      <xdr:col>3</xdr:col>
      <xdr:colOff>114300</xdr:colOff>
      <xdr:row>1856</xdr:row>
      <xdr:rowOff>28575</xdr:rowOff>
    </xdr:from>
    <xdr:to>
      <xdr:col>3</xdr:col>
      <xdr:colOff>1552575</xdr:colOff>
      <xdr:row>1858</xdr:row>
      <xdr:rowOff>419100</xdr:rowOff>
    </xdr:to>
    <xdr:pic>
      <xdr:nvPicPr>
        <xdr:cNvPr id="830" name="Имя " descr="Descr ">
          <a:extLst>
            <a:ext uri="{FF2B5EF4-FFF2-40B4-BE49-F238E27FC236}">
              <a16:creationId xmlns:a16="http://schemas.microsoft.com/office/drawing/2014/main" id="{00000000-0008-0000-0000-00003E030000}"/>
            </a:ext>
          </a:extLst>
        </xdr:cNvPr>
        <xdr:cNvPicPr>
          <a:picLocks noChangeAspect="1"/>
        </xdr:cNvPicPr>
      </xdr:nvPicPr>
      <xdr:blipFill>
        <a:blip xmlns:r="http://schemas.openxmlformats.org/officeDocument/2006/relationships" r:embed="rId815"/>
        <a:stretch>
          <a:fillRect/>
        </a:stretch>
      </xdr:blipFill>
      <xdr:spPr>
        <a:prstGeom prst="rect">
          <a:avLst/>
        </a:prstGeom>
        <a:ln w="9525">
          <a:solidFill>
            <a:srgbClr val="000000"/>
          </a:solidFill>
          <a:prstDash val="solid"/>
        </a:ln>
      </xdr:spPr>
    </xdr:pic>
    <xdr:clientData/>
  </xdr:twoCellAnchor>
  <xdr:twoCellAnchor>
    <xdr:from>
      <xdr:col>3</xdr:col>
      <xdr:colOff>114300</xdr:colOff>
      <xdr:row>1859</xdr:row>
      <xdr:rowOff>38100</xdr:rowOff>
    </xdr:from>
    <xdr:to>
      <xdr:col>3</xdr:col>
      <xdr:colOff>1552575</xdr:colOff>
      <xdr:row>1860</xdr:row>
      <xdr:rowOff>638175</xdr:rowOff>
    </xdr:to>
    <xdr:pic>
      <xdr:nvPicPr>
        <xdr:cNvPr id="831" name="Имя " descr="Descr ">
          <a:extLst>
            <a:ext uri="{FF2B5EF4-FFF2-40B4-BE49-F238E27FC236}">
              <a16:creationId xmlns:a16="http://schemas.microsoft.com/office/drawing/2014/main" id="{00000000-0008-0000-0000-00003F030000}"/>
            </a:ext>
          </a:extLst>
        </xdr:cNvPr>
        <xdr:cNvPicPr>
          <a:picLocks noChangeAspect="1"/>
        </xdr:cNvPicPr>
      </xdr:nvPicPr>
      <xdr:blipFill>
        <a:blip xmlns:r="http://schemas.openxmlformats.org/officeDocument/2006/relationships" r:embed="rId816"/>
        <a:stretch>
          <a:fillRect/>
        </a:stretch>
      </xdr:blipFill>
      <xdr:spPr>
        <a:prstGeom prst="rect">
          <a:avLst/>
        </a:prstGeom>
        <a:ln w="9525">
          <a:solidFill>
            <a:srgbClr val="000000"/>
          </a:solidFill>
          <a:prstDash val="solid"/>
        </a:ln>
      </xdr:spPr>
    </xdr:pic>
    <xdr:clientData/>
  </xdr:twoCellAnchor>
  <xdr:twoCellAnchor>
    <xdr:from>
      <xdr:col>3</xdr:col>
      <xdr:colOff>114300</xdr:colOff>
      <xdr:row>1861</xdr:row>
      <xdr:rowOff>38100</xdr:rowOff>
    </xdr:from>
    <xdr:to>
      <xdr:col>3</xdr:col>
      <xdr:colOff>1552575</xdr:colOff>
      <xdr:row>1862</xdr:row>
      <xdr:rowOff>638175</xdr:rowOff>
    </xdr:to>
    <xdr:pic>
      <xdr:nvPicPr>
        <xdr:cNvPr id="832" name="Имя " descr="Descr ">
          <a:extLst>
            <a:ext uri="{FF2B5EF4-FFF2-40B4-BE49-F238E27FC236}">
              <a16:creationId xmlns:a16="http://schemas.microsoft.com/office/drawing/2014/main" id="{00000000-0008-0000-0000-000040030000}"/>
            </a:ext>
          </a:extLst>
        </xdr:cNvPr>
        <xdr:cNvPicPr>
          <a:picLocks noChangeAspect="1"/>
        </xdr:cNvPicPr>
      </xdr:nvPicPr>
      <xdr:blipFill>
        <a:blip xmlns:r="http://schemas.openxmlformats.org/officeDocument/2006/relationships" r:embed="rId817"/>
        <a:stretch>
          <a:fillRect/>
        </a:stretch>
      </xdr:blipFill>
      <xdr:spPr>
        <a:prstGeom prst="rect">
          <a:avLst/>
        </a:prstGeom>
        <a:ln w="9525">
          <a:solidFill>
            <a:srgbClr val="000000"/>
          </a:solidFill>
          <a:prstDash val="solid"/>
        </a:ln>
      </xdr:spPr>
    </xdr:pic>
    <xdr:clientData/>
  </xdr:twoCellAnchor>
  <xdr:twoCellAnchor>
    <xdr:from>
      <xdr:col>3</xdr:col>
      <xdr:colOff>114300</xdr:colOff>
      <xdr:row>1863</xdr:row>
      <xdr:rowOff>28575</xdr:rowOff>
    </xdr:from>
    <xdr:to>
      <xdr:col>3</xdr:col>
      <xdr:colOff>1552575</xdr:colOff>
      <xdr:row>1865</xdr:row>
      <xdr:rowOff>419100</xdr:rowOff>
    </xdr:to>
    <xdr:pic>
      <xdr:nvPicPr>
        <xdr:cNvPr id="833" name="Имя " descr="Descr ">
          <a:extLst>
            <a:ext uri="{FF2B5EF4-FFF2-40B4-BE49-F238E27FC236}">
              <a16:creationId xmlns:a16="http://schemas.microsoft.com/office/drawing/2014/main" id="{00000000-0008-0000-0000-000041030000}"/>
            </a:ext>
          </a:extLst>
        </xdr:cNvPr>
        <xdr:cNvPicPr>
          <a:picLocks noChangeAspect="1"/>
        </xdr:cNvPicPr>
      </xdr:nvPicPr>
      <xdr:blipFill>
        <a:blip xmlns:r="http://schemas.openxmlformats.org/officeDocument/2006/relationships" r:embed="rId818"/>
        <a:stretch>
          <a:fillRect/>
        </a:stretch>
      </xdr:blipFill>
      <xdr:spPr>
        <a:prstGeom prst="rect">
          <a:avLst/>
        </a:prstGeom>
        <a:ln w="9525">
          <a:solidFill>
            <a:srgbClr val="000000"/>
          </a:solidFill>
          <a:prstDash val="solid"/>
        </a:ln>
      </xdr:spPr>
    </xdr:pic>
    <xdr:clientData/>
  </xdr:twoCellAnchor>
  <xdr:twoCellAnchor>
    <xdr:from>
      <xdr:col>3</xdr:col>
      <xdr:colOff>114300</xdr:colOff>
      <xdr:row>1866</xdr:row>
      <xdr:rowOff>38100</xdr:rowOff>
    </xdr:from>
    <xdr:to>
      <xdr:col>3</xdr:col>
      <xdr:colOff>1552575</xdr:colOff>
      <xdr:row>1867</xdr:row>
      <xdr:rowOff>638175</xdr:rowOff>
    </xdr:to>
    <xdr:pic>
      <xdr:nvPicPr>
        <xdr:cNvPr id="834" name="Имя " descr="Descr ">
          <a:extLst>
            <a:ext uri="{FF2B5EF4-FFF2-40B4-BE49-F238E27FC236}">
              <a16:creationId xmlns:a16="http://schemas.microsoft.com/office/drawing/2014/main" id="{00000000-0008-0000-0000-000042030000}"/>
            </a:ext>
          </a:extLst>
        </xdr:cNvPr>
        <xdr:cNvPicPr>
          <a:picLocks noChangeAspect="1"/>
        </xdr:cNvPicPr>
      </xdr:nvPicPr>
      <xdr:blipFill>
        <a:blip xmlns:r="http://schemas.openxmlformats.org/officeDocument/2006/relationships" r:embed="rId819"/>
        <a:stretch>
          <a:fillRect/>
        </a:stretch>
      </xdr:blipFill>
      <xdr:spPr>
        <a:prstGeom prst="rect">
          <a:avLst/>
        </a:prstGeom>
        <a:ln w="9525">
          <a:solidFill>
            <a:srgbClr val="000000"/>
          </a:solidFill>
          <a:prstDash val="solid"/>
        </a:ln>
      </xdr:spPr>
    </xdr:pic>
    <xdr:clientData/>
  </xdr:twoCellAnchor>
  <xdr:twoCellAnchor>
    <xdr:from>
      <xdr:col>3</xdr:col>
      <xdr:colOff>114300</xdr:colOff>
      <xdr:row>1868</xdr:row>
      <xdr:rowOff>28575</xdr:rowOff>
    </xdr:from>
    <xdr:to>
      <xdr:col>3</xdr:col>
      <xdr:colOff>1552575</xdr:colOff>
      <xdr:row>1868</xdr:row>
      <xdr:rowOff>1266825</xdr:rowOff>
    </xdr:to>
    <xdr:pic>
      <xdr:nvPicPr>
        <xdr:cNvPr id="835" name="Имя " descr="Descr ">
          <a:extLst>
            <a:ext uri="{FF2B5EF4-FFF2-40B4-BE49-F238E27FC236}">
              <a16:creationId xmlns:a16="http://schemas.microsoft.com/office/drawing/2014/main" id="{00000000-0008-0000-0000-000043030000}"/>
            </a:ext>
          </a:extLst>
        </xdr:cNvPr>
        <xdr:cNvPicPr>
          <a:picLocks noChangeAspect="1"/>
        </xdr:cNvPicPr>
      </xdr:nvPicPr>
      <xdr:blipFill>
        <a:blip xmlns:r="http://schemas.openxmlformats.org/officeDocument/2006/relationships" r:embed="rId820"/>
        <a:stretch>
          <a:fillRect/>
        </a:stretch>
      </xdr:blipFill>
      <xdr:spPr>
        <a:prstGeom prst="rect">
          <a:avLst/>
        </a:prstGeom>
        <a:ln w="9525">
          <a:solidFill>
            <a:srgbClr val="000000"/>
          </a:solidFill>
          <a:prstDash val="solid"/>
        </a:ln>
      </xdr:spPr>
    </xdr:pic>
    <xdr:clientData/>
  </xdr:twoCellAnchor>
  <xdr:twoCellAnchor>
    <xdr:from>
      <xdr:col>3</xdr:col>
      <xdr:colOff>114300</xdr:colOff>
      <xdr:row>1869</xdr:row>
      <xdr:rowOff>28575</xdr:rowOff>
    </xdr:from>
    <xdr:to>
      <xdr:col>3</xdr:col>
      <xdr:colOff>1552575</xdr:colOff>
      <xdr:row>1869</xdr:row>
      <xdr:rowOff>1266825</xdr:rowOff>
    </xdr:to>
    <xdr:pic>
      <xdr:nvPicPr>
        <xdr:cNvPr id="836" name="Имя " descr="Descr ">
          <a:extLst>
            <a:ext uri="{FF2B5EF4-FFF2-40B4-BE49-F238E27FC236}">
              <a16:creationId xmlns:a16="http://schemas.microsoft.com/office/drawing/2014/main" id="{00000000-0008-0000-0000-000044030000}"/>
            </a:ext>
          </a:extLst>
        </xdr:cNvPr>
        <xdr:cNvPicPr>
          <a:picLocks noChangeAspect="1"/>
        </xdr:cNvPicPr>
      </xdr:nvPicPr>
      <xdr:blipFill>
        <a:blip xmlns:r="http://schemas.openxmlformats.org/officeDocument/2006/relationships" r:embed="rId819"/>
        <a:stretch>
          <a:fillRect/>
        </a:stretch>
      </xdr:blipFill>
      <xdr:spPr>
        <a:prstGeom prst="rect">
          <a:avLst/>
        </a:prstGeom>
        <a:ln w="9525">
          <a:solidFill>
            <a:srgbClr val="000000"/>
          </a:solidFill>
          <a:prstDash val="solid"/>
        </a:ln>
      </xdr:spPr>
    </xdr:pic>
    <xdr:clientData/>
  </xdr:twoCellAnchor>
  <xdr:twoCellAnchor>
    <xdr:from>
      <xdr:col>3</xdr:col>
      <xdr:colOff>114300</xdr:colOff>
      <xdr:row>1870</xdr:row>
      <xdr:rowOff>38100</xdr:rowOff>
    </xdr:from>
    <xdr:to>
      <xdr:col>3</xdr:col>
      <xdr:colOff>1552575</xdr:colOff>
      <xdr:row>1871</xdr:row>
      <xdr:rowOff>638175</xdr:rowOff>
    </xdr:to>
    <xdr:pic>
      <xdr:nvPicPr>
        <xdr:cNvPr id="837" name="Имя " descr="Descr ">
          <a:extLst>
            <a:ext uri="{FF2B5EF4-FFF2-40B4-BE49-F238E27FC236}">
              <a16:creationId xmlns:a16="http://schemas.microsoft.com/office/drawing/2014/main" id="{00000000-0008-0000-0000-000045030000}"/>
            </a:ext>
          </a:extLst>
        </xdr:cNvPr>
        <xdr:cNvPicPr>
          <a:picLocks noChangeAspect="1"/>
        </xdr:cNvPicPr>
      </xdr:nvPicPr>
      <xdr:blipFill>
        <a:blip xmlns:r="http://schemas.openxmlformats.org/officeDocument/2006/relationships" r:embed="rId817"/>
        <a:stretch>
          <a:fillRect/>
        </a:stretch>
      </xdr:blipFill>
      <xdr:spPr>
        <a:prstGeom prst="rect">
          <a:avLst/>
        </a:prstGeom>
        <a:ln w="9525">
          <a:solidFill>
            <a:srgbClr val="000000"/>
          </a:solidFill>
          <a:prstDash val="solid"/>
        </a:ln>
      </xdr:spPr>
    </xdr:pic>
    <xdr:clientData/>
  </xdr:twoCellAnchor>
  <xdr:twoCellAnchor>
    <xdr:from>
      <xdr:col>3</xdr:col>
      <xdr:colOff>114300</xdr:colOff>
      <xdr:row>1872</xdr:row>
      <xdr:rowOff>28575</xdr:rowOff>
    </xdr:from>
    <xdr:to>
      <xdr:col>3</xdr:col>
      <xdr:colOff>1552575</xdr:colOff>
      <xdr:row>1874</xdr:row>
      <xdr:rowOff>419100</xdr:rowOff>
    </xdr:to>
    <xdr:pic>
      <xdr:nvPicPr>
        <xdr:cNvPr id="838" name="Имя " descr="Descr ">
          <a:extLst>
            <a:ext uri="{FF2B5EF4-FFF2-40B4-BE49-F238E27FC236}">
              <a16:creationId xmlns:a16="http://schemas.microsoft.com/office/drawing/2014/main" id="{00000000-0008-0000-0000-000046030000}"/>
            </a:ext>
          </a:extLst>
        </xdr:cNvPr>
        <xdr:cNvPicPr>
          <a:picLocks noChangeAspect="1"/>
        </xdr:cNvPicPr>
      </xdr:nvPicPr>
      <xdr:blipFill>
        <a:blip xmlns:r="http://schemas.openxmlformats.org/officeDocument/2006/relationships" r:embed="rId821"/>
        <a:stretch>
          <a:fillRect/>
        </a:stretch>
      </xdr:blipFill>
      <xdr:spPr>
        <a:prstGeom prst="rect">
          <a:avLst/>
        </a:prstGeom>
        <a:ln w="9525">
          <a:solidFill>
            <a:srgbClr val="000000"/>
          </a:solidFill>
          <a:prstDash val="solid"/>
        </a:ln>
      </xdr:spPr>
    </xdr:pic>
    <xdr:clientData/>
  </xdr:twoCellAnchor>
  <xdr:twoCellAnchor>
    <xdr:from>
      <xdr:col>3</xdr:col>
      <xdr:colOff>114300</xdr:colOff>
      <xdr:row>1875</xdr:row>
      <xdr:rowOff>28575</xdr:rowOff>
    </xdr:from>
    <xdr:to>
      <xdr:col>3</xdr:col>
      <xdr:colOff>1552575</xdr:colOff>
      <xdr:row>1877</xdr:row>
      <xdr:rowOff>419100</xdr:rowOff>
    </xdr:to>
    <xdr:pic>
      <xdr:nvPicPr>
        <xdr:cNvPr id="839" name="Имя " descr="Descr ">
          <a:extLst>
            <a:ext uri="{FF2B5EF4-FFF2-40B4-BE49-F238E27FC236}">
              <a16:creationId xmlns:a16="http://schemas.microsoft.com/office/drawing/2014/main" id="{00000000-0008-0000-0000-000047030000}"/>
            </a:ext>
          </a:extLst>
        </xdr:cNvPr>
        <xdr:cNvPicPr>
          <a:picLocks noChangeAspect="1"/>
        </xdr:cNvPicPr>
      </xdr:nvPicPr>
      <xdr:blipFill>
        <a:blip xmlns:r="http://schemas.openxmlformats.org/officeDocument/2006/relationships" r:embed="rId822"/>
        <a:stretch>
          <a:fillRect/>
        </a:stretch>
      </xdr:blipFill>
      <xdr:spPr>
        <a:prstGeom prst="rect">
          <a:avLst/>
        </a:prstGeom>
        <a:ln w="9525">
          <a:solidFill>
            <a:srgbClr val="000000"/>
          </a:solidFill>
          <a:prstDash val="solid"/>
        </a:ln>
      </xdr:spPr>
    </xdr:pic>
    <xdr:clientData/>
  </xdr:twoCellAnchor>
  <xdr:twoCellAnchor>
    <xdr:from>
      <xdr:col>3</xdr:col>
      <xdr:colOff>114300</xdr:colOff>
      <xdr:row>1878</xdr:row>
      <xdr:rowOff>28575</xdr:rowOff>
    </xdr:from>
    <xdr:to>
      <xdr:col>3</xdr:col>
      <xdr:colOff>1552575</xdr:colOff>
      <xdr:row>1880</xdr:row>
      <xdr:rowOff>419100</xdr:rowOff>
    </xdr:to>
    <xdr:pic>
      <xdr:nvPicPr>
        <xdr:cNvPr id="840" name="Имя " descr="Descr ">
          <a:extLst>
            <a:ext uri="{FF2B5EF4-FFF2-40B4-BE49-F238E27FC236}">
              <a16:creationId xmlns:a16="http://schemas.microsoft.com/office/drawing/2014/main" id="{00000000-0008-0000-0000-000048030000}"/>
            </a:ext>
          </a:extLst>
        </xdr:cNvPr>
        <xdr:cNvPicPr>
          <a:picLocks noChangeAspect="1"/>
        </xdr:cNvPicPr>
      </xdr:nvPicPr>
      <xdr:blipFill>
        <a:blip xmlns:r="http://schemas.openxmlformats.org/officeDocument/2006/relationships" r:embed="rId823"/>
        <a:stretch>
          <a:fillRect/>
        </a:stretch>
      </xdr:blipFill>
      <xdr:spPr>
        <a:prstGeom prst="rect">
          <a:avLst/>
        </a:prstGeom>
        <a:ln w="9525">
          <a:solidFill>
            <a:srgbClr val="000000"/>
          </a:solidFill>
          <a:prstDash val="solid"/>
        </a:ln>
      </xdr:spPr>
    </xdr:pic>
    <xdr:clientData/>
  </xdr:twoCellAnchor>
  <xdr:twoCellAnchor>
    <xdr:from>
      <xdr:col>3</xdr:col>
      <xdr:colOff>114300</xdr:colOff>
      <xdr:row>1881</xdr:row>
      <xdr:rowOff>28575</xdr:rowOff>
    </xdr:from>
    <xdr:to>
      <xdr:col>3</xdr:col>
      <xdr:colOff>1552575</xdr:colOff>
      <xdr:row>1883</xdr:row>
      <xdr:rowOff>419100</xdr:rowOff>
    </xdr:to>
    <xdr:pic>
      <xdr:nvPicPr>
        <xdr:cNvPr id="841" name="Имя " descr="Descr ">
          <a:extLst>
            <a:ext uri="{FF2B5EF4-FFF2-40B4-BE49-F238E27FC236}">
              <a16:creationId xmlns:a16="http://schemas.microsoft.com/office/drawing/2014/main" id="{00000000-0008-0000-0000-000049030000}"/>
            </a:ext>
          </a:extLst>
        </xdr:cNvPr>
        <xdr:cNvPicPr>
          <a:picLocks noChangeAspect="1"/>
        </xdr:cNvPicPr>
      </xdr:nvPicPr>
      <xdr:blipFill>
        <a:blip xmlns:r="http://schemas.openxmlformats.org/officeDocument/2006/relationships" r:embed="rId823"/>
        <a:stretch>
          <a:fillRect/>
        </a:stretch>
      </xdr:blipFill>
      <xdr:spPr>
        <a:prstGeom prst="rect">
          <a:avLst/>
        </a:prstGeom>
        <a:ln w="9525">
          <a:solidFill>
            <a:srgbClr val="000000"/>
          </a:solidFill>
          <a:prstDash val="solid"/>
        </a:ln>
      </xdr:spPr>
    </xdr:pic>
    <xdr:clientData/>
  </xdr:twoCellAnchor>
  <xdr:twoCellAnchor>
    <xdr:from>
      <xdr:col>3</xdr:col>
      <xdr:colOff>114300</xdr:colOff>
      <xdr:row>1884</xdr:row>
      <xdr:rowOff>28575</xdr:rowOff>
    </xdr:from>
    <xdr:to>
      <xdr:col>3</xdr:col>
      <xdr:colOff>1552575</xdr:colOff>
      <xdr:row>1886</xdr:row>
      <xdr:rowOff>419100</xdr:rowOff>
    </xdr:to>
    <xdr:pic>
      <xdr:nvPicPr>
        <xdr:cNvPr id="842" name="Имя " descr="Descr ">
          <a:extLst>
            <a:ext uri="{FF2B5EF4-FFF2-40B4-BE49-F238E27FC236}">
              <a16:creationId xmlns:a16="http://schemas.microsoft.com/office/drawing/2014/main" id="{00000000-0008-0000-0000-00004A030000}"/>
            </a:ext>
          </a:extLst>
        </xdr:cNvPr>
        <xdr:cNvPicPr>
          <a:picLocks noChangeAspect="1"/>
        </xdr:cNvPicPr>
      </xdr:nvPicPr>
      <xdr:blipFill>
        <a:blip xmlns:r="http://schemas.openxmlformats.org/officeDocument/2006/relationships" r:embed="rId824"/>
        <a:stretch>
          <a:fillRect/>
        </a:stretch>
      </xdr:blipFill>
      <xdr:spPr>
        <a:prstGeom prst="rect">
          <a:avLst/>
        </a:prstGeom>
        <a:ln w="9525">
          <a:solidFill>
            <a:srgbClr val="000000"/>
          </a:solidFill>
          <a:prstDash val="solid"/>
        </a:ln>
      </xdr:spPr>
    </xdr:pic>
    <xdr:clientData/>
  </xdr:twoCellAnchor>
  <xdr:twoCellAnchor>
    <xdr:from>
      <xdr:col>3</xdr:col>
      <xdr:colOff>114300</xdr:colOff>
      <xdr:row>1887</xdr:row>
      <xdr:rowOff>28575</xdr:rowOff>
    </xdr:from>
    <xdr:to>
      <xdr:col>3</xdr:col>
      <xdr:colOff>1552575</xdr:colOff>
      <xdr:row>1889</xdr:row>
      <xdr:rowOff>419100</xdr:rowOff>
    </xdr:to>
    <xdr:pic>
      <xdr:nvPicPr>
        <xdr:cNvPr id="843" name="Имя " descr="Descr ">
          <a:extLst>
            <a:ext uri="{FF2B5EF4-FFF2-40B4-BE49-F238E27FC236}">
              <a16:creationId xmlns:a16="http://schemas.microsoft.com/office/drawing/2014/main" id="{00000000-0008-0000-0000-00004B030000}"/>
            </a:ext>
          </a:extLst>
        </xdr:cNvPr>
        <xdr:cNvPicPr>
          <a:picLocks noChangeAspect="1"/>
        </xdr:cNvPicPr>
      </xdr:nvPicPr>
      <xdr:blipFill>
        <a:blip xmlns:r="http://schemas.openxmlformats.org/officeDocument/2006/relationships" r:embed="rId825"/>
        <a:stretch>
          <a:fillRect/>
        </a:stretch>
      </xdr:blipFill>
      <xdr:spPr>
        <a:prstGeom prst="rect">
          <a:avLst/>
        </a:prstGeom>
        <a:ln w="9525">
          <a:solidFill>
            <a:srgbClr val="000000"/>
          </a:solidFill>
          <a:prstDash val="solid"/>
        </a:ln>
      </xdr:spPr>
    </xdr:pic>
    <xdr:clientData/>
  </xdr:twoCellAnchor>
  <xdr:twoCellAnchor>
    <xdr:from>
      <xdr:col>3</xdr:col>
      <xdr:colOff>114300</xdr:colOff>
      <xdr:row>1890</xdr:row>
      <xdr:rowOff>28575</xdr:rowOff>
    </xdr:from>
    <xdr:to>
      <xdr:col>3</xdr:col>
      <xdr:colOff>1552575</xdr:colOff>
      <xdr:row>1890</xdr:row>
      <xdr:rowOff>1266825</xdr:rowOff>
    </xdr:to>
    <xdr:pic>
      <xdr:nvPicPr>
        <xdr:cNvPr id="844" name="Имя " descr="Descr ">
          <a:extLst>
            <a:ext uri="{FF2B5EF4-FFF2-40B4-BE49-F238E27FC236}">
              <a16:creationId xmlns:a16="http://schemas.microsoft.com/office/drawing/2014/main" id="{00000000-0008-0000-0000-00004C030000}"/>
            </a:ext>
          </a:extLst>
        </xdr:cNvPr>
        <xdr:cNvPicPr>
          <a:picLocks noChangeAspect="1"/>
        </xdr:cNvPicPr>
      </xdr:nvPicPr>
      <xdr:blipFill>
        <a:blip xmlns:r="http://schemas.openxmlformats.org/officeDocument/2006/relationships" r:embed="rId826"/>
        <a:stretch>
          <a:fillRect/>
        </a:stretch>
      </xdr:blipFill>
      <xdr:spPr>
        <a:prstGeom prst="rect">
          <a:avLst/>
        </a:prstGeom>
        <a:ln w="9525">
          <a:solidFill>
            <a:srgbClr val="000000"/>
          </a:solidFill>
          <a:prstDash val="solid"/>
        </a:ln>
      </xdr:spPr>
    </xdr:pic>
    <xdr:clientData/>
  </xdr:twoCellAnchor>
  <xdr:twoCellAnchor>
    <xdr:from>
      <xdr:col>3</xdr:col>
      <xdr:colOff>114300</xdr:colOff>
      <xdr:row>1891</xdr:row>
      <xdr:rowOff>28575</xdr:rowOff>
    </xdr:from>
    <xdr:to>
      <xdr:col>3</xdr:col>
      <xdr:colOff>1552575</xdr:colOff>
      <xdr:row>1891</xdr:row>
      <xdr:rowOff>1266825</xdr:rowOff>
    </xdr:to>
    <xdr:pic>
      <xdr:nvPicPr>
        <xdr:cNvPr id="845" name="Имя " descr="Descr ">
          <a:extLst>
            <a:ext uri="{FF2B5EF4-FFF2-40B4-BE49-F238E27FC236}">
              <a16:creationId xmlns:a16="http://schemas.microsoft.com/office/drawing/2014/main" id="{00000000-0008-0000-0000-00004D030000}"/>
            </a:ext>
          </a:extLst>
        </xdr:cNvPr>
        <xdr:cNvPicPr>
          <a:picLocks noChangeAspect="1"/>
        </xdr:cNvPicPr>
      </xdr:nvPicPr>
      <xdr:blipFill>
        <a:blip xmlns:r="http://schemas.openxmlformats.org/officeDocument/2006/relationships" r:embed="rId827"/>
        <a:stretch>
          <a:fillRect/>
        </a:stretch>
      </xdr:blipFill>
      <xdr:spPr>
        <a:prstGeom prst="rect">
          <a:avLst/>
        </a:prstGeom>
        <a:ln w="9525">
          <a:solidFill>
            <a:srgbClr val="000000"/>
          </a:solidFill>
          <a:prstDash val="solid"/>
        </a:ln>
      </xdr:spPr>
    </xdr:pic>
    <xdr:clientData/>
  </xdr:twoCellAnchor>
  <xdr:twoCellAnchor>
    <xdr:from>
      <xdr:col>3</xdr:col>
      <xdr:colOff>114300</xdr:colOff>
      <xdr:row>1892</xdr:row>
      <xdr:rowOff>28575</xdr:rowOff>
    </xdr:from>
    <xdr:to>
      <xdr:col>3</xdr:col>
      <xdr:colOff>1552575</xdr:colOff>
      <xdr:row>1892</xdr:row>
      <xdr:rowOff>1266825</xdr:rowOff>
    </xdr:to>
    <xdr:pic>
      <xdr:nvPicPr>
        <xdr:cNvPr id="846" name="Имя " descr="Descr ">
          <a:extLst>
            <a:ext uri="{FF2B5EF4-FFF2-40B4-BE49-F238E27FC236}">
              <a16:creationId xmlns:a16="http://schemas.microsoft.com/office/drawing/2014/main" id="{00000000-0008-0000-0000-00004E030000}"/>
            </a:ext>
          </a:extLst>
        </xdr:cNvPr>
        <xdr:cNvPicPr>
          <a:picLocks noChangeAspect="1"/>
        </xdr:cNvPicPr>
      </xdr:nvPicPr>
      <xdr:blipFill>
        <a:blip xmlns:r="http://schemas.openxmlformats.org/officeDocument/2006/relationships" r:embed="rId827"/>
        <a:stretch>
          <a:fillRect/>
        </a:stretch>
      </xdr:blipFill>
      <xdr:spPr>
        <a:prstGeom prst="rect">
          <a:avLst/>
        </a:prstGeom>
        <a:ln w="9525">
          <a:solidFill>
            <a:srgbClr val="000000"/>
          </a:solidFill>
          <a:prstDash val="solid"/>
        </a:ln>
      </xdr:spPr>
    </xdr:pic>
    <xdr:clientData/>
  </xdr:twoCellAnchor>
  <xdr:twoCellAnchor>
    <xdr:from>
      <xdr:col>3</xdr:col>
      <xdr:colOff>114300</xdr:colOff>
      <xdr:row>1893</xdr:row>
      <xdr:rowOff>38100</xdr:rowOff>
    </xdr:from>
    <xdr:to>
      <xdr:col>3</xdr:col>
      <xdr:colOff>1552575</xdr:colOff>
      <xdr:row>1894</xdr:row>
      <xdr:rowOff>638175</xdr:rowOff>
    </xdr:to>
    <xdr:pic>
      <xdr:nvPicPr>
        <xdr:cNvPr id="847" name="Имя " descr="Descr ">
          <a:extLst>
            <a:ext uri="{FF2B5EF4-FFF2-40B4-BE49-F238E27FC236}">
              <a16:creationId xmlns:a16="http://schemas.microsoft.com/office/drawing/2014/main" id="{00000000-0008-0000-0000-00004F030000}"/>
            </a:ext>
          </a:extLst>
        </xdr:cNvPr>
        <xdr:cNvPicPr>
          <a:picLocks noChangeAspect="1"/>
        </xdr:cNvPicPr>
      </xdr:nvPicPr>
      <xdr:blipFill>
        <a:blip xmlns:r="http://schemas.openxmlformats.org/officeDocument/2006/relationships" r:embed="rId828"/>
        <a:stretch>
          <a:fillRect/>
        </a:stretch>
      </xdr:blipFill>
      <xdr:spPr>
        <a:prstGeom prst="rect">
          <a:avLst/>
        </a:prstGeom>
        <a:ln w="9525">
          <a:solidFill>
            <a:srgbClr val="000000"/>
          </a:solidFill>
          <a:prstDash val="solid"/>
        </a:ln>
      </xdr:spPr>
    </xdr:pic>
    <xdr:clientData/>
  </xdr:twoCellAnchor>
  <xdr:twoCellAnchor>
    <xdr:from>
      <xdr:col>3</xdr:col>
      <xdr:colOff>114300</xdr:colOff>
      <xdr:row>1895</xdr:row>
      <xdr:rowOff>28575</xdr:rowOff>
    </xdr:from>
    <xdr:to>
      <xdr:col>3</xdr:col>
      <xdr:colOff>1552575</xdr:colOff>
      <xdr:row>1895</xdr:row>
      <xdr:rowOff>1266825</xdr:rowOff>
    </xdr:to>
    <xdr:pic>
      <xdr:nvPicPr>
        <xdr:cNvPr id="848" name="Имя " descr="Descr ">
          <a:extLst>
            <a:ext uri="{FF2B5EF4-FFF2-40B4-BE49-F238E27FC236}">
              <a16:creationId xmlns:a16="http://schemas.microsoft.com/office/drawing/2014/main" id="{00000000-0008-0000-0000-000050030000}"/>
            </a:ext>
          </a:extLst>
        </xdr:cNvPr>
        <xdr:cNvPicPr>
          <a:picLocks noChangeAspect="1"/>
        </xdr:cNvPicPr>
      </xdr:nvPicPr>
      <xdr:blipFill>
        <a:blip xmlns:r="http://schemas.openxmlformats.org/officeDocument/2006/relationships" r:embed="rId829"/>
        <a:stretch>
          <a:fillRect/>
        </a:stretch>
      </xdr:blipFill>
      <xdr:spPr>
        <a:prstGeom prst="rect">
          <a:avLst/>
        </a:prstGeom>
        <a:ln w="9525">
          <a:solidFill>
            <a:srgbClr val="000000"/>
          </a:solidFill>
          <a:prstDash val="solid"/>
        </a:ln>
      </xdr:spPr>
    </xdr:pic>
    <xdr:clientData/>
  </xdr:twoCellAnchor>
  <xdr:twoCellAnchor>
    <xdr:from>
      <xdr:col>3</xdr:col>
      <xdr:colOff>114300</xdr:colOff>
      <xdr:row>1896</xdr:row>
      <xdr:rowOff>28575</xdr:rowOff>
    </xdr:from>
    <xdr:to>
      <xdr:col>3</xdr:col>
      <xdr:colOff>1552575</xdr:colOff>
      <xdr:row>1896</xdr:row>
      <xdr:rowOff>1266825</xdr:rowOff>
    </xdr:to>
    <xdr:pic>
      <xdr:nvPicPr>
        <xdr:cNvPr id="849" name="Имя " descr="Descr ">
          <a:extLst>
            <a:ext uri="{FF2B5EF4-FFF2-40B4-BE49-F238E27FC236}">
              <a16:creationId xmlns:a16="http://schemas.microsoft.com/office/drawing/2014/main" id="{00000000-0008-0000-0000-000051030000}"/>
            </a:ext>
          </a:extLst>
        </xdr:cNvPr>
        <xdr:cNvPicPr>
          <a:picLocks noChangeAspect="1"/>
        </xdr:cNvPicPr>
      </xdr:nvPicPr>
      <xdr:blipFill>
        <a:blip xmlns:r="http://schemas.openxmlformats.org/officeDocument/2006/relationships" r:embed="rId830"/>
        <a:stretch>
          <a:fillRect/>
        </a:stretch>
      </xdr:blipFill>
      <xdr:spPr>
        <a:prstGeom prst="rect">
          <a:avLst/>
        </a:prstGeom>
        <a:ln w="9525">
          <a:solidFill>
            <a:srgbClr val="000000"/>
          </a:solidFill>
          <a:prstDash val="solid"/>
        </a:ln>
      </xdr:spPr>
    </xdr:pic>
    <xdr:clientData/>
  </xdr:twoCellAnchor>
  <xdr:twoCellAnchor>
    <xdr:from>
      <xdr:col>3</xdr:col>
      <xdr:colOff>114300</xdr:colOff>
      <xdr:row>1897</xdr:row>
      <xdr:rowOff>38100</xdr:rowOff>
    </xdr:from>
    <xdr:to>
      <xdr:col>3</xdr:col>
      <xdr:colOff>1552575</xdr:colOff>
      <xdr:row>1898</xdr:row>
      <xdr:rowOff>638175</xdr:rowOff>
    </xdr:to>
    <xdr:pic>
      <xdr:nvPicPr>
        <xdr:cNvPr id="850" name="Имя " descr="Descr ">
          <a:extLst>
            <a:ext uri="{FF2B5EF4-FFF2-40B4-BE49-F238E27FC236}">
              <a16:creationId xmlns:a16="http://schemas.microsoft.com/office/drawing/2014/main" id="{00000000-0008-0000-0000-000052030000}"/>
            </a:ext>
          </a:extLst>
        </xdr:cNvPr>
        <xdr:cNvPicPr>
          <a:picLocks noChangeAspect="1"/>
        </xdr:cNvPicPr>
      </xdr:nvPicPr>
      <xdr:blipFill>
        <a:blip xmlns:r="http://schemas.openxmlformats.org/officeDocument/2006/relationships" r:embed="rId831"/>
        <a:stretch>
          <a:fillRect/>
        </a:stretch>
      </xdr:blipFill>
      <xdr:spPr>
        <a:prstGeom prst="rect">
          <a:avLst/>
        </a:prstGeom>
        <a:ln w="9525">
          <a:solidFill>
            <a:srgbClr val="000000"/>
          </a:solidFill>
          <a:prstDash val="solid"/>
        </a:ln>
      </xdr:spPr>
    </xdr:pic>
    <xdr:clientData/>
  </xdr:twoCellAnchor>
  <xdr:twoCellAnchor>
    <xdr:from>
      <xdr:col>3</xdr:col>
      <xdr:colOff>114300</xdr:colOff>
      <xdr:row>1899</xdr:row>
      <xdr:rowOff>28575</xdr:rowOff>
    </xdr:from>
    <xdr:to>
      <xdr:col>3</xdr:col>
      <xdr:colOff>1552575</xdr:colOff>
      <xdr:row>1901</xdr:row>
      <xdr:rowOff>419100</xdr:rowOff>
    </xdr:to>
    <xdr:pic>
      <xdr:nvPicPr>
        <xdr:cNvPr id="851" name="Имя " descr="Descr ">
          <a:extLst>
            <a:ext uri="{FF2B5EF4-FFF2-40B4-BE49-F238E27FC236}">
              <a16:creationId xmlns:a16="http://schemas.microsoft.com/office/drawing/2014/main" id="{00000000-0008-0000-0000-000053030000}"/>
            </a:ext>
          </a:extLst>
        </xdr:cNvPr>
        <xdr:cNvPicPr>
          <a:picLocks noChangeAspect="1"/>
        </xdr:cNvPicPr>
      </xdr:nvPicPr>
      <xdr:blipFill>
        <a:blip xmlns:r="http://schemas.openxmlformats.org/officeDocument/2006/relationships" r:embed="rId832"/>
        <a:stretch>
          <a:fillRect/>
        </a:stretch>
      </xdr:blipFill>
      <xdr:spPr>
        <a:prstGeom prst="rect">
          <a:avLst/>
        </a:prstGeom>
        <a:ln w="9525">
          <a:solidFill>
            <a:srgbClr val="000000"/>
          </a:solidFill>
          <a:prstDash val="solid"/>
        </a:ln>
      </xdr:spPr>
    </xdr:pic>
    <xdr:clientData/>
  </xdr:twoCellAnchor>
  <xdr:twoCellAnchor>
    <xdr:from>
      <xdr:col>3</xdr:col>
      <xdr:colOff>114300</xdr:colOff>
      <xdr:row>1902</xdr:row>
      <xdr:rowOff>28575</xdr:rowOff>
    </xdr:from>
    <xdr:to>
      <xdr:col>3</xdr:col>
      <xdr:colOff>1552575</xdr:colOff>
      <xdr:row>1902</xdr:row>
      <xdr:rowOff>1266825</xdr:rowOff>
    </xdr:to>
    <xdr:pic>
      <xdr:nvPicPr>
        <xdr:cNvPr id="852" name="Имя " descr="Descr ">
          <a:extLst>
            <a:ext uri="{FF2B5EF4-FFF2-40B4-BE49-F238E27FC236}">
              <a16:creationId xmlns:a16="http://schemas.microsoft.com/office/drawing/2014/main" id="{00000000-0008-0000-0000-000054030000}"/>
            </a:ext>
          </a:extLst>
        </xdr:cNvPr>
        <xdr:cNvPicPr>
          <a:picLocks noChangeAspect="1"/>
        </xdr:cNvPicPr>
      </xdr:nvPicPr>
      <xdr:blipFill>
        <a:blip xmlns:r="http://schemas.openxmlformats.org/officeDocument/2006/relationships" r:embed="rId833"/>
        <a:stretch>
          <a:fillRect/>
        </a:stretch>
      </xdr:blipFill>
      <xdr:spPr>
        <a:prstGeom prst="rect">
          <a:avLst/>
        </a:prstGeom>
        <a:ln w="9525">
          <a:solidFill>
            <a:srgbClr val="000000"/>
          </a:solidFill>
          <a:prstDash val="solid"/>
        </a:ln>
      </xdr:spPr>
    </xdr:pic>
    <xdr:clientData/>
  </xdr:twoCellAnchor>
  <xdr:twoCellAnchor>
    <xdr:from>
      <xdr:col>3</xdr:col>
      <xdr:colOff>114300</xdr:colOff>
      <xdr:row>1903</xdr:row>
      <xdr:rowOff>28575</xdr:rowOff>
    </xdr:from>
    <xdr:to>
      <xdr:col>3</xdr:col>
      <xdr:colOff>1552575</xdr:colOff>
      <xdr:row>1905</xdr:row>
      <xdr:rowOff>419100</xdr:rowOff>
    </xdr:to>
    <xdr:pic>
      <xdr:nvPicPr>
        <xdr:cNvPr id="853" name="Имя " descr="Descr ">
          <a:extLst>
            <a:ext uri="{FF2B5EF4-FFF2-40B4-BE49-F238E27FC236}">
              <a16:creationId xmlns:a16="http://schemas.microsoft.com/office/drawing/2014/main" id="{00000000-0008-0000-0000-000055030000}"/>
            </a:ext>
          </a:extLst>
        </xdr:cNvPr>
        <xdr:cNvPicPr>
          <a:picLocks noChangeAspect="1"/>
        </xdr:cNvPicPr>
      </xdr:nvPicPr>
      <xdr:blipFill>
        <a:blip xmlns:r="http://schemas.openxmlformats.org/officeDocument/2006/relationships" r:embed="rId834"/>
        <a:stretch>
          <a:fillRect/>
        </a:stretch>
      </xdr:blipFill>
      <xdr:spPr>
        <a:prstGeom prst="rect">
          <a:avLst/>
        </a:prstGeom>
        <a:ln w="9525">
          <a:solidFill>
            <a:srgbClr val="000000"/>
          </a:solidFill>
          <a:prstDash val="solid"/>
        </a:ln>
      </xdr:spPr>
    </xdr:pic>
    <xdr:clientData/>
  </xdr:twoCellAnchor>
  <xdr:twoCellAnchor>
    <xdr:from>
      <xdr:col>3</xdr:col>
      <xdr:colOff>114300</xdr:colOff>
      <xdr:row>1906</xdr:row>
      <xdr:rowOff>38100</xdr:rowOff>
    </xdr:from>
    <xdr:to>
      <xdr:col>3</xdr:col>
      <xdr:colOff>1552575</xdr:colOff>
      <xdr:row>1907</xdr:row>
      <xdr:rowOff>638175</xdr:rowOff>
    </xdr:to>
    <xdr:pic>
      <xdr:nvPicPr>
        <xdr:cNvPr id="854" name="Имя " descr="Descr ">
          <a:extLst>
            <a:ext uri="{FF2B5EF4-FFF2-40B4-BE49-F238E27FC236}">
              <a16:creationId xmlns:a16="http://schemas.microsoft.com/office/drawing/2014/main" id="{00000000-0008-0000-0000-000056030000}"/>
            </a:ext>
          </a:extLst>
        </xdr:cNvPr>
        <xdr:cNvPicPr>
          <a:picLocks noChangeAspect="1"/>
        </xdr:cNvPicPr>
      </xdr:nvPicPr>
      <xdr:blipFill>
        <a:blip xmlns:r="http://schemas.openxmlformats.org/officeDocument/2006/relationships" r:embed="rId835"/>
        <a:stretch>
          <a:fillRect/>
        </a:stretch>
      </xdr:blipFill>
      <xdr:spPr>
        <a:prstGeom prst="rect">
          <a:avLst/>
        </a:prstGeom>
        <a:ln w="9525">
          <a:solidFill>
            <a:srgbClr val="000000"/>
          </a:solidFill>
          <a:prstDash val="solid"/>
        </a:ln>
      </xdr:spPr>
    </xdr:pic>
    <xdr:clientData/>
  </xdr:twoCellAnchor>
  <xdr:twoCellAnchor>
    <xdr:from>
      <xdr:col>3</xdr:col>
      <xdr:colOff>114300</xdr:colOff>
      <xdr:row>1908</xdr:row>
      <xdr:rowOff>28575</xdr:rowOff>
    </xdr:from>
    <xdr:to>
      <xdr:col>3</xdr:col>
      <xdr:colOff>1552575</xdr:colOff>
      <xdr:row>1910</xdr:row>
      <xdr:rowOff>419100</xdr:rowOff>
    </xdr:to>
    <xdr:pic>
      <xdr:nvPicPr>
        <xdr:cNvPr id="855" name="Имя " descr="Descr ">
          <a:extLst>
            <a:ext uri="{FF2B5EF4-FFF2-40B4-BE49-F238E27FC236}">
              <a16:creationId xmlns:a16="http://schemas.microsoft.com/office/drawing/2014/main" id="{00000000-0008-0000-0000-000057030000}"/>
            </a:ext>
          </a:extLst>
        </xdr:cNvPr>
        <xdr:cNvPicPr>
          <a:picLocks noChangeAspect="1"/>
        </xdr:cNvPicPr>
      </xdr:nvPicPr>
      <xdr:blipFill>
        <a:blip xmlns:r="http://schemas.openxmlformats.org/officeDocument/2006/relationships" r:embed="rId836"/>
        <a:stretch>
          <a:fillRect/>
        </a:stretch>
      </xdr:blipFill>
      <xdr:spPr>
        <a:prstGeom prst="rect">
          <a:avLst/>
        </a:prstGeom>
        <a:ln w="9525">
          <a:solidFill>
            <a:srgbClr val="000000"/>
          </a:solidFill>
          <a:prstDash val="solid"/>
        </a:ln>
      </xdr:spPr>
    </xdr:pic>
    <xdr:clientData/>
  </xdr:twoCellAnchor>
  <xdr:twoCellAnchor>
    <xdr:from>
      <xdr:col>3</xdr:col>
      <xdr:colOff>114300</xdr:colOff>
      <xdr:row>1911</xdr:row>
      <xdr:rowOff>38100</xdr:rowOff>
    </xdr:from>
    <xdr:to>
      <xdr:col>3</xdr:col>
      <xdr:colOff>1552575</xdr:colOff>
      <xdr:row>1912</xdr:row>
      <xdr:rowOff>638175</xdr:rowOff>
    </xdr:to>
    <xdr:pic>
      <xdr:nvPicPr>
        <xdr:cNvPr id="856" name="Имя " descr="Descr ">
          <a:extLst>
            <a:ext uri="{FF2B5EF4-FFF2-40B4-BE49-F238E27FC236}">
              <a16:creationId xmlns:a16="http://schemas.microsoft.com/office/drawing/2014/main" id="{00000000-0008-0000-0000-000058030000}"/>
            </a:ext>
          </a:extLst>
        </xdr:cNvPr>
        <xdr:cNvPicPr>
          <a:picLocks noChangeAspect="1"/>
        </xdr:cNvPicPr>
      </xdr:nvPicPr>
      <xdr:blipFill>
        <a:blip xmlns:r="http://schemas.openxmlformats.org/officeDocument/2006/relationships" r:embed="rId837"/>
        <a:stretch>
          <a:fillRect/>
        </a:stretch>
      </xdr:blipFill>
      <xdr:spPr>
        <a:prstGeom prst="rect">
          <a:avLst/>
        </a:prstGeom>
        <a:ln w="9525">
          <a:solidFill>
            <a:srgbClr val="000000"/>
          </a:solidFill>
          <a:prstDash val="solid"/>
        </a:ln>
      </xdr:spPr>
    </xdr:pic>
    <xdr:clientData/>
  </xdr:twoCellAnchor>
  <xdr:twoCellAnchor>
    <xdr:from>
      <xdr:col>3</xdr:col>
      <xdr:colOff>114300</xdr:colOff>
      <xdr:row>1913</xdr:row>
      <xdr:rowOff>38100</xdr:rowOff>
    </xdr:from>
    <xdr:to>
      <xdr:col>3</xdr:col>
      <xdr:colOff>1552575</xdr:colOff>
      <xdr:row>1914</xdr:row>
      <xdr:rowOff>638175</xdr:rowOff>
    </xdr:to>
    <xdr:pic>
      <xdr:nvPicPr>
        <xdr:cNvPr id="857" name="Имя " descr="Descr ">
          <a:extLst>
            <a:ext uri="{FF2B5EF4-FFF2-40B4-BE49-F238E27FC236}">
              <a16:creationId xmlns:a16="http://schemas.microsoft.com/office/drawing/2014/main" id="{00000000-0008-0000-0000-000059030000}"/>
            </a:ext>
          </a:extLst>
        </xdr:cNvPr>
        <xdr:cNvPicPr>
          <a:picLocks noChangeAspect="1"/>
        </xdr:cNvPicPr>
      </xdr:nvPicPr>
      <xdr:blipFill>
        <a:blip xmlns:r="http://schemas.openxmlformats.org/officeDocument/2006/relationships" r:embed="rId838"/>
        <a:stretch>
          <a:fillRect/>
        </a:stretch>
      </xdr:blipFill>
      <xdr:spPr>
        <a:prstGeom prst="rect">
          <a:avLst/>
        </a:prstGeom>
        <a:ln w="9525">
          <a:solidFill>
            <a:srgbClr val="000000"/>
          </a:solidFill>
          <a:prstDash val="solid"/>
        </a:ln>
      </xdr:spPr>
    </xdr:pic>
    <xdr:clientData/>
  </xdr:twoCellAnchor>
  <xdr:twoCellAnchor>
    <xdr:from>
      <xdr:col>3</xdr:col>
      <xdr:colOff>114300</xdr:colOff>
      <xdr:row>1915</xdr:row>
      <xdr:rowOff>38100</xdr:rowOff>
    </xdr:from>
    <xdr:to>
      <xdr:col>3</xdr:col>
      <xdr:colOff>1552575</xdr:colOff>
      <xdr:row>1916</xdr:row>
      <xdr:rowOff>638175</xdr:rowOff>
    </xdr:to>
    <xdr:pic>
      <xdr:nvPicPr>
        <xdr:cNvPr id="858" name="Имя " descr="Descr ">
          <a:extLst>
            <a:ext uri="{FF2B5EF4-FFF2-40B4-BE49-F238E27FC236}">
              <a16:creationId xmlns:a16="http://schemas.microsoft.com/office/drawing/2014/main" id="{00000000-0008-0000-0000-00005A030000}"/>
            </a:ext>
          </a:extLst>
        </xdr:cNvPr>
        <xdr:cNvPicPr>
          <a:picLocks noChangeAspect="1"/>
        </xdr:cNvPicPr>
      </xdr:nvPicPr>
      <xdr:blipFill>
        <a:blip xmlns:r="http://schemas.openxmlformats.org/officeDocument/2006/relationships" r:embed="rId839"/>
        <a:stretch>
          <a:fillRect/>
        </a:stretch>
      </xdr:blipFill>
      <xdr:spPr>
        <a:prstGeom prst="rect">
          <a:avLst/>
        </a:prstGeom>
        <a:ln w="9525">
          <a:solidFill>
            <a:srgbClr val="000000"/>
          </a:solidFill>
          <a:prstDash val="solid"/>
        </a:ln>
      </xdr:spPr>
    </xdr:pic>
    <xdr:clientData/>
  </xdr:twoCellAnchor>
  <xdr:twoCellAnchor>
    <xdr:from>
      <xdr:col>3</xdr:col>
      <xdr:colOff>114300</xdr:colOff>
      <xdr:row>1917</xdr:row>
      <xdr:rowOff>28575</xdr:rowOff>
    </xdr:from>
    <xdr:to>
      <xdr:col>3</xdr:col>
      <xdr:colOff>1552575</xdr:colOff>
      <xdr:row>1917</xdr:row>
      <xdr:rowOff>1266825</xdr:rowOff>
    </xdr:to>
    <xdr:pic>
      <xdr:nvPicPr>
        <xdr:cNvPr id="859" name="Имя " descr="Descr ">
          <a:extLst>
            <a:ext uri="{FF2B5EF4-FFF2-40B4-BE49-F238E27FC236}">
              <a16:creationId xmlns:a16="http://schemas.microsoft.com/office/drawing/2014/main" id="{00000000-0008-0000-0000-00005B030000}"/>
            </a:ext>
          </a:extLst>
        </xdr:cNvPr>
        <xdr:cNvPicPr>
          <a:picLocks noChangeAspect="1"/>
        </xdr:cNvPicPr>
      </xdr:nvPicPr>
      <xdr:blipFill>
        <a:blip xmlns:r="http://schemas.openxmlformats.org/officeDocument/2006/relationships" r:embed="rId840"/>
        <a:stretch>
          <a:fillRect/>
        </a:stretch>
      </xdr:blipFill>
      <xdr:spPr>
        <a:prstGeom prst="rect">
          <a:avLst/>
        </a:prstGeom>
        <a:ln w="9525">
          <a:solidFill>
            <a:srgbClr val="000000"/>
          </a:solidFill>
          <a:prstDash val="solid"/>
        </a:ln>
      </xdr:spPr>
    </xdr:pic>
    <xdr:clientData/>
  </xdr:twoCellAnchor>
  <xdr:twoCellAnchor>
    <xdr:from>
      <xdr:col>3</xdr:col>
      <xdr:colOff>114300</xdr:colOff>
      <xdr:row>1918</xdr:row>
      <xdr:rowOff>28575</xdr:rowOff>
    </xdr:from>
    <xdr:to>
      <xdr:col>3</xdr:col>
      <xdr:colOff>1552575</xdr:colOff>
      <xdr:row>1918</xdr:row>
      <xdr:rowOff>1266825</xdr:rowOff>
    </xdr:to>
    <xdr:pic>
      <xdr:nvPicPr>
        <xdr:cNvPr id="860" name="Имя " descr="Descr ">
          <a:extLst>
            <a:ext uri="{FF2B5EF4-FFF2-40B4-BE49-F238E27FC236}">
              <a16:creationId xmlns:a16="http://schemas.microsoft.com/office/drawing/2014/main" id="{00000000-0008-0000-0000-00005C030000}"/>
            </a:ext>
          </a:extLst>
        </xdr:cNvPr>
        <xdr:cNvPicPr>
          <a:picLocks noChangeAspect="1"/>
        </xdr:cNvPicPr>
      </xdr:nvPicPr>
      <xdr:blipFill>
        <a:blip xmlns:r="http://schemas.openxmlformats.org/officeDocument/2006/relationships" r:embed="rId841"/>
        <a:stretch>
          <a:fillRect/>
        </a:stretch>
      </xdr:blipFill>
      <xdr:spPr>
        <a:prstGeom prst="rect">
          <a:avLst/>
        </a:prstGeom>
        <a:ln w="9525">
          <a:solidFill>
            <a:srgbClr val="000000"/>
          </a:solidFill>
          <a:prstDash val="solid"/>
        </a:ln>
      </xdr:spPr>
    </xdr:pic>
    <xdr:clientData/>
  </xdr:twoCellAnchor>
  <xdr:twoCellAnchor>
    <xdr:from>
      <xdr:col>3</xdr:col>
      <xdr:colOff>114300</xdr:colOff>
      <xdr:row>1919</xdr:row>
      <xdr:rowOff>28575</xdr:rowOff>
    </xdr:from>
    <xdr:to>
      <xdr:col>3</xdr:col>
      <xdr:colOff>1552575</xdr:colOff>
      <xdr:row>1919</xdr:row>
      <xdr:rowOff>1266825</xdr:rowOff>
    </xdr:to>
    <xdr:pic>
      <xdr:nvPicPr>
        <xdr:cNvPr id="861" name="Имя " descr="Descr ">
          <a:extLst>
            <a:ext uri="{FF2B5EF4-FFF2-40B4-BE49-F238E27FC236}">
              <a16:creationId xmlns:a16="http://schemas.microsoft.com/office/drawing/2014/main" id="{00000000-0008-0000-0000-00005D030000}"/>
            </a:ext>
          </a:extLst>
        </xdr:cNvPr>
        <xdr:cNvPicPr>
          <a:picLocks noChangeAspect="1"/>
        </xdr:cNvPicPr>
      </xdr:nvPicPr>
      <xdr:blipFill>
        <a:blip xmlns:r="http://schemas.openxmlformats.org/officeDocument/2006/relationships" r:embed="rId842"/>
        <a:stretch>
          <a:fillRect/>
        </a:stretch>
      </xdr:blipFill>
      <xdr:spPr>
        <a:prstGeom prst="rect">
          <a:avLst/>
        </a:prstGeom>
        <a:ln w="9525">
          <a:solidFill>
            <a:srgbClr val="000000"/>
          </a:solidFill>
          <a:prstDash val="solid"/>
        </a:ln>
      </xdr:spPr>
    </xdr:pic>
    <xdr:clientData/>
  </xdr:twoCellAnchor>
  <xdr:twoCellAnchor>
    <xdr:from>
      <xdr:col>3</xdr:col>
      <xdr:colOff>114300</xdr:colOff>
      <xdr:row>1920</xdr:row>
      <xdr:rowOff>28575</xdr:rowOff>
    </xdr:from>
    <xdr:to>
      <xdr:col>3</xdr:col>
      <xdr:colOff>1552575</xdr:colOff>
      <xdr:row>1922</xdr:row>
      <xdr:rowOff>419100</xdr:rowOff>
    </xdr:to>
    <xdr:pic>
      <xdr:nvPicPr>
        <xdr:cNvPr id="862" name="Имя " descr="Descr ">
          <a:extLst>
            <a:ext uri="{FF2B5EF4-FFF2-40B4-BE49-F238E27FC236}">
              <a16:creationId xmlns:a16="http://schemas.microsoft.com/office/drawing/2014/main" id="{00000000-0008-0000-0000-00005E030000}"/>
            </a:ext>
          </a:extLst>
        </xdr:cNvPr>
        <xdr:cNvPicPr>
          <a:picLocks noChangeAspect="1"/>
        </xdr:cNvPicPr>
      </xdr:nvPicPr>
      <xdr:blipFill>
        <a:blip xmlns:r="http://schemas.openxmlformats.org/officeDocument/2006/relationships" r:embed="rId843"/>
        <a:stretch>
          <a:fillRect/>
        </a:stretch>
      </xdr:blipFill>
      <xdr:spPr>
        <a:prstGeom prst="rect">
          <a:avLst/>
        </a:prstGeom>
        <a:ln w="9525">
          <a:solidFill>
            <a:srgbClr val="000000"/>
          </a:solidFill>
          <a:prstDash val="solid"/>
        </a:ln>
      </xdr:spPr>
    </xdr:pic>
    <xdr:clientData/>
  </xdr:twoCellAnchor>
  <xdr:twoCellAnchor>
    <xdr:from>
      <xdr:col>3</xdr:col>
      <xdr:colOff>114300</xdr:colOff>
      <xdr:row>1923</xdr:row>
      <xdr:rowOff>28575</xdr:rowOff>
    </xdr:from>
    <xdr:to>
      <xdr:col>3</xdr:col>
      <xdr:colOff>1552575</xdr:colOff>
      <xdr:row>1925</xdr:row>
      <xdr:rowOff>419100</xdr:rowOff>
    </xdr:to>
    <xdr:pic>
      <xdr:nvPicPr>
        <xdr:cNvPr id="863" name="Имя " descr="Descr ">
          <a:extLst>
            <a:ext uri="{FF2B5EF4-FFF2-40B4-BE49-F238E27FC236}">
              <a16:creationId xmlns:a16="http://schemas.microsoft.com/office/drawing/2014/main" id="{00000000-0008-0000-0000-00005F030000}"/>
            </a:ext>
          </a:extLst>
        </xdr:cNvPr>
        <xdr:cNvPicPr>
          <a:picLocks noChangeAspect="1"/>
        </xdr:cNvPicPr>
      </xdr:nvPicPr>
      <xdr:blipFill>
        <a:blip xmlns:r="http://schemas.openxmlformats.org/officeDocument/2006/relationships" r:embed="rId844"/>
        <a:stretch>
          <a:fillRect/>
        </a:stretch>
      </xdr:blipFill>
      <xdr:spPr>
        <a:prstGeom prst="rect">
          <a:avLst/>
        </a:prstGeom>
        <a:ln w="9525">
          <a:solidFill>
            <a:srgbClr val="000000"/>
          </a:solidFill>
          <a:prstDash val="solid"/>
        </a:ln>
      </xdr:spPr>
    </xdr:pic>
    <xdr:clientData/>
  </xdr:twoCellAnchor>
  <xdr:twoCellAnchor>
    <xdr:from>
      <xdr:col>3</xdr:col>
      <xdr:colOff>114300</xdr:colOff>
      <xdr:row>1926</xdr:row>
      <xdr:rowOff>38100</xdr:rowOff>
    </xdr:from>
    <xdr:to>
      <xdr:col>3</xdr:col>
      <xdr:colOff>1552575</xdr:colOff>
      <xdr:row>1927</xdr:row>
      <xdr:rowOff>638175</xdr:rowOff>
    </xdr:to>
    <xdr:pic>
      <xdr:nvPicPr>
        <xdr:cNvPr id="864" name="Имя " descr="Descr ">
          <a:extLst>
            <a:ext uri="{FF2B5EF4-FFF2-40B4-BE49-F238E27FC236}">
              <a16:creationId xmlns:a16="http://schemas.microsoft.com/office/drawing/2014/main" id="{00000000-0008-0000-0000-000060030000}"/>
            </a:ext>
          </a:extLst>
        </xdr:cNvPr>
        <xdr:cNvPicPr>
          <a:picLocks noChangeAspect="1"/>
        </xdr:cNvPicPr>
      </xdr:nvPicPr>
      <xdr:blipFill>
        <a:blip xmlns:r="http://schemas.openxmlformats.org/officeDocument/2006/relationships" r:embed="rId845"/>
        <a:stretch>
          <a:fillRect/>
        </a:stretch>
      </xdr:blipFill>
      <xdr:spPr>
        <a:prstGeom prst="rect">
          <a:avLst/>
        </a:prstGeom>
        <a:ln w="9525">
          <a:solidFill>
            <a:srgbClr val="000000"/>
          </a:solidFill>
          <a:prstDash val="solid"/>
        </a:ln>
      </xdr:spPr>
    </xdr:pic>
    <xdr:clientData/>
  </xdr:twoCellAnchor>
  <xdr:twoCellAnchor>
    <xdr:from>
      <xdr:col>3</xdr:col>
      <xdr:colOff>114300</xdr:colOff>
      <xdr:row>1928</xdr:row>
      <xdr:rowOff>38100</xdr:rowOff>
    </xdr:from>
    <xdr:to>
      <xdr:col>3</xdr:col>
      <xdr:colOff>1552575</xdr:colOff>
      <xdr:row>1929</xdr:row>
      <xdr:rowOff>638175</xdr:rowOff>
    </xdr:to>
    <xdr:pic>
      <xdr:nvPicPr>
        <xdr:cNvPr id="865" name="Имя " descr="Descr ">
          <a:extLst>
            <a:ext uri="{FF2B5EF4-FFF2-40B4-BE49-F238E27FC236}">
              <a16:creationId xmlns:a16="http://schemas.microsoft.com/office/drawing/2014/main" id="{00000000-0008-0000-0000-000061030000}"/>
            </a:ext>
          </a:extLst>
        </xdr:cNvPr>
        <xdr:cNvPicPr>
          <a:picLocks noChangeAspect="1"/>
        </xdr:cNvPicPr>
      </xdr:nvPicPr>
      <xdr:blipFill>
        <a:blip xmlns:r="http://schemas.openxmlformats.org/officeDocument/2006/relationships" r:embed="rId846"/>
        <a:stretch>
          <a:fillRect/>
        </a:stretch>
      </xdr:blipFill>
      <xdr:spPr>
        <a:prstGeom prst="rect">
          <a:avLst/>
        </a:prstGeom>
        <a:ln w="9525">
          <a:solidFill>
            <a:srgbClr val="000000"/>
          </a:solidFill>
          <a:prstDash val="solid"/>
        </a:ln>
      </xdr:spPr>
    </xdr:pic>
    <xdr:clientData/>
  </xdr:twoCellAnchor>
  <xdr:twoCellAnchor>
    <xdr:from>
      <xdr:col>3</xdr:col>
      <xdr:colOff>114300</xdr:colOff>
      <xdr:row>1930</xdr:row>
      <xdr:rowOff>28575</xdr:rowOff>
    </xdr:from>
    <xdr:to>
      <xdr:col>3</xdr:col>
      <xdr:colOff>1552575</xdr:colOff>
      <xdr:row>1932</xdr:row>
      <xdr:rowOff>419100</xdr:rowOff>
    </xdr:to>
    <xdr:pic>
      <xdr:nvPicPr>
        <xdr:cNvPr id="866" name="Имя " descr="Descr ">
          <a:extLst>
            <a:ext uri="{FF2B5EF4-FFF2-40B4-BE49-F238E27FC236}">
              <a16:creationId xmlns:a16="http://schemas.microsoft.com/office/drawing/2014/main" id="{00000000-0008-0000-0000-000062030000}"/>
            </a:ext>
          </a:extLst>
        </xdr:cNvPr>
        <xdr:cNvPicPr>
          <a:picLocks noChangeAspect="1"/>
        </xdr:cNvPicPr>
      </xdr:nvPicPr>
      <xdr:blipFill>
        <a:blip xmlns:r="http://schemas.openxmlformats.org/officeDocument/2006/relationships" r:embed="rId847"/>
        <a:stretch>
          <a:fillRect/>
        </a:stretch>
      </xdr:blipFill>
      <xdr:spPr>
        <a:prstGeom prst="rect">
          <a:avLst/>
        </a:prstGeom>
        <a:ln w="9525">
          <a:solidFill>
            <a:srgbClr val="000000"/>
          </a:solidFill>
          <a:prstDash val="solid"/>
        </a:ln>
      </xdr:spPr>
    </xdr:pic>
    <xdr:clientData/>
  </xdr:twoCellAnchor>
  <xdr:twoCellAnchor>
    <xdr:from>
      <xdr:col>3</xdr:col>
      <xdr:colOff>114300</xdr:colOff>
      <xdr:row>1933</xdr:row>
      <xdr:rowOff>38100</xdr:rowOff>
    </xdr:from>
    <xdr:to>
      <xdr:col>3</xdr:col>
      <xdr:colOff>1552575</xdr:colOff>
      <xdr:row>1934</xdr:row>
      <xdr:rowOff>638175</xdr:rowOff>
    </xdr:to>
    <xdr:pic>
      <xdr:nvPicPr>
        <xdr:cNvPr id="867" name="Имя " descr="Descr ">
          <a:extLst>
            <a:ext uri="{FF2B5EF4-FFF2-40B4-BE49-F238E27FC236}">
              <a16:creationId xmlns:a16="http://schemas.microsoft.com/office/drawing/2014/main" id="{00000000-0008-0000-0000-000063030000}"/>
            </a:ext>
          </a:extLst>
        </xdr:cNvPr>
        <xdr:cNvPicPr>
          <a:picLocks noChangeAspect="1"/>
        </xdr:cNvPicPr>
      </xdr:nvPicPr>
      <xdr:blipFill>
        <a:blip xmlns:r="http://schemas.openxmlformats.org/officeDocument/2006/relationships" r:embed="rId848"/>
        <a:stretch>
          <a:fillRect/>
        </a:stretch>
      </xdr:blipFill>
      <xdr:spPr>
        <a:prstGeom prst="rect">
          <a:avLst/>
        </a:prstGeom>
        <a:ln w="9525">
          <a:solidFill>
            <a:srgbClr val="000000"/>
          </a:solidFill>
          <a:prstDash val="solid"/>
        </a:ln>
      </xdr:spPr>
    </xdr:pic>
    <xdr:clientData/>
  </xdr:twoCellAnchor>
  <xdr:twoCellAnchor>
    <xdr:from>
      <xdr:col>3</xdr:col>
      <xdr:colOff>114300</xdr:colOff>
      <xdr:row>1935</xdr:row>
      <xdr:rowOff>28575</xdr:rowOff>
    </xdr:from>
    <xdr:to>
      <xdr:col>3</xdr:col>
      <xdr:colOff>1552575</xdr:colOff>
      <xdr:row>1937</xdr:row>
      <xdr:rowOff>419100</xdr:rowOff>
    </xdr:to>
    <xdr:pic>
      <xdr:nvPicPr>
        <xdr:cNvPr id="868" name="Имя " descr="Descr ">
          <a:extLst>
            <a:ext uri="{FF2B5EF4-FFF2-40B4-BE49-F238E27FC236}">
              <a16:creationId xmlns:a16="http://schemas.microsoft.com/office/drawing/2014/main" id="{00000000-0008-0000-0000-000064030000}"/>
            </a:ext>
          </a:extLst>
        </xdr:cNvPr>
        <xdr:cNvPicPr>
          <a:picLocks noChangeAspect="1"/>
        </xdr:cNvPicPr>
      </xdr:nvPicPr>
      <xdr:blipFill>
        <a:blip xmlns:r="http://schemas.openxmlformats.org/officeDocument/2006/relationships" r:embed="rId849"/>
        <a:stretch>
          <a:fillRect/>
        </a:stretch>
      </xdr:blipFill>
      <xdr:spPr>
        <a:prstGeom prst="rect">
          <a:avLst/>
        </a:prstGeom>
        <a:ln w="9525">
          <a:solidFill>
            <a:srgbClr val="000000"/>
          </a:solidFill>
          <a:prstDash val="solid"/>
        </a:ln>
      </xdr:spPr>
    </xdr:pic>
    <xdr:clientData/>
  </xdr:twoCellAnchor>
  <xdr:twoCellAnchor>
    <xdr:from>
      <xdr:col>3</xdr:col>
      <xdr:colOff>114300</xdr:colOff>
      <xdr:row>1938</xdr:row>
      <xdr:rowOff>28575</xdr:rowOff>
    </xdr:from>
    <xdr:to>
      <xdr:col>3</xdr:col>
      <xdr:colOff>1552575</xdr:colOff>
      <xdr:row>1940</xdr:row>
      <xdr:rowOff>419100</xdr:rowOff>
    </xdr:to>
    <xdr:pic>
      <xdr:nvPicPr>
        <xdr:cNvPr id="869" name="Имя " descr="Descr ">
          <a:extLst>
            <a:ext uri="{FF2B5EF4-FFF2-40B4-BE49-F238E27FC236}">
              <a16:creationId xmlns:a16="http://schemas.microsoft.com/office/drawing/2014/main" id="{00000000-0008-0000-0000-000065030000}"/>
            </a:ext>
          </a:extLst>
        </xdr:cNvPr>
        <xdr:cNvPicPr>
          <a:picLocks noChangeAspect="1"/>
        </xdr:cNvPicPr>
      </xdr:nvPicPr>
      <xdr:blipFill>
        <a:blip xmlns:r="http://schemas.openxmlformats.org/officeDocument/2006/relationships" r:embed="rId850"/>
        <a:stretch>
          <a:fillRect/>
        </a:stretch>
      </xdr:blipFill>
      <xdr:spPr>
        <a:prstGeom prst="rect">
          <a:avLst/>
        </a:prstGeom>
        <a:ln w="9525">
          <a:solidFill>
            <a:srgbClr val="000000"/>
          </a:solidFill>
          <a:prstDash val="solid"/>
        </a:ln>
      </xdr:spPr>
    </xdr:pic>
    <xdr:clientData/>
  </xdr:twoCellAnchor>
  <xdr:twoCellAnchor>
    <xdr:from>
      <xdr:col>3</xdr:col>
      <xdr:colOff>114300</xdr:colOff>
      <xdr:row>1941</xdr:row>
      <xdr:rowOff>38100</xdr:rowOff>
    </xdr:from>
    <xdr:to>
      <xdr:col>3</xdr:col>
      <xdr:colOff>1552575</xdr:colOff>
      <xdr:row>1942</xdr:row>
      <xdr:rowOff>638175</xdr:rowOff>
    </xdr:to>
    <xdr:pic>
      <xdr:nvPicPr>
        <xdr:cNvPr id="870" name="Имя " descr="Descr ">
          <a:extLst>
            <a:ext uri="{FF2B5EF4-FFF2-40B4-BE49-F238E27FC236}">
              <a16:creationId xmlns:a16="http://schemas.microsoft.com/office/drawing/2014/main" id="{00000000-0008-0000-0000-000066030000}"/>
            </a:ext>
          </a:extLst>
        </xdr:cNvPr>
        <xdr:cNvPicPr>
          <a:picLocks noChangeAspect="1"/>
        </xdr:cNvPicPr>
      </xdr:nvPicPr>
      <xdr:blipFill>
        <a:blip xmlns:r="http://schemas.openxmlformats.org/officeDocument/2006/relationships" r:embed="rId851"/>
        <a:stretch>
          <a:fillRect/>
        </a:stretch>
      </xdr:blipFill>
      <xdr:spPr>
        <a:prstGeom prst="rect">
          <a:avLst/>
        </a:prstGeom>
        <a:ln w="9525">
          <a:solidFill>
            <a:srgbClr val="000000"/>
          </a:solidFill>
          <a:prstDash val="solid"/>
        </a:ln>
      </xdr:spPr>
    </xdr:pic>
    <xdr:clientData/>
  </xdr:twoCellAnchor>
  <xdr:twoCellAnchor>
    <xdr:from>
      <xdr:col>3</xdr:col>
      <xdr:colOff>114300</xdr:colOff>
      <xdr:row>1943</xdr:row>
      <xdr:rowOff>28575</xdr:rowOff>
    </xdr:from>
    <xdr:to>
      <xdr:col>3</xdr:col>
      <xdr:colOff>1552575</xdr:colOff>
      <xdr:row>1943</xdr:row>
      <xdr:rowOff>1266825</xdr:rowOff>
    </xdr:to>
    <xdr:pic>
      <xdr:nvPicPr>
        <xdr:cNvPr id="871" name="Имя " descr="Descr ">
          <a:extLst>
            <a:ext uri="{FF2B5EF4-FFF2-40B4-BE49-F238E27FC236}">
              <a16:creationId xmlns:a16="http://schemas.microsoft.com/office/drawing/2014/main" id="{00000000-0008-0000-0000-000067030000}"/>
            </a:ext>
          </a:extLst>
        </xdr:cNvPr>
        <xdr:cNvPicPr>
          <a:picLocks noChangeAspect="1"/>
        </xdr:cNvPicPr>
      </xdr:nvPicPr>
      <xdr:blipFill>
        <a:blip xmlns:r="http://schemas.openxmlformats.org/officeDocument/2006/relationships" r:embed="rId852"/>
        <a:stretch>
          <a:fillRect/>
        </a:stretch>
      </xdr:blipFill>
      <xdr:spPr>
        <a:prstGeom prst="rect">
          <a:avLst/>
        </a:prstGeom>
        <a:ln w="9525">
          <a:solidFill>
            <a:srgbClr val="000000"/>
          </a:solidFill>
          <a:prstDash val="solid"/>
        </a:ln>
      </xdr:spPr>
    </xdr:pic>
    <xdr:clientData/>
  </xdr:twoCellAnchor>
  <xdr:twoCellAnchor>
    <xdr:from>
      <xdr:col>3</xdr:col>
      <xdr:colOff>114300</xdr:colOff>
      <xdr:row>1944</xdr:row>
      <xdr:rowOff>28575</xdr:rowOff>
    </xdr:from>
    <xdr:to>
      <xdr:col>3</xdr:col>
      <xdr:colOff>1552575</xdr:colOff>
      <xdr:row>1944</xdr:row>
      <xdr:rowOff>1266825</xdr:rowOff>
    </xdr:to>
    <xdr:pic>
      <xdr:nvPicPr>
        <xdr:cNvPr id="872" name="Имя " descr="Descr ">
          <a:extLst>
            <a:ext uri="{FF2B5EF4-FFF2-40B4-BE49-F238E27FC236}">
              <a16:creationId xmlns:a16="http://schemas.microsoft.com/office/drawing/2014/main" id="{00000000-0008-0000-0000-000068030000}"/>
            </a:ext>
          </a:extLst>
        </xdr:cNvPr>
        <xdr:cNvPicPr>
          <a:picLocks noChangeAspect="1"/>
        </xdr:cNvPicPr>
      </xdr:nvPicPr>
      <xdr:blipFill>
        <a:blip xmlns:r="http://schemas.openxmlformats.org/officeDocument/2006/relationships" r:embed="rId853"/>
        <a:stretch>
          <a:fillRect/>
        </a:stretch>
      </xdr:blipFill>
      <xdr:spPr>
        <a:prstGeom prst="rect">
          <a:avLst/>
        </a:prstGeom>
        <a:ln w="9525">
          <a:solidFill>
            <a:srgbClr val="000000"/>
          </a:solidFill>
          <a:prstDash val="solid"/>
        </a:ln>
      </xdr:spPr>
    </xdr:pic>
    <xdr:clientData/>
  </xdr:twoCellAnchor>
  <xdr:twoCellAnchor>
    <xdr:from>
      <xdr:col>3</xdr:col>
      <xdr:colOff>114300</xdr:colOff>
      <xdr:row>1945</xdr:row>
      <xdr:rowOff>28575</xdr:rowOff>
    </xdr:from>
    <xdr:to>
      <xdr:col>3</xdr:col>
      <xdr:colOff>1552575</xdr:colOff>
      <xdr:row>1945</xdr:row>
      <xdr:rowOff>1266825</xdr:rowOff>
    </xdr:to>
    <xdr:pic>
      <xdr:nvPicPr>
        <xdr:cNvPr id="873" name="Имя " descr="Descr ">
          <a:extLst>
            <a:ext uri="{FF2B5EF4-FFF2-40B4-BE49-F238E27FC236}">
              <a16:creationId xmlns:a16="http://schemas.microsoft.com/office/drawing/2014/main" id="{00000000-0008-0000-0000-000069030000}"/>
            </a:ext>
          </a:extLst>
        </xdr:cNvPr>
        <xdr:cNvPicPr>
          <a:picLocks noChangeAspect="1"/>
        </xdr:cNvPicPr>
      </xdr:nvPicPr>
      <xdr:blipFill>
        <a:blip xmlns:r="http://schemas.openxmlformats.org/officeDocument/2006/relationships" r:embed="rId854"/>
        <a:stretch>
          <a:fillRect/>
        </a:stretch>
      </xdr:blipFill>
      <xdr:spPr>
        <a:prstGeom prst="rect">
          <a:avLst/>
        </a:prstGeom>
        <a:ln w="9525">
          <a:solidFill>
            <a:srgbClr val="000000"/>
          </a:solidFill>
          <a:prstDash val="solid"/>
        </a:ln>
      </xdr:spPr>
    </xdr:pic>
    <xdr:clientData/>
  </xdr:twoCellAnchor>
  <xdr:twoCellAnchor>
    <xdr:from>
      <xdr:col>3</xdr:col>
      <xdr:colOff>114300</xdr:colOff>
      <xdr:row>1946</xdr:row>
      <xdr:rowOff>28575</xdr:rowOff>
    </xdr:from>
    <xdr:to>
      <xdr:col>3</xdr:col>
      <xdr:colOff>1552575</xdr:colOff>
      <xdr:row>1946</xdr:row>
      <xdr:rowOff>1266825</xdr:rowOff>
    </xdr:to>
    <xdr:pic>
      <xdr:nvPicPr>
        <xdr:cNvPr id="874" name="Имя " descr="Descr ">
          <a:extLst>
            <a:ext uri="{FF2B5EF4-FFF2-40B4-BE49-F238E27FC236}">
              <a16:creationId xmlns:a16="http://schemas.microsoft.com/office/drawing/2014/main" id="{00000000-0008-0000-0000-00006A030000}"/>
            </a:ext>
          </a:extLst>
        </xdr:cNvPr>
        <xdr:cNvPicPr>
          <a:picLocks noChangeAspect="1"/>
        </xdr:cNvPicPr>
      </xdr:nvPicPr>
      <xdr:blipFill>
        <a:blip xmlns:r="http://schemas.openxmlformats.org/officeDocument/2006/relationships" r:embed="rId855"/>
        <a:stretch>
          <a:fillRect/>
        </a:stretch>
      </xdr:blipFill>
      <xdr:spPr>
        <a:prstGeom prst="rect">
          <a:avLst/>
        </a:prstGeom>
        <a:ln w="9525">
          <a:solidFill>
            <a:srgbClr val="000000"/>
          </a:solidFill>
          <a:prstDash val="solid"/>
        </a:ln>
      </xdr:spPr>
    </xdr:pic>
    <xdr:clientData/>
  </xdr:twoCellAnchor>
  <xdr:twoCellAnchor>
    <xdr:from>
      <xdr:col>3</xdr:col>
      <xdr:colOff>114300</xdr:colOff>
      <xdr:row>1947</xdr:row>
      <xdr:rowOff>28575</xdr:rowOff>
    </xdr:from>
    <xdr:to>
      <xdr:col>3</xdr:col>
      <xdr:colOff>1552575</xdr:colOff>
      <xdr:row>1947</xdr:row>
      <xdr:rowOff>1266825</xdr:rowOff>
    </xdr:to>
    <xdr:pic>
      <xdr:nvPicPr>
        <xdr:cNvPr id="875" name="Имя " descr="Descr ">
          <a:extLst>
            <a:ext uri="{FF2B5EF4-FFF2-40B4-BE49-F238E27FC236}">
              <a16:creationId xmlns:a16="http://schemas.microsoft.com/office/drawing/2014/main" id="{00000000-0008-0000-0000-00006B030000}"/>
            </a:ext>
          </a:extLst>
        </xdr:cNvPr>
        <xdr:cNvPicPr>
          <a:picLocks noChangeAspect="1"/>
        </xdr:cNvPicPr>
      </xdr:nvPicPr>
      <xdr:blipFill>
        <a:blip xmlns:r="http://schemas.openxmlformats.org/officeDocument/2006/relationships" r:embed="rId856"/>
        <a:stretch>
          <a:fillRect/>
        </a:stretch>
      </xdr:blipFill>
      <xdr:spPr>
        <a:prstGeom prst="rect">
          <a:avLst/>
        </a:prstGeom>
        <a:ln w="9525">
          <a:solidFill>
            <a:srgbClr val="000000"/>
          </a:solidFill>
          <a:prstDash val="solid"/>
        </a:ln>
      </xdr:spPr>
    </xdr:pic>
    <xdr:clientData/>
  </xdr:twoCellAnchor>
  <xdr:twoCellAnchor>
    <xdr:from>
      <xdr:col>3</xdr:col>
      <xdr:colOff>114300</xdr:colOff>
      <xdr:row>1948</xdr:row>
      <xdr:rowOff>38100</xdr:rowOff>
    </xdr:from>
    <xdr:to>
      <xdr:col>3</xdr:col>
      <xdr:colOff>1552575</xdr:colOff>
      <xdr:row>1949</xdr:row>
      <xdr:rowOff>638175</xdr:rowOff>
    </xdr:to>
    <xdr:pic>
      <xdr:nvPicPr>
        <xdr:cNvPr id="876" name="Имя " descr="Descr ">
          <a:extLst>
            <a:ext uri="{FF2B5EF4-FFF2-40B4-BE49-F238E27FC236}">
              <a16:creationId xmlns:a16="http://schemas.microsoft.com/office/drawing/2014/main" id="{00000000-0008-0000-0000-00006C030000}"/>
            </a:ext>
          </a:extLst>
        </xdr:cNvPr>
        <xdr:cNvPicPr>
          <a:picLocks noChangeAspect="1"/>
        </xdr:cNvPicPr>
      </xdr:nvPicPr>
      <xdr:blipFill>
        <a:blip xmlns:r="http://schemas.openxmlformats.org/officeDocument/2006/relationships" r:embed="rId857"/>
        <a:stretch>
          <a:fillRect/>
        </a:stretch>
      </xdr:blipFill>
      <xdr:spPr>
        <a:prstGeom prst="rect">
          <a:avLst/>
        </a:prstGeom>
        <a:ln w="9525">
          <a:solidFill>
            <a:srgbClr val="000000"/>
          </a:solidFill>
          <a:prstDash val="solid"/>
        </a:ln>
      </xdr:spPr>
    </xdr:pic>
    <xdr:clientData/>
  </xdr:twoCellAnchor>
  <xdr:twoCellAnchor>
    <xdr:from>
      <xdr:col>3</xdr:col>
      <xdr:colOff>114300</xdr:colOff>
      <xdr:row>1950</xdr:row>
      <xdr:rowOff>28575</xdr:rowOff>
    </xdr:from>
    <xdr:to>
      <xdr:col>3</xdr:col>
      <xdr:colOff>1552575</xdr:colOff>
      <xdr:row>1950</xdr:row>
      <xdr:rowOff>1266825</xdr:rowOff>
    </xdr:to>
    <xdr:pic>
      <xdr:nvPicPr>
        <xdr:cNvPr id="877" name="Имя " descr="Descr ">
          <a:extLst>
            <a:ext uri="{FF2B5EF4-FFF2-40B4-BE49-F238E27FC236}">
              <a16:creationId xmlns:a16="http://schemas.microsoft.com/office/drawing/2014/main" id="{00000000-0008-0000-0000-00006D030000}"/>
            </a:ext>
          </a:extLst>
        </xdr:cNvPr>
        <xdr:cNvPicPr>
          <a:picLocks noChangeAspect="1"/>
        </xdr:cNvPicPr>
      </xdr:nvPicPr>
      <xdr:blipFill>
        <a:blip xmlns:r="http://schemas.openxmlformats.org/officeDocument/2006/relationships" r:embed="rId858"/>
        <a:stretch>
          <a:fillRect/>
        </a:stretch>
      </xdr:blipFill>
      <xdr:spPr>
        <a:prstGeom prst="rect">
          <a:avLst/>
        </a:prstGeom>
        <a:ln w="9525">
          <a:solidFill>
            <a:srgbClr val="000000"/>
          </a:solidFill>
          <a:prstDash val="solid"/>
        </a:ln>
      </xdr:spPr>
    </xdr:pic>
    <xdr:clientData/>
  </xdr:twoCellAnchor>
  <xdr:twoCellAnchor>
    <xdr:from>
      <xdr:col>3</xdr:col>
      <xdr:colOff>114300</xdr:colOff>
      <xdr:row>1951</xdr:row>
      <xdr:rowOff>38100</xdr:rowOff>
    </xdr:from>
    <xdr:to>
      <xdr:col>3</xdr:col>
      <xdr:colOff>1552575</xdr:colOff>
      <xdr:row>1952</xdr:row>
      <xdr:rowOff>638175</xdr:rowOff>
    </xdr:to>
    <xdr:pic>
      <xdr:nvPicPr>
        <xdr:cNvPr id="878" name="Имя " descr="Descr ">
          <a:extLst>
            <a:ext uri="{FF2B5EF4-FFF2-40B4-BE49-F238E27FC236}">
              <a16:creationId xmlns:a16="http://schemas.microsoft.com/office/drawing/2014/main" id="{00000000-0008-0000-0000-00006E030000}"/>
            </a:ext>
          </a:extLst>
        </xdr:cNvPr>
        <xdr:cNvPicPr>
          <a:picLocks noChangeAspect="1"/>
        </xdr:cNvPicPr>
      </xdr:nvPicPr>
      <xdr:blipFill>
        <a:blip xmlns:r="http://schemas.openxmlformats.org/officeDocument/2006/relationships" r:embed="rId859"/>
        <a:stretch>
          <a:fillRect/>
        </a:stretch>
      </xdr:blipFill>
      <xdr:spPr>
        <a:prstGeom prst="rect">
          <a:avLst/>
        </a:prstGeom>
        <a:ln w="9525">
          <a:solidFill>
            <a:srgbClr val="000000"/>
          </a:solidFill>
          <a:prstDash val="solid"/>
        </a:ln>
      </xdr:spPr>
    </xdr:pic>
    <xdr:clientData/>
  </xdr:twoCellAnchor>
  <xdr:twoCellAnchor>
    <xdr:from>
      <xdr:col>3</xdr:col>
      <xdr:colOff>114300</xdr:colOff>
      <xdr:row>1953</xdr:row>
      <xdr:rowOff>28575</xdr:rowOff>
    </xdr:from>
    <xdr:to>
      <xdr:col>3</xdr:col>
      <xdr:colOff>1552575</xdr:colOff>
      <xdr:row>1953</xdr:row>
      <xdr:rowOff>1266825</xdr:rowOff>
    </xdr:to>
    <xdr:pic>
      <xdr:nvPicPr>
        <xdr:cNvPr id="879" name="Имя " descr="Descr ">
          <a:extLst>
            <a:ext uri="{FF2B5EF4-FFF2-40B4-BE49-F238E27FC236}">
              <a16:creationId xmlns:a16="http://schemas.microsoft.com/office/drawing/2014/main" id="{00000000-0008-0000-0000-00006F030000}"/>
            </a:ext>
          </a:extLst>
        </xdr:cNvPr>
        <xdr:cNvPicPr>
          <a:picLocks noChangeAspect="1"/>
        </xdr:cNvPicPr>
      </xdr:nvPicPr>
      <xdr:blipFill>
        <a:blip xmlns:r="http://schemas.openxmlformats.org/officeDocument/2006/relationships" r:embed="rId860"/>
        <a:stretch>
          <a:fillRect/>
        </a:stretch>
      </xdr:blipFill>
      <xdr:spPr>
        <a:prstGeom prst="rect">
          <a:avLst/>
        </a:prstGeom>
        <a:ln w="9525">
          <a:solidFill>
            <a:srgbClr val="000000"/>
          </a:solidFill>
          <a:prstDash val="solid"/>
        </a:ln>
      </xdr:spPr>
    </xdr:pic>
    <xdr:clientData/>
  </xdr:twoCellAnchor>
  <xdr:twoCellAnchor>
    <xdr:from>
      <xdr:col>3</xdr:col>
      <xdr:colOff>114300</xdr:colOff>
      <xdr:row>1954</xdr:row>
      <xdr:rowOff>28575</xdr:rowOff>
    </xdr:from>
    <xdr:to>
      <xdr:col>3</xdr:col>
      <xdr:colOff>1552575</xdr:colOff>
      <xdr:row>1954</xdr:row>
      <xdr:rowOff>1266825</xdr:rowOff>
    </xdr:to>
    <xdr:pic>
      <xdr:nvPicPr>
        <xdr:cNvPr id="880" name="Имя " descr="Descr ">
          <a:extLst>
            <a:ext uri="{FF2B5EF4-FFF2-40B4-BE49-F238E27FC236}">
              <a16:creationId xmlns:a16="http://schemas.microsoft.com/office/drawing/2014/main" id="{00000000-0008-0000-0000-000070030000}"/>
            </a:ext>
          </a:extLst>
        </xdr:cNvPr>
        <xdr:cNvPicPr>
          <a:picLocks noChangeAspect="1"/>
        </xdr:cNvPicPr>
      </xdr:nvPicPr>
      <xdr:blipFill>
        <a:blip xmlns:r="http://schemas.openxmlformats.org/officeDocument/2006/relationships" r:embed="rId861"/>
        <a:stretch>
          <a:fillRect/>
        </a:stretch>
      </xdr:blipFill>
      <xdr:spPr>
        <a:prstGeom prst="rect">
          <a:avLst/>
        </a:prstGeom>
        <a:ln w="9525">
          <a:solidFill>
            <a:srgbClr val="000000"/>
          </a:solidFill>
          <a:prstDash val="solid"/>
        </a:ln>
      </xdr:spPr>
    </xdr:pic>
    <xdr:clientData/>
  </xdr:twoCellAnchor>
  <xdr:twoCellAnchor>
    <xdr:from>
      <xdr:col>3</xdr:col>
      <xdr:colOff>114300</xdr:colOff>
      <xdr:row>1955</xdr:row>
      <xdr:rowOff>28575</xdr:rowOff>
    </xdr:from>
    <xdr:to>
      <xdr:col>3</xdr:col>
      <xdr:colOff>1552575</xdr:colOff>
      <xdr:row>1955</xdr:row>
      <xdr:rowOff>1266825</xdr:rowOff>
    </xdr:to>
    <xdr:pic>
      <xdr:nvPicPr>
        <xdr:cNvPr id="881" name="Имя " descr="Descr ">
          <a:extLst>
            <a:ext uri="{FF2B5EF4-FFF2-40B4-BE49-F238E27FC236}">
              <a16:creationId xmlns:a16="http://schemas.microsoft.com/office/drawing/2014/main" id="{00000000-0008-0000-0000-000071030000}"/>
            </a:ext>
          </a:extLst>
        </xdr:cNvPr>
        <xdr:cNvPicPr>
          <a:picLocks noChangeAspect="1"/>
        </xdr:cNvPicPr>
      </xdr:nvPicPr>
      <xdr:blipFill>
        <a:blip xmlns:r="http://schemas.openxmlformats.org/officeDocument/2006/relationships" r:embed="rId862"/>
        <a:stretch>
          <a:fillRect/>
        </a:stretch>
      </xdr:blipFill>
      <xdr:spPr>
        <a:prstGeom prst="rect">
          <a:avLst/>
        </a:prstGeom>
        <a:ln w="9525">
          <a:solidFill>
            <a:srgbClr val="000000"/>
          </a:solidFill>
          <a:prstDash val="solid"/>
        </a:ln>
      </xdr:spPr>
    </xdr:pic>
    <xdr:clientData/>
  </xdr:twoCellAnchor>
  <xdr:twoCellAnchor>
    <xdr:from>
      <xdr:col>3</xdr:col>
      <xdr:colOff>114300</xdr:colOff>
      <xdr:row>1956</xdr:row>
      <xdr:rowOff>28575</xdr:rowOff>
    </xdr:from>
    <xdr:to>
      <xdr:col>3</xdr:col>
      <xdr:colOff>1552575</xdr:colOff>
      <xdr:row>1956</xdr:row>
      <xdr:rowOff>1266825</xdr:rowOff>
    </xdr:to>
    <xdr:pic>
      <xdr:nvPicPr>
        <xdr:cNvPr id="882" name="Имя " descr="Descr ">
          <a:extLst>
            <a:ext uri="{FF2B5EF4-FFF2-40B4-BE49-F238E27FC236}">
              <a16:creationId xmlns:a16="http://schemas.microsoft.com/office/drawing/2014/main" id="{00000000-0008-0000-0000-000072030000}"/>
            </a:ext>
          </a:extLst>
        </xdr:cNvPr>
        <xdr:cNvPicPr>
          <a:picLocks noChangeAspect="1"/>
        </xdr:cNvPicPr>
      </xdr:nvPicPr>
      <xdr:blipFill>
        <a:blip xmlns:r="http://schemas.openxmlformats.org/officeDocument/2006/relationships" r:embed="rId863"/>
        <a:stretch>
          <a:fillRect/>
        </a:stretch>
      </xdr:blipFill>
      <xdr:spPr>
        <a:prstGeom prst="rect">
          <a:avLst/>
        </a:prstGeom>
        <a:ln w="9525">
          <a:solidFill>
            <a:srgbClr val="000000"/>
          </a:solidFill>
          <a:prstDash val="solid"/>
        </a:ln>
      </xdr:spPr>
    </xdr:pic>
    <xdr:clientData/>
  </xdr:twoCellAnchor>
  <xdr:twoCellAnchor>
    <xdr:from>
      <xdr:col>3</xdr:col>
      <xdr:colOff>114300</xdr:colOff>
      <xdr:row>1957</xdr:row>
      <xdr:rowOff>28575</xdr:rowOff>
    </xdr:from>
    <xdr:to>
      <xdr:col>3</xdr:col>
      <xdr:colOff>1552575</xdr:colOff>
      <xdr:row>1957</xdr:row>
      <xdr:rowOff>1266825</xdr:rowOff>
    </xdr:to>
    <xdr:pic>
      <xdr:nvPicPr>
        <xdr:cNvPr id="883" name="Имя " descr="Descr ">
          <a:extLst>
            <a:ext uri="{FF2B5EF4-FFF2-40B4-BE49-F238E27FC236}">
              <a16:creationId xmlns:a16="http://schemas.microsoft.com/office/drawing/2014/main" id="{00000000-0008-0000-0000-000073030000}"/>
            </a:ext>
          </a:extLst>
        </xdr:cNvPr>
        <xdr:cNvPicPr>
          <a:picLocks noChangeAspect="1"/>
        </xdr:cNvPicPr>
      </xdr:nvPicPr>
      <xdr:blipFill>
        <a:blip xmlns:r="http://schemas.openxmlformats.org/officeDocument/2006/relationships" r:embed="rId864"/>
        <a:stretch>
          <a:fillRect/>
        </a:stretch>
      </xdr:blipFill>
      <xdr:spPr>
        <a:prstGeom prst="rect">
          <a:avLst/>
        </a:prstGeom>
        <a:ln w="9525">
          <a:solidFill>
            <a:srgbClr val="000000"/>
          </a:solidFill>
          <a:prstDash val="solid"/>
        </a:ln>
      </xdr:spPr>
    </xdr:pic>
    <xdr:clientData/>
  </xdr:twoCellAnchor>
  <xdr:twoCellAnchor>
    <xdr:from>
      <xdr:col>3</xdr:col>
      <xdr:colOff>114300</xdr:colOff>
      <xdr:row>1958</xdr:row>
      <xdr:rowOff>28575</xdr:rowOff>
    </xdr:from>
    <xdr:to>
      <xdr:col>3</xdr:col>
      <xdr:colOff>1552575</xdr:colOff>
      <xdr:row>1958</xdr:row>
      <xdr:rowOff>1266825</xdr:rowOff>
    </xdr:to>
    <xdr:pic>
      <xdr:nvPicPr>
        <xdr:cNvPr id="884" name="Имя " descr="Descr ">
          <a:extLst>
            <a:ext uri="{FF2B5EF4-FFF2-40B4-BE49-F238E27FC236}">
              <a16:creationId xmlns:a16="http://schemas.microsoft.com/office/drawing/2014/main" id="{00000000-0008-0000-0000-000074030000}"/>
            </a:ext>
          </a:extLst>
        </xdr:cNvPr>
        <xdr:cNvPicPr>
          <a:picLocks noChangeAspect="1"/>
        </xdr:cNvPicPr>
      </xdr:nvPicPr>
      <xdr:blipFill>
        <a:blip xmlns:r="http://schemas.openxmlformats.org/officeDocument/2006/relationships" r:embed="rId865"/>
        <a:stretch>
          <a:fillRect/>
        </a:stretch>
      </xdr:blipFill>
      <xdr:spPr>
        <a:prstGeom prst="rect">
          <a:avLst/>
        </a:prstGeom>
        <a:ln w="9525">
          <a:solidFill>
            <a:srgbClr val="000000"/>
          </a:solidFill>
          <a:prstDash val="solid"/>
        </a:ln>
      </xdr:spPr>
    </xdr:pic>
    <xdr:clientData/>
  </xdr:twoCellAnchor>
  <xdr:twoCellAnchor>
    <xdr:from>
      <xdr:col>3</xdr:col>
      <xdr:colOff>114300</xdr:colOff>
      <xdr:row>1959</xdr:row>
      <xdr:rowOff>28575</xdr:rowOff>
    </xdr:from>
    <xdr:to>
      <xdr:col>3</xdr:col>
      <xdr:colOff>1552575</xdr:colOff>
      <xdr:row>1959</xdr:row>
      <xdr:rowOff>1266825</xdr:rowOff>
    </xdr:to>
    <xdr:pic>
      <xdr:nvPicPr>
        <xdr:cNvPr id="885" name="Имя " descr="Descr ">
          <a:extLst>
            <a:ext uri="{FF2B5EF4-FFF2-40B4-BE49-F238E27FC236}">
              <a16:creationId xmlns:a16="http://schemas.microsoft.com/office/drawing/2014/main" id="{00000000-0008-0000-0000-000075030000}"/>
            </a:ext>
          </a:extLst>
        </xdr:cNvPr>
        <xdr:cNvPicPr>
          <a:picLocks noChangeAspect="1"/>
        </xdr:cNvPicPr>
      </xdr:nvPicPr>
      <xdr:blipFill>
        <a:blip xmlns:r="http://schemas.openxmlformats.org/officeDocument/2006/relationships" r:embed="rId866"/>
        <a:stretch>
          <a:fillRect/>
        </a:stretch>
      </xdr:blipFill>
      <xdr:spPr>
        <a:prstGeom prst="rect">
          <a:avLst/>
        </a:prstGeom>
        <a:ln w="9525">
          <a:solidFill>
            <a:srgbClr val="000000"/>
          </a:solidFill>
          <a:prstDash val="solid"/>
        </a:ln>
      </xdr:spPr>
    </xdr:pic>
    <xdr:clientData/>
  </xdr:twoCellAnchor>
  <xdr:twoCellAnchor>
    <xdr:from>
      <xdr:col>3</xdr:col>
      <xdr:colOff>114300</xdr:colOff>
      <xdr:row>1960</xdr:row>
      <xdr:rowOff>28575</xdr:rowOff>
    </xdr:from>
    <xdr:to>
      <xdr:col>3</xdr:col>
      <xdr:colOff>1552575</xdr:colOff>
      <xdr:row>1962</xdr:row>
      <xdr:rowOff>419100</xdr:rowOff>
    </xdr:to>
    <xdr:pic>
      <xdr:nvPicPr>
        <xdr:cNvPr id="886" name="Имя " descr="Descr ">
          <a:extLst>
            <a:ext uri="{FF2B5EF4-FFF2-40B4-BE49-F238E27FC236}">
              <a16:creationId xmlns:a16="http://schemas.microsoft.com/office/drawing/2014/main" id="{00000000-0008-0000-0000-000076030000}"/>
            </a:ext>
          </a:extLst>
        </xdr:cNvPr>
        <xdr:cNvPicPr>
          <a:picLocks noChangeAspect="1"/>
        </xdr:cNvPicPr>
      </xdr:nvPicPr>
      <xdr:blipFill>
        <a:blip xmlns:r="http://schemas.openxmlformats.org/officeDocument/2006/relationships" r:embed="rId867"/>
        <a:stretch>
          <a:fillRect/>
        </a:stretch>
      </xdr:blipFill>
      <xdr:spPr>
        <a:prstGeom prst="rect">
          <a:avLst/>
        </a:prstGeom>
        <a:ln w="9525">
          <a:solidFill>
            <a:srgbClr val="000000"/>
          </a:solidFill>
          <a:prstDash val="solid"/>
        </a:ln>
      </xdr:spPr>
    </xdr:pic>
    <xdr:clientData/>
  </xdr:twoCellAnchor>
  <xdr:twoCellAnchor>
    <xdr:from>
      <xdr:col>3</xdr:col>
      <xdr:colOff>114300</xdr:colOff>
      <xdr:row>1963</xdr:row>
      <xdr:rowOff>28575</xdr:rowOff>
    </xdr:from>
    <xdr:to>
      <xdr:col>3</xdr:col>
      <xdr:colOff>1552575</xdr:colOff>
      <xdr:row>1963</xdr:row>
      <xdr:rowOff>1266825</xdr:rowOff>
    </xdr:to>
    <xdr:pic>
      <xdr:nvPicPr>
        <xdr:cNvPr id="887" name="Имя " descr="Descr ">
          <a:extLst>
            <a:ext uri="{FF2B5EF4-FFF2-40B4-BE49-F238E27FC236}">
              <a16:creationId xmlns:a16="http://schemas.microsoft.com/office/drawing/2014/main" id="{00000000-0008-0000-0000-000077030000}"/>
            </a:ext>
          </a:extLst>
        </xdr:cNvPr>
        <xdr:cNvPicPr>
          <a:picLocks noChangeAspect="1"/>
        </xdr:cNvPicPr>
      </xdr:nvPicPr>
      <xdr:blipFill>
        <a:blip xmlns:r="http://schemas.openxmlformats.org/officeDocument/2006/relationships" r:embed="rId868"/>
        <a:stretch>
          <a:fillRect/>
        </a:stretch>
      </xdr:blipFill>
      <xdr:spPr>
        <a:prstGeom prst="rect">
          <a:avLst/>
        </a:prstGeom>
        <a:ln w="9525">
          <a:solidFill>
            <a:srgbClr val="000000"/>
          </a:solidFill>
          <a:prstDash val="solid"/>
        </a:ln>
      </xdr:spPr>
    </xdr:pic>
    <xdr:clientData/>
  </xdr:twoCellAnchor>
  <xdr:twoCellAnchor>
    <xdr:from>
      <xdr:col>3</xdr:col>
      <xdr:colOff>114300</xdr:colOff>
      <xdr:row>1964</xdr:row>
      <xdr:rowOff>28575</xdr:rowOff>
    </xdr:from>
    <xdr:to>
      <xdr:col>3</xdr:col>
      <xdr:colOff>1552575</xdr:colOff>
      <xdr:row>1964</xdr:row>
      <xdr:rowOff>1266825</xdr:rowOff>
    </xdr:to>
    <xdr:pic>
      <xdr:nvPicPr>
        <xdr:cNvPr id="888" name="Имя " descr="Descr ">
          <a:extLst>
            <a:ext uri="{FF2B5EF4-FFF2-40B4-BE49-F238E27FC236}">
              <a16:creationId xmlns:a16="http://schemas.microsoft.com/office/drawing/2014/main" id="{00000000-0008-0000-0000-000078030000}"/>
            </a:ext>
          </a:extLst>
        </xdr:cNvPr>
        <xdr:cNvPicPr>
          <a:picLocks noChangeAspect="1"/>
        </xdr:cNvPicPr>
      </xdr:nvPicPr>
      <xdr:blipFill>
        <a:blip xmlns:r="http://schemas.openxmlformats.org/officeDocument/2006/relationships" r:embed="rId869"/>
        <a:stretch>
          <a:fillRect/>
        </a:stretch>
      </xdr:blipFill>
      <xdr:spPr>
        <a:prstGeom prst="rect">
          <a:avLst/>
        </a:prstGeom>
        <a:ln w="9525">
          <a:solidFill>
            <a:srgbClr val="000000"/>
          </a:solidFill>
          <a:prstDash val="solid"/>
        </a:ln>
      </xdr:spPr>
    </xdr:pic>
    <xdr:clientData/>
  </xdr:twoCellAnchor>
  <xdr:twoCellAnchor>
    <xdr:from>
      <xdr:col>3</xdr:col>
      <xdr:colOff>114300</xdr:colOff>
      <xdr:row>1965</xdr:row>
      <xdr:rowOff>38100</xdr:rowOff>
    </xdr:from>
    <xdr:to>
      <xdr:col>3</xdr:col>
      <xdr:colOff>1552575</xdr:colOff>
      <xdr:row>1966</xdr:row>
      <xdr:rowOff>638175</xdr:rowOff>
    </xdr:to>
    <xdr:pic>
      <xdr:nvPicPr>
        <xdr:cNvPr id="889" name="Имя " descr="Descr ">
          <a:extLst>
            <a:ext uri="{FF2B5EF4-FFF2-40B4-BE49-F238E27FC236}">
              <a16:creationId xmlns:a16="http://schemas.microsoft.com/office/drawing/2014/main" id="{00000000-0008-0000-0000-000079030000}"/>
            </a:ext>
          </a:extLst>
        </xdr:cNvPr>
        <xdr:cNvPicPr>
          <a:picLocks noChangeAspect="1"/>
        </xdr:cNvPicPr>
      </xdr:nvPicPr>
      <xdr:blipFill>
        <a:blip xmlns:r="http://schemas.openxmlformats.org/officeDocument/2006/relationships" r:embed="rId870"/>
        <a:stretch>
          <a:fillRect/>
        </a:stretch>
      </xdr:blipFill>
      <xdr:spPr>
        <a:prstGeom prst="rect">
          <a:avLst/>
        </a:prstGeom>
        <a:ln w="9525">
          <a:solidFill>
            <a:srgbClr val="000000"/>
          </a:solidFill>
          <a:prstDash val="solid"/>
        </a:ln>
      </xdr:spPr>
    </xdr:pic>
    <xdr:clientData/>
  </xdr:twoCellAnchor>
  <xdr:twoCellAnchor>
    <xdr:from>
      <xdr:col>3</xdr:col>
      <xdr:colOff>114300</xdr:colOff>
      <xdr:row>1967</xdr:row>
      <xdr:rowOff>38100</xdr:rowOff>
    </xdr:from>
    <xdr:to>
      <xdr:col>3</xdr:col>
      <xdr:colOff>1552575</xdr:colOff>
      <xdr:row>1968</xdr:row>
      <xdr:rowOff>638175</xdr:rowOff>
    </xdr:to>
    <xdr:pic>
      <xdr:nvPicPr>
        <xdr:cNvPr id="890" name="Имя " descr="Descr ">
          <a:extLst>
            <a:ext uri="{FF2B5EF4-FFF2-40B4-BE49-F238E27FC236}">
              <a16:creationId xmlns:a16="http://schemas.microsoft.com/office/drawing/2014/main" id="{00000000-0008-0000-0000-00007A030000}"/>
            </a:ext>
          </a:extLst>
        </xdr:cNvPr>
        <xdr:cNvPicPr>
          <a:picLocks noChangeAspect="1"/>
        </xdr:cNvPicPr>
      </xdr:nvPicPr>
      <xdr:blipFill>
        <a:blip xmlns:r="http://schemas.openxmlformats.org/officeDocument/2006/relationships" r:embed="rId871"/>
        <a:stretch>
          <a:fillRect/>
        </a:stretch>
      </xdr:blipFill>
      <xdr:spPr>
        <a:prstGeom prst="rect">
          <a:avLst/>
        </a:prstGeom>
        <a:ln w="9525">
          <a:solidFill>
            <a:srgbClr val="000000"/>
          </a:solidFill>
          <a:prstDash val="solid"/>
        </a:ln>
      </xdr:spPr>
    </xdr:pic>
    <xdr:clientData/>
  </xdr:twoCellAnchor>
  <xdr:twoCellAnchor>
    <xdr:from>
      <xdr:col>3</xdr:col>
      <xdr:colOff>114300</xdr:colOff>
      <xdr:row>1969</xdr:row>
      <xdr:rowOff>38100</xdr:rowOff>
    </xdr:from>
    <xdr:to>
      <xdr:col>3</xdr:col>
      <xdr:colOff>1552575</xdr:colOff>
      <xdr:row>1970</xdr:row>
      <xdr:rowOff>638175</xdr:rowOff>
    </xdr:to>
    <xdr:pic>
      <xdr:nvPicPr>
        <xdr:cNvPr id="891" name="Имя " descr="Descr ">
          <a:extLst>
            <a:ext uri="{FF2B5EF4-FFF2-40B4-BE49-F238E27FC236}">
              <a16:creationId xmlns:a16="http://schemas.microsoft.com/office/drawing/2014/main" id="{00000000-0008-0000-0000-00007B030000}"/>
            </a:ext>
          </a:extLst>
        </xdr:cNvPr>
        <xdr:cNvPicPr>
          <a:picLocks noChangeAspect="1"/>
        </xdr:cNvPicPr>
      </xdr:nvPicPr>
      <xdr:blipFill>
        <a:blip xmlns:r="http://schemas.openxmlformats.org/officeDocument/2006/relationships" r:embed="rId872"/>
        <a:stretch>
          <a:fillRect/>
        </a:stretch>
      </xdr:blipFill>
      <xdr:spPr>
        <a:prstGeom prst="rect">
          <a:avLst/>
        </a:prstGeom>
        <a:ln w="9525">
          <a:solidFill>
            <a:srgbClr val="000000"/>
          </a:solidFill>
          <a:prstDash val="solid"/>
        </a:ln>
      </xdr:spPr>
    </xdr:pic>
    <xdr:clientData/>
  </xdr:twoCellAnchor>
  <xdr:twoCellAnchor>
    <xdr:from>
      <xdr:col>3</xdr:col>
      <xdr:colOff>114300</xdr:colOff>
      <xdr:row>1971</xdr:row>
      <xdr:rowOff>28575</xdr:rowOff>
    </xdr:from>
    <xdr:to>
      <xdr:col>3</xdr:col>
      <xdr:colOff>1552575</xdr:colOff>
      <xdr:row>1971</xdr:row>
      <xdr:rowOff>1266825</xdr:rowOff>
    </xdr:to>
    <xdr:pic>
      <xdr:nvPicPr>
        <xdr:cNvPr id="892" name="Имя " descr="Descr ">
          <a:extLst>
            <a:ext uri="{FF2B5EF4-FFF2-40B4-BE49-F238E27FC236}">
              <a16:creationId xmlns:a16="http://schemas.microsoft.com/office/drawing/2014/main" id="{00000000-0008-0000-0000-00007C030000}"/>
            </a:ext>
          </a:extLst>
        </xdr:cNvPr>
        <xdr:cNvPicPr>
          <a:picLocks noChangeAspect="1"/>
        </xdr:cNvPicPr>
      </xdr:nvPicPr>
      <xdr:blipFill>
        <a:blip xmlns:r="http://schemas.openxmlformats.org/officeDocument/2006/relationships" r:embed="rId873"/>
        <a:stretch>
          <a:fillRect/>
        </a:stretch>
      </xdr:blipFill>
      <xdr:spPr>
        <a:prstGeom prst="rect">
          <a:avLst/>
        </a:prstGeom>
        <a:ln w="9525">
          <a:solidFill>
            <a:srgbClr val="000000"/>
          </a:solidFill>
          <a:prstDash val="solid"/>
        </a:ln>
      </xdr:spPr>
    </xdr:pic>
    <xdr:clientData/>
  </xdr:twoCellAnchor>
  <xdr:twoCellAnchor>
    <xdr:from>
      <xdr:col>3</xdr:col>
      <xdr:colOff>114300</xdr:colOff>
      <xdr:row>1972</xdr:row>
      <xdr:rowOff>28575</xdr:rowOff>
    </xdr:from>
    <xdr:to>
      <xdr:col>3</xdr:col>
      <xdr:colOff>1552575</xdr:colOff>
      <xdr:row>1974</xdr:row>
      <xdr:rowOff>419100</xdr:rowOff>
    </xdr:to>
    <xdr:pic>
      <xdr:nvPicPr>
        <xdr:cNvPr id="893" name="Имя " descr="Descr ">
          <a:extLst>
            <a:ext uri="{FF2B5EF4-FFF2-40B4-BE49-F238E27FC236}">
              <a16:creationId xmlns:a16="http://schemas.microsoft.com/office/drawing/2014/main" id="{00000000-0008-0000-0000-00007D030000}"/>
            </a:ext>
          </a:extLst>
        </xdr:cNvPr>
        <xdr:cNvPicPr>
          <a:picLocks noChangeAspect="1"/>
        </xdr:cNvPicPr>
      </xdr:nvPicPr>
      <xdr:blipFill>
        <a:blip xmlns:r="http://schemas.openxmlformats.org/officeDocument/2006/relationships" r:embed="rId874"/>
        <a:stretch>
          <a:fillRect/>
        </a:stretch>
      </xdr:blipFill>
      <xdr:spPr>
        <a:prstGeom prst="rect">
          <a:avLst/>
        </a:prstGeom>
        <a:ln w="9525">
          <a:solidFill>
            <a:srgbClr val="000000"/>
          </a:solidFill>
          <a:prstDash val="solid"/>
        </a:ln>
      </xdr:spPr>
    </xdr:pic>
    <xdr:clientData/>
  </xdr:twoCellAnchor>
  <xdr:twoCellAnchor>
    <xdr:from>
      <xdr:col>3</xdr:col>
      <xdr:colOff>114300</xdr:colOff>
      <xdr:row>1975</xdr:row>
      <xdr:rowOff>28575</xdr:rowOff>
    </xdr:from>
    <xdr:to>
      <xdr:col>3</xdr:col>
      <xdr:colOff>1552575</xdr:colOff>
      <xdr:row>1975</xdr:row>
      <xdr:rowOff>1266825</xdr:rowOff>
    </xdr:to>
    <xdr:pic>
      <xdr:nvPicPr>
        <xdr:cNvPr id="894" name="Имя " descr="Descr ">
          <a:extLst>
            <a:ext uri="{FF2B5EF4-FFF2-40B4-BE49-F238E27FC236}">
              <a16:creationId xmlns:a16="http://schemas.microsoft.com/office/drawing/2014/main" id="{00000000-0008-0000-0000-00007E030000}"/>
            </a:ext>
          </a:extLst>
        </xdr:cNvPr>
        <xdr:cNvPicPr>
          <a:picLocks noChangeAspect="1"/>
        </xdr:cNvPicPr>
      </xdr:nvPicPr>
      <xdr:blipFill>
        <a:blip xmlns:r="http://schemas.openxmlformats.org/officeDocument/2006/relationships" r:embed="rId875"/>
        <a:stretch>
          <a:fillRect/>
        </a:stretch>
      </xdr:blipFill>
      <xdr:spPr>
        <a:prstGeom prst="rect">
          <a:avLst/>
        </a:prstGeom>
        <a:ln w="9525">
          <a:solidFill>
            <a:srgbClr val="000000"/>
          </a:solidFill>
          <a:prstDash val="solid"/>
        </a:ln>
      </xdr:spPr>
    </xdr:pic>
    <xdr:clientData/>
  </xdr:twoCellAnchor>
  <xdr:twoCellAnchor>
    <xdr:from>
      <xdr:col>3</xdr:col>
      <xdr:colOff>114300</xdr:colOff>
      <xdr:row>1976</xdr:row>
      <xdr:rowOff>38100</xdr:rowOff>
    </xdr:from>
    <xdr:to>
      <xdr:col>3</xdr:col>
      <xdr:colOff>1552575</xdr:colOff>
      <xdr:row>1977</xdr:row>
      <xdr:rowOff>638175</xdr:rowOff>
    </xdr:to>
    <xdr:pic>
      <xdr:nvPicPr>
        <xdr:cNvPr id="895" name="Имя " descr="Descr ">
          <a:extLst>
            <a:ext uri="{FF2B5EF4-FFF2-40B4-BE49-F238E27FC236}">
              <a16:creationId xmlns:a16="http://schemas.microsoft.com/office/drawing/2014/main" id="{00000000-0008-0000-0000-00007F030000}"/>
            </a:ext>
          </a:extLst>
        </xdr:cNvPr>
        <xdr:cNvPicPr>
          <a:picLocks noChangeAspect="1"/>
        </xdr:cNvPicPr>
      </xdr:nvPicPr>
      <xdr:blipFill>
        <a:blip xmlns:r="http://schemas.openxmlformats.org/officeDocument/2006/relationships" r:embed="rId826"/>
        <a:stretch>
          <a:fillRect/>
        </a:stretch>
      </xdr:blipFill>
      <xdr:spPr>
        <a:prstGeom prst="rect">
          <a:avLst/>
        </a:prstGeom>
        <a:ln w="9525">
          <a:solidFill>
            <a:srgbClr val="000000"/>
          </a:solidFill>
          <a:prstDash val="solid"/>
        </a:ln>
      </xdr:spPr>
    </xdr:pic>
    <xdr:clientData/>
  </xdr:twoCellAnchor>
  <xdr:twoCellAnchor>
    <xdr:from>
      <xdr:col>3</xdr:col>
      <xdr:colOff>114300</xdr:colOff>
      <xdr:row>1978</xdr:row>
      <xdr:rowOff>28575</xdr:rowOff>
    </xdr:from>
    <xdr:to>
      <xdr:col>3</xdr:col>
      <xdr:colOff>1552575</xdr:colOff>
      <xdr:row>1978</xdr:row>
      <xdr:rowOff>1266825</xdr:rowOff>
    </xdr:to>
    <xdr:pic>
      <xdr:nvPicPr>
        <xdr:cNvPr id="896" name="Имя " descr="Descr ">
          <a:extLst>
            <a:ext uri="{FF2B5EF4-FFF2-40B4-BE49-F238E27FC236}">
              <a16:creationId xmlns:a16="http://schemas.microsoft.com/office/drawing/2014/main" id="{00000000-0008-0000-0000-000080030000}"/>
            </a:ext>
          </a:extLst>
        </xdr:cNvPr>
        <xdr:cNvPicPr>
          <a:picLocks noChangeAspect="1"/>
        </xdr:cNvPicPr>
      </xdr:nvPicPr>
      <xdr:blipFill>
        <a:blip xmlns:r="http://schemas.openxmlformats.org/officeDocument/2006/relationships" r:embed="rId876"/>
        <a:stretch>
          <a:fillRect/>
        </a:stretch>
      </xdr:blipFill>
      <xdr:spPr>
        <a:prstGeom prst="rect">
          <a:avLst/>
        </a:prstGeom>
        <a:ln w="9525">
          <a:solidFill>
            <a:srgbClr val="000000"/>
          </a:solidFill>
          <a:prstDash val="solid"/>
        </a:ln>
      </xdr:spPr>
    </xdr:pic>
    <xdr:clientData/>
  </xdr:twoCellAnchor>
  <xdr:twoCellAnchor>
    <xdr:from>
      <xdr:col>3</xdr:col>
      <xdr:colOff>114300</xdr:colOff>
      <xdr:row>1979</xdr:row>
      <xdr:rowOff>28575</xdr:rowOff>
    </xdr:from>
    <xdr:to>
      <xdr:col>3</xdr:col>
      <xdr:colOff>1552575</xdr:colOff>
      <xdr:row>1979</xdr:row>
      <xdr:rowOff>1266825</xdr:rowOff>
    </xdr:to>
    <xdr:pic>
      <xdr:nvPicPr>
        <xdr:cNvPr id="897" name="Имя " descr="Descr ">
          <a:extLst>
            <a:ext uri="{FF2B5EF4-FFF2-40B4-BE49-F238E27FC236}">
              <a16:creationId xmlns:a16="http://schemas.microsoft.com/office/drawing/2014/main" id="{00000000-0008-0000-0000-000081030000}"/>
            </a:ext>
          </a:extLst>
        </xdr:cNvPr>
        <xdr:cNvPicPr>
          <a:picLocks noChangeAspect="1"/>
        </xdr:cNvPicPr>
      </xdr:nvPicPr>
      <xdr:blipFill>
        <a:blip xmlns:r="http://schemas.openxmlformats.org/officeDocument/2006/relationships" r:embed="rId877"/>
        <a:stretch>
          <a:fillRect/>
        </a:stretch>
      </xdr:blipFill>
      <xdr:spPr>
        <a:prstGeom prst="rect">
          <a:avLst/>
        </a:prstGeom>
        <a:ln w="9525">
          <a:solidFill>
            <a:srgbClr val="000000"/>
          </a:solidFill>
          <a:prstDash val="solid"/>
        </a:ln>
      </xdr:spPr>
    </xdr:pic>
    <xdr:clientData/>
  </xdr:twoCellAnchor>
  <xdr:twoCellAnchor>
    <xdr:from>
      <xdr:col>3</xdr:col>
      <xdr:colOff>114300</xdr:colOff>
      <xdr:row>1980</xdr:row>
      <xdr:rowOff>28575</xdr:rowOff>
    </xdr:from>
    <xdr:to>
      <xdr:col>3</xdr:col>
      <xdr:colOff>1552575</xdr:colOff>
      <xdr:row>1980</xdr:row>
      <xdr:rowOff>1266825</xdr:rowOff>
    </xdr:to>
    <xdr:pic>
      <xdr:nvPicPr>
        <xdr:cNvPr id="898" name="Имя " descr="Descr ">
          <a:extLst>
            <a:ext uri="{FF2B5EF4-FFF2-40B4-BE49-F238E27FC236}">
              <a16:creationId xmlns:a16="http://schemas.microsoft.com/office/drawing/2014/main" id="{00000000-0008-0000-0000-000082030000}"/>
            </a:ext>
          </a:extLst>
        </xdr:cNvPr>
        <xdr:cNvPicPr>
          <a:picLocks noChangeAspect="1"/>
        </xdr:cNvPicPr>
      </xdr:nvPicPr>
      <xdr:blipFill>
        <a:blip xmlns:r="http://schemas.openxmlformats.org/officeDocument/2006/relationships" r:embed="rId878"/>
        <a:stretch>
          <a:fillRect/>
        </a:stretch>
      </xdr:blipFill>
      <xdr:spPr>
        <a:prstGeom prst="rect">
          <a:avLst/>
        </a:prstGeom>
        <a:ln w="9525">
          <a:solidFill>
            <a:srgbClr val="000000"/>
          </a:solidFill>
          <a:prstDash val="solid"/>
        </a:ln>
      </xdr:spPr>
    </xdr:pic>
    <xdr:clientData/>
  </xdr:twoCellAnchor>
  <xdr:twoCellAnchor>
    <xdr:from>
      <xdr:col>3</xdr:col>
      <xdr:colOff>114300</xdr:colOff>
      <xdr:row>1981</xdr:row>
      <xdr:rowOff>28575</xdr:rowOff>
    </xdr:from>
    <xdr:to>
      <xdr:col>3</xdr:col>
      <xdr:colOff>1552575</xdr:colOff>
      <xdr:row>1981</xdr:row>
      <xdr:rowOff>1266825</xdr:rowOff>
    </xdr:to>
    <xdr:pic>
      <xdr:nvPicPr>
        <xdr:cNvPr id="899" name="Имя " descr="Descr ">
          <a:extLst>
            <a:ext uri="{FF2B5EF4-FFF2-40B4-BE49-F238E27FC236}">
              <a16:creationId xmlns:a16="http://schemas.microsoft.com/office/drawing/2014/main" id="{00000000-0008-0000-0000-000083030000}"/>
            </a:ext>
          </a:extLst>
        </xdr:cNvPr>
        <xdr:cNvPicPr>
          <a:picLocks noChangeAspect="1"/>
        </xdr:cNvPicPr>
      </xdr:nvPicPr>
      <xdr:blipFill>
        <a:blip xmlns:r="http://schemas.openxmlformats.org/officeDocument/2006/relationships" r:embed="rId879"/>
        <a:stretch>
          <a:fillRect/>
        </a:stretch>
      </xdr:blipFill>
      <xdr:spPr>
        <a:prstGeom prst="rect">
          <a:avLst/>
        </a:prstGeom>
        <a:ln w="9525">
          <a:solidFill>
            <a:srgbClr val="000000"/>
          </a:solidFill>
          <a:prstDash val="solid"/>
        </a:ln>
      </xdr:spPr>
    </xdr:pic>
    <xdr:clientData/>
  </xdr:twoCellAnchor>
  <xdr:twoCellAnchor>
    <xdr:from>
      <xdr:col>3</xdr:col>
      <xdr:colOff>114300</xdr:colOff>
      <xdr:row>1982</xdr:row>
      <xdr:rowOff>28575</xdr:rowOff>
    </xdr:from>
    <xdr:to>
      <xdr:col>3</xdr:col>
      <xdr:colOff>1552575</xdr:colOff>
      <xdr:row>1982</xdr:row>
      <xdr:rowOff>1266825</xdr:rowOff>
    </xdr:to>
    <xdr:pic>
      <xdr:nvPicPr>
        <xdr:cNvPr id="900" name="Имя " descr="Descr ">
          <a:extLst>
            <a:ext uri="{FF2B5EF4-FFF2-40B4-BE49-F238E27FC236}">
              <a16:creationId xmlns:a16="http://schemas.microsoft.com/office/drawing/2014/main" id="{00000000-0008-0000-0000-000084030000}"/>
            </a:ext>
          </a:extLst>
        </xdr:cNvPr>
        <xdr:cNvPicPr>
          <a:picLocks noChangeAspect="1"/>
        </xdr:cNvPicPr>
      </xdr:nvPicPr>
      <xdr:blipFill>
        <a:blip xmlns:r="http://schemas.openxmlformats.org/officeDocument/2006/relationships" r:embed="rId880"/>
        <a:stretch>
          <a:fillRect/>
        </a:stretch>
      </xdr:blipFill>
      <xdr:spPr>
        <a:prstGeom prst="rect">
          <a:avLst/>
        </a:prstGeom>
        <a:ln w="9525">
          <a:solidFill>
            <a:srgbClr val="000000"/>
          </a:solidFill>
          <a:prstDash val="solid"/>
        </a:ln>
      </xdr:spPr>
    </xdr:pic>
    <xdr:clientData/>
  </xdr:twoCellAnchor>
  <xdr:twoCellAnchor>
    <xdr:from>
      <xdr:col>3</xdr:col>
      <xdr:colOff>114300</xdr:colOff>
      <xdr:row>1983</xdr:row>
      <xdr:rowOff>28575</xdr:rowOff>
    </xdr:from>
    <xdr:to>
      <xdr:col>3</xdr:col>
      <xdr:colOff>1552575</xdr:colOff>
      <xdr:row>1983</xdr:row>
      <xdr:rowOff>1266825</xdr:rowOff>
    </xdr:to>
    <xdr:pic>
      <xdr:nvPicPr>
        <xdr:cNvPr id="901" name="Имя " descr="Descr ">
          <a:extLst>
            <a:ext uri="{FF2B5EF4-FFF2-40B4-BE49-F238E27FC236}">
              <a16:creationId xmlns:a16="http://schemas.microsoft.com/office/drawing/2014/main" id="{00000000-0008-0000-0000-000085030000}"/>
            </a:ext>
          </a:extLst>
        </xdr:cNvPr>
        <xdr:cNvPicPr>
          <a:picLocks noChangeAspect="1"/>
        </xdr:cNvPicPr>
      </xdr:nvPicPr>
      <xdr:blipFill>
        <a:blip xmlns:r="http://schemas.openxmlformats.org/officeDocument/2006/relationships" r:embed="rId881"/>
        <a:stretch>
          <a:fillRect/>
        </a:stretch>
      </xdr:blipFill>
      <xdr:spPr>
        <a:prstGeom prst="rect">
          <a:avLst/>
        </a:prstGeom>
        <a:ln w="9525">
          <a:solidFill>
            <a:srgbClr val="000000"/>
          </a:solidFill>
          <a:prstDash val="solid"/>
        </a:ln>
      </xdr:spPr>
    </xdr:pic>
    <xdr:clientData/>
  </xdr:twoCellAnchor>
  <xdr:twoCellAnchor>
    <xdr:from>
      <xdr:col>3</xdr:col>
      <xdr:colOff>114300</xdr:colOff>
      <xdr:row>1984</xdr:row>
      <xdr:rowOff>38100</xdr:rowOff>
    </xdr:from>
    <xdr:to>
      <xdr:col>3</xdr:col>
      <xdr:colOff>1552575</xdr:colOff>
      <xdr:row>1985</xdr:row>
      <xdr:rowOff>638175</xdr:rowOff>
    </xdr:to>
    <xdr:pic>
      <xdr:nvPicPr>
        <xdr:cNvPr id="902" name="Имя " descr="Descr ">
          <a:extLst>
            <a:ext uri="{FF2B5EF4-FFF2-40B4-BE49-F238E27FC236}">
              <a16:creationId xmlns:a16="http://schemas.microsoft.com/office/drawing/2014/main" id="{00000000-0008-0000-0000-000086030000}"/>
            </a:ext>
          </a:extLst>
        </xdr:cNvPr>
        <xdr:cNvPicPr>
          <a:picLocks noChangeAspect="1"/>
        </xdr:cNvPicPr>
      </xdr:nvPicPr>
      <xdr:blipFill>
        <a:blip xmlns:r="http://schemas.openxmlformats.org/officeDocument/2006/relationships" r:embed="rId882"/>
        <a:stretch>
          <a:fillRect/>
        </a:stretch>
      </xdr:blipFill>
      <xdr:spPr>
        <a:prstGeom prst="rect">
          <a:avLst/>
        </a:prstGeom>
        <a:ln w="9525">
          <a:solidFill>
            <a:srgbClr val="000000"/>
          </a:solidFill>
          <a:prstDash val="solid"/>
        </a:ln>
      </xdr:spPr>
    </xdr:pic>
    <xdr:clientData/>
  </xdr:twoCellAnchor>
  <xdr:twoCellAnchor>
    <xdr:from>
      <xdr:col>3</xdr:col>
      <xdr:colOff>114300</xdr:colOff>
      <xdr:row>1986</xdr:row>
      <xdr:rowOff>28575</xdr:rowOff>
    </xdr:from>
    <xdr:to>
      <xdr:col>3</xdr:col>
      <xdr:colOff>1552575</xdr:colOff>
      <xdr:row>1986</xdr:row>
      <xdr:rowOff>1266825</xdr:rowOff>
    </xdr:to>
    <xdr:pic>
      <xdr:nvPicPr>
        <xdr:cNvPr id="903" name="Имя " descr="Descr ">
          <a:extLst>
            <a:ext uri="{FF2B5EF4-FFF2-40B4-BE49-F238E27FC236}">
              <a16:creationId xmlns:a16="http://schemas.microsoft.com/office/drawing/2014/main" id="{00000000-0008-0000-0000-000087030000}"/>
            </a:ext>
          </a:extLst>
        </xdr:cNvPr>
        <xdr:cNvPicPr>
          <a:picLocks noChangeAspect="1"/>
        </xdr:cNvPicPr>
      </xdr:nvPicPr>
      <xdr:blipFill>
        <a:blip xmlns:r="http://schemas.openxmlformats.org/officeDocument/2006/relationships" r:embed="rId883"/>
        <a:stretch>
          <a:fillRect/>
        </a:stretch>
      </xdr:blipFill>
      <xdr:spPr>
        <a:prstGeom prst="rect">
          <a:avLst/>
        </a:prstGeom>
        <a:ln w="9525">
          <a:solidFill>
            <a:srgbClr val="000000"/>
          </a:solidFill>
          <a:prstDash val="solid"/>
        </a:ln>
      </xdr:spPr>
    </xdr:pic>
    <xdr:clientData/>
  </xdr:twoCellAnchor>
  <xdr:twoCellAnchor>
    <xdr:from>
      <xdr:col>3</xdr:col>
      <xdr:colOff>114300</xdr:colOff>
      <xdr:row>1987</xdr:row>
      <xdr:rowOff>28575</xdr:rowOff>
    </xdr:from>
    <xdr:to>
      <xdr:col>3</xdr:col>
      <xdr:colOff>1552575</xdr:colOff>
      <xdr:row>1987</xdr:row>
      <xdr:rowOff>1266825</xdr:rowOff>
    </xdr:to>
    <xdr:pic>
      <xdr:nvPicPr>
        <xdr:cNvPr id="904" name="Имя " descr="Descr ">
          <a:extLst>
            <a:ext uri="{FF2B5EF4-FFF2-40B4-BE49-F238E27FC236}">
              <a16:creationId xmlns:a16="http://schemas.microsoft.com/office/drawing/2014/main" id="{00000000-0008-0000-0000-000088030000}"/>
            </a:ext>
          </a:extLst>
        </xdr:cNvPr>
        <xdr:cNvPicPr>
          <a:picLocks noChangeAspect="1"/>
        </xdr:cNvPicPr>
      </xdr:nvPicPr>
      <xdr:blipFill>
        <a:blip xmlns:r="http://schemas.openxmlformats.org/officeDocument/2006/relationships" r:embed="rId884"/>
        <a:stretch>
          <a:fillRect/>
        </a:stretch>
      </xdr:blipFill>
      <xdr:spPr>
        <a:prstGeom prst="rect">
          <a:avLst/>
        </a:prstGeom>
        <a:ln w="9525">
          <a:solidFill>
            <a:srgbClr val="000000"/>
          </a:solidFill>
          <a:prstDash val="solid"/>
        </a:ln>
      </xdr:spPr>
    </xdr:pic>
    <xdr:clientData/>
  </xdr:twoCellAnchor>
  <xdr:twoCellAnchor>
    <xdr:from>
      <xdr:col>3</xdr:col>
      <xdr:colOff>114300</xdr:colOff>
      <xdr:row>1988</xdr:row>
      <xdr:rowOff>28575</xdr:rowOff>
    </xdr:from>
    <xdr:to>
      <xdr:col>3</xdr:col>
      <xdr:colOff>1552575</xdr:colOff>
      <xdr:row>1990</xdr:row>
      <xdr:rowOff>419100</xdr:rowOff>
    </xdr:to>
    <xdr:pic>
      <xdr:nvPicPr>
        <xdr:cNvPr id="905" name="Имя " descr="Descr ">
          <a:extLst>
            <a:ext uri="{FF2B5EF4-FFF2-40B4-BE49-F238E27FC236}">
              <a16:creationId xmlns:a16="http://schemas.microsoft.com/office/drawing/2014/main" id="{00000000-0008-0000-0000-000089030000}"/>
            </a:ext>
          </a:extLst>
        </xdr:cNvPr>
        <xdr:cNvPicPr>
          <a:picLocks noChangeAspect="1"/>
        </xdr:cNvPicPr>
      </xdr:nvPicPr>
      <xdr:blipFill>
        <a:blip xmlns:r="http://schemas.openxmlformats.org/officeDocument/2006/relationships" r:embed="rId885"/>
        <a:stretch>
          <a:fillRect/>
        </a:stretch>
      </xdr:blipFill>
      <xdr:spPr>
        <a:prstGeom prst="rect">
          <a:avLst/>
        </a:prstGeom>
        <a:ln w="9525">
          <a:solidFill>
            <a:srgbClr val="000000"/>
          </a:solidFill>
          <a:prstDash val="solid"/>
        </a:ln>
      </xdr:spPr>
    </xdr:pic>
    <xdr:clientData/>
  </xdr:twoCellAnchor>
  <xdr:twoCellAnchor>
    <xdr:from>
      <xdr:col>3</xdr:col>
      <xdr:colOff>114300</xdr:colOff>
      <xdr:row>1991</xdr:row>
      <xdr:rowOff>28575</xdr:rowOff>
    </xdr:from>
    <xdr:to>
      <xdr:col>3</xdr:col>
      <xdr:colOff>1552575</xdr:colOff>
      <xdr:row>1993</xdr:row>
      <xdr:rowOff>419100</xdr:rowOff>
    </xdr:to>
    <xdr:pic>
      <xdr:nvPicPr>
        <xdr:cNvPr id="906" name="Имя " descr="Descr ">
          <a:extLst>
            <a:ext uri="{FF2B5EF4-FFF2-40B4-BE49-F238E27FC236}">
              <a16:creationId xmlns:a16="http://schemas.microsoft.com/office/drawing/2014/main" id="{00000000-0008-0000-0000-00008A030000}"/>
            </a:ext>
          </a:extLst>
        </xdr:cNvPr>
        <xdr:cNvPicPr>
          <a:picLocks noChangeAspect="1"/>
        </xdr:cNvPicPr>
      </xdr:nvPicPr>
      <xdr:blipFill>
        <a:blip xmlns:r="http://schemas.openxmlformats.org/officeDocument/2006/relationships" r:embed="rId886"/>
        <a:stretch>
          <a:fillRect/>
        </a:stretch>
      </xdr:blipFill>
      <xdr:spPr>
        <a:prstGeom prst="rect">
          <a:avLst/>
        </a:prstGeom>
        <a:ln w="9525">
          <a:solidFill>
            <a:srgbClr val="000000"/>
          </a:solidFill>
          <a:prstDash val="solid"/>
        </a:ln>
      </xdr:spPr>
    </xdr:pic>
    <xdr:clientData/>
  </xdr:twoCellAnchor>
  <xdr:twoCellAnchor>
    <xdr:from>
      <xdr:col>3</xdr:col>
      <xdr:colOff>114300</xdr:colOff>
      <xdr:row>1994</xdr:row>
      <xdr:rowOff>28575</xdr:rowOff>
    </xdr:from>
    <xdr:to>
      <xdr:col>3</xdr:col>
      <xdr:colOff>1552575</xdr:colOff>
      <xdr:row>1994</xdr:row>
      <xdr:rowOff>1266825</xdr:rowOff>
    </xdr:to>
    <xdr:pic>
      <xdr:nvPicPr>
        <xdr:cNvPr id="907" name="Имя " descr="Descr ">
          <a:extLst>
            <a:ext uri="{FF2B5EF4-FFF2-40B4-BE49-F238E27FC236}">
              <a16:creationId xmlns:a16="http://schemas.microsoft.com/office/drawing/2014/main" id="{00000000-0008-0000-0000-00008B030000}"/>
            </a:ext>
          </a:extLst>
        </xdr:cNvPr>
        <xdr:cNvPicPr>
          <a:picLocks noChangeAspect="1"/>
        </xdr:cNvPicPr>
      </xdr:nvPicPr>
      <xdr:blipFill>
        <a:blip xmlns:r="http://schemas.openxmlformats.org/officeDocument/2006/relationships" r:embed="rId887"/>
        <a:stretch>
          <a:fillRect/>
        </a:stretch>
      </xdr:blipFill>
      <xdr:spPr>
        <a:prstGeom prst="rect">
          <a:avLst/>
        </a:prstGeom>
        <a:ln w="9525">
          <a:solidFill>
            <a:srgbClr val="000000"/>
          </a:solidFill>
          <a:prstDash val="solid"/>
        </a:ln>
      </xdr:spPr>
    </xdr:pic>
    <xdr:clientData/>
  </xdr:twoCellAnchor>
  <xdr:twoCellAnchor>
    <xdr:from>
      <xdr:col>3</xdr:col>
      <xdr:colOff>114300</xdr:colOff>
      <xdr:row>1995</xdr:row>
      <xdr:rowOff>28575</xdr:rowOff>
    </xdr:from>
    <xdr:to>
      <xdr:col>3</xdr:col>
      <xdr:colOff>1552575</xdr:colOff>
      <xdr:row>1997</xdr:row>
      <xdr:rowOff>419100</xdr:rowOff>
    </xdr:to>
    <xdr:pic>
      <xdr:nvPicPr>
        <xdr:cNvPr id="908" name="Имя " descr="Descr ">
          <a:extLst>
            <a:ext uri="{FF2B5EF4-FFF2-40B4-BE49-F238E27FC236}">
              <a16:creationId xmlns:a16="http://schemas.microsoft.com/office/drawing/2014/main" id="{00000000-0008-0000-0000-00008C030000}"/>
            </a:ext>
          </a:extLst>
        </xdr:cNvPr>
        <xdr:cNvPicPr>
          <a:picLocks noChangeAspect="1"/>
        </xdr:cNvPicPr>
      </xdr:nvPicPr>
      <xdr:blipFill>
        <a:blip xmlns:r="http://schemas.openxmlformats.org/officeDocument/2006/relationships" r:embed="rId888"/>
        <a:stretch>
          <a:fillRect/>
        </a:stretch>
      </xdr:blipFill>
      <xdr:spPr>
        <a:prstGeom prst="rect">
          <a:avLst/>
        </a:prstGeom>
        <a:ln w="9525">
          <a:solidFill>
            <a:srgbClr val="000000"/>
          </a:solidFill>
          <a:prstDash val="solid"/>
        </a:ln>
      </xdr:spPr>
    </xdr:pic>
    <xdr:clientData/>
  </xdr:twoCellAnchor>
  <xdr:twoCellAnchor>
    <xdr:from>
      <xdr:col>3</xdr:col>
      <xdr:colOff>114300</xdr:colOff>
      <xdr:row>1998</xdr:row>
      <xdr:rowOff>28575</xdr:rowOff>
    </xdr:from>
    <xdr:to>
      <xdr:col>3</xdr:col>
      <xdr:colOff>1552575</xdr:colOff>
      <xdr:row>2000</xdr:row>
      <xdr:rowOff>419100</xdr:rowOff>
    </xdr:to>
    <xdr:pic>
      <xdr:nvPicPr>
        <xdr:cNvPr id="909" name="Имя " descr="Descr ">
          <a:extLst>
            <a:ext uri="{FF2B5EF4-FFF2-40B4-BE49-F238E27FC236}">
              <a16:creationId xmlns:a16="http://schemas.microsoft.com/office/drawing/2014/main" id="{00000000-0008-0000-0000-00008D030000}"/>
            </a:ext>
          </a:extLst>
        </xdr:cNvPr>
        <xdr:cNvPicPr>
          <a:picLocks noChangeAspect="1"/>
        </xdr:cNvPicPr>
      </xdr:nvPicPr>
      <xdr:blipFill>
        <a:blip xmlns:r="http://schemas.openxmlformats.org/officeDocument/2006/relationships" r:embed="rId889"/>
        <a:stretch>
          <a:fillRect/>
        </a:stretch>
      </xdr:blipFill>
      <xdr:spPr>
        <a:prstGeom prst="rect">
          <a:avLst/>
        </a:prstGeom>
        <a:ln w="9525">
          <a:solidFill>
            <a:srgbClr val="000000"/>
          </a:solidFill>
          <a:prstDash val="solid"/>
        </a:ln>
      </xdr:spPr>
    </xdr:pic>
    <xdr:clientData/>
  </xdr:twoCellAnchor>
  <xdr:twoCellAnchor>
    <xdr:from>
      <xdr:col>3</xdr:col>
      <xdr:colOff>114300</xdr:colOff>
      <xdr:row>2001</xdr:row>
      <xdr:rowOff>28575</xdr:rowOff>
    </xdr:from>
    <xdr:to>
      <xdr:col>3</xdr:col>
      <xdr:colOff>1552575</xdr:colOff>
      <xdr:row>2003</xdr:row>
      <xdr:rowOff>419100</xdr:rowOff>
    </xdr:to>
    <xdr:pic>
      <xdr:nvPicPr>
        <xdr:cNvPr id="910" name="Имя " descr="Descr ">
          <a:extLst>
            <a:ext uri="{FF2B5EF4-FFF2-40B4-BE49-F238E27FC236}">
              <a16:creationId xmlns:a16="http://schemas.microsoft.com/office/drawing/2014/main" id="{00000000-0008-0000-0000-00008E030000}"/>
            </a:ext>
          </a:extLst>
        </xdr:cNvPr>
        <xdr:cNvPicPr>
          <a:picLocks noChangeAspect="1"/>
        </xdr:cNvPicPr>
      </xdr:nvPicPr>
      <xdr:blipFill>
        <a:blip xmlns:r="http://schemas.openxmlformats.org/officeDocument/2006/relationships" r:embed="rId888"/>
        <a:stretch>
          <a:fillRect/>
        </a:stretch>
      </xdr:blipFill>
      <xdr:spPr>
        <a:prstGeom prst="rect">
          <a:avLst/>
        </a:prstGeom>
        <a:ln w="9525">
          <a:solidFill>
            <a:srgbClr val="000000"/>
          </a:solidFill>
          <a:prstDash val="solid"/>
        </a:ln>
      </xdr:spPr>
    </xdr:pic>
    <xdr:clientData/>
  </xdr:twoCellAnchor>
  <xdr:twoCellAnchor>
    <xdr:from>
      <xdr:col>3</xdr:col>
      <xdr:colOff>114300</xdr:colOff>
      <xdr:row>2004</xdr:row>
      <xdr:rowOff>28575</xdr:rowOff>
    </xdr:from>
    <xdr:to>
      <xdr:col>3</xdr:col>
      <xdr:colOff>1552575</xdr:colOff>
      <xdr:row>2004</xdr:row>
      <xdr:rowOff>1266825</xdr:rowOff>
    </xdr:to>
    <xdr:pic>
      <xdr:nvPicPr>
        <xdr:cNvPr id="911" name="Имя " descr="Descr ">
          <a:extLst>
            <a:ext uri="{FF2B5EF4-FFF2-40B4-BE49-F238E27FC236}">
              <a16:creationId xmlns:a16="http://schemas.microsoft.com/office/drawing/2014/main" id="{00000000-0008-0000-0000-00008F030000}"/>
            </a:ext>
          </a:extLst>
        </xdr:cNvPr>
        <xdr:cNvPicPr>
          <a:picLocks noChangeAspect="1"/>
        </xdr:cNvPicPr>
      </xdr:nvPicPr>
      <xdr:blipFill>
        <a:blip xmlns:r="http://schemas.openxmlformats.org/officeDocument/2006/relationships" r:embed="rId890"/>
        <a:stretch>
          <a:fillRect/>
        </a:stretch>
      </xdr:blipFill>
      <xdr:spPr>
        <a:prstGeom prst="rect">
          <a:avLst/>
        </a:prstGeom>
        <a:ln w="9525">
          <a:solidFill>
            <a:srgbClr val="000000"/>
          </a:solidFill>
          <a:prstDash val="solid"/>
        </a:ln>
      </xdr:spPr>
    </xdr:pic>
    <xdr:clientData/>
  </xdr:twoCellAnchor>
  <xdr:twoCellAnchor>
    <xdr:from>
      <xdr:col>3</xdr:col>
      <xdr:colOff>114300</xdr:colOff>
      <xdr:row>2005</xdr:row>
      <xdr:rowOff>28575</xdr:rowOff>
    </xdr:from>
    <xdr:to>
      <xdr:col>3</xdr:col>
      <xdr:colOff>1552575</xdr:colOff>
      <xdr:row>2005</xdr:row>
      <xdr:rowOff>1266825</xdr:rowOff>
    </xdr:to>
    <xdr:pic>
      <xdr:nvPicPr>
        <xdr:cNvPr id="912" name="Имя " descr="Descr ">
          <a:extLst>
            <a:ext uri="{FF2B5EF4-FFF2-40B4-BE49-F238E27FC236}">
              <a16:creationId xmlns:a16="http://schemas.microsoft.com/office/drawing/2014/main" id="{00000000-0008-0000-0000-000090030000}"/>
            </a:ext>
          </a:extLst>
        </xdr:cNvPr>
        <xdr:cNvPicPr>
          <a:picLocks noChangeAspect="1"/>
        </xdr:cNvPicPr>
      </xdr:nvPicPr>
      <xdr:blipFill>
        <a:blip xmlns:r="http://schemas.openxmlformats.org/officeDocument/2006/relationships" r:embed="rId891"/>
        <a:stretch>
          <a:fillRect/>
        </a:stretch>
      </xdr:blipFill>
      <xdr:spPr>
        <a:prstGeom prst="rect">
          <a:avLst/>
        </a:prstGeom>
        <a:ln w="9525">
          <a:solidFill>
            <a:srgbClr val="000000"/>
          </a:solidFill>
          <a:prstDash val="solid"/>
        </a:ln>
      </xdr:spPr>
    </xdr:pic>
    <xdr:clientData/>
  </xdr:twoCellAnchor>
  <xdr:twoCellAnchor>
    <xdr:from>
      <xdr:col>3</xdr:col>
      <xdr:colOff>114300</xdr:colOff>
      <xdr:row>2006</xdr:row>
      <xdr:rowOff>38100</xdr:rowOff>
    </xdr:from>
    <xdr:to>
      <xdr:col>3</xdr:col>
      <xdr:colOff>1552575</xdr:colOff>
      <xdr:row>2007</xdr:row>
      <xdr:rowOff>638175</xdr:rowOff>
    </xdr:to>
    <xdr:pic>
      <xdr:nvPicPr>
        <xdr:cNvPr id="913" name="Имя " descr="Descr ">
          <a:extLst>
            <a:ext uri="{FF2B5EF4-FFF2-40B4-BE49-F238E27FC236}">
              <a16:creationId xmlns:a16="http://schemas.microsoft.com/office/drawing/2014/main" id="{00000000-0008-0000-0000-000091030000}"/>
            </a:ext>
          </a:extLst>
        </xdr:cNvPr>
        <xdr:cNvPicPr>
          <a:picLocks noChangeAspect="1"/>
        </xdr:cNvPicPr>
      </xdr:nvPicPr>
      <xdr:blipFill>
        <a:blip xmlns:r="http://schemas.openxmlformats.org/officeDocument/2006/relationships" r:embed="rId892"/>
        <a:stretch>
          <a:fillRect/>
        </a:stretch>
      </xdr:blipFill>
      <xdr:spPr>
        <a:prstGeom prst="rect">
          <a:avLst/>
        </a:prstGeom>
        <a:ln w="9525">
          <a:solidFill>
            <a:srgbClr val="000000"/>
          </a:solidFill>
          <a:prstDash val="solid"/>
        </a:ln>
      </xdr:spPr>
    </xdr:pic>
    <xdr:clientData/>
  </xdr:twoCellAnchor>
  <xdr:twoCellAnchor>
    <xdr:from>
      <xdr:col>3</xdr:col>
      <xdr:colOff>114300</xdr:colOff>
      <xdr:row>2008</xdr:row>
      <xdr:rowOff>38100</xdr:rowOff>
    </xdr:from>
    <xdr:to>
      <xdr:col>3</xdr:col>
      <xdr:colOff>1552575</xdr:colOff>
      <xdr:row>2009</xdr:row>
      <xdr:rowOff>638175</xdr:rowOff>
    </xdr:to>
    <xdr:pic>
      <xdr:nvPicPr>
        <xdr:cNvPr id="914" name="Имя " descr="Descr ">
          <a:extLst>
            <a:ext uri="{FF2B5EF4-FFF2-40B4-BE49-F238E27FC236}">
              <a16:creationId xmlns:a16="http://schemas.microsoft.com/office/drawing/2014/main" id="{00000000-0008-0000-0000-000092030000}"/>
            </a:ext>
          </a:extLst>
        </xdr:cNvPr>
        <xdr:cNvPicPr>
          <a:picLocks noChangeAspect="1"/>
        </xdr:cNvPicPr>
      </xdr:nvPicPr>
      <xdr:blipFill>
        <a:blip xmlns:r="http://schemas.openxmlformats.org/officeDocument/2006/relationships" r:embed="rId893"/>
        <a:stretch>
          <a:fillRect/>
        </a:stretch>
      </xdr:blipFill>
      <xdr:spPr>
        <a:prstGeom prst="rect">
          <a:avLst/>
        </a:prstGeom>
        <a:ln w="9525">
          <a:solidFill>
            <a:srgbClr val="000000"/>
          </a:solidFill>
          <a:prstDash val="solid"/>
        </a:ln>
      </xdr:spPr>
    </xdr:pic>
    <xdr:clientData/>
  </xdr:twoCellAnchor>
  <xdr:twoCellAnchor>
    <xdr:from>
      <xdr:col>3</xdr:col>
      <xdr:colOff>114300</xdr:colOff>
      <xdr:row>2010</xdr:row>
      <xdr:rowOff>28575</xdr:rowOff>
    </xdr:from>
    <xdr:to>
      <xdr:col>3</xdr:col>
      <xdr:colOff>1552575</xdr:colOff>
      <xdr:row>2010</xdr:row>
      <xdr:rowOff>1266825</xdr:rowOff>
    </xdr:to>
    <xdr:pic>
      <xdr:nvPicPr>
        <xdr:cNvPr id="915" name="Имя " descr="Descr ">
          <a:extLst>
            <a:ext uri="{FF2B5EF4-FFF2-40B4-BE49-F238E27FC236}">
              <a16:creationId xmlns:a16="http://schemas.microsoft.com/office/drawing/2014/main" id="{00000000-0008-0000-0000-000093030000}"/>
            </a:ext>
          </a:extLst>
        </xdr:cNvPr>
        <xdr:cNvPicPr>
          <a:picLocks noChangeAspect="1"/>
        </xdr:cNvPicPr>
      </xdr:nvPicPr>
      <xdr:blipFill>
        <a:blip xmlns:r="http://schemas.openxmlformats.org/officeDocument/2006/relationships" r:embed="rId892"/>
        <a:stretch>
          <a:fillRect/>
        </a:stretch>
      </xdr:blipFill>
      <xdr:spPr>
        <a:prstGeom prst="rect">
          <a:avLst/>
        </a:prstGeom>
        <a:ln w="9525">
          <a:solidFill>
            <a:srgbClr val="000000"/>
          </a:solidFill>
          <a:prstDash val="solid"/>
        </a:ln>
      </xdr:spPr>
    </xdr:pic>
    <xdr:clientData/>
  </xdr:twoCellAnchor>
  <xdr:twoCellAnchor>
    <xdr:from>
      <xdr:col>3</xdr:col>
      <xdr:colOff>114300</xdr:colOff>
      <xdr:row>2011</xdr:row>
      <xdr:rowOff>28575</xdr:rowOff>
    </xdr:from>
    <xdr:to>
      <xdr:col>3</xdr:col>
      <xdr:colOff>1552575</xdr:colOff>
      <xdr:row>2011</xdr:row>
      <xdr:rowOff>1266825</xdr:rowOff>
    </xdr:to>
    <xdr:pic>
      <xdr:nvPicPr>
        <xdr:cNvPr id="916" name="Имя " descr="Descr ">
          <a:extLst>
            <a:ext uri="{FF2B5EF4-FFF2-40B4-BE49-F238E27FC236}">
              <a16:creationId xmlns:a16="http://schemas.microsoft.com/office/drawing/2014/main" id="{00000000-0008-0000-0000-000094030000}"/>
            </a:ext>
          </a:extLst>
        </xdr:cNvPr>
        <xdr:cNvPicPr>
          <a:picLocks noChangeAspect="1"/>
        </xdr:cNvPicPr>
      </xdr:nvPicPr>
      <xdr:blipFill>
        <a:blip xmlns:r="http://schemas.openxmlformats.org/officeDocument/2006/relationships" r:embed="rId893"/>
        <a:stretch>
          <a:fillRect/>
        </a:stretch>
      </xdr:blipFill>
      <xdr:spPr>
        <a:prstGeom prst="rect">
          <a:avLst/>
        </a:prstGeom>
        <a:ln w="9525">
          <a:solidFill>
            <a:srgbClr val="000000"/>
          </a:solidFill>
          <a:prstDash val="solid"/>
        </a:ln>
      </xdr:spPr>
    </xdr:pic>
    <xdr:clientData/>
  </xdr:twoCellAnchor>
  <xdr:twoCellAnchor>
    <xdr:from>
      <xdr:col>3</xdr:col>
      <xdr:colOff>114300</xdr:colOff>
      <xdr:row>2012</xdr:row>
      <xdr:rowOff>28575</xdr:rowOff>
    </xdr:from>
    <xdr:to>
      <xdr:col>3</xdr:col>
      <xdr:colOff>1552575</xdr:colOff>
      <xdr:row>2014</xdr:row>
      <xdr:rowOff>419100</xdr:rowOff>
    </xdr:to>
    <xdr:pic>
      <xdr:nvPicPr>
        <xdr:cNvPr id="917" name="Имя " descr="Descr ">
          <a:extLst>
            <a:ext uri="{FF2B5EF4-FFF2-40B4-BE49-F238E27FC236}">
              <a16:creationId xmlns:a16="http://schemas.microsoft.com/office/drawing/2014/main" id="{00000000-0008-0000-0000-000095030000}"/>
            </a:ext>
          </a:extLst>
        </xdr:cNvPr>
        <xdr:cNvPicPr>
          <a:picLocks noChangeAspect="1"/>
        </xdr:cNvPicPr>
      </xdr:nvPicPr>
      <xdr:blipFill>
        <a:blip xmlns:r="http://schemas.openxmlformats.org/officeDocument/2006/relationships" r:embed="rId894"/>
        <a:stretch>
          <a:fillRect/>
        </a:stretch>
      </xdr:blipFill>
      <xdr:spPr>
        <a:prstGeom prst="rect">
          <a:avLst/>
        </a:prstGeom>
        <a:ln w="9525">
          <a:solidFill>
            <a:srgbClr val="000000"/>
          </a:solidFill>
          <a:prstDash val="solid"/>
        </a:ln>
      </xdr:spPr>
    </xdr:pic>
    <xdr:clientData/>
  </xdr:twoCellAnchor>
  <xdr:twoCellAnchor>
    <xdr:from>
      <xdr:col>3</xdr:col>
      <xdr:colOff>114300</xdr:colOff>
      <xdr:row>2015</xdr:row>
      <xdr:rowOff>28575</xdr:rowOff>
    </xdr:from>
    <xdr:to>
      <xdr:col>3</xdr:col>
      <xdr:colOff>1552575</xdr:colOff>
      <xdr:row>2015</xdr:row>
      <xdr:rowOff>1266825</xdr:rowOff>
    </xdr:to>
    <xdr:pic>
      <xdr:nvPicPr>
        <xdr:cNvPr id="918" name="Имя " descr="Descr ">
          <a:extLst>
            <a:ext uri="{FF2B5EF4-FFF2-40B4-BE49-F238E27FC236}">
              <a16:creationId xmlns:a16="http://schemas.microsoft.com/office/drawing/2014/main" id="{00000000-0008-0000-0000-000096030000}"/>
            </a:ext>
          </a:extLst>
        </xdr:cNvPr>
        <xdr:cNvPicPr>
          <a:picLocks noChangeAspect="1"/>
        </xdr:cNvPicPr>
      </xdr:nvPicPr>
      <xdr:blipFill>
        <a:blip xmlns:r="http://schemas.openxmlformats.org/officeDocument/2006/relationships" r:embed="rId895"/>
        <a:stretch>
          <a:fillRect/>
        </a:stretch>
      </xdr:blipFill>
      <xdr:spPr>
        <a:prstGeom prst="rect">
          <a:avLst/>
        </a:prstGeom>
        <a:ln w="9525">
          <a:solidFill>
            <a:srgbClr val="000000"/>
          </a:solidFill>
          <a:prstDash val="solid"/>
        </a:ln>
      </xdr:spPr>
    </xdr:pic>
    <xdr:clientData/>
  </xdr:twoCellAnchor>
  <xdr:twoCellAnchor>
    <xdr:from>
      <xdr:col>3</xdr:col>
      <xdr:colOff>114300</xdr:colOff>
      <xdr:row>2016</xdr:row>
      <xdr:rowOff>28575</xdr:rowOff>
    </xdr:from>
    <xdr:to>
      <xdr:col>3</xdr:col>
      <xdr:colOff>1552575</xdr:colOff>
      <xdr:row>2016</xdr:row>
      <xdr:rowOff>1266825</xdr:rowOff>
    </xdr:to>
    <xdr:pic>
      <xdr:nvPicPr>
        <xdr:cNvPr id="919" name="Имя " descr="Descr ">
          <a:extLst>
            <a:ext uri="{FF2B5EF4-FFF2-40B4-BE49-F238E27FC236}">
              <a16:creationId xmlns:a16="http://schemas.microsoft.com/office/drawing/2014/main" id="{00000000-0008-0000-0000-000097030000}"/>
            </a:ext>
          </a:extLst>
        </xdr:cNvPr>
        <xdr:cNvPicPr>
          <a:picLocks noChangeAspect="1"/>
        </xdr:cNvPicPr>
      </xdr:nvPicPr>
      <xdr:blipFill>
        <a:blip xmlns:r="http://schemas.openxmlformats.org/officeDocument/2006/relationships" r:embed="rId896"/>
        <a:stretch>
          <a:fillRect/>
        </a:stretch>
      </xdr:blipFill>
      <xdr:spPr>
        <a:prstGeom prst="rect">
          <a:avLst/>
        </a:prstGeom>
        <a:ln w="9525">
          <a:solidFill>
            <a:srgbClr val="000000"/>
          </a:solidFill>
          <a:prstDash val="solid"/>
        </a:ln>
      </xdr:spPr>
    </xdr:pic>
    <xdr:clientData/>
  </xdr:twoCellAnchor>
  <xdr:twoCellAnchor>
    <xdr:from>
      <xdr:col>3</xdr:col>
      <xdr:colOff>114300</xdr:colOff>
      <xdr:row>2017</xdr:row>
      <xdr:rowOff>28575</xdr:rowOff>
    </xdr:from>
    <xdr:to>
      <xdr:col>3</xdr:col>
      <xdr:colOff>1552575</xdr:colOff>
      <xdr:row>2020</xdr:row>
      <xdr:rowOff>209550</xdr:rowOff>
    </xdr:to>
    <xdr:pic>
      <xdr:nvPicPr>
        <xdr:cNvPr id="920" name="Имя " descr="Descr ">
          <a:extLst>
            <a:ext uri="{FF2B5EF4-FFF2-40B4-BE49-F238E27FC236}">
              <a16:creationId xmlns:a16="http://schemas.microsoft.com/office/drawing/2014/main" id="{00000000-0008-0000-0000-000098030000}"/>
            </a:ext>
          </a:extLst>
        </xdr:cNvPr>
        <xdr:cNvPicPr>
          <a:picLocks noChangeAspect="1"/>
        </xdr:cNvPicPr>
      </xdr:nvPicPr>
      <xdr:blipFill>
        <a:blip xmlns:r="http://schemas.openxmlformats.org/officeDocument/2006/relationships" r:embed="rId897"/>
        <a:stretch>
          <a:fillRect/>
        </a:stretch>
      </xdr:blipFill>
      <xdr:spPr>
        <a:prstGeom prst="rect">
          <a:avLst/>
        </a:prstGeom>
        <a:ln w="9525">
          <a:solidFill>
            <a:srgbClr val="000000"/>
          </a:solidFill>
          <a:prstDash val="solid"/>
        </a:ln>
      </xdr:spPr>
    </xdr:pic>
    <xdr:clientData/>
  </xdr:twoCellAnchor>
  <xdr:twoCellAnchor>
    <xdr:from>
      <xdr:col>3</xdr:col>
      <xdr:colOff>114300</xdr:colOff>
      <xdr:row>2021</xdr:row>
      <xdr:rowOff>28575</xdr:rowOff>
    </xdr:from>
    <xdr:to>
      <xdr:col>3</xdr:col>
      <xdr:colOff>1552575</xdr:colOff>
      <xdr:row>2024</xdr:row>
      <xdr:rowOff>209550</xdr:rowOff>
    </xdr:to>
    <xdr:pic>
      <xdr:nvPicPr>
        <xdr:cNvPr id="921" name="Имя " descr="Descr ">
          <a:extLst>
            <a:ext uri="{FF2B5EF4-FFF2-40B4-BE49-F238E27FC236}">
              <a16:creationId xmlns:a16="http://schemas.microsoft.com/office/drawing/2014/main" id="{00000000-0008-0000-0000-000099030000}"/>
            </a:ext>
          </a:extLst>
        </xdr:cNvPr>
        <xdr:cNvPicPr>
          <a:picLocks noChangeAspect="1"/>
        </xdr:cNvPicPr>
      </xdr:nvPicPr>
      <xdr:blipFill>
        <a:blip xmlns:r="http://schemas.openxmlformats.org/officeDocument/2006/relationships" r:embed="rId898"/>
        <a:stretch>
          <a:fillRect/>
        </a:stretch>
      </xdr:blipFill>
      <xdr:spPr>
        <a:prstGeom prst="rect">
          <a:avLst/>
        </a:prstGeom>
        <a:ln w="9525">
          <a:solidFill>
            <a:srgbClr val="000000"/>
          </a:solidFill>
          <a:prstDash val="solid"/>
        </a:ln>
      </xdr:spPr>
    </xdr:pic>
    <xdr:clientData/>
  </xdr:twoCellAnchor>
  <xdr:twoCellAnchor>
    <xdr:from>
      <xdr:col>3</xdr:col>
      <xdr:colOff>114300</xdr:colOff>
      <xdr:row>2025</xdr:row>
      <xdr:rowOff>28575</xdr:rowOff>
    </xdr:from>
    <xdr:to>
      <xdr:col>3</xdr:col>
      <xdr:colOff>1552575</xdr:colOff>
      <xdr:row>2027</xdr:row>
      <xdr:rowOff>419100</xdr:rowOff>
    </xdr:to>
    <xdr:pic>
      <xdr:nvPicPr>
        <xdr:cNvPr id="922" name="Имя " descr="Descr ">
          <a:extLst>
            <a:ext uri="{FF2B5EF4-FFF2-40B4-BE49-F238E27FC236}">
              <a16:creationId xmlns:a16="http://schemas.microsoft.com/office/drawing/2014/main" id="{00000000-0008-0000-0000-00009A030000}"/>
            </a:ext>
          </a:extLst>
        </xdr:cNvPr>
        <xdr:cNvPicPr>
          <a:picLocks noChangeAspect="1"/>
        </xdr:cNvPicPr>
      </xdr:nvPicPr>
      <xdr:blipFill>
        <a:blip xmlns:r="http://schemas.openxmlformats.org/officeDocument/2006/relationships" r:embed="rId899"/>
        <a:stretch>
          <a:fillRect/>
        </a:stretch>
      </xdr:blipFill>
      <xdr:spPr>
        <a:prstGeom prst="rect">
          <a:avLst/>
        </a:prstGeom>
        <a:ln w="9525">
          <a:solidFill>
            <a:srgbClr val="000000"/>
          </a:solidFill>
          <a:prstDash val="solid"/>
        </a:ln>
      </xdr:spPr>
    </xdr:pic>
    <xdr:clientData/>
  </xdr:twoCellAnchor>
  <xdr:twoCellAnchor>
    <xdr:from>
      <xdr:col>3</xdr:col>
      <xdr:colOff>114300</xdr:colOff>
      <xdr:row>2028</xdr:row>
      <xdr:rowOff>28575</xdr:rowOff>
    </xdr:from>
    <xdr:to>
      <xdr:col>3</xdr:col>
      <xdr:colOff>1552575</xdr:colOff>
      <xdr:row>2031</xdr:row>
      <xdr:rowOff>209550</xdr:rowOff>
    </xdr:to>
    <xdr:pic>
      <xdr:nvPicPr>
        <xdr:cNvPr id="923" name="Имя " descr="Descr ">
          <a:extLst>
            <a:ext uri="{FF2B5EF4-FFF2-40B4-BE49-F238E27FC236}">
              <a16:creationId xmlns:a16="http://schemas.microsoft.com/office/drawing/2014/main" id="{00000000-0008-0000-0000-00009B030000}"/>
            </a:ext>
          </a:extLst>
        </xdr:cNvPr>
        <xdr:cNvPicPr>
          <a:picLocks noChangeAspect="1"/>
        </xdr:cNvPicPr>
      </xdr:nvPicPr>
      <xdr:blipFill>
        <a:blip xmlns:r="http://schemas.openxmlformats.org/officeDocument/2006/relationships" r:embed="rId900"/>
        <a:stretch>
          <a:fillRect/>
        </a:stretch>
      </xdr:blipFill>
      <xdr:spPr>
        <a:prstGeom prst="rect">
          <a:avLst/>
        </a:prstGeom>
        <a:ln w="9525">
          <a:solidFill>
            <a:srgbClr val="000000"/>
          </a:solidFill>
          <a:prstDash val="solid"/>
        </a:ln>
      </xdr:spPr>
    </xdr:pic>
    <xdr:clientData/>
  </xdr:twoCellAnchor>
  <xdr:twoCellAnchor>
    <xdr:from>
      <xdr:col>3</xdr:col>
      <xdr:colOff>114300</xdr:colOff>
      <xdr:row>2032</xdr:row>
      <xdr:rowOff>28575</xdr:rowOff>
    </xdr:from>
    <xdr:to>
      <xdr:col>3</xdr:col>
      <xdr:colOff>1552575</xdr:colOff>
      <xdr:row>2034</xdr:row>
      <xdr:rowOff>419100</xdr:rowOff>
    </xdr:to>
    <xdr:pic>
      <xdr:nvPicPr>
        <xdr:cNvPr id="924" name="Имя " descr="Descr ">
          <a:extLst>
            <a:ext uri="{FF2B5EF4-FFF2-40B4-BE49-F238E27FC236}">
              <a16:creationId xmlns:a16="http://schemas.microsoft.com/office/drawing/2014/main" id="{00000000-0008-0000-0000-00009C030000}"/>
            </a:ext>
          </a:extLst>
        </xdr:cNvPr>
        <xdr:cNvPicPr>
          <a:picLocks noChangeAspect="1"/>
        </xdr:cNvPicPr>
      </xdr:nvPicPr>
      <xdr:blipFill>
        <a:blip xmlns:r="http://schemas.openxmlformats.org/officeDocument/2006/relationships" r:embed="rId901"/>
        <a:stretch>
          <a:fillRect/>
        </a:stretch>
      </xdr:blipFill>
      <xdr:spPr>
        <a:prstGeom prst="rect">
          <a:avLst/>
        </a:prstGeom>
        <a:ln w="9525">
          <a:solidFill>
            <a:srgbClr val="000000"/>
          </a:solidFill>
          <a:prstDash val="solid"/>
        </a:ln>
      </xdr:spPr>
    </xdr:pic>
    <xdr:clientData/>
  </xdr:twoCellAnchor>
  <xdr:twoCellAnchor>
    <xdr:from>
      <xdr:col>3</xdr:col>
      <xdr:colOff>114300</xdr:colOff>
      <xdr:row>2035</xdr:row>
      <xdr:rowOff>28575</xdr:rowOff>
    </xdr:from>
    <xdr:to>
      <xdr:col>3</xdr:col>
      <xdr:colOff>1552575</xdr:colOff>
      <xdr:row>2038</xdr:row>
      <xdr:rowOff>209550</xdr:rowOff>
    </xdr:to>
    <xdr:pic>
      <xdr:nvPicPr>
        <xdr:cNvPr id="925" name="Имя " descr="Descr ">
          <a:extLst>
            <a:ext uri="{FF2B5EF4-FFF2-40B4-BE49-F238E27FC236}">
              <a16:creationId xmlns:a16="http://schemas.microsoft.com/office/drawing/2014/main" id="{00000000-0008-0000-0000-00009D030000}"/>
            </a:ext>
          </a:extLst>
        </xdr:cNvPr>
        <xdr:cNvPicPr>
          <a:picLocks noChangeAspect="1"/>
        </xdr:cNvPicPr>
      </xdr:nvPicPr>
      <xdr:blipFill>
        <a:blip xmlns:r="http://schemas.openxmlformats.org/officeDocument/2006/relationships" r:embed="rId902"/>
        <a:stretch>
          <a:fillRect/>
        </a:stretch>
      </xdr:blipFill>
      <xdr:spPr>
        <a:prstGeom prst="rect">
          <a:avLst/>
        </a:prstGeom>
        <a:ln w="9525">
          <a:solidFill>
            <a:srgbClr val="000000"/>
          </a:solidFill>
          <a:prstDash val="solid"/>
        </a:ln>
      </xdr:spPr>
    </xdr:pic>
    <xdr:clientData/>
  </xdr:twoCellAnchor>
  <xdr:twoCellAnchor>
    <xdr:from>
      <xdr:col>3</xdr:col>
      <xdr:colOff>114300</xdr:colOff>
      <xdr:row>2039</xdr:row>
      <xdr:rowOff>28575</xdr:rowOff>
    </xdr:from>
    <xdr:to>
      <xdr:col>3</xdr:col>
      <xdr:colOff>1552575</xdr:colOff>
      <xdr:row>2042</xdr:row>
      <xdr:rowOff>209550</xdr:rowOff>
    </xdr:to>
    <xdr:pic>
      <xdr:nvPicPr>
        <xdr:cNvPr id="926" name="Имя " descr="Descr ">
          <a:extLst>
            <a:ext uri="{FF2B5EF4-FFF2-40B4-BE49-F238E27FC236}">
              <a16:creationId xmlns:a16="http://schemas.microsoft.com/office/drawing/2014/main" id="{00000000-0008-0000-0000-00009E030000}"/>
            </a:ext>
          </a:extLst>
        </xdr:cNvPr>
        <xdr:cNvPicPr>
          <a:picLocks noChangeAspect="1"/>
        </xdr:cNvPicPr>
      </xdr:nvPicPr>
      <xdr:blipFill>
        <a:blip xmlns:r="http://schemas.openxmlformats.org/officeDocument/2006/relationships" r:embed="rId903"/>
        <a:stretch>
          <a:fillRect/>
        </a:stretch>
      </xdr:blipFill>
      <xdr:spPr>
        <a:prstGeom prst="rect">
          <a:avLst/>
        </a:prstGeom>
        <a:ln w="9525">
          <a:solidFill>
            <a:srgbClr val="000000"/>
          </a:solidFill>
          <a:prstDash val="solid"/>
        </a:ln>
      </xdr:spPr>
    </xdr:pic>
    <xdr:clientData/>
  </xdr:twoCellAnchor>
  <xdr:twoCellAnchor>
    <xdr:from>
      <xdr:col>3</xdr:col>
      <xdr:colOff>114300</xdr:colOff>
      <xdr:row>2043</xdr:row>
      <xdr:rowOff>28575</xdr:rowOff>
    </xdr:from>
    <xdr:to>
      <xdr:col>3</xdr:col>
      <xdr:colOff>1552575</xdr:colOff>
      <xdr:row>2046</xdr:row>
      <xdr:rowOff>209550</xdr:rowOff>
    </xdr:to>
    <xdr:pic>
      <xdr:nvPicPr>
        <xdr:cNvPr id="927" name="Имя " descr="Descr ">
          <a:extLst>
            <a:ext uri="{FF2B5EF4-FFF2-40B4-BE49-F238E27FC236}">
              <a16:creationId xmlns:a16="http://schemas.microsoft.com/office/drawing/2014/main" id="{00000000-0008-0000-0000-00009F030000}"/>
            </a:ext>
          </a:extLst>
        </xdr:cNvPr>
        <xdr:cNvPicPr>
          <a:picLocks noChangeAspect="1"/>
        </xdr:cNvPicPr>
      </xdr:nvPicPr>
      <xdr:blipFill>
        <a:blip xmlns:r="http://schemas.openxmlformats.org/officeDocument/2006/relationships" r:embed="rId904"/>
        <a:stretch>
          <a:fillRect/>
        </a:stretch>
      </xdr:blipFill>
      <xdr:spPr>
        <a:prstGeom prst="rect">
          <a:avLst/>
        </a:prstGeom>
        <a:ln w="9525">
          <a:solidFill>
            <a:srgbClr val="000000"/>
          </a:solidFill>
          <a:prstDash val="solid"/>
        </a:ln>
      </xdr:spPr>
    </xdr:pic>
    <xdr:clientData/>
  </xdr:twoCellAnchor>
  <xdr:twoCellAnchor>
    <xdr:from>
      <xdr:col>3</xdr:col>
      <xdr:colOff>114300</xdr:colOff>
      <xdr:row>2047</xdr:row>
      <xdr:rowOff>28575</xdr:rowOff>
    </xdr:from>
    <xdr:to>
      <xdr:col>3</xdr:col>
      <xdr:colOff>1552575</xdr:colOff>
      <xdr:row>2047</xdr:row>
      <xdr:rowOff>1266825</xdr:rowOff>
    </xdr:to>
    <xdr:pic>
      <xdr:nvPicPr>
        <xdr:cNvPr id="928" name="Имя " descr="Descr ">
          <a:extLst>
            <a:ext uri="{FF2B5EF4-FFF2-40B4-BE49-F238E27FC236}">
              <a16:creationId xmlns:a16="http://schemas.microsoft.com/office/drawing/2014/main" id="{00000000-0008-0000-0000-0000A0030000}"/>
            </a:ext>
          </a:extLst>
        </xdr:cNvPr>
        <xdr:cNvPicPr>
          <a:picLocks noChangeAspect="1"/>
        </xdr:cNvPicPr>
      </xdr:nvPicPr>
      <xdr:blipFill>
        <a:blip xmlns:r="http://schemas.openxmlformats.org/officeDocument/2006/relationships" r:embed="rId905"/>
        <a:stretch>
          <a:fillRect/>
        </a:stretch>
      </xdr:blipFill>
      <xdr:spPr>
        <a:prstGeom prst="rect">
          <a:avLst/>
        </a:prstGeom>
        <a:ln w="9525">
          <a:solidFill>
            <a:srgbClr val="000000"/>
          </a:solidFill>
          <a:prstDash val="solid"/>
        </a:ln>
      </xdr:spPr>
    </xdr:pic>
    <xdr:clientData/>
  </xdr:twoCellAnchor>
  <xdr:twoCellAnchor>
    <xdr:from>
      <xdr:col>3</xdr:col>
      <xdr:colOff>114300</xdr:colOff>
      <xdr:row>2048</xdr:row>
      <xdr:rowOff>28575</xdr:rowOff>
    </xdr:from>
    <xdr:to>
      <xdr:col>3</xdr:col>
      <xdr:colOff>1552575</xdr:colOff>
      <xdr:row>2048</xdr:row>
      <xdr:rowOff>1266825</xdr:rowOff>
    </xdr:to>
    <xdr:pic>
      <xdr:nvPicPr>
        <xdr:cNvPr id="929" name="Имя " descr="Descr ">
          <a:extLst>
            <a:ext uri="{FF2B5EF4-FFF2-40B4-BE49-F238E27FC236}">
              <a16:creationId xmlns:a16="http://schemas.microsoft.com/office/drawing/2014/main" id="{00000000-0008-0000-0000-0000A1030000}"/>
            </a:ext>
          </a:extLst>
        </xdr:cNvPr>
        <xdr:cNvPicPr>
          <a:picLocks noChangeAspect="1"/>
        </xdr:cNvPicPr>
      </xdr:nvPicPr>
      <xdr:blipFill>
        <a:blip xmlns:r="http://schemas.openxmlformats.org/officeDocument/2006/relationships" r:embed="rId906"/>
        <a:stretch>
          <a:fillRect/>
        </a:stretch>
      </xdr:blipFill>
      <xdr:spPr>
        <a:prstGeom prst="rect">
          <a:avLst/>
        </a:prstGeom>
        <a:ln w="9525">
          <a:solidFill>
            <a:srgbClr val="000000"/>
          </a:solidFill>
          <a:prstDash val="solid"/>
        </a:ln>
      </xdr:spPr>
    </xdr:pic>
    <xdr:clientData/>
  </xdr:twoCellAnchor>
  <xdr:twoCellAnchor>
    <xdr:from>
      <xdr:col>3</xdr:col>
      <xdr:colOff>114300</xdr:colOff>
      <xdr:row>2049</xdr:row>
      <xdr:rowOff>28575</xdr:rowOff>
    </xdr:from>
    <xdr:to>
      <xdr:col>3</xdr:col>
      <xdr:colOff>1552575</xdr:colOff>
      <xdr:row>2049</xdr:row>
      <xdr:rowOff>1266825</xdr:rowOff>
    </xdr:to>
    <xdr:pic>
      <xdr:nvPicPr>
        <xdr:cNvPr id="930" name="Имя " descr="Descr ">
          <a:extLst>
            <a:ext uri="{FF2B5EF4-FFF2-40B4-BE49-F238E27FC236}">
              <a16:creationId xmlns:a16="http://schemas.microsoft.com/office/drawing/2014/main" id="{00000000-0008-0000-0000-0000A2030000}"/>
            </a:ext>
          </a:extLst>
        </xdr:cNvPr>
        <xdr:cNvPicPr>
          <a:picLocks noChangeAspect="1"/>
        </xdr:cNvPicPr>
      </xdr:nvPicPr>
      <xdr:blipFill>
        <a:blip xmlns:r="http://schemas.openxmlformats.org/officeDocument/2006/relationships" r:embed="rId907"/>
        <a:stretch>
          <a:fillRect/>
        </a:stretch>
      </xdr:blipFill>
      <xdr:spPr>
        <a:prstGeom prst="rect">
          <a:avLst/>
        </a:prstGeom>
        <a:ln w="9525">
          <a:solidFill>
            <a:srgbClr val="000000"/>
          </a:solidFill>
          <a:prstDash val="solid"/>
        </a:ln>
      </xdr:spPr>
    </xdr:pic>
    <xdr:clientData/>
  </xdr:twoCellAnchor>
  <xdr:twoCellAnchor>
    <xdr:from>
      <xdr:col>3</xdr:col>
      <xdr:colOff>114300</xdr:colOff>
      <xdr:row>2050</xdr:row>
      <xdr:rowOff>28575</xdr:rowOff>
    </xdr:from>
    <xdr:to>
      <xdr:col>3</xdr:col>
      <xdr:colOff>1552575</xdr:colOff>
      <xdr:row>2050</xdr:row>
      <xdr:rowOff>1266825</xdr:rowOff>
    </xdr:to>
    <xdr:pic>
      <xdr:nvPicPr>
        <xdr:cNvPr id="931" name="Имя " descr="Descr ">
          <a:extLst>
            <a:ext uri="{FF2B5EF4-FFF2-40B4-BE49-F238E27FC236}">
              <a16:creationId xmlns:a16="http://schemas.microsoft.com/office/drawing/2014/main" id="{00000000-0008-0000-0000-0000A3030000}"/>
            </a:ext>
          </a:extLst>
        </xdr:cNvPr>
        <xdr:cNvPicPr>
          <a:picLocks noChangeAspect="1"/>
        </xdr:cNvPicPr>
      </xdr:nvPicPr>
      <xdr:blipFill>
        <a:blip xmlns:r="http://schemas.openxmlformats.org/officeDocument/2006/relationships" r:embed="rId908"/>
        <a:stretch>
          <a:fillRect/>
        </a:stretch>
      </xdr:blipFill>
      <xdr:spPr>
        <a:prstGeom prst="rect">
          <a:avLst/>
        </a:prstGeom>
        <a:ln w="9525">
          <a:solidFill>
            <a:srgbClr val="000000"/>
          </a:solidFill>
          <a:prstDash val="solid"/>
        </a:ln>
      </xdr:spPr>
    </xdr:pic>
    <xdr:clientData/>
  </xdr:twoCellAnchor>
  <xdr:twoCellAnchor>
    <xdr:from>
      <xdr:col>3</xdr:col>
      <xdr:colOff>114300</xdr:colOff>
      <xdr:row>2051</xdr:row>
      <xdr:rowOff>28575</xdr:rowOff>
    </xdr:from>
    <xdr:to>
      <xdr:col>3</xdr:col>
      <xdr:colOff>1552575</xdr:colOff>
      <xdr:row>2051</xdr:row>
      <xdr:rowOff>1266825</xdr:rowOff>
    </xdr:to>
    <xdr:pic>
      <xdr:nvPicPr>
        <xdr:cNvPr id="932" name="Имя " descr="Descr ">
          <a:extLst>
            <a:ext uri="{FF2B5EF4-FFF2-40B4-BE49-F238E27FC236}">
              <a16:creationId xmlns:a16="http://schemas.microsoft.com/office/drawing/2014/main" id="{00000000-0008-0000-0000-0000A4030000}"/>
            </a:ext>
          </a:extLst>
        </xdr:cNvPr>
        <xdr:cNvPicPr>
          <a:picLocks noChangeAspect="1"/>
        </xdr:cNvPicPr>
      </xdr:nvPicPr>
      <xdr:blipFill>
        <a:blip xmlns:r="http://schemas.openxmlformats.org/officeDocument/2006/relationships" r:embed="rId909"/>
        <a:stretch>
          <a:fillRect/>
        </a:stretch>
      </xdr:blipFill>
      <xdr:spPr>
        <a:prstGeom prst="rect">
          <a:avLst/>
        </a:prstGeom>
        <a:ln w="9525">
          <a:solidFill>
            <a:srgbClr val="000000"/>
          </a:solidFill>
          <a:prstDash val="solid"/>
        </a:ln>
      </xdr:spPr>
    </xdr:pic>
    <xdr:clientData/>
  </xdr:twoCellAnchor>
  <xdr:twoCellAnchor>
    <xdr:from>
      <xdr:col>3</xdr:col>
      <xdr:colOff>114300</xdr:colOff>
      <xdr:row>2052</xdr:row>
      <xdr:rowOff>28575</xdr:rowOff>
    </xdr:from>
    <xdr:to>
      <xdr:col>3</xdr:col>
      <xdr:colOff>1552575</xdr:colOff>
      <xdr:row>2056</xdr:row>
      <xdr:rowOff>333375</xdr:rowOff>
    </xdr:to>
    <xdr:pic>
      <xdr:nvPicPr>
        <xdr:cNvPr id="933" name="Имя " descr="Descr ">
          <a:extLst>
            <a:ext uri="{FF2B5EF4-FFF2-40B4-BE49-F238E27FC236}">
              <a16:creationId xmlns:a16="http://schemas.microsoft.com/office/drawing/2014/main" id="{00000000-0008-0000-0000-0000A5030000}"/>
            </a:ext>
          </a:extLst>
        </xdr:cNvPr>
        <xdr:cNvPicPr>
          <a:picLocks noChangeAspect="1"/>
        </xdr:cNvPicPr>
      </xdr:nvPicPr>
      <xdr:blipFill>
        <a:blip xmlns:r="http://schemas.openxmlformats.org/officeDocument/2006/relationships" r:embed="rId910"/>
        <a:stretch>
          <a:fillRect/>
        </a:stretch>
      </xdr:blipFill>
      <xdr:spPr>
        <a:prstGeom prst="rect">
          <a:avLst/>
        </a:prstGeom>
        <a:ln w="9525">
          <a:solidFill>
            <a:srgbClr val="000000"/>
          </a:solidFill>
          <a:prstDash val="solid"/>
        </a:ln>
      </xdr:spPr>
    </xdr:pic>
    <xdr:clientData/>
  </xdr:twoCellAnchor>
  <xdr:twoCellAnchor>
    <xdr:from>
      <xdr:col>3</xdr:col>
      <xdr:colOff>114300</xdr:colOff>
      <xdr:row>2057</xdr:row>
      <xdr:rowOff>28575</xdr:rowOff>
    </xdr:from>
    <xdr:to>
      <xdr:col>3</xdr:col>
      <xdr:colOff>1552575</xdr:colOff>
      <xdr:row>2061</xdr:row>
      <xdr:rowOff>333375</xdr:rowOff>
    </xdr:to>
    <xdr:pic>
      <xdr:nvPicPr>
        <xdr:cNvPr id="934" name="Имя " descr="Descr ">
          <a:extLst>
            <a:ext uri="{FF2B5EF4-FFF2-40B4-BE49-F238E27FC236}">
              <a16:creationId xmlns:a16="http://schemas.microsoft.com/office/drawing/2014/main" id="{00000000-0008-0000-0000-0000A6030000}"/>
            </a:ext>
          </a:extLst>
        </xdr:cNvPr>
        <xdr:cNvPicPr>
          <a:picLocks noChangeAspect="1"/>
        </xdr:cNvPicPr>
      </xdr:nvPicPr>
      <xdr:blipFill>
        <a:blip xmlns:r="http://schemas.openxmlformats.org/officeDocument/2006/relationships" r:embed="rId911"/>
        <a:stretch>
          <a:fillRect/>
        </a:stretch>
      </xdr:blipFill>
      <xdr:spPr>
        <a:prstGeom prst="rect">
          <a:avLst/>
        </a:prstGeom>
        <a:ln w="9525">
          <a:solidFill>
            <a:srgbClr val="000000"/>
          </a:solidFill>
          <a:prstDash val="solid"/>
        </a:ln>
      </xdr:spPr>
    </xdr:pic>
    <xdr:clientData/>
  </xdr:twoCellAnchor>
  <xdr:twoCellAnchor>
    <xdr:from>
      <xdr:col>3</xdr:col>
      <xdr:colOff>114300</xdr:colOff>
      <xdr:row>2062</xdr:row>
      <xdr:rowOff>28575</xdr:rowOff>
    </xdr:from>
    <xdr:to>
      <xdr:col>3</xdr:col>
      <xdr:colOff>1552575</xdr:colOff>
      <xdr:row>2065</xdr:row>
      <xdr:rowOff>209550</xdr:rowOff>
    </xdr:to>
    <xdr:pic>
      <xdr:nvPicPr>
        <xdr:cNvPr id="935" name="Имя " descr="Descr ">
          <a:extLst>
            <a:ext uri="{FF2B5EF4-FFF2-40B4-BE49-F238E27FC236}">
              <a16:creationId xmlns:a16="http://schemas.microsoft.com/office/drawing/2014/main" id="{00000000-0008-0000-0000-0000A7030000}"/>
            </a:ext>
          </a:extLst>
        </xdr:cNvPr>
        <xdr:cNvPicPr>
          <a:picLocks noChangeAspect="1"/>
        </xdr:cNvPicPr>
      </xdr:nvPicPr>
      <xdr:blipFill>
        <a:blip xmlns:r="http://schemas.openxmlformats.org/officeDocument/2006/relationships" r:embed="rId912"/>
        <a:stretch>
          <a:fillRect/>
        </a:stretch>
      </xdr:blipFill>
      <xdr:spPr>
        <a:prstGeom prst="rect">
          <a:avLst/>
        </a:prstGeom>
        <a:ln w="9525">
          <a:solidFill>
            <a:srgbClr val="000000"/>
          </a:solidFill>
          <a:prstDash val="solid"/>
        </a:ln>
      </xdr:spPr>
    </xdr:pic>
    <xdr:clientData/>
  </xdr:twoCellAnchor>
  <xdr:twoCellAnchor>
    <xdr:from>
      <xdr:col>3</xdr:col>
      <xdr:colOff>114300</xdr:colOff>
      <xdr:row>2066</xdr:row>
      <xdr:rowOff>38100</xdr:rowOff>
    </xdr:from>
    <xdr:to>
      <xdr:col>3</xdr:col>
      <xdr:colOff>1552575</xdr:colOff>
      <xdr:row>2067</xdr:row>
      <xdr:rowOff>638175</xdr:rowOff>
    </xdr:to>
    <xdr:pic>
      <xdr:nvPicPr>
        <xdr:cNvPr id="936" name="Имя " descr="Descr ">
          <a:extLst>
            <a:ext uri="{FF2B5EF4-FFF2-40B4-BE49-F238E27FC236}">
              <a16:creationId xmlns:a16="http://schemas.microsoft.com/office/drawing/2014/main" id="{00000000-0008-0000-0000-0000A8030000}"/>
            </a:ext>
          </a:extLst>
        </xdr:cNvPr>
        <xdr:cNvPicPr>
          <a:picLocks noChangeAspect="1"/>
        </xdr:cNvPicPr>
      </xdr:nvPicPr>
      <xdr:blipFill>
        <a:blip xmlns:r="http://schemas.openxmlformats.org/officeDocument/2006/relationships" r:embed="rId913"/>
        <a:stretch>
          <a:fillRect/>
        </a:stretch>
      </xdr:blipFill>
      <xdr:spPr>
        <a:prstGeom prst="rect">
          <a:avLst/>
        </a:prstGeom>
        <a:ln w="9525">
          <a:solidFill>
            <a:srgbClr val="000000"/>
          </a:solidFill>
          <a:prstDash val="solid"/>
        </a:ln>
      </xdr:spPr>
    </xdr:pic>
    <xdr:clientData/>
  </xdr:twoCellAnchor>
  <xdr:twoCellAnchor>
    <xdr:from>
      <xdr:col>3</xdr:col>
      <xdr:colOff>114300</xdr:colOff>
      <xdr:row>2068</xdr:row>
      <xdr:rowOff>28575</xdr:rowOff>
    </xdr:from>
    <xdr:to>
      <xdr:col>3</xdr:col>
      <xdr:colOff>1552575</xdr:colOff>
      <xdr:row>2068</xdr:row>
      <xdr:rowOff>1266825</xdr:rowOff>
    </xdr:to>
    <xdr:pic>
      <xdr:nvPicPr>
        <xdr:cNvPr id="937" name="Имя " descr="Descr ">
          <a:extLst>
            <a:ext uri="{FF2B5EF4-FFF2-40B4-BE49-F238E27FC236}">
              <a16:creationId xmlns:a16="http://schemas.microsoft.com/office/drawing/2014/main" id="{00000000-0008-0000-0000-0000A9030000}"/>
            </a:ext>
          </a:extLst>
        </xdr:cNvPr>
        <xdr:cNvPicPr>
          <a:picLocks noChangeAspect="1"/>
        </xdr:cNvPicPr>
      </xdr:nvPicPr>
      <xdr:blipFill>
        <a:blip xmlns:r="http://schemas.openxmlformats.org/officeDocument/2006/relationships" r:embed="rId914"/>
        <a:stretch>
          <a:fillRect/>
        </a:stretch>
      </xdr:blipFill>
      <xdr:spPr>
        <a:prstGeom prst="rect">
          <a:avLst/>
        </a:prstGeom>
        <a:ln w="9525">
          <a:solidFill>
            <a:srgbClr val="000000"/>
          </a:solidFill>
          <a:prstDash val="solid"/>
        </a:ln>
      </xdr:spPr>
    </xdr:pic>
    <xdr:clientData/>
  </xdr:twoCellAnchor>
  <xdr:twoCellAnchor>
    <xdr:from>
      <xdr:col>3</xdr:col>
      <xdr:colOff>114300</xdr:colOff>
      <xdr:row>2069</xdr:row>
      <xdr:rowOff>28575</xdr:rowOff>
    </xdr:from>
    <xdr:to>
      <xdr:col>3</xdr:col>
      <xdr:colOff>1552575</xdr:colOff>
      <xdr:row>2069</xdr:row>
      <xdr:rowOff>1266825</xdr:rowOff>
    </xdr:to>
    <xdr:pic>
      <xdr:nvPicPr>
        <xdr:cNvPr id="938" name="Имя " descr="Descr ">
          <a:extLst>
            <a:ext uri="{FF2B5EF4-FFF2-40B4-BE49-F238E27FC236}">
              <a16:creationId xmlns:a16="http://schemas.microsoft.com/office/drawing/2014/main" id="{00000000-0008-0000-0000-0000AA030000}"/>
            </a:ext>
          </a:extLst>
        </xdr:cNvPr>
        <xdr:cNvPicPr>
          <a:picLocks noChangeAspect="1"/>
        </xdr:cNvPicPr>
      </xdr:nvPicPr>
      <xdr:blipFill>
        <a:blip xmlns:r="http://schemas.openxmlformats.org/officeDocument/2006/relationships" r:embed="rId915"/>
        <a:stretch>
          <a:fillRect/>
        </a:stretch>
      </xdr:blipFill>
      <xdr:spPr>
        <a:prstGeom prst="rect">
          <a:avLst/>
        </a:prstGeom>
        <a:ln w="9525">
          <a:solidFill>
            <a:srgbClr val="000000"/>
          </a:solidFill>
          <a:prstDash val="solid"/>
        </a:ln>
      </xdr:spPr>
    </xdr:pic>
    <xdr:clientData/>
  </xdr:twoCellAnchor>
  <xdr:twoCellAnchor>
    <xdr:from>
      <xdr:col>3</xdr:col>
      <xdr:colOff>114300</xdr:colOff>
      <xdr:row>2070</xdr:row>
      <xdr:rowOff>28575</xdr:rowOff>
    </xdr:from>
    <xdr:to>
      <xdr:col>3</xdr:col>
      <xdr:colOff>1552575</xdr:colOff>
      <xdr:row>2070</xdr:row>
      <xdr:rowOff>1266825</xdr:rowOff>
    </xdr:to>
    <xdr:pic>
      <xdr:nvPicPr>
        <xdr:cNvPr id="939" name="Имя " descr="Descr ">
          <a:extLst>
            <a:ext uri="{FF2B5EF4-FFF2-40B4-BE49-F238E27FC236}">
              <a16:creationId xmlns:a16="http://schemas.microsoft.com/office/drawing/2014/main" id="{00000000-0008-0000-0000-0000AB030000}"/>
            </a:ext>
          </a:extLst>
        </xdr:cNvPr>
        <xdr:cNvPicPr>
          <a:picLocks noChangeAspect="1"/>
        </xdr:cNvPicPr>
      </xdr:nvPicPr>
      <xdr:blipFill>
        <a:blip xmlns:r="http://schemas.openxmlformats.org/officeDocument/2006/relationships" r:embed="rId916"/>
        <a:stretch>
          <a:fillRect/>
        </a:stretch>
      </xdr:blipFill>
      <xdr:spPr>
        <a:prstGeom prst="rect">
          <a:avLst/>
        </a:prstGeom>
        <a:ln w="9525">
          <a:solidFill>
            <a:srgbClr val="000000"/>
          </a:solidFill>
          <a:prstDash val="solid"/>
        </a:ln>
      </xdr:spPr>
    </xdr:pic>
    <xdr:clientData/>
  </xdr:twoCellAnchor>
  <xdr:twoCellAnchor>
    <xdr:from>
      <xdr:col>3</xdr:col>
      <xdr:colOff>114300</xdr:colOff>
      <xdr:row>2071</xdr:row>
      <xdr:rowOff>28575</xdr:rowOff>
    </xdr:from>
    <xdr:to>
      <xdr:col>3</xdr:col>
      <xdr:colOff>1552575</xdr:colOff>
      <xdr:row>2071</xdr:row>
      <xdr:rowOff>1266825</xdr:rowOff>
    </xdr:to>
    <xdr:pic>
      <xdr:nvPicPr>
        <xdr:cNvPr id="940" name="Имя " descr="Descr ">
          <a:extLst>
            <a:ext uri="{FF2B5EF4-FFF2-40B4-BE49-F238E27FC236}">
              <a16:creationId xmlns:a16="http://schemas.microsoft.com/office/drawing/2014/main" id="{00000000-0008-0000-0000-0000AC030000}"/>
            </a:ext>
          </a:extLst>
        </xdr:cNvPr>
        <xdr:cNvPicPr>
          <a:picLocks noChangeAspect="1"/>
        </xdr:cNvPicPr>
      </xdr:nvPicPr>
      <xdr:blipFill>
        <a:blip xmlns:r="http://schemas.openxmlformats.org/officeDocument/2006/relationships" r:embed="rId917"/>
        <a:stretch>
          <a:fillRect/>
        </a:stretch>
      </xdr:blipFill>
      <xdr:spPr>
        <a:prstGeom prst="rect">
          <a:avLst/>
        </a:prstGeom>
        <a:ln w="9525">
          <a:solidFill>
            <a:srgbClr val="000000"/>
          </a:solidFill>
          <a:prstDash val="solid"/>
        </a:ln>
      </xdr:spPr>
    </xdr:pic>
    <xdr:clientData/>
  </xdr:twoCellAnchor>
  <xdr:twoCellAnchor>
    <xdr:from>
      <xdr:col>3</xdr:col>
      <xdr:colOff>114300</xdr:colOff>
      <xdr:row>2072</xdr:row>
      <xdr:rowOff>28575</xdr:rowOff>
    </xdr:from>
    <xdr:to>
      <xdr:col>3</xdr:col>
      <xdr:colOff>1552575</xdr:colOff>
      <xdr:row>2075</xdr:row>
      <xdr:rowOff>209550</xdr:rowOff>
    </xdr:to>
    <xdr:pic>
      <xdr:nvPicPr>
        <xdr:cNvPr id="941" name="Имя " descr="Descr ">
          <a:extLst>
            <a:ext uri="{FF2B5EF4-FFF2-40B4-BE49-F238E27FC236}">
              <a16:creationId xmlns:a16="http://schemas.microsoft.com/office/drawing/2014/main" id="{00000000-0008-0000-0000-0000AD030000}"/>
            </a:ext>
          </a:extLst>
        </xdr:cNvPr>
        <xdr:cNvPicPr>
          <a:picLocks noChangeAspect="1"/>
        </xdr:cNvPicPr>
      </xdr:nvPicPr>
      <xdr:blipFill>
        <a:blip xmlns:r="http://schemas.openxmlformats.org/officeDocument/2006/relationships" r:embed="rId918"/>
        <a:stretch>
          <a:fillRect/>
        </a:stretch>
      </xdr:blipFill>
      <xdr:spPr>
        <a:prstGeom prst="rect">
          <a:avLst/>
        </a:prstGeom>
        <a:ln w="9525">
          <a:solidFill>
            <a:srgbClr val="000000"/>
          </a:solidFill>
          <a:prstDash val="solid"/>
        </a:ln>
      </xdr:spPr>
    </xdr:pic>
    <xdr:clientData/>
  </xdr:twoCellAnchor>
  <xdr:twoCellAnchor>
    <xdr:from>
      <xdr:col>3</xdr:col>
      <xdr:colOff>114300</xdr:colOff>
      <xdr:row>2076</xdr:row>
      <xdr:rowOff>28575</xdr:rowOff>
    </xdr:from>
    <xdr:to>
      <xdr:col>3</xdr:col>
      <xdr:colOff>1552575</xdr:colOff>
      <xdr:row>2079</xdr:row>
      <xdr:rowOff>209550</xdr:rowOff>
    </xdr:to>
    <xdr:pic>
      <xdr:nvPicPr>
        <xdr:cNvPr id="942" name="Имя " descr="Descr ">
          <a:extLst>
            <a:ext uri="{FF2B5EF4-FFF2-40B4-BE49-F238E27FC236}">
              <a16:creationId xmlns:a16="http://schemas.microsoft.com/office/drawing/2014/main" id="{00000000-0008-0000-0000-0000AE030000}"/>
            </a:ext>
          </a:extLst>
        </xdr:cNvPr>
        <xdr:cNvPicPr>
          <a:picLocks noChangeAspect="1"/>
        </xdr:cNvPicPr>
      </xdr:nvPicPr>
      <xdr:blipFill>
        <a:blip xmlns:r="http://schemas.openxmlformats.org/officeDocument/2006/relationships" r:embed="rId919"/>
        <a:stretch>
          <a:fillRect/>
        </a:stretch>
      </xdr:blipFill>
      <xdr:spPr>
        <a:prstGeom prst="rect">
          <a:avLst/>
        </a:prstGeom>
        <a:ln w="9525">
          <a:solidFill>
            <a:srgbClr val="000000"/>
          </a:solidFill>
          <a:prstDash val="solid"/>
        </a:ln>
      </xdr:spPr>
    </xdr:pic>
    <xdr:clientData/>
  </xdr:twoCellAnchor>
  <xdr:twoCellAnchor>
    <xdr:from>
      <xdr:col>3</xdr:col>
      <xdr:colOff>114300</xdr:colOff>
      <xdr:row>2080</xdr:row>
      <xdr:rowOff>28575</xdr:rowOff>
    </xdr:from>
    <xdr:to>
      <xdr:col>3</xdr:col>
      <xdr:colOff>1552575</xdr:colOff>
      <xdr:row>2083</xdr:row>
      <xdr:rowOff>209550</xdr:rowOff>
    </xdr:to>
    <xdr:pic>
      <xdr:nvPicPr>
        <xdr:cNvPr id="943" name="Имя " descr="Descr ">
          <a:extLst>
            <a:ext uri="{FF2B5EF4-FFF2-40B4-BE49-F238E27FC236}">
              <a16:creationId xmlns:a16="http://schemas.microsoft.com/office/drawing/2014/main" id="{00000000-0008-0000-0000-0000AF030000}"/>
            </a:ext>
          </a:extLst>
        </xdr:cNvPr>
        <xdr:cNvPicPr>
          <a:picLocks noChangeAspect="1"/>
        </xdr:cNvPicPr>
      </xdr:nvPicPr>
      <xdr:blipFill>
        <a:blip xmlns:r="http://schemas.openxmlformats.org/officeDocument/2006/relationships" r:embed="rId920"/>
        <a:stretch>
          <a:fillRect/>
        </a:stretch>
      </xdr:blipFill>
      <xdr:spPr>
        <a:prstGeom prst="rect">
          <a:avLst/>
        </a:prstGeom>
        <a:ln w="9525">
          <a:solidFill>
            <a:srgbClr val="000000"/>
          </a:solidFill>
          <a:prstDash val="solid"/>
        </a:ln>
      </xdr:spPr>
    </xdr:pic>
    <xdr:clientData/>
  </xdr:twoCellAnchor>
  <xdr:twoCellAnchor>
    <xdr:from>
      <xdr:col>3</xdr:col>
      <xdr:colOff>114300</xdr:colOff>
      <xdr:row>2084</xdr:row>
      <xdr:rowOff>28575</xdr:rowOff>
    </xdr:from>
    <xdr:to>
      <xdr:col>3</xdr:col>
      <xdr:colOff>1552575</xdr:colOff>
      <xdr:row>2086</xdr:row>
      <xdr:rowOff>419100</xdr:rowOff>
    </xdr:to>
    <xdr:pic>
      <xdr:nvPicPr>
        <xdr:cNvPr id="944" name="Имя " descr="Descr ">
          <a:extLst>
            <a:ext uri="{FF2B5EF4-FFF2-40B4-BE49-F238E27FC236}">
              <a16:creationId xmlns:a16="http://schemas.microsoft.com/office/drawing/2014/main" id="{00000000-0008-0000-0000-0000B0030000}"/>
            </a:ext>
          </a:extLst>
        </xdr:cNvPr>
        <xdr:cNvPicPr>
          <a:picLocks noChangeAspect="1"/>
        </xdr:cNvPicPr>
      </xdr:nvPicPr>
      <xdr:blipFill>
        <a:blip xmlns:r="http://schemas.openxmlformats.org/officeDocument/2006/relationships" r:embed="rId921"/>
        <a:stretch>
          <a:fillRect/>
        </a:stretch>
      </xdr:blipFill>
      <xdr:spPr>
        <a:prstGeom prst="rect">
          <a:avLst/>
        </a:prstGeom>
        <a:ln w="9525">
          <a:solidFill>
            <a:srgbClr val="000000"/>
          </a:solidFill>
          <a:prstDash val="solid"/>
        </a:ln>
      </xdr:spPr>
    </xdr:pic>
    <xdr:clientData/>
  </xdr:twoCellAnchor>
  <xdr:twoCellAnchor>
    <xdr:from>
      <xdr:col>3</xdr:col>
      <xdr:colOff>114300</xdr:colOff>
      <xdr:row>2087</xdr:row>
      <xdr:rowOff>28575</xdr:rowOff>
    </xdr:from>
    <xdr:to>
      <xdr:col>3</xdr:col>
      <xdr:colOff>1552575</xdr:colOff>
      <xdr:row>2090</xdr:row>
      <xdr:rowOff>209550</xdr:rowOff>
    </xdr:to>
    <xdr:pic>
      <xdr:nvPicPr>
        <xdr:cNvPr id="945" name="Имя " descr="Descr ">
          <a:extLst>
            <a:ext uri="{FF2B5EF4-FFF2-40B4-BE49-F238E27FC236}">
              <a16:creationId xmlns:a16="http://schemas.microsoft.com/office/drawing/2014/main" id="{00000000-0008-0000-0000-0000B1030000}"/>
            </a:ext>
          </a:extLst>
        </xdr:cNvPr>
        <xdr:cNvPicPr>
          <a:picLocks noChangeAspect="1"/>
        </xdr:cNvPicPr>
      </xdr:nvPicPr>
      <xdr:blipFill>
        <a:blip xmlns:r="http://schemas.openxmlformats.org/officeDocument/2006/relationships" r:embed="rId922"/>
        <a:stretch>
          <a:fillRect/>
        </a:stretch>
      </xdr:blipFill>
      <xdr:spPr>
        <a:prstGeom prst="rect">
          <a:avLst/>
        </a:prstGeom>
        <a:ln w="9525">
          <a:solidFill>
            <a:srgbClr val="000000"/>
          </a:solidFill>
          <a:prstDash val="solid"/>
        </a:ln>
      </xdr:spPr>
    </xdr:pic>
    <xdr:clientData/>
  </xdr:twoCellAnchor>
  <xdr:twoCellAnchor>
    <xdr:from>
      <xdr:col>3</xdr:col>
      <xdr:colOff>114300</xdr:colOff>
      <xdr:row>2091</xdr:row>
      <xdr:rowOff>28575</xdr:rowOff>
    </xdr:from>
    <xdr:to>
      <xdr:col>3</xdr:col>
      <xdr:colOff>1552575</xdr:colOff>
      <xdr:row>2094</xdr:row>
      <xdr:rowOff>209550</xdr:rowOff>
    </xdr:to>
    <xdr:pic>
      <xdr:nvPicPr>
        <xdr:cNvPr id="946" name="Имя " descr="Descr ">
          <a:extLst>
            <a:ext uri="{FF2B5EF4-FFF2-40B4-BE49-F238E27FC236}">
              <a16:creationId xmlns:a16="http://schemas.microsoft.com/office/drawing/2014/main" id="{00000000-0008-0000-0000-0000B2030000}"/>
            </a:ext>
          </a:extLst>
        </xdr:cNvPr>
        <xdr:cNvPicPr>
          <a:picLocks noChangeAspect="1"/>
        </xdr:cNvPicPr>
      </xdr:nvPicPr>
      <xdr:blipFill>
        <a:blip xmlns:r="http://schemas.openxmlformats.org/officeDocument/2006/relationships" r:embed="rId923"/>
        <a:stretch>
          <a:fillRect/>
        </a:stretch>
      </xdr:blipFill>
      <xdr:spPr>
        <a:prstGeom prst="rect">
          <a:avLst/>
        </a:prstGeom>
        <a:ln w="9525">
          <a:solidFill>
            <a:srgbClr val="000000"/>
          </a:solidFill>
          <a:prstDash val="solid"/>
        </a:ln>
      </xdr:spPr>
    </xdr:pic>
    <xdr:clientData/>
  </xdr:twoCellAnchor>
  <xdr:twoCellAnchor>
    <xdr:from>
      <xdr:col>3</xdr:col>
      <xdr:colOff>114300</xdr:colOff>
      <xdr:row>2095</xdr:row>
      <xdr:rowOff>28575</xdr:rowOff>
    </xdr:from>
    <xdr:to>
      <xdr:col>3</xdr:col>
      <xdr:colOff>1552575</xdr:colOff>
      <xdr:row>2098</xdr:row>
      <xdr:rowOff>209550</xdr:rowOff>
    </xdr:to>
    <xdr:pic>
      <xdr:nvPicPr>
        <xdr:cNvPr id="947" name="Имя " descr="Descr ">
          <a:extLst>
            <a:ext uri="{FF2B5EF4-FFF2-40B4-BE49-F238E27FC236}">
              <a16:creationId xmlns:a16="http://schemas.microsoft.com/office/drawing/2014/main" id="{00000000-0008-0000-0000-0000B3030000}"/>
            </a:ext>
          </a:extLst>
        </xdr:cNvPr>
        <xdr:cNvPicPr>
          <a:picLocks noChangeAspect="1"/>
        </xdr:cNvPicPr>
      </xdr:nvPicPr>
      <xdr:blipFill>
        <a:blip xmlns:r="http://schemas.openxmlformats.org/officeDocument/2006/relationships" r:embed="rId924"/>
        <a:stretch>
          <a:fillRect/>
        </a:stretch>
      </xdr:blipFill>
      <xdr:spPr>
        <a:prstGeom prst="rect">
          <a:avLst/>
        </a:prstGeom>
        <a:ln w="9525">
          <a:solidFill>
            <a:srgbClr val="000000"/>
          </a:solidFill>
          <a:prstDash val="solid"/>
        </a:ln>
      </xdr:spPr>
    </xdr:pic>
    <xdr:clientData/>
  </xdr:twoCellAnchor>
  <xdr:twoCellAnchor>
    <xdr:from>
      <xdr:col>3</xdr:col>
      <xdr:colOff>114300</xdr:colOff>
      <xdr:row>2099</xdr:row>
      <xdr:rowOff>28575</xdr:rowOff>
    </xdr:from>
    <xdr:to>
      <xdr:col>3</xdr:col>
      <xdr:colOff>1552575</xdr:colOff>
      <xdr:row>2103</xdr:row>
      <xdr:rowOff>333375</xdr:rowOff>
    </xdr:to>
    <xdr:pic>
      <xdr:nvPicPr>
        <xdr:cNvPr id="948" name="Имя " descr="Descr ">
          <a:extLst>
            <a:ext uri="{FF2B5EF4-FFF2-40B4-BE49-F238E27FC236}">
              <a16:creationId xmlns:a16="http://schemas.microsoft.com/office/drawing/2014/main" id="{00000000-0008-0000-0000-0000B4030000}"/>
            </a:ext>
          </a:extLst>
        </xdr:cNvPr>
        <xdr:cNvPicPr>
          <a:picLocks noChangeAspect="1"/>
        </xdr:cNvPicPr>
      </xdr:nvPicPr>
      <xdr:blipFill>
        <a:blip xmlns:r="http://schemas.openxmlformats.org/officeDocument/2006/relationships" r:embed="rId925"/>
        <a:stretch>
          <a:fillRect/>
        </a:stretch>
      </xdr:blipFill>
      <xdr:spPr>
        <a:prstGeom prst="rect">
          <a:avLst/>
        </a:prstGeom>
        <a:ln w="9525">
          <a:solidFill>
            <a:srgbClr val="000000"/>
          </a:solidFill>
          <a:prstDash val="solid"/>
        </a:ln>
      </xdr:spPr>
    </xdr:pic>
    <xdr:clientData/>
  </xdr:twoCellAnchor>
  <xdr:twoCellAnchor>
    <xdr:from>
      <xdr:col>3</xdr:col>
      <xdr:colOff>114300</xdr:colOff>
      <xdr:row>2104</xdr:row>
      <xdr:rowOff>28575</xdr:rowOff>
    </xdr:from>
    <xdr:to>
      <xdr:col>3</xdr:col>
      <xdr:colOff>1552575</xdr:colOff>
      <xdr:row>2109</xdr:row>
      <xdr:rowOff>209550</xdr:rowOff>
    </xdr:to>
    <xdr:pic>
      <xdr:nvPicPr>
        <xdr:cNvPr id="949" name="Имя " descr="Descr ">
          <a:extLst>
            <a:ext uri="{FF2B5EF4-FFF2-40B4-BE49-F238E27FC236}">
              <a16:creationId xmlns:a16="http://schemas.microsoft.com/office/drawing/2014/main" id="{00000000-0008-0000-0000-0000B5030000}"/>
            </a:ext>
          </a:extLst>
        </xdr:cNvPr>
        <xdr:cNvPicPr>
          <a:picLocks noChangeAspect="1"/>
        </xdr:cNvPicPr>
      </xdr:nvPicPr>
      <xdr:blipFill>
        <a:blip xmlns:r="http://schemas.openxmlformats.org/officeDocument/2006/relationships" r:embed="rId926"/>
        <a:stretch>
          <a:fillRect/>
        </a:stretch>
      </xdr:blipFill>
      <xdr:spPr>
        <a:prstGeom prst="rect">
          <a:avLst/>
        </a:prstGeom>
        <a:ln w="9525">
          <a:solidFill>
            <a:srgbClr val="000000"/>
          </a:solidFill>
          <a:prstDash val="solid"/>
        </a:ln>
      </xdr:spPr>
    </xdr:pic>
    <xdr:clientData/>
  </xdr:twoCellAnchor>
  <xdr:twoCellAnchor>
    <xdr:from>
      <xdr:col>3</xdr:col>
      <xdr:colOff>114300</xdr:colOff>
      <xdr:row>2110</xdr:row>
      <xdr:rowOff>28575</xdr:rowOff>
    </xdr:from>
    <xdr:to>
      <xdr:col>3</xdr:col>
      <xdr:colOff>1552575</xdr:colOff>
      <xdr:row>2115</xdr:row>
      <xdr:rowOff>209550</xdr:rowOff>
    </xdr:to>
    <xdr:pic>
      <xdr:nvPicPr>
        <xdr:cNvPr id="950" name="Имя " descr="Descr ">
          <a:extLst>
            <a:ext uri="{FF2B5EF4-FFF2-40B4-BE49-F238E27FC236}">
              <a16:creationId xmlns:a16="http://schemas.microsoft.com/office/drawing/2014/main" id="{00000000-0008-0000-0000-0000B6030000}"/>
            </a:ext>
          </a:extLst>
        </xdr:cNvPr>
        <xdr:cNvPicPr>
          <a:picLocks noChangeAspect="1"/>
        </xdr:cNvPicPr>
      </xdr:nvPicPr>
      <xdr:blipFill>
        <a:blip xmlns:r="http://schemas.openxmlformats.org/officeDocument/2006/relationships" r:embed="rId927"/>
        <a:stretch>
          <a:fillRect/>
        </a:stretch>
      </xdr:blipFill>
      <xdr:spPr>
        <a:prstGeom prst="rect">
          <a:avLst/>
        </a:prstGeom>
        <a:ln w="9525">
          <a:solidFill>
            <a:srgbClr val="000000"/>
          </a:solidFill>
          <a:prstDash val="solid"/>
        </a:ln>
      </xdr:spPr>
    </xdr:pic>
    <xdr:clientData/>
  </xdr:twoCellAnchor>
  <xdr:twoCellAnchor>
    <xdr:from>
      <xdr:col>3</xdr:col>
      <xdr:colOff>114300</xdr:colOff>
      <xdr:row>2116</xdr:row>
      <xdr:rowOff>28575</xdr:rowOff>
    </xdr:from>
    <xdr:to>
      <xdr:col>3</xdr:col>
      <xdr:colOff>1552575</xdr:colOff>
      <xdr:row>2118</xdr:row>
      <xdr:rowOff>419100</xdr:rowOff>
    </xdr:to>
    <xdr:pic>
      <xdr:nvPicPr>
        <xdr:cNvPr id="951" name="Имя " descr="Descr ">
          <a:extLst>
            <a:ext uri="{FF2B5EF4-FFF2-40B4-BE49-F238E27FC236}">
              <a16:creationId xmlns:a16="http://schemas.microsoft.com/office/drawing/2014/main" id="{00000000-0008-0000-0000-0000B7030000}"/>
            </a:ext>
          </a:extLst>
        </xdr:cNvPr>
        <xdr:cNvPicPr>
          <a:picLocks noChangeAspect="1"/>
        </xdr:cNvPicPr>
      </xdr:nvPicPr>
      <xdr:blipFill>
        <a:blip xmlns:r="http://schemas.openxmlformats.org/officeDocument/2006/relationships" r:embed="rId928"/>
        <a:stretch>
          <a:fillRect/>
        </a:stretch>
      </xdr:blipFill>
      <xdr:spPr>
        <a:prstGeom prst="rect">
          <a:avLst/>
        </a:prstGeom>
        <a:ln w="9525">
          <a:solidFill>
            <a:srgbClr val="000000"/>
          </a:solidFill>
          <a:prstDash val="solid"/>
        </a:ln>
      </xdr:spPr>
    </xdr:pic>
    <xdr:clientData/>
  </xdr:twoCellAnchor>
  <xdr:twoCellAnchor>
    <xdr:from>
      <xdr:col>3</xdr:col>
      <xdr:colOff>114300</xdr:colOff>
      <xdr:row>2119</xdr:row>
      <xdr:rowOff>38100</xdr:rowOff>
    </xdr:from>
    <xdr:to>
      <xdr:col>3</xdr:col>
      <xdr:colOff>1552575</xdr:colOff>
      <xdr:row>2120</xdr:row>
      <xdr:rowOff>638175</xdr:rowOff>
    </xdr:to>
    <xdr:pic>
      <xdr:nvPicPr>
        <xdr:cNvPr id="952" name="Имя " descr="Descr ">
          <a:extLst>
            <a:ext uri="{FF2B5EF4-FFF2-40B4-BE49-F238E27FC236}">
              <a16:creationId xmlns:a16="http://schemas.microsoft.com/office/drawing/2014/main" id="{00000000-0008-0000-0000-0000B8030000}"/>
            </a:ext>
          </a:extLst>
        </xdr:cNvPr>
        <xdr:cNvPicPr>
          <a:picLocks noChangeAspect="1"/>
        </xdr:cNvPicPr>
      </xdr:nvPicPr>
      <xdr:blipFill>
        <a:blip xmlns:r="http://schemas.openxmlformats.org/officeDocument/2006/relationships" r:embed="rId929"/>
        <a:stretch>
          <a:fillRect/>
        </a:stretch>
      </xdr:blipFill>
      <xdr:spPr>
        <a:prstGeom prst="rect">
          <a:avLst/>
        </a:prstGeom>
        <a:ln w="9525">
          <a:solidFill>
            <a:srgbClr val="000000"/>
          </a:solidFill>
          <a:prstDash val="solid"/>
        </a:ln>
      </xdr:spPr>
    </xdr:pic>
    <xdr:clientData/>
  </xdr:twoCellAnchor>
  <xdr:twoCellAnchor>
    <xdr:from>
      <xdr:col>3</xdr:col>
      <xdr:colOff>114300</xdr:colOff>
      <xdr:row>2121</xdr:row>
      <xdr:rowOff>28575</xdr:rowOff>
    </xdr:from>
    <xdr:to>
      <xdr:col>3</xdr:col>
      <xdr:colOff>1552575</xdr:colOff>
      <xdr:row>2123</xdr:row>
      <xdr:rowOff>419100</xdr:rowOff>
    </xdr:to>
    <xdr:pic>
      <xdr:nvPicPr>
        <xdr:cNvPr id="953" name="Имя " descr="Descr ">
          <a:extLst>
            <a:ext uri="{FF2B5EF4-FFF2-40B4-BE49-F238E27FC236}">
              <a16:creationId xmlns:a16="http://schemas.microsoft.com/office/drawing/2014/main" id="{00000000-0008-0000-0000-0000B9030000}"/>
            </a:ext>
          </a:extLst>
        </xdr:cNvPr>
        <xdr:cNvPicPr>
          <a:picLocks noChangeAspect="1"/>
        </xdr:cNvPicPr>
      </xdr:nvPicPr>
      <xdr:blipFill>
        <a:blip xmlns:r="http://schemas.openxmlformats.org/officeDocument/2006/relationships" r:embed="rId930"/>
        <a:stretch>
          <a:fillRect/>
        </a:stretch>
      </xdr:blipFill>
      <xdr:spPr>
        <a:prstGeom prst="rect">
          <a:avLst/>
        </a:prstGeom>
        <a:ln w="9525">
          <a:solidFill>
            <a:srgbClr val="000000"/>
          </a:solidFill>
          <a:prstDash val="solid"/>
        </a:ln>
      </xdr:spPr>
    </xdr:pic>
    <xdr:clientData/>
  </xdr:twoCellAnchor>
  <xdr:twoCellAnchor>
    <xdr:from>
      <xdr:col>3</xdr:col>
      <xdr:colOff>114300</xdr:colOff>
      <xdr:row>2124</xdr:row>
      <xdr:rowOff>28575</xdr:rowOff>
    </xdr:from>
    <xdr:to>
      <xdr:col>3</xdr:col>
      <xdr:colOff>1552575</xdr:colOff>
      <xdr:row>2127</xdr:row>
      <xdr:rowOff>209550</xdr:rowOff>
    </xdr:to>
    <xdr:pic>
      <xdr:nvPicPr>
        <xdr:cNvPr id="954" name="Имя " descr="Descr ">
          <a:extLst>
            <a:ext uri="{FF2B5EF4-FFF2-40B4-BE49-F238E27FC236}">
              <a16:creationId xmlns:a16="http://schemas.microsoft.com/office/drawing/2014/main" id="{00000000-0008-0000-0000-0000BA030000}"/>
            </a:ext>
          </a:extLst>
        </xdr:cNvPr>
        <xdr:cNvPicPr>
          <a:picLocks noChangeAspect="1"/>
        </xdr:cNvPicPr>
      </xdr:nvPicPr>
      <xdr:blipFill>
        <a:blip xmlns:r="http://schemas.openxmlformats.org/officeDocument/2006/relationships" r:embed="rId931"/>
        <a:stretch>
          <a:fillRect/>
        </a:stretch>
      </xdr:blipFill>
      <xdr:spPr>
        <a:prstGeom prst="rect">
          <a:avLst/>
        </a:prstGeom>
        <a:ln w="9525">
          <a:solidFill>
            <a:srgbClr val="000000"/>
          </a:solidFill>
          <a:prstDash val="solid"/>
        </a:ln>
      </xdr:spPr>
    </xdr:pic>
    <xdr:clientData/>
  </xdr:twoCellAnchor>
  <xdr:twoCellAnchor>
    <xdr:from>
      <xdr:col>3</xdr:col>
      <xdr:colOff>114300</xdr:colOff>
      <xdr:row>2128</xdr:row>
      <xdr:rowOff>28575</xdr:rowOff>
    </xdr:from>
    <xdr:to>
      <xdr:col>3</xdr:col>
      <xdr:colOff>1552575</xdr:colOff>
      <xdr:row>2131</xdr:row>
      <xdr:rowOff>209550</xdr:rowOff>
    </xdr:to>
    <xdr:pic>
      <xdr:nvPicPr>
        <xdr:cNvPr id="955" name="Имя " descr="Descr ">
          <a:extLst>
            <a:ext uri="{FF2B5EF4-FFF2-40B4-BE49-F238E27FC236}">
              <a16:creationId xmlns:a16="http://schemas.microsoft.com/office/drawing/2014/main" id="{00000000-0008-0000-0000-0000BB030000}"/>
            </a:ext>
          </a:extLst>
        </xdr:cNvPr>
        <xdr:cNvPicPr>
          <a:picLocks noChangeAspect="1"/>
        </xdr:cNvPicPr>
      </xdr:nvPicPr>
      <xdr:blipFill>
        <a:blip xmlns:r="http://schemas.openxmlformats.org/officeDocument/2006/relationships" r:embed="rId932"/>
        <a:stretch>
          <a:fillRect/>
        </a:stretch>
      </xdr:blipFill>
      <xdr:spPr>
        <a:prstGeom prst="rect">
          <a:avLst/>
        </a:prstGeom>
        <a:ln w="9525">
          <a:solidFill>
            <a:srgbClr val="000000"/>
          </a:solidFill>
          <a:prstDash val="solid"/>
        </a:ln>
      </xdr:spPr>
    </xdr:pic>
    <xdr:clientData/>
  </xdr:twoCellAnchor>
  <xdr:twoCellAnchor>
    <xdr:from>
      <xdr:col>3</xdr:col>
      <xdr:colOff>114300</xdr:colOff>
      <xdr:row>2132</xdr:row>
      <xdr:rowOff>28575</xdr:rowOff>
    </xdr:from>
    <xdr:to>
      <xdr:col>3</xdr:col>
      <xdr:colOff>1552575</xdr:colOff>
      <xdr:row>2132</xdr:row>
      <xdr:rowOff>1266825</xdr:rowOff>
    </xdr:to>
    <xdr:pic>
      <xdr:nvPicPr>
        <xdr:cNvPr id="956" name="Имя " descr="Descr ">
          <a:extLst>
            <a:ext uri="{FF2B5EF4-FFF2-40B4-BE49-F238E27FC236}">
              <a16:creationId xmlns:a16="http://schemas.microsoft.com/office/drawing/2014/main" id="{00000000-0008-0000-0000-0000BC030000}"/>
            </a:ext>
          </a:extLst>
        </xdr:cNvPr>
        <xdr:cNvPicPr>
          <a:picLocks noChangeAspect="1"/>
        </xdr:cNvPicPr>
      </xdr:nvPicPr>
      <xdr:blipFill>
        <a:blip xmlns:r="http://schemas.openxmlformats.org/officeDocument/2006/relationships" r:embed="rId933"/>
        <a:stretch>
          <a:fillRect/>
        </a:stretch>
      </xdr:blipFill>
      <xdr:spPr>
        <a:prstGeom prst="rect">
          <a:avLst/>
        </a:prstGeom>
        <a:ln w="9525">
          <a:solidFill>
            <a:srgbClr val="000000"/>
          </a:solidFill>
          <a:prstDash val="solid"/>
        </a:ln>
      </xdr:spPr>
    </xdr:pic>
    <xdr:clientData/>
  </xdr:twoCellAnchor>
  <xdr:twoCellAnchor>
    <xdr:from>
      <xdr:col>3</xdr:col>
      <xdr:colOff>114300</xdr:colOff>
      <xdr:row>2133</xdr:row>
      <xdr:rowOff>28575</xdr:rowOff>
    </xdr:from>
    <xdr:to>
      <xdr:col>3</xdr:col>
      <xdr:colOff>1552575</xdr:colOff>
      <xdr:row>2137</xdr:row>
      <xdr:rowOff>333375</xdr:rowOff>
    </xdr:to>
    <xdr:pic>
      <xdr:nvPicPr>
        <xdr:cNvPr id="957" name="Имя " descr="Descr ">
          <a:extLst>
            <a:ext uri="{FF2B5EF4-FFF2-40B4-BE49-F238E27FC236}">
              <a16:creationId xmlns:a16="http://schemas.microsoft.com/office/drawing/2014/main" id="{00000000-0008-0000-0000-0000BD030000}"/>
            </a:ext>
          </a:extLst>
        </xdr:cNvPr>
        <xdr:cNvPicPr>
          <a:picLocks noChangeAspect="1"/>
        </xdr:cNvPicPr>
      </xdr:nvPicPr>
      <xdr:blipFill>
        <a:blip xmlns:r="http://schemas.openxmlformats.org/officeDocument/2006/relationships" r:embed="rId934"/>
        <a:stretch>
          <a:fillRect/>
        </a:stretch>
      </xdr:blipFill>
      <xdr:spPr>
        <a:prstGeom prst="rect">
          <a:avLst/>
        </a:prstGeom>
        <a:ln w="9525">
          <a:solidFill>
            <a:srgbClr val="000000"/>
          </a:solidFill>
          <a:prstDash val="solid"/>
        </a:ln>
      </xdr:spPr>
    </xdr:pic>
    <xdr:clientData/>
  </xdr:twoCellAnchor>
  <xdr:twoCellAnchor>
    <xdr:from>
      <xdr:col>3</xdr:col>
      <xdr:colOff>114300</xdr:colOff>
      <xdr:row>2138</xdr:row>
      <xdr:rowOff>38100</xdr:rowOff>
    </xdr:from>
    <xdr:to>
      <xdr:col>3</xdr:col>
      <xdr:colOff>1552575</xdr:colOff>
      <xdr:row>2139</xdr:row>
      <xdr:rowOff>638175</xdr:rowOff>
    </xdr:to>
    <xdr:pic>
      <xdr:nvPicPr>
        <xdr:cNvPr id="958" name="Имя " descr="Descr ">
          <a:extLst>
            <a:ext uri="{FF2B5EF4-FFF2-40B4-BE49-F238E27FC236}">
              <a16:creationId xmlns:a16="http://schemas.microsoft.com/office/drawing/2014/main" id="{00000000-0008-0000-0000-0000BE030000}"/>
            </a:ext>
          </a:extLst>
        </xdr:cNvPr>
        <xdr:cNvPicPr>
          <a:picLocks noChangeAspect="1"/>
        </xdr:cNvPicPr>
      </xdr:nvPicPr>
      <xdr:blipFill>
        <a:blip xmlns:r="http://schemas.openxmlformats.org/officeDocument/2006/relationships" r:embed="rId935"/>
        <a:stretch>
          <a:fillRect/>
        </a:stretch>
      </xdr:blipFill>
      <xdr:spPr>
        <a:prstGeom prst="rect">
          <a:avLst/>
        </a:prstGeom>
        <a:ln w="9525">
          <a:solidFill>
            <a:srgbClr val="000000"/>
          </a:solidFill>
          <a:prstDash val="solid"/>
        </a:ln>
      </xdr:spPr>
    </xdr:pic>
    <xdr:clientData/>
  </xdr:twoCellAnchor>
  <xdr:twoCellAnchor>
    <xdr:from>
      <xdr:col>3</xdr:col>
      <xdr:colOff>114300</xdr:colOff>
      <xdr:row>2140</xdr:row>
      <xdr:rowOff>28575</xdr:rowOff>
    </xdr:from>
    <xdr:to>
      <xdr:col>3</xdr:col>
      <xdr:colOff>1552575</xdr:colOff>
      <xdr:row>2142</xdr:row>
      <xdr:rowOff>419100</xdr:rowOff>
    </xdr:to>
    <xdr:pic>
      <xdr:nvPicPr>
        <xdr:cNvPr id="959" name="Имя " descr="Descr ">
          <a:extLst>
            <a:ext uri="{FF2B5EF4-FFF2-40B4-BE49-F238E27FC236}">
              <a16:creationId xmlns:a16="http://schemas.microsoft.com/office/drawing/2014/main" id="{00000000-0008-0000-0000-0000BF030000}"/>
            </a:ext>
          </a:extLst>
        </xdr:cNvPr>
        <xdr:cNvPicPr>
          <a:picLocks noChangeAspect="1"/>
        </xdr:cNvPicPr>
      </xdr:nvPicPr>
      <xdr:blipFill>
        <a:blip xmlns:r="http://schemas.openxmlformats.org/officeDocument/2006/relationships" r:embed="rId936"/>
        <a:stretch>
          <a:fillRect/>
        </a:stretch>
      </xdr:blipFill>
      <xdr:spPr>
        <a:prstGeom prst="rect">
          <a:avLst/>
        </a:prstGeom>
        <a:ln w="9525">
          <a:solidFill>
            <a:srgbClr val="000000"/>
          </a:solidFill>
          <a:prstDash val="solid"/>
        </a:ln>
      </xdr:spPr>
    </xdr:pic>
    <xdr:clientData/>
  </xdr:twoCellAnchor>
  <xdr:twoCellAnchor>
    <xdr:from>
      <xdr:col>3</xdr:col>
      <xdr:colOff>114300</xdr:colOff>
      <xdr:row>2143</xdr:row>
      <xdr:rowOff>38100</xdr:rowOff>
    </xdr:from>
    <xdr:to>
      <xdr:col>3</xdr:col>
      <xdr:colOff>1552575</xdr:colOff>
      <xdr:row>2144</xdr:row>
      <xdr:rowOff>638175</xdr:rowOff>
    </xdr:to>
    <xdr:pic>
      <xdr:nvPicPr>
        <xdr:cNvPr id="960" name="Имя " descr="Descr ">
          <a:extLst>
            <a:ext uri="{FF2B5EF4-FFF2-40B4-BE49-F238E27FC236}">
              <a16:creationId xmlns:a16="http://schemas.microsoft.com/office/drawing/2014/main" id="{00000000-0008-0000-0000-0000C0030000}"/>
            </a:ext>
          </a:extLst>
        </xdr:cNvPr>
        <xdr:cNvPicPr>
          <a:picLocks noChangeAspect="1"/>
        </xdr:cNvPicPr>
      </xdr:nvPicPr>
      <xdr:blipFill>
        <a:blip xmlns:r="http://schemas.openxmlformats.org/officeDocument/2006/relationships" r:embed="rId937"/>
        <a:stretch>
          <a:fillRect/>
        </a:stretch>
      </xdr:blipFill>
      <xdr:spPr>
        <a:prstGeom prst="rect">
          <a:avLst/>
        </a:prstGeom>
        <a:ln w="9525">
          <a:solidFill>
            <a:srgbClr val="000000"/>
          </a:solidFill>
          <a:prstDash val="solid"/>
        </a:ln>
      </xdr:spPr>
    </xdr:pic>
    <xdr:clientData/>
  </xdr:twoCellAnchor>
  <xdr:twoCellAnchor>
    <xdr:from>
      <xdr:col>3</xdr:col>
      <xdr:colOff>114300</xdr:colOff>
      <xdr:row>2145</xdr:row>
      <xdr:rowOff>28575</xdr:rowOff>
    </xdr:from>
    <xdr:to>
      <xdr:col>3</xdr:col>
      <xdr:colOff>1552575</xdr:colOff>
      <xdr:row>2145</xdr:row>
      <xdr:rowOff>1266825</xdr:rowOff>
    </xdr:to>
    <xdr:pic>
      <xdr:nvPicPr>
        <xdr:cNvPr id="961" name="Имя " descr="Descr ">
          <a:extLst>
            <a:ext uri="{FF2B5EF4-FFF2-40B4-BE49-F238E27FC236}">
              <a16:creationId xmlns:a16="http://schemas.microsoft.com/office/drawing/2014/main" id="{00000000-0008-0000-0000-0000C1030000}"/>
            </a:ext>
          </a:extLst>
        </xdr:cNvPr>
        <xdr:cNvPicPr>
          <a:picLocks noChangeAspect="1"/>
        </xdr:cNvPicPr>
      </xdr:nvPicPr>
      <xdr:blipFill>
        <a:blip xmlns:r="http://schemas.openxmlformats.org/officeDocument/2006/relationships" r:embed="rId938"/>
        <a:stretch>
          <a:fillRect/>
        </a:stretch>
      </xdr:blipFill>
      <xdr:spPr>
        <a:prstGeom prst="rect">
          <a:avLst/>
        </a:prstGeom>
        <a:ln w="9525">
          <a:solidFill>
            <a:srgbClr val="000000"/>
          </a:solidFill>
          <a:prstDash val="solid"/>
        </a:ln>
      </xdr:spPr>
    </xdr:pic>
    <xdr:clientData/>
  </xdr:twoCellAnchor>
  <xdr:twoCellAnchor>
    <xdr:from>
      <xdr:col>3</xdr:col>
      <xdr:colOff>114300</xdr:colOff>
      <xdr:row>2146</xdr:row>
      <xdr:rowOff>28575</xdr:rowOff>
    </xdr:from>
    <xdr:to>
      <xdr:col>3</xdr:col>
      <xdr:colOff>1552575</xdr:colOff>
      <xdr:row>2148</xdr:row>
      <xdr:rowOff>419100</xdr:rowOff>
    </xdr:to>
    <xdr:pic>
      <xdr:nvPicPr>
        <xdr:cNvPr id="962" name="Имя " descr="Descr ">
          <a:extLst>
            <a:ext uri="{FF2B5EF4-FFF2-40B4-BE49-F238E27FC236}">
              <a16:creationId xmlns:a16="http://schemas.microsoft.com/office/drawing/2014/main" id="{00000000-0008-0000-0000-0000C2030000}"/>
            </a:ext>
          </a:extLst>
        </xdr:cNvPr>
        <xdr:cNvPicPr>
          <a:picLocks noChangeAspect="1"/>
        </xdr:cNvPicPr>
      </xdr:nvPicPr>
      <xdr:blipFill>
        <a:blip xmlns:r="http://schemas.openxmlformats.org/officeDocument/2006/relationships" r:embed="rId939"/>
        <a:stretch>
          <a:fillRect/>
        </a:stretch>
      </xdr:blipFill>
      <xdr:spPr>
        <a:prstGeom prst="rect">
          <a:avLst/>
        </a:prstGeom>
        <a:ln w="9525">
          <a:solidFill>
            <a:srgbClr val="000000"/>
          </a:solidFill>
          <a:prstDash val="solid"/>
        </a:ln>
      </xdr:spPr>
    </xdr:pic>
    <xdr:clientData/>
  </xdr:twoCellAnchor>
  <xdr:twoCellAnchor>
    <xdr:from>
      <xdr:col>3</xdr:col>
      <xdr:colOff>114300</xdr:colOff>
      <xdr:row>2149</xdr:row>
      <xdr:rowOff>28575</xdr:rowOff>
    </xdr:from>
    <xdr:to>
      <xdr:col>3</xdr:col>
      <xdr:colOff>1552575</xdr:colOff>
      <xdr:row>2149</xdr:row>
      <xdr:rowOff>1266825</xdr:rowOff>
    </xdr:to>
    <xdr:pic>
      <xdr:nvPicPr>
        <xdr:cNvPr id="963" name="Имя " descr="Descr ">
          <a:extLst>
            <a:ext uri="{FF2B5EF4-FFF2-40B4-BE49-F238E27FC236}">
              <a16:creationId xmlns:a16="http://schemas.microsoft.com/office/drawing/2014/main" id="{00000000-0008-0000-0000-0000C3030000}"/>
            </a:ext>
          </a:extLst>
        </xdr:cNvPr>
        <xdr:cNvPicPr>
          <a:picLocks noChangeAspect="1"/>
        </xdr:cNvPicPr>
      </xdr:nvPicPr>
      <xdr:blipFill>
        <a:blip xmlns:r="http://schemas.openxmlformats.org/officeDocument/2006/relationships" r:embed="rId940"/>
        <a:stretch>
          <a:fillRect/>
        </a:stretch>
      </xdr:blipFill>
      <xdr:spPr>
        <a:prstGeom prst="rect">
          <a:avLst/>
        </a:prstGeom>
        <a:ln w="9525">
          <a:solidFill>
            <a:srgbClr val="000000"/>
          </a:solidFill>
          <a:prstDash val="solid"/>
        </a:ln>
      </xdr:spPr>
    </xdr:pic>
    <xdr:clientData/>
  </xdr:twoCellAnchor>
  <xdr:twoCellAnchor>
    <xdr:from>
      <xdr:col>3</xdr:col>
      <xdr:colOff>114300</xdr:colOff>
      <xdr:row>2150</xdr:row>
      <xdr:rowOff>28575</xdr:rowOff>
    </xdr:from>
    <xdr:to>
      <xdr:col>3</xdr:col>
      <xdr:colOff>1552575</xdr:colOff>
      <xdr:row>2150</xdr:row>
      <xdr:rowOff>1266825</xdr:rowOff>
    </xdr:to>
    <xdr:pic>
      <xdr:nvPicPr>
        <xdr:cNvPr id="964" name="Имя " descr="Descr ">
          <a:extLst>
            <a:ext uri="{FF2B5EF4-FFF2-40B4-BE49-F238E27FC236}">
              <a16:creationId xmlns:a16="http://schemas.microsoft.com/office/drawing/2014/main" id="{00000000-0008-0000-0000-0000C4030000}"/>
            </a:ext>
          </a:extLst>
        </xdr:cNvPr>
        <xdr:cNvPicPr>
          <a:picLocks noChangeAspect="1"/>
        </xdr:cNvPicPr>
      </xdr:nvPicPr>
      <xdr:blipFill>
        <a:blip xmlns:r="http://schemas.openxmlformats.org/officeDocument/2006/relationships" r:embed="rId941"/>
        <a:stretch>
          <a:fillRect/>
        </a:stretch>
      </xdr:blipFill>
      <xdr:spPr>
        <a:prstGeom prst="rect">
          <a:avLst/>
        </a:prstGeom>
        <a:ln w="9525">
          <a:solidFill>
            <a:srgbClr val="000000"/>
          </a:solidFill>
          <a:prstDash val="solid"/>
        </a:ln>
      </xdr:spPr>
    </xdr:pic>
    <xdr:clientData/>
  </xdr:twoCellAnchor>
  <xdr:twoCellAnchor>
    <xdr:from>
      <xdr:col>3</xdr:col>
      <xdr:colOff>114300</xdr:colOff>
      <xdr:row>2151</xdr:row>
      <xdr:rowOff>28575</xdr:rowOff>
    </xdr:from>
    <xdr:to>
      <xdr:col>3</xdr:col>
      <xdr:colOff>1552575</xdr:colOff>
      <xdr:row>2151</xdr:row>
      <xdr:rowOff>1266825</xdr:rowOff>
    </xdr:to>
    <xdr:pic>
      <xdr:nvPicPr>
        <xdr:cNvPr id="965" name="Имя " descr="Descr ">
          <a:extLst>
            <a:ext uri="{FF2B5EF4-FFF2-40B4-BE49-F238E27FC236}">
              <a16:creationId xmlns:a16="http://schemas.microsoft.com/office/drawing/2014/main" id="{00000000-0008-0000-0000-0000C5030000}"/>
            </a:ext>
          </a:extLst>
        </xdr:cNvPr>
        <xdr:cNvPicPr>
          <a:picLocks noChangeAspect="1"/>
        </xdr:cNvPicPr>
      </xdr:nvPicPr>
      <xdr:blipFill>
        <a:blip xmlns:r="http://schemas.openxmlformats.org/officeDocument/2006/relationships" r:embed="rId942"/>
        <a:stretch>
          <a:fillRect/>
        </a:stretch>
      </xdr:blipFill>
      <xdr:spPr>
        <a:prstGeom prst="rect">
          <a:avLst/>
        </a:prstGeom>
        <a:ln w="9525">
          <a:solidFill>
            <a:srgbClr val="000000"/>
          </a:solidFill>
          <a:prstDash val="solid"/>
        </a:ln>
      </xdr:spPr>
    </xdr:pic>
    <xdr:clientData/>
  </xdr:twoCellAnchor>
  <xdr:twoCellAnchor>
    <xdr:from>
      <xdr:col>3</xdr:col>
      <xdr:colOff>114300</xdr:colOff>
      <xdr:row>2152</xdr:row>
      <xdr:rowOff>28575</xdr:rowOff>
    </xdr:from>
    <xdr:to>
      <xdr:col>3</xdr:col>
      <xdr:colOff>1552575</xdr:colOff>
      <xdr:row>2152</xdr:row>
      <xdr:rowOff>1266825</xdr:rowOff>
    </xdr:to>
    <xdr:pic>
      <xdr:nvPicPr>
        <xdr:cNvPr id="966" name="Имя " descr="Descr ">
          <a:extLst>
            <a:ext uri="{FF2B5EF4-FFF2-40B4-BE49-F238E27FC236}">
              <a16:creationId xmlns:a16="http://schemas.microsoft.com/office/drawing/2014/main" id="{00000000-0008-0000-0000-0000C6030000}"/>
            </a:ext>
          </a:extLst>
        </xdr:cNvPr>
        <xdr:cNvPicPr>
          <a:picLocks noChangeAspect="1"/>
        </xdr:cNvPicPr>
      </xdr:nvPicPr>
      <xdr:blipFill>
        <a:blip xmlns:r="http://schemas.openxmlformats.org/officeDocument/2006/relationships" r:embed="rId943"/>
        <a:stretch>
          <a:fillRect/>
        </a:stretch>
      </xdr:blipFill>
      <xdr:spPr>
        <a:prstGeom prst="rect">
          <a:avLst/>
        </a:prstGeom>
        <a:ln w="9525">
          <a:solidFill>
            <a:srgbClr val="000000"/>
          </a:solidFill>
          <a:prstDash val="solid"/>
        </a:ln>
      </xdr:spPr>
    </xdr:pic>
    <xdr:clientData/>
  </xdr:twoCellAnchor>
  <xdr:twoCellAnchor>
    <xdr:from>
      <xdr:col>3</xdr:col>
      <xdr:colOff>114300</xdr:colOff>
      <xdr:row>2153</xdr:row>
      <xdr:rowOff>28575</xdr:rowOff>
    </xdr:from>
    <xdr:to>
      <xdr:col>3</xdr:col>
      <xdr:colOff>1552575</xdr:colOff>
      <xdr:row>2153</xdr:row>
      <xdr:rowOff>1266825</xdr:rowOff>
    </xdr:to>
    <xdr:pic>
      <xdr:nvPicPr>
        <xdr:cNvPr id="967" name="Имя " descr="Descr ">
          <a:extLst>
            <a:ext uri="{FF2B5EF4-FFF2-40B4-BE49-F238E27FC236}">
              <a16:creationId xmlns:a16="http://schemas.microsoft.com/office/drawing/2014/main" id="{00000000-0008-0000-0000-0000C7030000}"/>
            </a:ext>
          </a:extLst>
        </xdr:cNvPr>
        <xdr:cNvPicPr>
          <a:picLocks noChangeAspect="1"/>
        </xdr:cNvPicPr>
      </xdr:nvPicPr>
      <xdr:blipFill>
        <a:blip xmlns:r="http://schemas.openxmlformats.org/officeDocument/2006/relationships" r:embed="rId944"/>
        <a:stretch>
          <a:fillRect/>
        </a:stretch>
      </xdr:blipFill>
      <xdr:spPr>
        <a:prstGeom prst="rect">
          <a:avLst/>
        </a:prstGeom>
        <a:ln w="9525">
          <a:solidFill>
            <a:srgbClr val="000000"/>
          </a:solidFill>
          <a:prstDash val="solid"/>
        </a:ln>
      </xdr:spPr>
    </xdr:pic>
    <xdr:clientData/>
  </xdr:twoCellAnchor>
  <xdr:twoCellAnchor>
    <xdr:from>
      <xdr:col>3</xdr:col>
      <xdr:colOff>114300</xdr:colOff>
      <xdr:row>2154</xdr:row>
      <xdr:rowOff>28575</xdr:rowOff>
    </xdr:from>
    <xdr:to>
      <xdr:col>3</xdr:col>
      <xdr:colOff>1552575</xdr:colOff>
      <xdr:row>2157</xdr:row>
      <xdr:rowOff>209550</xdr:rowOff>
    </xdr:to>
    <xdr:pic>
      <xdr:nvPicPr>
        <xdr:cNvPr id="968" name="Имя " descr="Descr ">
          <a:extLst>
            <a:ext uri="{FF2B5EF4-FFF2-40B4-BE49-F238E27FC236}">
              <a16:creationId xmlns:a16="http://schemas.microsoft.com/office/drawing/2014/main" id="{00000000-0008-0000-0000-0000C8030000}"/>
            </a:ext>
          </a:extLst>
        </xdr:cNvPr>
        <xdr:cNvPicPr>
          <a:picLocks noChangeAspect="1"/>
        </xdr:cNvPicPr>
      </xdr:nvPicPr>
      <xdr:blipFill>
        <a:blip xmlns:r="http://schemas.openxmlformats.org/officeDocument/2006/relationships" r:embed="rId945"/>
        <a:stretch>
          <a:fillRect/>
        </a:stretch>
      </xdr:blipFill>
      <xdr:spPr>
        <a:prstGeom prst="rect">
          <a:avLst/>
        </a:prstGeom>
        <a:ln w="9525">
          <a:solidFill>
            <a:srgbClr val="000000"/>
          </a:solidFill>
          <a:prstDash val="solid"/>
        </a:ln>
      </xdr:spPr>
    </xdr:pic>
    <xdr:clientData/>
  </xdr:twoCellAnchor>
  <xdr:twoCellAnchor>
    <xdr:from>
      <xdr:col>3</xdr:col>
      <xdr:colOff>114300</xdr:colOff>
      <xdr:row>2158</xdr:row>
      <xdr:rowOff>28575</xdr:rowOff>
    </xdr:from>
    <xdr:to>
      <xdr:col>3</xdr:col>
      <xdr:colOff>1552575</xdr:colOff>
      <xdr:row>2162</xdr:row>
      <xdr:rowOff>333375</xdr:rowOff>
    </xdr:to>
    <xdr:pic>
      <xdr:nvPicPr>
        <xdr:cNvPr id="969" name="Имя " descr="Descr ">
          <a:extLst>
            <a:ext uri="{FF2B5EF4-FFF2-40B4-BE49-F238E27FC236}">
              <a16:creationId xmlns:a16="http://schemas.microsoft.com/office/drawing/2014/main" id="{00000000-0008-0000-0000-0000C9030000}"/>
            </a:ext>
          </a:extLst>
        </xdr:cNvPr>
        <xdr:cNvPicPr>
          <a:picLocks noChangeAspect="1"/>
        </xdr:cNvPicPr>
      </xdr:nvPicPr>
      <xdr:blipFill>
        <a:blip xmlns:r="http://schemas.openxmlformats.org/officeDocument/2006/relationships" r:embed="rId946"/>
        <a:stretch>
          <a:fillRect/>
        </a:stretch>
      </xdr:blipFill>
      <xdr:spPr>
        <a:prstGeom prst="rect">
          <a:avLst/>
        </a:prstGeom>
        <a:ln w="9525">
          <a:solidFill>
            <a:srgbClr val="000000"/>
          </a:solidFill>
          <a:prstDash val="solid"/>
        </a:ln>
      </xdr:spPr>
    </xdr:pic>
    <xdr:clientData/>
  </xdr:twoCellAnchor>
  <xdr:twoCellAnchor>
    <xdr:from>
      <xdr:col>3</xdr:col>
      <xdr:colOff>114300</xdr:colOff>
      <xdr:row>2163</xdr:row>
      <xdr:rowOff>28575</xdr:rowOff>
    </xdr:from>
    <xdr:to>
      <xdr:col>3</xdr:col>
      <xdr:colOff>1552575</xdr:colOff>
      <xdr:row>2166</xdr:row>
      <xdr:rowOff>209550</xdr:rowOff>
    </xdr:to>
    <xdr:pic>
      <xdr:nvPicPr>
        <xdr:cNvPr id="970" name="Имя " descr="Descr ">
          <a:extLst>
            <a:ext uri="{FF2B5EF4-FFF2-40B4-BE49-F238E27FC236}">
              <a16:creationId xmlns:a16="http://schemas.microsoft.com/office/drawing/2014/main" id="{00000000-0008-0000-0000-0000CA030000}"/>
            </a:ext>
          </a:extLst>
        </xdr:cNvPr>
        <xdr:cNvPicPr>
          <a:picLocks noChangeAspect="1"/>
        </xdr:cNvPicPr>
      </xdr:nvPicPr>
      <xdr:blipFill>
        <a:blip xmlns:r="http://schemas.openxmlformats.org/officeDocument/2006/relationships" r:embed="rId947"/>
        <a:stretch>
          <a:fillRect/>
        </a:stretch>
      </xdr:blipFill>
      <xdr:spPr>
        <a:prstGeom prst="rect">
          <a:avLst/>
        </a:prstGeom>
        <a:ln w="9525">
          <a:solidFill>
            <a:srgbClr val="000000"/>
          </a:solidFill>
          <a:prstDash val="solid"/>
        </a:ln>
      </xdr:spPr>
    </xdr:pic>
    <xdr:clientData/>
  </xdr:twoCellAnchor>
  <xdr:twoCellAnchor>
    <xdr:from>
      <xdr:col>3</xdr:col>
      <xdr:colOff>114300</xdr:colOff>
      <xdr:row>2167</xdr:row>
      <xdr:rowOff>38100</xdr:rowOff>
    </xdr:from>
    <xdr:to>
      <xdr:col>3</xdr:col>
      <xdr:colOff>1552575</xdr:colOff>
      <xdr:row>2168</xdr:row>
      <xdr:rowOff>638175</xdr:rowOff>
    </xdr:to>
    <xdr:pic>
      <xdr:nvPicPr>
        <xdr:cNvPr id="971" name="Имя " descr="Descr ">
          <a:extLst>
            <a:ext uri="{FF2B5EF4-FFF2-40B4-BE49-F238E27FC236}">
              <a16:creationId xmlns:a16="http://schemas.microsoft.com/office/drawing/2014/main" id="{00000000-0008-0000-0000-0000CB030000}"/>
            </a:ext>
          </a:extLst>
        </xdr:cNvPr>
        <xdr:cNvPicPr>
          <a:picLocks noChangeAspect="1"/>
        </xdr:cNvPicPr>
      </xdr:nvPicPr>
      <xdr:blipFill>
        <a:blip xmlns:r="http://schemas.openxmlformats.org/officeDocument/2006/relationships" r:embed="rId948"/>
        <a:stretch>
          <a:fillRect/>
        </a:stretch>
      </xdr:blipFill>
      <xdr:spPr>
        <a:prstGeom prst="rect">
          <a:avLst/>
        </a:prstGeom>
        <a:ln w="9525">
          <a:solidFill>
            <a:srgbClr val="000000"/>
          </a:solidFill>
          <a:prstDash val="solid"/>
        </a:ln>
      </xdr:spPr>
    </xdr:pic>
    <xdr:clientData/>
  </xdr:twoCellAnchor>
  <xdr:twoCellAnchor>
    <xdr:from>
      <xdr:col>3</xdr:col>
      <xdr:colOff>114300</xdr:colOff>
      <xdr:row>2169</xdr:row>
      <xdr:rowOff>38100</xdr:rowOff>
    </xdr:from>
    <xdr:to>
      <xdr:col>3</xdr:col>
      <xdr:colOff>1552575</xdr:colOff>
      <xdr:row>2170</xdr:row>
      <xdr:rowOff>638175</xdr:rowOff>
    </xdr:to>
    <xdr:pic>
      <xdr:nvPicPr>
        <xdr:cNvPr id="972" name="Имя " descr="Descr ">
          <a:extLst>
            <a:ext uri="{FF2B5EF4-FFF2-40B4-BE49-F238E27FC236}">
              <a16:creationId xmlns:a16="http://schemas.microsoft.com/office/drawing/2014/main" id="{00000000-0008-0000-0000-0000CC030000}"/>
            </a:ext>
          </a:extLst>
        </xdr:cNvPr>
        <xdr:cNvPicPr>
          <a:picLocks noChangeAspect="1"/>
        </xdr:cNvPicPr>
      </xdr:nvPicPr>
      <xdr:blipFill>
        <a:blip xmlns:r="http://schemas.openxmlformats.org/officeDocument/2006/relationships" r:embed="rId949"/>
        <a:stretch>
          <a:fillRect/>
        </a:stretch>
      </xdr:blipFill>
      <xdr:spPr>
        <a:prstGeom prst="rect">
          <a:avLst/>
        </a:prstGeom>
        <a:ln w="9525">
          <a:solidFill>
            <a:srgbClr val="000000"/>
          </a:solidFill>
          <a:prstDash val="solid"/>
        </a:ln>
      </xdr:spPr>
    </xdr:pic>
    <xdr:clientData/>
  </xdr:twoCellAnchor>
  <xdr:twoCellAnchor>
    <xdr:from>
      <xdr:col>3</xdr:col>
      <xdr:colOff>114300</xdr:colOff>
      <xdr:row>2171</xdr:row>
      <xdr:rowOff>38100</xdr:rowOff>
    </xdr:from>
    <xdr:to>
      <xdr:col>3</xdr:col>
      <xdr:colOff>1552575</xdr:colOff>
      <xdr:row>2172</xdr:row>
      <xdr:rowOff>638175</xdr:rowOff>
    </xdr:to>
    <xdr:pic>
      <xdr:nvPicPr>
        <xdr:cNvPr id="973" name="Имя " descr="Descr ">
          <a:extLst>
            <a:ext uri="{FF2B5EF4-FFF2-40B4-BE49-F238E27FC236}">
              <a16:creationId xmlns:a16="http://schemas.microsoft.com/office/drawing/2014/main" id="{00000000-0008-0000-0000-0000CD030000}"/>
            </a:ext>
          </a:extLst>
        </xdr:cNvPr>
        <xdr:cNvPicPr>
          <a:picLocks noChangeAspect="1"/>
        </xdr:cNvPicPr>
      </xdr:nvPicPr>
      <xdr:blipFill>
        <a:blip xmlns:r="http://schemas.openxmlformats.org/officeDocument/2006/relationships" r:embed="rId950"/>
        <a:stretch>
          <a:fillRect/>
        </a:stretch>
      </xdr:blipFill>
      <xdr:spPr>
        <a:prstGeom prst="rect">
          <a:avLst/>
        </a:prstGeom>
        <a:ln w="9525">
          <a:solidFill>
            <a:srgbClr val="000000"/>
          </a:solidFill>
          <a:prstDash val="solid"/>
        </a:ln>
      </xdr:spPr>
    </xdr:pic>
    <xdr:clientData/>
  </xdr:twoCellAnchor>
  <xdr:twoCellAnchor>
    <xdr:from>
      <xdr:col>3</xdr:col>
      <xdr:colOff>114300</xdr:colOff>
      <xdr:row>2173</xdr:row>
      <xdr:rowOff>38100</xdr:rowOff>
    </xdr:from>
    <xdr:to>
      <xdr:col>3</xdr:col>
      <xdr:colOff>1552575</xdr:colOff>
      <xdr:row>2174</xdr:row>
      <xdr:rowOff>638175</xdr:rowOff>
    </xdr:to>
    <xdr:pic>
      <xdr:nvPicPr>
        <xdr:cNvPr id="974" name="Имя " descr="Descr ">
          <a:extLst>
            <a:ext uri="{FF2B5EF4-FFF2-40B4-BE49-F238E27FC236}">
              <a16:creationId xmlns:a16="http://schemas.microsoft.com/office/drawing/2014/main" id="{00000000-0008-0000-0000-0000CE030000}"/>
            </a:ext>
          </a:extLst>
        </xdr:cNvPr>
        <xdr:cNvPicPr>
          <a:picLocks noChangeAspect="1"/>
        </xdr:cNvPicPr>
      </xdr:nvPicPr>
      <xdr:blipFill>
        <a:blip xmlns:r="http://schemas.openxmlformats.org/officeDocument/2006/relationships" r:embed="rId951"/>
        <a:stretch>
          <a:fillRect/>
        </a:stretch>
      </xdr:blipFill>
      <xdr:spPr>
        <a:prstGeom prst="rect">
          <a:avLst/>
        </a:prstGeom>
        <a:ln w="9525">
          <a:solidFill>
            <a:srgbClr val="000000"/>
          </a:solidFill>
          <a:prstDash val="solid"/>
        </a:ln>
      </xdr:spPr>
    </xdr:pic>
    <xdr:clientData/>
  </xdr:twoCellAnchor>
  <xdr:twoCellAnchor>
    <xdr:from>
      <xdr:col>3</xdr:col>
      <xdr:colOff>114300</xdr:colOff>
      <xdr:row>2175</xdr:row>
      <xdr:rowOff>28575</xdr:rowOff>
    </xdr:from>
    <xdr:to>
      <xdr:col>3</xdr:col>
      <xdr:colOff>1552575</xdr:colOff>
      <xdr:row>2175</xdr:row>
      <xdr:rowOff>1266825</xdr:rowOff>
    </xdr:to>
    <xdr:pic>
      <xdr:nvPicPr>
        <xdr:cNvPr id="975" name="Имя " descr="Descr ">
          <a:extLst>
            <a:ext uri="{FF2B5EF4-FFF2-40B4-BE49-F238E27FC236}">
              <a16:creationId xmlns:a16="http://schemas.microsoft.com/office/drawing/2014/main" id="{00000000-0008-0000-0000-0000CF030000}"/>
            </a:ext>
          </a:extLst>
        </xdr:cNvPr>
        <xdr:cNvPicPr>
          <a:picLocks noChangeAspect="1"/>
        </xdr:cNvPicPr>
      </xdr:nvPicPr>
      <xdr:blipFill>
        <a:blip xmlns:r="http://schemas.openxmlformats.org/officeDocument/2006/relationships" r:embed="rId952"/>
        <a:stretch>
          <a:fillRect/>
        </a:stretch>
      </xdr:blipFill>
      <xdr:spPr>
        <a:prstGeom prst="rect">
          <a:avLst/>
        </a:prstGeom>
        <a:ln w="9525">
          <a:solidFill>
            <a:srgbClr val="000000"/>
          </a:solidFill>
          <a:prstDash val="solid"/>
        </a:ln>
      </xdr:spPr>
    </xdr:pic>
    <xdr:clientData/>
  </xdr:twoCellAnchor>
  <xdr:twoCellAnchor>
    <xdr:from>
      <xdr:col>3</xdr:col>
      <xdr:colOff>114300</xdr:colOff>
      <xdr:row>2176</xdr:row>
      <xdr:rowOff>28575</xdr:rowOff>
    </xdr:from>
    <xdr:to>
      <xdr:col>3</xdr:col>
      <xdr:colOff>1552575</xdr:colOff>
      <xdr:row>2176</xdr:row>
      <xdr:rowOff>1266825</xdr:rowOff>
    </xdr:to>
    <xdr:pic>
      <xdr:nvPicPr>
        <xdr:cNvPr id="976" name="Имя " descr="Descr ">
          <a:extLst>
            <a:ext uri="{FF2B5EF4-FFF2-40B4-BE49-F238E27FC236}">
              <a16:creationId xmlns:a16="http://schemas.microsoft.com/office/drawing/2014/main" id="{00000000-0008-0000-0000-0000D0030000}"/>
            </a:ext>
          </a:extLst>
        </xdr:cNvPr>
        <xdr:cNvPicPr>
          <a:picLocks noChangeAspect="1"/>
        </xdr:cNvPicPr>
      </xdr:nvPicPr>
      <xdr:blipFill>
        <a:blip xmlns:r="http://schemas.openxmlformats.org/officeDocument/2006/relationships" r:embed="rId953"/>
        <a:stretch>
          <a:fillRect/>
        </a:stretch>
      </xdr:blipFill>
      <xdr:spPr>
        <a:prstGeom prst="rect">
          <a:avLst/>
        </a:prstGeom>
        <a:ln w="9525">
          <a:solidFill>
            <a:srgbClr val="000000"/>
          </a:solidFill>
          <a:prstDash val="solid"/>
        </a:ln>
      </xdr:spPr>
    </xdr:pic>
    <xdr:clientData/>
  </xdr:twoCellAnchor>
  <xdr:twoCellAnchor>
    <xdr:from>
      <xdr:col>3</xdr:col>
      <xdr:colOff>114300</xdr:colOff>
      <xdr:row>2177</xdr:row>
      <xdr:rowOff>28575</xdr:rowOff>
    </xdr:from>
    <xdr:to>
      <xdr:col>3</xdr:col>
      <xdr:colOff>1552575</xdr:colOff>
      <xdr:row>2179</xdr:row>
      <xdr:rowOff>419100</xdr:rowOff>
    </xdr:to>
    <xdr:pic>
      <xdr:nvPicPr>
        <xdr:cNvPr id="977" name="Имя " descr="Descr ">
          <a:extLst>
            <a:ext uri="{FF2B5EF4-FFF2-40B4-BE49-F238E27FC236}">
              <a16:creationId xmlns:a16="http://schemas.microsoft.com/office/drawing/2014/main" id="{00000000-0008-0000-0000-0000D1030000}"/>
            </a:ext>
          </a:extLst>
        </xdr:cNvPr>
        <xdr:cNvPicPr>
          <a:picLocks noChangeAspect="1"/>
        </xdr:cNvPicPr>
      </xdr:nvPicPr>
      <xdr:blipFill>
        <a:blip xmlns:r="http://schemas.openxmlformats.org/officeDocument/2006/relationships" r:embed="rId954"/>
        <a:stretch>
          <a:fillRect/>
        </a:stretch>
      </xdr:blipFill>
      <xdr:spPr>
        <a:prstGeom prst="rect">
          <a:avLst/>
        </a:prstGeom>
        <a:ln w="9525">
          <a:solidFill>
            <a:srgbClr val="000000"/>
          </a:solidFill>
          <a:prstDash val="solid"/>
        </a:ln>
      </xdr:spPr>
    </xdr:pic>
    <xdr:clientData/>
  </xdr:twoCellAnchor>
  <xdr:twoCellAnchor>
    <xdr:from>
      <xdr:col>3</xdr:col>
      <xdr:colOff>114300</xdr:colOff>
      <xdr:row>2180</xdr:row>
      <xdr:rowOff>28575</xdr:rowOff>
    </xdr:from>
    <xdr:to>
      <xdr:col>3</xdr:col>
      <xdr:colOff>1552575</xdr:colOff>
      <xdr:row>2180</xdr:row>
      <xdr:rowOff>1266825</xdr:rowOff>
    </xdr:to>
    <xdr:pic>
      <xdr:nvPicPr>
        <xdr:cNvPr id="978" name="Имя " descr="Descr ">
          <a:extLst>
            <a:ext uri="{FF2B5EF4-FFF2-40B4-BE49-F238E27FC236}">
              <a16:creationId xmlns:a16="http://schemas.microsoft.com/office/drawing/2014/main" id="{00000000-0008-0000-0000-0000D2030000}"/>
            </a:ext>
          </a:extLst>
        </xdr:cNvPr>
        <xdr:cNvPicPr>
          <a:picLocks noChangeAspect="1"/>
        </xdr:cNvPicPr>
      </xdr:nvPicPr>
      <xdr:blipFill>
        <a:blip xmlns:r="http://schemas.openxmlformats.org/officeDocument/2006/relationships" r:embed="rId955"/>
        <a:stretch>
          <a:fillRect/>
        </a:stretch>
      </xdr:blipFill>
      <xdr:spPr>
        <a:prstGeom prst="rect">
          <a:avLst/>
        </a:prstGeom>
        <a:ln w="9525">
          <a:solidFill>
            <a:srgbClr val="000000"/>
          </a:solidFill>
          <a:prstDash val="solid"/>
        </a:ln>
      </xdr:spPr>
    </xdr:pic>
    <xdr:clientData/>
  </xdr:twoCellAnchor>
  <xdr:twoCellAnchor>
    <xdr:from>
      <xdr:col>3</xdr:col>
      <xdr:colOff>114300</xdr:colOff>
      <xdr:row>2181</xdr:row>
      <xdr:rowOff>28575</xdr:rowOff>
    </xdr:from>
    <xdr:to>
      <xdr:col>3</xdr:col>
      <xdr:colOff>1552575</xdr:colOff>
      <xdr:row>2181</xdr:row>
      <xdr:rowOff>1266825</xdr:rowOff>
    </xdr:to>
    <xdr:pic>
      <xdr:nvPicPr>
        <xdr:cNvPr id="979" name="Имя " descr="Descr ">
          <a:extLst>
            <a:ext uri="{FF2B5EF4-FFF2-40B4-BE49-F238E27FC236}">
              <a16:creationId xmlns:a16="http://schemas.microsoft.com/office/drawing/2014/main" id="{00000000-0008-0000-0000-0000D3030000}"/>
            </a:ext>
          </a:extLst>
        </xdr:cNvPr>
        <xdr:cNvPicPr>
          <a:picLocks noChangeAspect="1"/>
        </xdr:cNvPicPr>
      </xdr:nvPicPr>
      <xdr:blipFill>
        <a:blip xmlns:r="http://schemas.openxmlformats.org/officeDocument/2006/relationships" r:embed="rId956"/>
        <a:stretch>
          <a:fillRect/>
        </a:stretch>
      </xdr:blipFill>
      <xdr:spPr>
        <a:prstGeom prst="rect">
          <a:avLst/>
        </a:prstGeom>
        <a:ln w="9525">
          <a:solidFill>
            <a:srgbClr val="000000"/>
          </a:solidFill>
          <a:prstDash val="solid"/>
        </a:ln>
      </xdr:spPr>
    </xdr:pic>
    <xdr:clientData/>
  </xdr:twoCellAnchor>
  <xdr:twoCellAnchor>
    <xdr:from>
      <xdr:col>3</xdr:col>
      <xdr:colOff>114300</xdr:colOff>
      <xdr:row>2182</xdr:row>
      <xdr:rowOff>28575</xdr:rowOff>
    </xdr:from>
    <xdr:to>
      <xdr:col>3</xdr:col>
      <xdr:colOff>1552575</xdr:colOff>
      <xdr:row>2182</xdr:row>
      <xdr:rowOff>1266825</xdr:rowOff>
    </xdr:to>
    <xdr:pic>
      <xdr:nvPicPr>
        <xdr:cNvPr id="980" name="Имя " descr="Descr ">
          <a:extLst>
            <a:ext uri="{FF2B5EF4-FFF2-40B4-BE49-F238E27FC236}">
              <a16:creationId xmlns:a16="http://schemas.microsoft.com/office/drawing/2014/main" id="{00000000-0008-0000-0000-0000D4030000}"/>
            </a:ext>
          </a:extLst>
        </xdr:cNvPr>
        <xdr:cNvPicPr>
          <a:picLocks noChangeAspect="1"/>
        </xdr:cNvPicPr>
      </xdr:nvPicPr>
      <xdr:blipFill>
        <a:blip xmlns:r="http://schemas.openxmlformats.org/officeDocument/2006/relationships" r:embed="rId957"/>
        <a:stretch>
          <a:fillRect/>
        </a:stretch>
      </xdr:blipFill>
      <xdr:spPr>
        <a:prstGeom prst="rect">
          <a:avLst/>
        </a:prstGeom>
        <a:ln w="9525">
          <a:solidFill>
            <a:srgbClr val="000000"/>
          </a:solidFill>
          <a:prstDash val="solid"/>
        </a:ln>
      </xdr:spPr>
    </xdr:pic>
    <xdr:clientData/>
  </xdr:twoCellAnchor>
  <xdr:twoCellAnchor>
    <xdr:from>
      <xdr:col>3</xdr:col>
      <xdr:colOff>114300</xdr:colOff>
      <xdr:row>2183</xdr:row>
      <xdr:rowOff>28575</xdr:rowOff>
    </xdr:from>
    <xdr:to>
      <xdr:col>3</xdr:col>
      <xdr:colOff>1552575</xdr:colOff>
      <xdr:row>2183</xdr:row>
      <xdr:rowOff>1266825</xdr:rowOff>
    </xdr:to>
    <xdr:pic>
      <xdr:nvPicPr>
        <xdr:cNvPr id="981" name="Имя " descr="Descr ">
          <a:extLst>
            <a:ext uri="{FF2B5EF4-FFF2-40B4-BE49-F238E27FC236}">
              <a16:creationId xmlns:a16="http://schemas.microsoft.com/office/drawing/2014/main" id="{00000000-0008-0000-0000-0000D5030000}"/>
            </a:ext>
          </a:extLst>
        </xdr:cNvPr>
        <xdr:cNvPicPr>
          <a:picLocks noChangeAspect="1"/>
        </xdr:cNvPicPr>
      </xdr:nvPicPr>
      <xdr:blipFill>
        <a:blip xmlns:r="http://schemas.openxmlformats.org/officeDocument/2006/relationships" r:embed="rId958"/>
        <a:stretch>
          <a:fillRect/>
        </a:stretch>
      </xdr:blipFill>
      <xdr:spPr>
        <a:prstGeom prst="rect">
          <a:avLst/>
        </a:prstGeom>
        <a:ln w="9525">
          <a:solidFill>
            <a:srgbClr val="000000"/>
          </a:solidFill>
          <a:prstDash val="solid"/>
        </a:ln>
      </xdr:spPr>
    </xdr:pic>
    <xdr:clientData/>
  </xdr:twoCellAnchor>
  <xdr:twoCellAnchor>
    <xdr:from>
      <xdr:col>3</xdr:col>
      <xdr:colOff>114300</xdr:colOff>
      <xdr:row>2184</xdr:row>
      <xdr:rowOff>28575</xdr:rowOff>
    </xdr:from>
    <xdr:to>
      <xdr:col>3</xdr:col>
      <xdr:colOff>1552575</xdr:colOff>
      <xdr:row>2184</xdr:row>
      <xdr:rowOff>1266825</xdr:rowOff>
    </xdr:to>
    <xdr:pic>
      <xdr:nvPicPr>
        <xdr:cNvPr id="982" name="Имя " descr="Descr ">
          <a:extLst>
            <a:ext uri="{FF2B5EF4-FFF2-40B4-BE49-F238E27FC236}">
              <a16:creationId xmlns:a16="http://schemas.microsoft.com/office/drawing/2014/main" id="{00000000-0008-0000-0000-0000D6030000}"/>
            </a:ext>
          </a:extLst>
        </xdr:cNvPr>
        <xdr:cNvPicPr>
          <a:picLocks noChangeAspect="1"/>
        </xdr:cNvPicPr>
      </xdr:nvPicPr>
      <xdr:blipFill>
        <a:blip xmlns:r="http://schemas.openxmlformats.org/officeDocument/2006/relationships" r:embed="rId959"/>
        <a:stretch>
          <a:fillRect/>
        </a:stretch>
      </xdr:blipFill>
      <xdr:spPr>
        <a:prstGeom prst="rect">
          <a:avLst/>
        </a:prstGeom>
        <a:ln w="9525">
          <a:solidFill>
            <a:srgbClr val="000000"/>
          </a:solidFill>
          <a:prstDash val="solid"/>
        </a:ln>
      </xdr:spPr>
    </xdr:pic>
    <xdr:clientData/>
  </xdr:twoCellAnchor>
  <xdr:twoCellAnchor>
    <xdr:from>
      <xdr:col>3</xdr:col>
      <xdr:colOff>114300</xdr:colOff>
      <xdr:row>2185</xdr:row>
      <xdr:rowOff>28575</xdr:rowOff>
    </xdr:from>
    <xdr:to>
      <xdr:col>3</xdr:col>
      <xdr:colOff>1552575</xdr:colOff>
      <xdr:row>2185</xdr:row>
      <xdr:rowOff>1266825</xdr:rowOff>
    </xdr:to>
    <xdr:pic>
      <xdr:nvPicPr>
        <xdr:cNvPr id="983" name="Имя " descr="Descr ">
          <a:extLst>
            <a:ext uri="{FF2B5EF4-FFF2-40B4-BE49-F238E27FC236}">
              <a16:creationId xmlns:a16="http://schemas.microsoft.com/office/drawing/2014/main" id="{00000000-0008-0000-0000-0000D7030000}"/>
            </a:ext>
          </a:extLst>
        </xdr:cNvPr>
        <xdr:cNvPicPr>
          <a:picLocks noChangeAspect="1"/>
        </xdr:cNvPicPr>
      </xdr:nvPicPr>
      <xdr:blipFill>
        <a:blip xmlns:r="http://schemas.openxmlformats.org/officeDocument/2006/relationships" r:embed="rId960"/>
        <a:stretch>
          <a:fillRect/>
        </a:stretch>
      </xdr:blipFill>
      <xdr:spPr>
        <a:prstGeom prst="rect">
          <a:avLst/>
        </a:prstGeom>
        <a:ln w="9525">
          <a:solidFill>
            <a:srgbClr val="000000"/>
          </a:solidFill>
          <a:prstDash val="solid"/>
        </a:ln>
      </xdr:spPr>
    </xdr:pic>
    <xdr:clientData/>
  </xdr:twoCellAnchor>
  <xdr:twoCellAnchor>
    <xdr:from>
      <xdr:col>3</xdr:col>
      <xdr:colOff>114300</xdr:colOff>
      <xdr:row>2186</xdr:row>
      <xdr:rowOff>28575</xdr:rowOff>
    </xdr:from>
    <xdr:to>
      <xdr:col>3</xdr:col>
      <xdr:colOff>1552575</xdr:colOff>
      <xdr:row>2186</xdr:row>
      <xdr:rowOff>1266825</xdr:rowOff>
    </xdr:to>
    <xdr:pic>
      <xdr:nvPicPr>
        <xdr:cNvPr id="984" name="Имя " descr="Descr ">
          <a:extLst>
            <a:ext uri="{FF2B5EF4-FFF2-40B4-BE49-F238E27FC236}">
              <a16:creationId xmlns:a16="http://schemas.microsoft.com/office/drawing/2014/main" id="{00000000-0008-0000-0000-0000D8030000}"/>
            </a:ext>
          </a:extLst>
        </xdr:cNvPr>
        <xdr:cNvPicPr>
          <a:picLocks noChangeAspect="1"/>
        </xdr:cNvPicPr>
      </xdr:nvPicPr>
      <xdr:blipFill>
        <a:blip xmlns:r="http://schemas.openxmlformats.org/officeDocument/2006/relationships" r:embed="rId961"/>
        <a:stretch>
          <a:fillRect/>
        </a:stretch>
      </xdr:blipFill>
      <xdr:spPr>
        <a:prstGeom prst="rect">
          <a:avLst/>
        </a:prstGeom>
        <a:ln w="9525">
          <a:solidFill>
            <a:srgbClr val="000000"/>
          </a:solidFill>
          <a:prstDash val="solid"/>
        </a:ln>
      </xdr:spPr>
    </xdr:pic>
    <xdr:clientData/>
  </xdr:twoCellAnchor>
  <xdr:twoCellAnchor>
    <xdr:from>
      <xdr:col>3</xdr:col>
      <xdr:colOff>114300</xdr:colOff>
      <xdr:row>2187</xdr:row>
      <xdr:rowOff>38100</xdr:rowOff>
    </xdr:from>
    <xdr:to>
      <xdr:col>3</xdr:col>
      <xdr:colOff>1552575</xdr:colOff>
      <xdr:row>2188</xdr:row>
      <xdr:rowOff>638175</xdr:rowOff>
    </xdr:to>
    <xdr:pic>
      <xdr:nvPicPr>
        <xdr:cNvPr id="985" name="Имя " descr="Descr ">
          <a:extLst>
            <a:ext uri="{FF2B5EF4-FFF2-40B4-BE49-F238E27FC236}">
              <a16:creationId xmlns:a16="http://schemas.microsoft.com/office/drawing/2014/main" id="{00000000-0008-0000-0000-0000D9030000}"/>
            </a:ext>
          </a:extLst>
        </xdr:cNvPr>
        <xdr:cNvPicPr>
          <a:picLocks noChangeAspect="1"/>
        </xdr:cNvPicPr>
      </xdr:nvPicPr>
      <xdr:blipFill>
        <a:blip xmlns:r="http://schemas.openxmlformats.org/officeDocument/2006/relationships" r:embed="rId962"/>
        <a:stretch>
          <a:fillRect/>
        </a:stretch>
      </xdr:blipFill>
      <xdr:spPr>
        <a:prstGeom prst="rect">
          <a:avLst/>
        </a:prstGeom>
        <a:ln w="9525">
          <a:solidFill>
            <a:srgbClr val="000000"/>
          </a:solidFill>
          <a:prstDash val="solid"/>
        </a:ln>
      </xdr:spPr>
    </xdr:pic>
    <xdr:clientData/>
  </xdr:twoCellAnchor>
  <xdr:twoCellAnchor>
    <xdr:from>
      <xdr:col>3</xdr:col>
      <xdr:colOff>114300</xdr:colOff>
      <xdr:row>2189</xdr:row>
      <xdr:rowOff>28575</xdr:rowOff>
    </xdr:from>
    <xdr:to>
      <xdr:col>3</xdr:col>
      <xdr:colOff>1552575</xdr:colOff>
      <xdr:row>2189</xdr:row>
      <xdr:rowOff>1266825</xdr:rowOff>
    </xdr:to>
    <xdr:pic>
      <xdr:nvPicPr>
        <xdr:cNvPr id="986" name="Имя " descr="Descr ">
          <a:extLst>
            <a:ext uri="{FF2B5EF4-FFF2-40B4-BE49-F238E27FC236}">
              <a16:creationId xmlns:a16="http://schemas.microsoft.com/office/drawing/2014/main" id="{00000000-0008-0000-0000-0000DA030000}"/>
            </a:ext>
          </a:extLst>
        </xdr:cNvPr>
        <xdr:cNvPicPr>
          <a:picLocks noChangeAspect="1"/>
        </xdr:cNvPicPr>
      </xdr:nvPicPr>
      <xdr:blipFill>
        <a:blip xmlns:r="http://schemas.openxmlformats.org/officeDocument/2006/relationships" r:embed="rId963"/>
        <a:stretch>
          <a:fillRect/>
        </a:stretch>
      </xdr:blipFill>
      <xdr:spPr>
        <a:prstGeom prst="rect">
          <a:avLst/>
        </a:prstGeom>
        <a:ln w="9525">
          <a:solidFill>
            <a:srgbClr val="000000"/>
          </a:solidFill>
          <a:prstDash val="solid"/>
        </a:ln>
      </xdr:spPr>
    </xdr:pic>
    <xdr:clientData/>
  </xdr:twoCellAnchor>
  <xdr:twoCellAnchor>
    <xdr:from>
      <xdr:col>3</xdr:col>
      <xdr:colOff>114300</xdr:colOff>
      <xdr:row>2190</xdr:row>
      <xdr:rowOff>28575</xdr:rowOff>
    </xdr:from>
    <xdr:to>
      <xdr:col>3</xdr:col>
      <xdr:colOff>1552575</xdr:colOff>
      <xdr:row>2190</xdr:row>
      <xdr:rowOff>1266825</xdr:rowOff>
    </xdr:to>
    <xdr:pic>
      <xdr:nvPicPr>
        <xdr:cNvPr id="987" name="Имя " descr="Descr ">
          <a:extLst>
            <a:ext uri="{FF2B5EF4-FFF2-40B4-BE49-F238E27FC236}">
              <a16:creationId xmlns:a16="http://schemas.microsoft.com/office/drawing/2014/main" id="{00000000-0008-0000-0000-0000DB030000}"/>
            </a:ext>
          </a:extLst>
        </xdr:cNvPr>
        <xdr:cNvPicPr>
          <a:picLocks noChangeAspect="1"/>
        </xdr:cNvPicPr>
      </xdr:nvPicPr>
      <xdr:blipFill>
        <a:blip xmlns:r="http://schemas.openxmlformats.org/officeDocument/2006/relationships" r:embed="rId964"/>
        <a:stretch>
          <a:fillRect/>
        </a:stretch>
      </xdr:blipFill>
      <xdr:spPr>
        <a:prstGeom prst="rect">
          <a:avLst/>
        </a:prstGeom>
        <a:ln w="9525">
          <a:solidFill>
            <a:srgbClr val="000000"/>
          </a:solidFill>
          <a:prstDash val="solid"/>
        </a:ln>
      </xdr:spPr>
    </xdr:pic>
    <xdr:clientData/>
  </xdr:twoCellAnchor>
  <xdr:twoCellAnchor>
    <xdr:from>
      <xdr:col>3</xdr:col>
      <xdr:colOff>114300</xdr:colOff>
      <xdr:row>2191</xdr:row>
      <xdr:rowOff>28575</xdr:rowOff>
    </xdr:from>
    <xdr:to>
      <xdr:col>3</xdr:col>
      <xdr:colOff>1552575</xdr:colOff>
      <xdr:row>2191</xdr:row>
      <xdr:rowOff>1266825</xdr:rowOff>
    </xdr:to>
    <xdr:pic>
      <xdr:nvPicPr>
        <xdr:cNvPr id="988" name="Имя " descr="Descr ">
          <a:extLst>
            <a:ext uri="{FF2B5EF4-FFF2-40B4-BE49-F238E27FC236}">
              <a16:creationId xmlns:a16="http://schemas.microsoft.com/office/drawing/2014/main" id="{00000000-0008-0000-0000-0000DC030000}"/>
            </a:ext>
          </a:extLst>
        </xdr:cNvPr>
        <xdr:cNvPicPr>
          <a:picLocks noChangeAspect="1"/>
        </xdr:cNvPicPr>
      </xdr:nvPicPr>
      <xdr:blipFill>
        <a:blip xmlns:r="http://schemas.openxmlformats.org/officeDocument/2006/relationships" r:embed="rId965"/>
        <a:stretch>
          <a:fillRect/>
        </a:stretch>
      </xdr:blipFill>
      <xdr:spPr>
        <a:prstGeom prst="rect">
          <a:avLst/>
        </a:prstGeom>
        <a:ln w="9525">
          <a:solidFill>
            <a:srgbClr val="000000"/>
          </a:solidFill>
          <a:prstDash val="solid"/>
        </a:ln>
      </xdr:spPr>
    </xdr:pic>
    <xdr:clientData/>
  </xdr:twoCellAnchor>
  <xdr:twoCellAnchor>
    <xdr:from>
      <xdr:col>3</xdr:col>
      <xdr:colOff>114300</xdr:colOff>
      <xdr:row>2192</xdr:row>
      <xdr:rowOff>28575</xdr:rowOff>
    </xdr:from>
    <xdr:to>
      <xdr:col>3</xdr:col>
      <xdr:colOff>1552575</xdr:colOff>
      <xdr:row>2192</xdr:row>
      <xdr:rowOff>1266825</xdr:rowOff>
    </xdr:to>
    <xdr:pic>
      <xdr:nvPicPr>
        <xdr:cNvPr id="989" name="Имя " descr="Descr ">
          <a:extLst>
            <a:ext uri="{FF2B5EF4-FFF2-40B4-BE49-F238E27FC236}">
              <a16:creationId xmlns:a16="http://schemas.microsoft.com/office/drawing/2014/main" id="{00000000-0008-0000-0000-0000DD030000}"/>
            </a:ext>
          </a:extLst>
        </xdr:cNvPr>
        <xdr:cNvPicPr>
          <a:picLocks noChangeAspect="1"/>
        </xdr:cNvPicPr>
      </xdr:nvPicPr>
      <xdr:blipFill>
        <a:blip xmlns:r="http://schemas.openxmlformats.org/officeDocument/2006/relationships" r:embed="rId966"/>
        <a:stretch>
          <a:fillRect/>
        </a:stretch>
      </xdr:blipFill>
      <xdr:spPr>
        <a:prstGeom prst="rect">
          <a:avLst/>
        </a:prstGeom>
        <a:ln w="9525">
          <a:solidFill>
            <a:srgbClr val="000000"/>
          </a:solidFill>
          <a:prstDash val="solid"/>
        </a:ln>
      </xdr:spPr>
    </xdr:pic>
    <xdr:clientData/>
  </xdr:twoCellAnchor>
  <xdr:twoCellAnchor>
    <xdr:from>
      <xdr:col>3</xdr:col>
      <xdr:colOff>114300</xdr:colOff>
      <xdr:row>2193</xdr:row>
      <xdr:rowOff>38100</xdr:rowOff>
    </xdr:from>
    <xdr:to>
      <xdr:col>3</xdr:col>
      <xdr:colOff>1552575</xdr:colOff>
      <xdr:row>2194</xdr:row>
      <xdr:rowOff>638175</xdr:rowOff>
    </xdr:to>
    <xdr:pic>
      <xdr:nvPicPr>
        <xdr:cNvPr id="990" name="Имя " descr="Descr ">
          <a:extLst>
            <a:ext uri="{FF2B5EF4-FFF2-40B4-BE49-F238E27FC236}">
              <a16:creationId xmlns:a16="http://schemas.microsoft.com/office/drawing/2014/main" id="{00000000-0008-0000-0000-0000DE030000}"/>
            </a:ext>
          </a:extLst>
        </xdr:cNvPr>
        <xdr:cNvPicPr>
          <a:picLocks noChangeAspect="1"/>
        </xdr:cNvPicPr>
      </xdr:nvPicPr>
      <xdr:blipFill>
        <a:blip xmlns:r="http://schemas.openxmlformats.org/officeDocument/2006/relationships" r:embed="rId967"/>
        <a:stretch>
          <a:fillRect/>
        </a:stretch>
      </xdr:blipFill>
      <xdr:spPr>
        <a:prstGeom prst="rect">
          <a:avLst/>
        </a:prstGeom>
        <a:ln w="9525">
          <a:solidFill>
            <a:srgbClr val="000000"/>
          </a:solidFill>
          <a:prstDash val="solid"/>
        </a:ln>
      </xdr:spPr>
    </xdr:pic>
    <xdr:clientData/>
  </xdr:twoCellAnchor>
  <xdr:twoCellAnchor>
    <xdr:from>
      <xdr:col>3</xdr:col>
      <xdr:colOff>114300</xdr:colOff>
      <xdr:row>2195</xdr:row>
      <xdr:rowOff>28575</xdr:rowOff>
    </xdr:from>
    <xdr:to>
      <xdr:col>3</xdr:col>
      <xdr:colOff>1552575</xdr:colOff>
      <xdr:row>2195</xdr:row>
      <xdr:rowOff>1266825</xdr:rowOff>
    </xdr:to>
    <xdr:pic>
      <xdr:nvPicPr>
        <xdr:cNvPr id="991" name="Имя " descr="Descr ">
          <a:extLst>
            <a:ext uri="{FF2B5EF4-FFF2-40B4-BE49-F238E27FC236}">
              <a16:creationId xmlns:a16="http://schemas.microsoft.com/office/drawing/2014/main" id="{00000000-0008-0000-0000-0000DF030000}"/>
            </a:ext>
          </a:extLst>
        </xdr:cNvPr>
        <xdr:cNvPicPr>
          <a:picLocks noChangeAspect="1"/>
        </xdr:cNvPicPr>
      </xdr:nvPicPr>
      <xdr:blipFill>
        <a:blip xmlns:r="http://schemas.openxmlformats.org/officeDocument/2006/relationships" r:embed="rId968"/>
        <a:stretch>
          <a:fillRect/>
        </a:stretch>
      </xdr:blipFill>
      <xdr:spPr>
        <a:prstGeom prst="rect">
          <a:avLst/>
        </a:prstGeom>
        <a:ln w="9525">
          <a:solidFill>
            <a:srgbClr val="000000"/>
          </a:solidFill>
          <a:prstDash val="solid"/>
        </a:ln>
      </xdr:spPr>
    </xdr:pic>
    <xdr:clientData/>
  </xdr:twoCellAnchor>
  <xdr:twoCellAnchor>
    <xdr:from>
      <xdr:col>3</xdr:col>
      <xdr:colOff>114300</xdr:colOff>
      <xdr:row>2196</xdr:row>
      <xdr:rowOff>28575</xdr:rowOff>
    </xdr:from>
    <xdr:to>
      <xdr:col>3</xdr:col>
      <xdr:colOff>1552575</xdr:colOff>
      <xdr:row>2198</xdr:row>
      <xdr:rowOff>419100</xdr:rowOff>
    </xdr:to>
    <xdr:pic>
      <xdr:nvPicPr>
        <xdr:cNvPr id="992" name="Имя " descr="Descr ">
          <a:extLst>
            <a:ext uri="{FF2B5EF4-FFF2-40B4-BE49-F238E27FC236}">
              <a16:creationId xmlns:a16="http://schemas.microsoft.com/office/drawing/2014/main" id="{00000000-0008-0000-0000-0000E0030000}"/>
            </a:ext>
          </a:extLst>
        </xdr:cNvPr>
        <xdr:cNvPicPr>
          <a:picLocks noChangeAspect="1"/>
        </xdr:cNvPicPr>
      </xdr:nvPicPr>
      <xdr:blipFill>
        <a:blip xmlns:r="http://schemas.openxmlformats.org/officeDocument/2006/relationships" r:embed="rId969"/>
        <a:stretch>
          <a:fillRect/>
        </a:stretch>
      </xdr:blipFill>
      <xdr:spPr>
        <a:prstGeom prst="rect">
          <a:avLst/>
        </a:prstGeom>
        <a:ln w="9525">
          <a:solidFill>
            <a:srgbClr val="000000"/>
          </a:solidFill>
          <a:prstDash val="solid"/>
        </a:ln>
      </xdr:spPr>
    </xdr:pic>
    <xdr:clientData/>
  </xdr:twoCellAnchor>
  <xdr:twoCellAnchor>
    <xdr:from>
      <xdr:col>3</xdr:col>
      <xdr:colOff>114300</xdr:colOff>
      <xdr:row>2199</xdr:row>
      <xdr:rowOff>28575</xdr:rowOff>
    </xdr:from>
    <xdr:to>
      <xdr:col>3</xdr:col>
      <xdr:colOff>1552575</xdr:colOff>
      <xdr:row>2202</xdr:row>
      <xdr:rowOff>209550</xdr:rowOff>
    </xdr:to>
    <xdr:pic>
      <xdr:nvPicPr>
        <xdr:cNvPr id="993" name="Имя " descr="Descr ">
          <a:extLst>
            <a:ext uri="{FF2B5EF4-FFF2-40B4-BE49-F238E27FC236}">
              <a16:creationId xmlns:a16="http://schemas.microsoft.com/office/drawing/2014/main" id="{00000000-0008-0000-0000-0000E1030000}"/>
            </a:ext>
          </a:extLst>
        </xdr:cNvPr>
        <xdr:cNvPicPr>
          <a:picLocks noChangeAspect="1"/>
        </xdr:cNvPicPr>
      </xdr:nvPicPr>
      <xdr:blipFill>
        <a:blip xmlns:r="http://schemas.openxmlformats.org/officeDocument/2006/relationships" r:embed="rId970"/>
        <a:stretch>
          <a:fillRect/>
        </a:stretch>
      </xdr:blipFill>
      <xdr:spPr>
        <a:prstGeom prst="rect">
          <a:avLst/>
        </a:prstGeom>
        <a:ln w="9525">
          <a:solidFill>
            <a:srgbClr val="000000"/>
          </a:solidFill>
          <a:prstDash val="solid"/>
        </a:ln>
      </xdr:spPr>
    </xdr:pic>
    <xdr:clientData/>
  </xdr:twoCellAnchor>
  <xdr:twoCellAnchor>
    <xdr:from>
      <xdr:col>3</xdr:col>
      <xdr:colOff>114300</xdr:colOff>
      <xdr:row>2203</xdr:row>
      <xdr:rowOff>28575</xdr:rowOff>
    </xdr:from>
    <xdr:to>
      <xdr:col>3</xdr:col>
      <xdr:colOff>1552575</xdr:colOff>
      <xdr:row>2206</xdr:row>
      <xdr:rowOff>209550</xdr:rowOff>
    </xdr:to>
    <xdr:pic>
      <xdr:nvPicPr>
        <xdr:cNvPr id="994" name="Имя " descr="Descr ">
          <a:extLst>
            <a:ext uri="{FF2B5EF4-FFF2-40B4-BE49-F238E27FC236}">
              <a16:creationId xmlns:a16="http://schemas.microsoft.com/office/drawing/2014/main" id="{00000000-0008-0000-0000-0000E2030000}"/>
            </a:ext>
          </a:extLst>
        </xdr:cNvPr>
        <xdr:cNvPicPr>
          <a:picLocks noChangeAspect="1"/>
        </xdr:cNvPicPr>
      </xdr:nvPicPr>
      <xdr:blipFill>
        <a:blip xmlns:r="http://schemas.openxmlformats.org/officeDocument/2006/relationships" r:embed="rId971"/>
        <a:stretch>
          <a:fillRect/>
        </a:stretch>
      </xdr:blipFill>
      <xdr:spPr>
        <a:prstGeom prst="rect">
          <a:avLst/>
        </a:prstGeom>
        <a:ln w="9525">
          <a:solidFill>
            <a:srgbClr val="000000"/>
          </a:solidFill>
          <a:prstDash val="solid"/>
        </a:ln>
      </xdr:spPr>
    </xdr:pic>
    <xdr:clientData/>
  </xdr:twoCellAnchor>
  <xdr:twoCellAnchor>
    <xdr:from>
      <xdr:col>3</xdr:col>
      <xdr:colOff>114300</xdr:colOff>
      <xdr:row>2207</xdr:row>
      <xdr:rowOff>28575</xdr:rowOff>
    </xdr:from>
    <xdr:to>
      <xdr:col>3</xdr:col>
      <xdr:colOff>1552575</xdr:colOff>
      <xdr:row>2209</xdr:row>
      <xdr:rowOff>419100</xdr:rowOff>
    </xdr:to>
    <xdr:pic>
      <xdr:nvPicPr>
        <xdr:cNvPr id="995" name="Имя " descr="Descr ">
          <a:extLst>
            <a:ext uri="{FF2B5EF4-FFF2-40B4-BE49-F238E27FC236}">
              <a16:creationId xmlns:a16="http://schemas.microsoft.com/office/drawing/2014/main" id="{00000000-0008-0000-0000-0000E3030000}"/>
            </a:ext>
          </a:extLst>
        </xdr:cNvPr>
        <xdr:cNvPicPr>
          <a:picLocks noChangeAspect="1"/>
        </xdr:cNvPicPr>
      </xdr:nvPicPr>
      <xdr:blipFill>
        <a:blip xmlns:r="http://schemas.openxmlformats.org/officeDocument/2006/relationships" r:embed="rId972"/>
        <a:stretch>
          <a:fillRect/>
        </a:stretch>
      </xdr:blipFill>
      <xdr:spPr>
        <a:prstGeom prst="rect">
          <a:avLst/>
        </a:prstGeom>
        <a:ln w="9525">
          <a:solidFill>
            <a:srgbClr val="000000"/>
          </a:solidFill>
          <a:prstDash val="solid"/>
        </a:ln>
      </xdr:spPr>
    </xdr:pic>
    <xdr:clientData/>
  </xdr:twoCellAnchor>
  <xdr:twoCellAnchor>
    <xdr:from>
      <xdr:col>3</xdr:col>
      <xdr:colOff>114300</xdr:colOff>
      <xdr:row>2210</xdr:row>
      <xdr:rowOff>28575</xdr:rowOff>
    </xdr:from>
    <xdr:to>
      <xdr:col>3</xdr:col>
      <xdr:colOff>1552575</xdr:colOff>
      <xdr:row>2210</xdr:row>
      <xdr:rowOff>1266825</xdr:rowOff>
    </xdr:to>
    <xdr:pic>
      <xdr:nvPicPr>
        <xdr:cNvPr id="996" name="Имя " descr="Descr ">
          <a:extLst>
            <a:ext uri="{FF2B5EF4-FFF2-40B4-BE49-F238E27FC236}">
              <a16:creationId xmlns:a16="http://schemas.microsoft.com/office/drawing/2014/main" id="{00000000-0008-0000-0000-0000E4030000}"/>
            </a:ext>
          </a:extLst>
        </xdr:cNvPr>
        <xdr:cNvPicPr>
          <a:picLocks noChangeAspect="1"/>
        </xdr:cNvPicPr>
      </xdr:nvPicPr>
      <xdr:blipFill>
        <a:blip xmlns:r="http://schemas.openxmlformats.org/officeDocument/2006/relationships" r:embed="rId973"/>
        <a:stretch>
          <a:fillRect/>
        </a:stretch>
      </xdr:blipFill>
      <xdr:spPr>
        <a:prstGeom prst="rect">
          <a:avLst/>
        </a:prstGeom>
        <a:ln w="9525">
          <a:solidFill>
            <a:srgbClr val="000000"/>
          </a:solidFill>
          <a:prstDash val="solid"/>
        </a:ln>
      </xdr:spPr>
    </xdr:pic>
    <xdr:clientData/>
  </xdr:twoCellAnchor>
  <xdr:twoCellAnchor>
    <xdr:from>
      <xdr:col>3</xdr:col>
      <xdr:colOff>114300</xdr:colOff>
      <xdr:row>2211</xdr:row>
      <xdr:rowOff>38100</xdr:rowOff>
    </xdr:from>
    <xdr:to>
      <xdr:col>3</xdr:col>
      <xdr:colOff>1552575</xdr:colOff>
      <xdr:row>2212</xdr:row>
      <xdr:rowOff>638175</xdr:rowOff>
    </xdr:to>
    <xdr:pic>
      <xdr:nvPicPr>
        <xdr:cNvPr id="997" name="Имя " descr="Descr ">
          <a:extLst>
            <a:ext uri="{FF2B5EF4-FFF2-40B4-BE49-F238E27FC236}">
              <a16:creationId xmlns:a16="http://schemas.microsoft.com/office/drawing/2014/main" id="{00000000-0008-0000-0000-0000E5030000}"/>
            </a:ext>
          </a:extLst>
        </xdr:cNvPr>
        <xdr:cNvPicPr>
          <a:picLocks noChangeAspect="1"/>
        </xdr:cNvPicPr>
      </xdr:nvPicPr>
      <xdr:blipFill>
        <a:blip xmlns:r="http://schemas.openxmlformats.org/officeDocument/2006/relationships" r:embed="rId974"/>
        <a:stretch>
          <a:fillRect/>
        </a:stretch>
      </xdr:blipFill>
      <xdr:spPr>
        <a:prstGeom prst="rect">
          <a:avLst/>
        </a:prstGeom>
        <a:ln w="9525">
          <a:solidFill>
            <a:srgbClr val="000000"/>
          </a:solidFill>
          <a:prstDash val="solid"/>
        </a:ln>
      </xdr:spPr>
    </xdr:pic>
    <xdr:clientData/>
  </xdr:twoCellAnchor>
  <xdr:twoCellAnchor>
    <xdr:from>
      <xdr:col>3</xdr:col>
      <xdr:colOff>114300</xdr:colOff>
      <xdr:row>2213</xdr:row>
      <xdr:rowOff>28575</xdr:rowOff>
    </xdr:from>
    <xdr:to>
      <xdr:col>3</xdr:col>
      <xdr:colOff>1552575</xdr:colOff>
      <xdr:row>2213</xdr:row>
      <xdr:rowOff>1266825</xdr:rowOff>
    </xdr:to>
    <xdr:pic>
      <xdr:nvPicPr>
        <xdr:cNvPr id="998" name="Имя " descr="Descr ">
          <a:extLst>
            <a:ext uri="{FF2B5EF4-FFF2-40B4-BE49-F238E27FC236}">
              <a16:creationId xmlns:a16="http://schemas.microsoft.com/office/drawing/2014/main" id="{00000000-0008-0000-0000-0000E6030000}"/>
            </a:ext>
          </a:extLst>
        </xdr:cNvPr>
        <xdr:cNvPicPr>
          <a:picLocks noChangeAspect="1"/>
        </xdr:cNvPicPr>
      </xdr:nvPicPr>
      <xdr:blipFill>
        <a:blip xmlns:r="http://schemas.openxmlformats.org/officeDocument/2006/relationships" r:embed="rId975"/>
        <a:stretch>
          <a:fillRect/>
        </a:stretch>
      </xdr:blipFill>
      <xdr:spPr>
        <a:prstGeom prst="rect">
          <a:avLst/>
        </a:prstGeom>
        <a:ln w="9525">
          <a:solidFill>
            <a:srgbClr val="000000"/>
          </a:solidFill>
          <a:prstDash val="solid"/>
        </a:ln>
      </xdr:spPr>
    </xdr:pic>
    <xdr:clientData/>
  </xdr:twoCellAnchor>
  <xdr:twoCellAnchor>
    <xdr:from>
      <xdr:col>3</xdr:col>
      <xdr:colOff>114300</xdr:colOff>
      <xdr:row>2214</xdr:row>
      <xdr:rowOff>28575</xdr:rowOff>
    </xdr:from>
    <xdr:to>
      <xdr:col>3</xdr:col>
      <xdr:colOff>1552575</xdr:colOff>
      <xdr:row>2216</xdr:row>
      <xdr:rowOff>419100</xdr:rowOff>
    </xdr:to>
    <xdr:pic>
      <xdr:nvPicPr>
        <xdr:cNvPr id="999" name="Имя " descr="Descr ">
          <a:extLst>
            <a:ext uri="{FF2B5EF4-FFF2-40B4-BE49-F238E27FC236}">
              <a16:creationId xmlns:a16="http://schemas.microsoft.com/office/drawing/2014/main" id="{00000000-0008-0000-0000-0000E7030000}"/>
            </a:ext>
          </a:extLst>
        </xdr:cNvPr>
        <xdr:cNvPicPr>
          <a:picLocks noChangeAspect="1"/>
        </xdr:cNvPicPr>
      </xdr:nvPicPr>
      <xdr:blipFill>
        <a:blip xmlns:r="http://schemas.openxmlformats.org/officeDocument/2006/relationships" r:embed="rId976"/>
        <a:stretch>
          <a:fillRect/>
        </a:stretch>
      </xdr:blipFill>
      <xdr:spPr>
        <a:prstGeom prst="rect">
          <a:avLst/>
        </a:prstGeom>
        <a:ln w="9525">
          <a:solidFill>
            <a:srgbClr val="000000"/>
          </a:solidFill>
          <a:prstDash val="solid"/>
        </a:ln>
      </xdr:spPr>
    </xdr:pic>
    <xdr:clientData/>
  </xdr:twoCellAnchor>
  <xdr:twoCellAnchor>
    <xdr:from>
      <xdr:col>3</xdr:col>
      <xdr:colOff>114300</xdr:colOff>
      <xdr:row>2217</xdr:row>
      <xdr:rowOff>28575</xdr:rowOff>
    </xdr:from>
    <xdr:to>
      <xdr:col>3</xdr:col>
      <xdr:colOff>1552575</xdr:colOff>
      <xdr:row>2219</xdr:row>
      <xdr:rowOff>419100</xdr:rowOff>
    </xdr:to>
    <xdr:pic>
      <xdr:nvPicPr>
        <xdr:cNvPr id="1000" name="Имя " descr="Descr ">
          <a:extLst>
            <a:ext uri="{FF2B5EF4-FFF2-40B4-BE49-F238E27FC236}">
              <a16:creationId xmlns:a16="http://schemas.microsoft.com/office/drawing/2014/main" id="{00000000-0008-0000-0000-0000E8030000}"/>
            </a:ext>
          </a:extLst>
        </xdr:cNvPr>
        <xdr:cNvPicPr>
          <a:picLocks noChangeAspect="1"/>
        </xdr:cNvPicPr>
      </xdr:nvPicPr>
      <xdr:blipFill>
        <a:blip xmlns:r="http://schemas.openxmlformats.org/officeDocument/2006/relationships" r:embed="rId977"/>
        <a:stretch>
          <a:fillRect/>
        </a:stretch>
      </xdr:blipFill>
      <xdr:spPr>
        <a:prstGeom prst="rect">
          <a:avLst/>
        </a:prstGeom>
        <a:ln w="9525">
          <a:solidFill>
            <a:srgbClr val="000000"/>
          </a:solidFill>
          <a:prstDash val="solid"/>
        </a:ln>
      </xdr:spPr>
    </xdr:pic>
    <xdr:clientData/>
  </xdr:twoCellAnchor>
  <xdr:twoCellAnchor>
    <xdr:from>
      <xdr:col>3</xdr:col>
      <xdr:colOff>114300</xdr:colOff>
      <xdr:row>2220</xdr:row>
      <xdr:rowOff>28575</xdr:rowOff>
    </xdr:from>
    <xdr:to>
      <xdr:col>3</xdr:col>
      <xdr:colOff>1552575</xdr:colOff>
      <xdr:row>2225</xdr:row>
      <xdr:rowOff>209550</xdr:rowOff>
    </xdr:to>
    <xdr:pic>
      <xdr:nvPicPr>
        <xdr:cNvPr id="1001" name="Имя " descr="Descr ">
          <a:extLst>
            <a:ext uri="{FF2B5EF4-FFF2-40B4-BE49-F238E27FC236}">
              <a16:creationId xmlns:a16="http://schemas.microsoft.com/office/drawing/2014/main" id="{00000000-0008-0000-0000-0000E9030000}"/>
            </a:ext>
          </a:extLst>
        </xdr:cNvPr>
        <xdr:cNvPicPr>
          <a:picLocks noChangeAspect="1"/>
        </xdr:cNvPicPr>
      </xdr:nvPicPr>
      <xdr:blipFill>
        <a:blip xmlns:r="http://schemas.openxmlformats.org/officeDocument/2006/relationships" r:embed="rId978"/>
        <a:stretch>
          <a:fillRect/>
        </a:stretch>
      </xdr:blipFill>
      <xdr:spPr>
        <a:prstGeom prst="rect">
          <a:avLst/>
        </a:prstGeom>
        <a:ln w="9525">
          <a:solidFill>
            <a:srgbClr val="000000"/>
          </a:solidFill>
          <a:prstDash val="solid"/>
        </a:ln>
      </xdr:spPr>
    </xdr:pic>
    <xdr:clientData/>
  </xdr:twoCellAnchor>
  <xdr:twoCellAnchor>
    <xdr:from>
      <xdr:col>3</xdr:col>
      <xdr:colOff>114300</xdr:colOff>
      <xdr:row>2226</xdr:row>
      <xdr:rowOff>28575</xdr:rowOff>
    </xdr:from>
    <xdr:to>
      <xdr:col>3</xdr:col>
      <xdr:colOff>1552575</xdr:colOff>
      <xdr:row>2226</xdr:row>
      <xdr:rowOff>1266825</xdr:rowOff>
    </xdr:to>
    <xdr:pic>
      <xdr:nvPicPr>
        <xdr:cNvPr id="1002" name="Имя " descr="Descr ">
          <a:extLst>
            <a:ext uri="{FF2B5EF4-FFF2-40B4-BE49-F238E27FC236}">
              <a16:creationId xmlns:a16="http://schemas.microsoft.com/office/drawing/2014/main" id="{00000000-0008-0000-0000-0000EA030000}"/>
            </a:ext>
          </a:extLst>
        </xdr:cNvPr>
        <xdr:cNvPicPr>
          <a:picLocks noChangeAspect="1"/>
        </xdr:cNvPicPr>
      </xdr:nvPicPr>
      <xdr:blipFill>
        <a:blip xmlns:r="http://schemas.openxmlformats.org/officeDocument/2006/relationships" r:embed="rId979"/>
        <a:stretch>
          <a:fillRect/>
        </a:stretch>
      </xdr:blipFill>
      <xdr:spPr>
        <a:prstGeom prst="rect">
          <a:avLst/>
        </a:prstGeom>
        <a:ln w="9525">
          <a:solidFill>
            <a:srgbClr val="000000"/>
          </a:solidFill>
          <a:prstDash val="solid"/>
        </a:ln>
      </xdr:spPr>
    </xdr:pic>
    <xdr:clientData/>
  </xdr:twoCellAnchor>
  <xdr:twoCellAnchor>
    <xdr:from>
      <xdr:col>3</xdr:col>
      <xdr:colOff>114300</xdr:colOff>
      <xdr:row>2227</xdr:row>
      <xdr:rowOff>38100</xdr:rowOff>
    </xdr:from>
    <xdr:to>
      <xdr:col>3</xdr:col>
      <xdr:colOff>1552575</xdr:colOff>
      <xdr:row>2228</xdr:row>
      <xdr:rowOff>638175</xdr:rowOff>
    </xdr:to>
    <xdr:pic>
      <xdr:nvPicPr>
        <xdr:cNvPr id="1003" name="Имя " descr="Descr ">
          <a:extLst>
            <a:ext uri="{FF2B5EF4-FFF2-40B4-BE49-F238E27FC236}">
              <a16:creationId xmlns:a16="http://schemas.microsoft.com/office/drawing/2014/main" id="{00000000-0008-0000-0000-0000EB030000}"/>
            </a:ext>
          </a:extLst>
        </xdr:cNvPr>
        <xdr:cNvPicPr>
          <a:picLocks noChangeAspect="1"/>
        </xdr:cNvPicPr>
      </xdr:nvPicPr>
      <xdr:blipFill>
        <a:blip xmlns:r="http://schemas.openxmlformats.org/officeDocument/2006/relationships" r:embed="rId980"/>
        <a:stretch>
          <a:fillRect/>
        </a:stretch>
      </xdr:blipFill>
      <xdr:spPr>
        <a:prstGeom prst="rect">
          <a:avLst/>
        </a:prstGeom>
        <a:ln w="9525">
          <a:solidFill>
            <a:srgbClr val="000000"/>
          </a:solidFill>
          <a:prstDash val="solid"/>
        </a:ln>
      </xdr:spPr>
    </xdr:pic>
    <xdr:clientData/>
  </xdr:twoCellAnchor>
  <xdr:twoCellAnchor>
    <xdr:from>
      <xdr:col>3</xdr:col>
      <xdr:colOff>114300</xdr:colOff>
      <xdr:row>2229</xdr:row>
      <xdr:rowOff>38100</xdr:rowOff>
    </xdr:from>
    <xdr:to>
      <xdr:col>3</xdr:col>
      <xdr:colOff>1552575</xdr:colOff>
      <xdr:row>2230</xdr:row>
      <xdr:rowOff>638175</xdr:rowOff>
    </xdr:to>
    <xdr:pic>
      <xdr:nvPicPr>
        <xdr:cNvPr id="1004" name="Имя " descr="Descr ">
          <a:extLst>
            <a:ext uri="{FF2B5EF4-FFF2-40B4-BE49-F238E27FC236}">
              <a16:creationId xmlns:a16="http://schemas.microsoft.com/office/drawing/2014/main" id="{00000000-0008-0000-0000-0000EC030000}"/>
            </a:ext>
          </a:extLst>
        </xdr:cNvPr>
        <xdr:cNvPicPr>
          <a:picLocks noChangeAspect="1"/>
        </xdr:cNvPicPr>
      </xdr:nvPicPr>
      <xdr:blipFill>
        <a:blip xmlns:r="http://schemas.openxmlformats.org/officeDocument/2006/relationships" r:embed="rId981"/>
        <a:stretch>
          <a:fillRect/>
        </a:stretch>
      </xdr:blipFill>
      <xdr:spPr>
        <a:prstGeom prst="rect">
          <a:avLst/>
        </a:prstGeom>
        <a:ln w="9525">
          <a:solidFill>
            <a:srgbClr val="000000"/>
          </a:solidFill>
          <a:prstDash val="solid"/>
        </a:ln>
      </xdr:spPr>
    </xdr:pic>
    <xdr:clientData/>
  </xdr:twoCellAnchor>
  <xdr:twoCellAnchor>
    <xdr:from>
      <xdr:col>3</xdr:col>
      <xdr:colOff>114300</xdr:colOff>
      <xdr:row>2231</xdr:row>
      <xdr:rowOff>28575</xdr:rowOff>
    </xdr:from>
    <xdr:to>
      <xdr:col>3</xdr:col>
      <xdr:colOff>1552575</xdr:colOff>
      <xdr:row>2233</xdr:row>
      <xdr:rowOff>419100</xdr:rowOff>
    </xdr:to>
    <xdr:pic>
      <xdr:nvPicPr>
        <xdr:cNvPr id="1005" name="Имя " descr="Descr ">
          <a:extLst>
            <a:ext uri="{FF2B5EF4-FFF2-40B4-BE49-F238E27FC236}">
              <a16:creationId xmlns:a16="http://schemas.microsoft.com/office/drawing/2014/main" id="{00000000-0008-0000-0000-0000ED030000}"/>
            </a:ext>
          </a:extLst>
        </xdr:cNvPr>
        <xdr:cNvPicPr>
          <a:picLocks noChangeAspect="1"/>
        </xdr:cNvPicPr>
      </xdr:nvPicPr>
      <xdr:blipFill>
        <a:blip xmlns:r="http://schemas.openxmlformats.org/officeDocument/2006/relationships" r:embed="rId982"/>
        <a:stretch>
          <a:fillRect/>
        </a:stretch>
      </xdr:blipFill>
      <xdr:spPr>
        <a:prstGeom prst="rect">
          <a:avLst/>
        </a:prstGeom>
        <a:ln w="9525">
          <a:solidFill>
            <a:srgbClr val="000000"/>
          </a:solidFill>
          <a:prstDash val="solid"/>
        </a:ln>
      </xdr:spPr>
    </xdr:pic>
    <xdr:clientData/>
  </xdr:twoCellAnchor>
  <xdr:twoCellAnchor>
    <xdr:from>
      <xdr:col>3</xdr:col>
      <xdr:colOff>114300</xdr:colOff>
      <xdr:row>2234</xdr:row>
      <xdr:rowOff>28575</xdr:rowOff>
    </xdr:from>
    <xdr:to>
      <xdr:col>3</xdr:col>
      <xdr:colOff>1552575</xdr:colOff>
      <xdr:row>2234</xdr:row>
      <xdr:rowOff>1266825</xdr:rowOff>
    </xdr:to>
    <xdr:pic>
      <xdr:nvPicPr>
        <xdr:cNvPr id="1006" name="Имя " descr="Descr ">
          <a:extLst>
            <a:ext uri="{FF2B5EF4-FFF2-40B4-BE49-F238E27FC236}">
              <a16:creationId xmlns:a16="http://schemas.microsoft.com/office/drawing/2014/main" id="{00000000-0008-0000-0000-0000EE030000}"/>
            </a:ext>
          </a:extLst>
        </xdr:cNvPr>
        <xdr:cNvPicPr>
          <a:picLocks noChangeAspect="1"/>
        </xdr:cNvPicPr>
      </xdr:nvPicPr>
      <xdr:blipFill>
        <a:blip xmlns:r="http://schemas.openxmlformats.org/officeDocument/2006/relationships" r:embed="rId983"/>
        <a:stretch>
          <a:fillRect/>
        </a:stretch>
      </xdr:blipFill>
      <xdr:spPr>
        <a:prstGeom prst="rect">
          <a:avLst/>
        </a:prstGeom>
        <a:ln w="9525">
          <a:solidFill>
            <a:srgbClr val="000000"/>
          </a:solidFill>
          <a:prstDash val="solid"/>
        </a:ln>
      </xdr:spPr>
    </xdr:pic>
    <xdr:clientData/>
  </xdr:twoCellAnchor>
  <xdr:twoCellAnchor>
    <xdr:from>
      <xdr:col>3</xdr:col>
      <xdr:colOff>114300</xdr:colOff>
      <xdr:row>2235</xdr:row>
      <xdr:rowOff>38100</xdr:rowOff>
    </xdr:from>
    <xdr:to>
      <xdr:col>3</xdr:col>
      <xdr:colOff>1552575</xdr:colOff>
      <xdr:row>2236</xdr:row>
      <xdr:rowOff>638175</xdr:rowOff>
    </xdr:to>
    <xdr:pic>
      <xdr:nvPicPr>
        <xdr:cNvPr id="1007" name="Имя " descr="Descr ">
          <a:extLst>
            <a:ext uri="{FF2B5EF4-FFF2-40B4-BE49-F238E27FC236}">
              <a16:creationId xmlns:a16="http://schemas.microsoft.com/office/drawing/2014/main" id="{00000000-0008-0000-0000-0000EF030000}"/>
            </a:ext>
          </a:extLst>
        </xdr:cNvPr>
        <xdr:cNvPicPr>
          <a:picLocks noChangeAspect="1"/>
        </xdr:cNvPicPr>
      </xdr:nvPicPr>
      <xdr:blipFill>
        <a:blip xmlns:r="http://schemas.openxmlformats.org/officeDocument/2006/relationships" r:embed="rId984"/>
        <a:stretch>
          <a:fillRect/>
        </a:stretch>
      </xdr:blipFill>
      <xdr:spPr>
        <a:prstGeom prst="rect">
          <a:avLst/>
        </a:prstGeom>
        <a:ln w="9525">
          <a:solidFill>
            <a:srgbClr val="000000"/>
          </a:solidFill>
          <a:prstDash val="solid"/>
        </a:ln>
      </xdr:spPr>
    </xdr:pic>
    <xdr:clientData/>
  </xdr:twoCellAnchor>
  <xdr:twoCellAnchor>
    <xdr:from>
      <xdr:col>3</xdr:col>
      <xdr:colOff>114300</xdr:colOff>
      <xdr:row>2237</xdr:row>
      <xdr:rowOff>28575</xdr:rowOff>
    </xdr:from>
    <xdr:to>
      <xdr:col>3</xdr:col>
      <xdr:colOff>1552575</xdr:colOff>
      <xdr:row>2237</xdr:row>
      <xdr:rowOff>1266825</xdr:rowOff>
    </xdr:to>
    <xdr:pic>
      <xdr:nvPicPr>
        <xdr:cNvPr id="1008" name="Имя " descr="Descr ">
          <a:extLst>
            <a:ext uri="{FF2B5EF4-FFF2-40B4-BE49-F238E27FC236}">
              <a16:creationId xmlns:a16="http://schemas.microsoft.com/office/drawing/2014/main" id="{00000000-0008-0000-0000-0000F0030000}"/>
            </a:ext>
          </a:extLst>
        </xdr:cNvPr>
        <xdr:cNvPicPr>
          <a:picLocks noChangeAspect="1"/>
        </xdr:cNvPicPr>
      </xdr:nvPicPr>
      <xdr:blipFill>
        <a:blip xmlns:r="http://schemas.openxmlformats.org/officeDocument/2006/relationships" r:embed="rId985"/>
        <a:stretch>
          <a:fillRect/>
        </a:stretch>
      </xdr:blipFill>
      <xdr:spPr>
        <a:prstGeom prst="rect">
          <a:avLst/>
        </a:prstGeom>
        <a:ln w="9525">
          <a:solidFill>
            <a:srgbClr val="000000"/>
          </a:solidFill>
          <a:prstDash val="solid"/>
        </a:ln>
      </xdr:spPr>
    </xdr:pic>
    <xdr:clientData/>
  </xdr:twoCellAnchor>
  <xdr:twoCellAnchor>
    <xdr:from>
      <xdr:col>3</xdr:col>
      <xdr:colOff>114300</xdr:colOff>
      <xdr:row>2238</xdr:row>
      <xdr:rowOff>28575</xdr:rowOff>
    </xdr:from>
    <xdr:to>
      <xdr:col>3</xdr:col>
      <xdr:colOff>1552575</xdr:colOff>
      <xdr:row>2238</xdr:row>
      <xdr:rowOff>1266825</xdr:rowOff>
    </xdr:to>
    <xdr:pic>
      <xdr:nvPicPr>
        <xdr:cNvPr id="1009" name="Имя " descr="Descr ">
          <a:extLst>
            <a:ext uri="{FF2B5EF4-FFF2-40B4-BE49-F238E27FC236}">
              <a16:creationId xmlns:a16="http://schemas.microsoft.com/office/drawing/2014/main" id="{00000000-0008-0000-0000-0000F1030000}"/>
            </a:ext>
          </a:extLst>
        </xdr:cNvPr>
        <xdr:cNvPicPr>
          <a:picLocks noChangeAspect="1"/>
        </xdr:cNvPicPr>
      </xdr:nvPicPr>
      <xdr:blipFill>
        <a:blip xmlns:r="http://schemas.openxmlformats.org/officeDocument/2006/relationships" r:embed="rId986"/>
        <a:stretch>
          <a:fillRect/>
        </a:stretch>
      </xdr:blipFill>
      <xdr:spPr>
        <a:prstGeom prst="rect">
          <a:avLst/>
        </a:prstGeom>
        <a:ln w="9525">
          <a:solidFill>
            <a:srgbClr val="000000"/>
          </a:solidFill>
          <a:prstDash val="solid"/>
        </a:ln>
      </xdr:spPr>
    </xdr:pic>
    <xdr:clientData/>
  </xdr:twoCellAnchor>
  <xdr:twoCellAnchor>
    <xdr:from>
      <xdr:col>3</xdr:col>
      <xdr:colOff>114300</xdr:colOff>
      <xdr:row>2239</xdr:row>
      <xdr:rowOff>28575</xdr:rowOff>
    </xdr:from>
    <xdr:to>
      <xdr:col>3</xdr:col>
      <xdr:colOff>1552575</xdr:colOff>
      <xdr:row>2241</xdr:row>
      <xdr:rowOff>419100</xdr:rowOff>
    </xdr:to>
    <xdr:pic>
      <xdr:nvPicPr>
        <xdr:cNvPr id="1010" name="Имя " descr="Descr ">
          <a:extLst>
            <a:ext uri="{FF2B5EF4-FFF2-40B4-BE49-F238E27FC236}">
              <a16:creationId xmlns:a16="http://schemas.microsoft.com/office/drawing/2014/main" id="{00000000-0008-0000-0000-0000F2030000}"/>
            </a:ext>
          </a:extLst>
        </xdr:cNvPr>
        <xdr:cNvPicPr>
          <a:picLocks noChangeAspect="1"/>
        </xdr:cNvPicPr>
      </xdr:nvPicPr>
      <xdr:blipFill>
        <a:blip xmlns:r="http://schemas.openxmlformats.org/officeDocument/2006/relationships" r:embed="rId987"/>
        <a:stretch>
          <a:fillRect/>
        </a:stretch>
      </xdr:blipFill>
      <xdr:spPr>
        <a:prstGeom prst="rect">
          <a:avLst/>
        </a:prstGeom>
        <a:ln w="9525">
          <a:solidFill>
            <a:srgbClr val="000000"/>
          </a:solidFill>
          <a:prstDash val="solid"/>
        </a:ln>
      </xdr:spPr>
    </xdr:pic>
    <xdr:clientData/>
  </xdr:twoCellAnchor>
  <xdr:twoCellAnchor>
    <xdr:from>
      <xdr:col>3</xdr:col>
      <xdr:colOff>114300</xdr:colOff>
      <xdr:row>2242</xdr:row>
      <xdr:rowOff>38100</xdr:rowOff>
    </xdr:from>
    <xdr:to>
      <xdr:col>3</xdr:col>
      <xdr:colOff>1552575</xdr:colOff>
      <xdr:row>2243</xdr:row>
      <xdr:rowOff>638175</xdr:rowOff>
    </xdr:to>
    <xdr:pic>
      <xdr:nvPicPr>
        <xdr:cNvPr id="1011" name="Имя " descr="Descr ">
          <a:extLst>
            <a:ext uri="{FF2B5EF4-FFF2-40B4-BE49-F238E27FC236}">
              <a16:creationId xmlns:a16="http://schemas.microsoft.com/office/drawing/2014/main" id="{00000000-0008-0000-0000-0000F3030000}"/>
            </a:ext>
          </a:extLst>
        </xdr:cNvPr>
        <xdr:cNvPicPr>
          <a:picLocks noChangeAspect="1"/>
        </xdr:cNvPicPr>
      </xdr:nvPicPr>
      <xdr:blipFill>
        <a:blip xmlns:r="http://schemas.openxmlformats.org/officeDocument/2006/relationships" r:embed="rId988"/>
        <a:stretch>
          <a:fillRect/>
        </a:stretch>
      </xdr:blipFill>
      <xdr:spPr>
        <a:prstGeom prst="rect">
          <a:avLst/>
        </a:prstGeom>
        <a:ln w="9525">
          <a:solidFill>
            <a:srgbClr val="000000"/>
          </a:solidFill>
          <a:prstDash val="solid"/>
        </a:ln>
      </xdr:spPr>
    </xdr:pic>
    <xdr:clientData/>
  </xdr:twoCellAnchor>
  <xdr:twoCellAnchor>
    <xdr:from>
      <xdr:col>3</xdr:col>
      <xdr:colOff>114300</xdr:colOff>
      <xdr:row>2244</xdr:row>
      <xdr:rowOff>28575</xdr:rowOff>
    </xdr:from>
    <xdr:to>
      <xdr:col>3</xdr:col>
      <xdr:colOff>1552575</xdr:colOff>
      <xdr:row>2246</xdr:row>
      <xdr:rowOff>419100</xdr:rowOff>
    </xdr:to>
    <xdr:pic>
      <xdr:nvPicPr>
        <xdr:cNvPr id="1012" name="Имя " descr="Descr ">
          <a:extLst>
            <a:ext uri="{FF2B5EF4-FFF2-40B4-BE49-F238E27FC236}">
              <a16:creationId xmlns:a16="http://schemas.microsoft.com/office/drawing/2014/main" id="{00000000-0008-0000-0000-0000F4030000}"/>
            </a:ext>
          </a:extLst>
        </xdr:cNvPr>
        <xdr:cNvPicPr>
          <a:picLocks noChangeAspect="1"/>
        </xdr:cNvPicPr>
      </xdr:nvPicPr>
      <xdr:blipFill>
        <a:blip xmlns:r="http://schemas.openxmlformats.org/officeDocument/2006/relationships" r:embed="rId989"/>
        <a:stretch>
          <a:fillRect/>
        </a:stretch>
      </xdr:blipFill>
      <xdr:spPr>
        <a:prstGeom prst="rect">
          <a:avLst/>
        </a:prstGeom>
        <a:ln w="9525">
          <a:solidFill>
            <a:srgbClr val="000000"/>
          </a:solidFill>
          <a:prstDash val="solid"/>
        </a:ln>
      </xdr:spPr>
    </xdr:pic>
    <xdr:clientData/>
  </xdr:twoCellAnchor>
  <xdr:twoCellAnchor>
    <xdr:from>
      <xdr:col>3</xdr:col>
      <xdr:colOff>114300</xdr:colOff>
      <xdr:row>2247</xdr:row>
      <xdr:rowOff>38100</xdr:rowOff>
    </xdr:from>
    <xdr:to>
      <xdr:col>3</xdr:col>
      <xdr:colOff>1552575</xdr:colOff>
      <xdr:row>2248</xdr:row>
      <xdr:rowOff>638175</xdr:rowOff>
    </xdr:to>
    <xdr:pic>
      <xdr:nvPicPr>
        <xdr:cNvPr id="1013" name="Имя " descr="Descr ">
          <a:extLst>
            <a:ext uri="{FF2B5EF4-FFF2-40B4-BE49-F238E27FC236}">
              <a16:creationId xmlns:a16="http://schemas.microsoft.com/office/drawing/2014/main" id="{00000000-0008-0000-0000-0000F5030000}"/>
            </a:ext>
          </a:extLst>
        </xdr:cNvPr>
        <xdr:cNvPicPr>
          <a:picLocks noChangeAspect="1"/>
        </xdr:cNvPicPr>
      </xdr:nvPicPr>
      <xdr:blipFill>
        <a:blip xmlns:r="http://schemas.openxmlformats.org/officeDocument/2006/relationships" r:embed="rId990"/>
        <a:stretch>
          <a:fillRect/>
        </a:stretch>
      </xdr:blipFill>
      <xdr:spPr>
        <a:prstGeom prst="rect">
          <a:avLst/>
        </a:prstGeom>
        <a:ln w="9525">
          <a:solidFill>
            <a:srgbClr val="000000"/>
          </a:solidFill>
          <a:prstDash val="solid"/>
        </a:ln>
      </xdr:spPr>
    </xdr:pic>
    <xdr:clientData/>
  </xdr:twoCellAnchor>
  <xdr:twoCellAnchor>
    <xdr:from>
      <xdr:col>3</xdr:col>
      <xdr:colOff>114300</xdr:colOff>
      <xdr:row>2249</xdr:row>
      <xdr:rowOff>28575</xdr:rowOff>
    </xdr:from>
    <xdr:to>
      <xdr:col>3</xdr:col>
      <xdr:colOff>1552575</xdr:colOff>
      <xdr:row>2249</xdr:row>
      <xdr:rowOff>1266825</xdr:rowOff>
    </xdr:to>
    <xdr:pic>
      <xdr:nvPicPr>
        <xdr:cNvPr id="1014" name="Имя " descr="Descr ">
          <a:extLst>
            <a:ext uri="{FF2B5EF4-FFF2-40B4-BE49-F238E27FC236}">
              <a16:creationId xmlns:a16="http://schemas.microsoft.com/office/drawing/2014/main" id="{00000000-0008-0000-0000-0000F6030000}"/>
            </a:ext>
          </a:extLst>
        </xdr:cNvPr>
        <xdr:cNvPicPr>
          <a:picLocks noChangeAspect="1"/>
        </xdr:cNvPicPr>
      </xdr:nvPicPr>
      <xdr:blipFill>
        <a:blip xmlns:r="http://schemas.openxmlformats.org/officeDocument/2006/relationships" r:embed="rId991"/>
        <a:stretch>
          <a:fillRect/>
        </a:stretch>
      </xdr:blipFill>
      <xdr:spPr>
        <a:prstGeom prst="rect">
          <a:avLst/>
        </a:prstGeom>
        <a:ln w="9525">
          <a:solidFill>
            <a:srgbClr val="000000"/>
          </a:solidFill>
          <a:prstDash val="solid"/>
        </a:ln>
      </xdr:spPr>
    </xdr:pic>
    <xdr:clientData/>
  </xdr:twoCellAnchor>
  <xdr:twoCellAnchor>
    <xdr:from>
      <xdr:col>3</xdr:col>
      <xdr:colOff>114300</xdr:colOff>
      <xdr:row>2250</xdr:row>
      <xdr:rowOff>28575</xdr:rowOff>
    </xdr:from>
    <xdr:to>
      <xdr:col>3</xdr:col>
      <xdr:colOff>1552575</xdr:colOff>
      <xdr:row>2250</xdr:row>
      <xdr:rowOff>1266825</xdr:rowOff>
    </xdr:to>
    <xdr:pic>
      <xdr:nvPicPr>
        <xdr:cNvPr id="1015" name="Имя " descr="Descr ">
          <a:extLst>
            <a:ext uri="{FF2B5EF4-FFF2-40B4-BE49-F238E27FC236}">
              <a16:creationId xmlns:a16="http://schemas.microsoft.com/office/drawing/2014/main" id="{00000000-0008-0000-0000-0000F7030000}"/>
            </a:ext>
          </a:extLst>
        </xdr:cNvPr>
        <xdr:cNvPicPr>
          <a:picLocks noChangeAspect="1"/>
        </xdr:cNvPicPr>
      </xdr:nvPicPr>
      <xdr:blipFill>
        <a:blip xmlns:r="http://schemas.openxmlformats.org/officeDocument/2006/relationships" r:embed="rId992"/>
        <a:stretch>
          <a:fillRect/>
        </a:stretch>
      </xdr:blipFill>
      <xdr:spPr>
        <a:prstGeom prst="rect">
          <a:avLst/>
        </a:prstGeom>
        <a:ln w="9525">
          <a:solidFill>
            <a:srgbClr val="000000"/>
          </a:solidFill>
          <a:prstDash val="solid"/>
        </a:ln>
      </xdr:spPr>
    </xdr:pic>
    <xdr:clientData/>
  </xdr:twoCellAnchor>
  <xdr:twoCellAnchor>
    <xdr:from>
      <xdr:col>3</xdr:col>
      <xdr:colOff>114300</xdr:colOff>
      <xdr:row>2251</xdr:row>
      <xdr:rowOff>28575</xdr:rowOff>
    </xdr:from>
    <xdr:to>
      <xdr:col>3</xdr:col>
      <xdr:colOff>1552575</xdr:colOff>
      <xdr:row>2251</xdr:row>
      <xdr:rowOff>1266825</xdr:rowOff>
    </xdr:to>
    <xdr:pic>
      <xdr:nvPicPr>
        <xdr:cNvPr id="1016" name="Имя " descr="Descr ">
          <a:extLst>
            <a:ext uri="{FF2B5EF4-FFF2-40B4-BE49-F238E27FC236}">
              <a16:creationId xmlns:a16="http://schemas.microsoft.com/office/drawing/2014/main" id="{00000000-0008-0000-0000-0000F8030000}"/>
            </a:ext>
          </a:extLst>
        </xdr:cNvPr>
        <xdr:cNvPicPr>
          <a:picLocks noChangeAspect="1"/>
        </xdr:cNvPicPr>
      </xdr:nvPicPr>
      <xdr:blipFill>
        <a:blip xmlns:r="http://schemas.openxmlformats.org/officeDocument/2006/relationships" r:embed="rId993"/>
        <a:stretch>
          <a:fillRect/>
        </a:stretch>
      </xdr:blipFill>
      <xdr:spPr>
        <a:prstGeom prst="rect">
          <a:avLst/>
        </a:prstGeom>
        <a:ln w="9525">
          <a:solidFill>
            <a:srgbClr val="000000"/>
          </a:solidFill>
          <a:prstDash val="solid"/>
        </a:ln>
      </xdr:spPr>
    </xdr:pic>
    <xdr:clientData/>
  </xdr:twoCellAnchor>
  <xdr:twoCellAnchor>
    <xdr:from>
      <xdr:col>3</xdr:col>
      <xdr:colOff>114300</xdr:colOff>
      <xdr:row>2252</xdr:row>
      <xdr:rowOff>38100</xdr:rowOff>
    </xdr:from>
    <xdr:to>
      <xdr:col>3</xdr:col>
      <xdr:colOff>1552575</xdr:colOff>
      <xdr:row>2253</xdr:row>
      <xdr:rowOff>638175</xdr:rowOff>
    </xdr:to>
    <xdr:pic>
      <xdr:nvPicPr>
        <xdr:cNvPr id="1017" name="Имя " descr="Descr ">
          <a:extLst>
            <a:ext uri="{FF2B5EF4-FFF2-40B4-BE49-F238E27FC236}">
              <a16:creationId xmlns:a16="http://schemas.microsoft.com/office/drawing/2014/main" id="{00000000-0008-0000-0000-0000F9030000}"/>
            </a:ext>
          </a:extLst>
        </xdr:cNvPr>
        <xdr:cNvPicPr>
          <a:picLocks noChangeAspect="1"/>
        </xdr:cNvPicPr>
      </xdr:nvPicPr>
      <xdr:blipFill>
        <a:blip xmlns:r="http://schemas.openxmlformats.org/officeDocument/2006/relationships" r:embed="rId994"/>
        <a:stretch>
          <a:fillRect/>
        </a:stretch>
      </xdr:blipFill>
      <xdr:spPr>
        <a:prstGeom prst="rect">
          <a:avLst/>
        </a:prstGeom>
        <a:ln w="9525">
          <a:solidFill>
            <a:srgbClr val="000000"/>
          </a:solidFill>
          <a:prstDash val="solid"/>
        </a:ln>
      </xdr:spPr>
    </xdr:pic>
    <xdr:clientData/>
  </xdr:twoCellAnchor>
  <xdr:twoCellAnchor>
    <xdr:from>
      <xdr:col>3</xdr:col>
      <xdr:colOff>114300</xdr:colOff>
      <xdr:row>2254</xdr:row>
      <xdr:rowOff>28575</xdr:rowOff>
    </xdr:from>
    <xdr:to>
      <xdr:col>3</xdr:col>
      <xdr:colOff>1552575</xdr:colOff>
      <xdr:row>2254</xdr:row>
      <xdr:rowOff>1266825</xdr:rowOff>
    </xdr:to>
    <xdr:pic>
      <xdr:nvPicPr>
        <xdr:cNvPr id="1018" name="Имя " descr="Descr ">
          <a:extLst>
            <a:ext uri="{FF2B5EF4-FFF2-40B4-BE49-F238E27FC236}">
              <a16:creationId xmlns:a16="http://schemas.microsoft.com/office/drawing/2014/main" id="{00000000-0008-0000-0000-0000FA030000}"/>
            </a:ext>
          </a:extLst>
        </xdr:cNvPr>
        <xdr:cNvPicPr>
          <a:picLocks noChangeAspect="1"/>
        </xdr:cNvPicPr>
      </xdr:nvPicPr>
      <xdr:blipFill>
        <a:blip xmlns:r="http://schemas.openxmlformats.org/officeDocument/2006/relationships" r:embed="rId995"/>
        <a:stretch>
          <a:fillRect/>
        </a:stretch>
      </xdr:blipFill>
      <xdr:spPr>
        <a:prstGeom prst="rect">
          <a:avLst/>
        </a:prstGeom>
        <a:ln w="9525">
          <a:solidFill>
            <a:srgbClr val="000000"/>
          </a:solidFill>
          <a:prstDash val="solid"/>
        </a:ln>
      </xdr:spPr>
    </xdr:pic>
    <xdr:clientData/>
  </xdr:twoCellAnchor>
  <xdr:twoCellAnchor>
    <xdr:from>
      <xdr:col>3</xdr:col>
      <xdr:colOff>114300</xdr:colOff>
      <xdr:row>2255</xdr:row>
      <xdr:rowOff>28575</xdr:rowOff>
    </xdr:from>
    <xdr:to>
      <xdr:col>3</xdr:col>
      <xdr:colOff>1552575</xdr:colOff>
      <xdr:row>2258</xdr:row>
      <xdr:rowOff>209550</xdr:rowOff>
    </xdr:to>
    <xdr:pic>
      <xdr:nvPicPr>
        <xdr:cNvPr id="1019" name="Имя " descr="Descr ">
          <a:extLst>
            <a:ext uri="{FF2B5EF4-FFF2-40B4-BE49-F238E27FC236}">
              <a16:creationId xmlns:a16="http://schemas.microsoft.com/office/drawing/2014/main" id="{00000000-0008-0000-0000-0000FB030000}"/>
            </a:ext>
          </a:extLst>
        </xdr:cNvPr>
        <xdr:cNvPicPr>
          <a:picLocks noChangeAspect="1"/>
        </xdr:cNvPicPr>
      </xdr:nvPicPr>
      <xdr:blipFill>
        <a:blip xmlns:r="http://schemas.openxmlformats.org/officeDocument/2006/relationships" r:embed="rId996"/>
        <a:stretch>
          <a:fillRect/>
        </a:stretch>
      </xdr:blipFill>
      <xdr:spPr>
        <a:prstGeom prst="rect">
          <a:avLst/>
        </a:prstGeom>
        <a:ln w="9525">
          <a:solidFill>
            <a:srgbClr val="000000"/>
          </a:solidFill>
          <a:prstDash val="solid"/>
        </a:ln>
      </xdr:spPr>
    </xdr:pic>
    <xdr:clientData/>
  </xdr:twoCellAnchor>
  <xdr:twoCellAnchor>
    <xdr:from>
      <xdr:col>3</xdr:col>
      <xdr:colOff>114300</xdr:colOff>
      <xdr:row>2259</xdr:row>
      <xdr:rowOff>38100</xdr:rowOff>
    </xdr:from>
    <xdr:to>
      <xdr:col>3</xdr:col>
      <xdr:colOff>1552575</xdr:colOff>
      <xdr:row>2260</xdr:row>
      <xdr:rowOff>638175</xdr:rowOff>
    </xdr:to>
    <xdr:pic>
      <xdr:nvPicPr>
        <xdr:cNvPr id="1020" name="Имя " descr="Descr ">
          <a:extLst>
            <a:ext uri="{FF2B5EF4-FFF2-40B4-BE49-F238E27FC236}">
              <a16:creationId xmlns:a16="http://schemas.microsoft.com/office/drawing/2014/main" id="{00000000-0008-0000-0000-0000FC030000}"/>
            </a:ext>
          </a:extLst>
        </xdr:cNvPr>
        <xdr:cNvPicPr>
          <a:picLocks noChangeAspect="1"/>
        </xdr:cNvPicPr>
      </xdr:nvPicPr>
      <xdr:blipFill>
        <a:blip xmlns:r="http://schemas.openxmlformats.org/officeDocument/2006/relationships" r:embed="rId997"/>
        <a:stretch>
          <a:fillRect/>
        </a:stretch>
      </xdr:blipFill>
      <xdr:spPr>
        <a:prstGeom prst="rect">
          <a:avLst/>
        </a:prstGeom>
        <a:ln w="9525">
          <a:solidFill>
            <a:srgbClr val="000000"/>
          </a:solidFill>
          <a:prstDash val="solid"/>
        </a:ln>
      </xdr:spPr>
    </xdr:pic>
    <xdr:clientData/>
  </xdr:twoCellAnchor>
  <xdr:twoCellAnchor>
    <xdr:from>
      <xdr:col>3</xdr:col>
      <xdr:colOff>114300</xdr:colOff>
      <xdr:row>2261</xdr:row>
      <xdr:rowOff>28575</xdr:rowOff>
    </xdr:from>
    <xdr:to>
      <xdr:col>3</xdr:col>
      <xdr:colOff>1552575</xdr:colOff>
      <xdr:row>2264</xdr:row>
      <xdr:rowOff>209550</xdr:rowOff>
    </xdr:to>
    <xdr:pic>
      <xdr:nvPicPr>
        <xdr:cNvPr id="1021" name="Имя " descr="Descr ">
          <a:extLst>
            <a:ext uri="{FF2B5EF4-FFF2-40B4-BE49-F238E27FC236}">
              <a16:creationId xmlns:a16="http://schemas.microsoft.com/office/drawing/2014/main" id="{00000000-0008-0000-0000-0000FD030000}"/>
            </a:ext>
          </a:extLst>
        </xdr:cNvPr>
        <xdr:cNvPicPr>
          <a:picLocks noChangeAspect="1"/>
        </xdr:cNvPicPr>
      </xdr:nvPicPr>
      <xdr:blipFill>
        <a:blip xmlns:r="http://schemas.openxmlformats.org/officeDocument/2006/relationships" r:embed="rId998"/>
        <a:stretch>
          <a:fillRect/>
        </a:stretch>
      </xdr:blipFill>
      <xdr:spPr>
        <a:prstGeom prst="rect">
          <a:avLst/>
        </a:prstGeom>
        <a:ln w="9525">
          <a:solidFill>
            <a:srgbClr val="000000"/>
          </a:solidFill>
          <a:prstDash val="solid"/>
        </a:ln>
      </xdr:spPr>
    </xdr:pic>
    <xdr:clientData/>
  </xdr:twoCellAnchor>
  <xdr:twoCellAnchor>
    <xdr:from>
      <xdr:col>3</xdr:col>
      <xdr:colOff>114300</xdr:colOff>
      <xdr:row>2265</xdr:row>
      <xdr:rowOff>28575</xdr:rowOff>
    </xdr:from>
    <xdr:to>
      <xdr:col>3</xdr:col>
      <xdr:colOff>1552575</xdr:colOff>
      <xdr:row>2265</xdr:row>
      <xdr:rowOff>1266825</xdr:rowOff>
    </xdr:to>
    <xdr:pic>
      <xdr:nvPicPr>
        <xdr:cNvPr id="1022" name="Имя " descr="Descr ">
          <a:extLst>
            <a:ext uri="{FF2B5EF4-FFF2-40B4-BE49-F238E27FC236}">
              <a16:creationId xmlns:a16="http://schemas.microsoft.com/office/drawing/2014/main" id="{00000000-0008-0000-0000-0000FE030000}"/>
            </a:ext>
          </a:extLst>
        </xdr:cNvPr>
        <xdr:cNvPicPr>
          <a:picLocks noChangeAspect="1"/>
        </xdr:cNvPicPr>
      </xdr:nvPicPr>
      <xdr:blipFill>
        <a:blip xmlns:r="http://schemas.openxmlformats.org/officeDocument/2006/relationships" r:embed="rId999"/>
        <a:stretch>
          <a:fillRect/>
        </a:stretch>
      </xdr:blipFill>
      <xdr:spPr>
        <a:prstGeom prst="rect">
          <a:avLst/>
        </a:prstGeom>
        <a:ln w="9525">
          <a:solidFill>
            <a:srgbClr val="000000"/>
          </a:solidFill>
          <a:prstDash val="solid"/>
        </a:ln>
      </xdr:spPr>
    </xdr:pic>
    <xdr:clientData/>
  </xdr:twoCellAnchor>
  <xdr:twoCellAnchor>
    <xdr:from>
      <xdr:col>3</xdr:col>
      <xdr:colOff>114300</xdr:colOff>
      <xdr:row>2266</xdr:row>
      <xdr:rowOff>28575</xdr:rowOff>
    </xdr:from>
    <xdr:to>
      <xdr:col>3</xdr:col>
      <xdr:colOff>1552575</xdr:colOff>
      <xdr:row>2274</xdr:row>
      <xdr:rowOff>133350</xdr:rowOff>
    </xdr:to>
    <xdr:pic>
      <xdr:nvPicPr>
        <xdr:cNvPr id="1023" name="Имя " descr="Descr ">
          <a:extLst>
            <a:ext uri="{FF2B5EF4-FFF2-40B4-BE49-F238E27FC236}">
              <a16:creationId xmlns:a16="http://schemas.microsoft.com/office/drawing/2014/main" id="{00000000-0008-0000-0000-0000FF030000}"/>
            </a:ext>
          </a:extLst>
        </xdr:cNvPr>
        <xdr:cNvPicPr>
          <a:picLocks noChangeAspect="1"/>
        </xdr:cNvPicPr>
      </xdr:nvPicPr>
      <xdr:blipFill>
        <a:blip xmlns:r="http://schemas.openxmlformats.org/officeDocument/2006/relationships" r:embed="rId1000"/>
        <a:stretch>
          <a:fillRect/>
        </a:stretch>
      </xdr:blipFill>
      <xdr:spPr>
        <a:prstGeom prst="rect">
          <a:avLst/>
        </a:prstGeom>
        <a:ln w="9525">
          <a:solidFill>
            <a:srgbClr val="000000"/>
          </a:solidFill>
          <a:prstDash val="solid"/>
        </a:ln>
      </xdr:spPr>
    </xdr:pic>
    <xdr:clientData/>
  </xdr:twoCellAnchor>
  <xdr:twoCellAnchor>
    <xdr:from>
      <xdr:col>3</xdr:col>
      <xdr:colOff>114300</xdr:colOff>
      <xdr:row>2277</xdr:row>
      <xdr:rowOff>28575</xdr:rowOff>
    </xdr:from>
    <xdr:to>
      <xdr:col>3</xdr:col>
      <xdr:colOff>1552575</xdr:colOff>
      <xdr:row>2285</xdr:row>
      <xdr:rowOff>133350</xdr:rowOff>
    </xdr:to>
    <xdr:pic>
      <xdr:nvPicPr>
        <xdr:cNvPr id="1024" name="Имя " descr="Descr ">
          <a:extLst>
            <a:ext uri="{FF2B5EF4-FFF2-40B4-BE49-F238E27FC236}">
              <a16:creationId xmlns:a16="http://schemas.microsoft.com/office/drawing/2014/main" id="{00000000-0008-0000-0000-000000040000}"/>
            </a:ext>
          </a:extLst>
        </xdr:cNvPr>
        <xdr:cNvPicPr>
          <a:picLocks noChangeAspect="1"/>
        </xdr:cNvPicPr>
      </xdr:nvPicPr>
      <xdr:blipFill>
        <a:blip xmlns:r="http://schemas.openxmlformats.org/officeDocument/2006/relationships" r:embed="rId1001"/>
        <a:stretch>
          <a:fillRect/>
        </a:stretch>
      </xdr:blipFill>
      <xdr:spPr>
        <a:prstGeom prst="rect">
          <a:avLst/>
        </a:prstGeom>
        <a:ln w="9525">
          <a:solidFill>
            <a:srgbClr val="000000"/>
          </a:solidFill>
          <a:prstDash val="solid"/>
        </a:ln>
      </xdr:spPr>
    </xdr:pic>
    <xdr:clientData/>
  </xdr:twoCellAnchor>
  <xdr:twoCellAnchor>
    <xdr:from>
      <xdr:col>3</xdr:col>
      <xdr:colOff>114300</xdr:colOff>
      <xdr:row>2288</xdr:row>
      <xdr:rowOff>28575</xdr:rowOff>
    </xdr:from>
    <xdr:to>
      <xdr:col>3</xdr:col>
      <xdr:colOff>1552575</xdr:colOff>
      <xdr:row>2294</xdr:row>
      <xdr:rowOff>171450</xdr:rowOff>
    </xdr:to>
    <xdr:pic>
      <xdr:nvPicPr>
        <xdr:cNvPr id="1025" name="Имя " descr="Descr ">
          <a:extLst>
            <a:ext uri="{FF2B5EF4-FFF2-40B4-BE49-F238E27FC236}">
              <a16:creationId xmlns:a16="http://schemas.microsoft.com/office/drawing/2014/main" id="{00000000-0008-0000-0000-000001040000}"/>
            </a:ext>
          </a:extLst>
        </xdr:cNvPr>
        <xdr:cNvPicPr>
          <a:picLocks noChangeAspect="1"/>
        </xdr:cNvPicPr>
      </xdr:nvPicPr>
      <xdr:blipFill>
        <a:blip xmlns:r="http://schemas.openxmlformats.org/officeDocument/2006/relationships" r:embed="rId1002"/>
        <a:stretch>
          <a:fillRect/>
        </a:stretch>
      </xdr:blipFill>
      <xdr:spPr>
        <a:prstGeom prst="rect">
          <a:avLst/>
        </a:prstGeom>
        <a:ln w="9525">
          <a:solidFill>
            <a:srgbClr val="000000"/>
          </a:solidFill>
          <a:prstDash val="solid"/>
        </a:ln>
      </xdr:spPr>
    </xdr:pic>
    <xdr:clientData/>
  </xdr:twoCellAnchor>
  <xdr:twoCellAnchor>
    <xdr:from>
      <xdr:col>3</xdr:col>
      <xdr:colOff>114300</xdr:colOff>
      <xdr:row>2295</xdr:row>
      <xdr:rowOff>28575</xdr:rowOff>
    </xdr:from>
    <xdr:to>
      <xdr:col>3</xdr:col>
      <xdr:colOff>1552575</xdr:colOff>
      <xdr:row>2303</xdr:row>
      <xdr:rowOff>133350</xdr:rowOff>
    </xdr:to>
    <xdr:pic>
      <xdr:nvPicPr>
        <xdr:cNvPr id="1026" name="Имя " descr="Descr ">
          <a:extLst>
            <a:ext uri="{FF2B5EF4-FFF2-40B4-BE49-F238E27FC236}">
              <a16:creationId xmlns:a16="http://schemas.microsoft.com/office/drawing/2014/main" id="{00000000-0008-0000-0000-000002040000}"/>
            </a:ext>
          </a:extLst>
        </xdr:cNvPr>
        <xdr:cNvPicPr>
          <a:picLocks noChangeAspect="1"/>
        </xdr:cNvPicPr>
      </xdr:nvPicPr>
      <xdr:blipFill>
        <a:blip xmlns:r="http://schemas.openxmlformats.org/officeDocument/2006/relationships" r:embed="rId1003"/>
        <a:stretch>
          <a:fillRect/>
        </a:stretch>
      </xdr:blipFill>
      <xdr:spPr>
        <a:prstGeom prst="rect">
          <a:avLst/>
        </a:prstGeom>
        <a:ln w="9525">
          <a:solidFill>
            <a:srgbClr val="000000"/>
          </a:solidFill>
          <a:prstDash val="solid"/>
        </a:ln>
      </xdr:spPr>
    </xdr:pic>
    <xdr:clientData/>
  </xdr:twoCellAnchor>
  <xdr:twoCellAnchor>
    <xdr:from>
      <xdr:col>3</xdr:col>
      <xdr:colOff>114300</xdr:colOff>
      <xdr:row>2304</xdr:row>
      <xdr:rowOff>28575</xdr:rowOff>
    </xdr:from>
    <xdr:to>
      <xdr:col>3</xdr:col>
      <xdr:colOff>1552575</xdr:colOff>
      <xdr:row>2311</xdr:row>
      <xdr:rowOff>152400</xdr:rowOff>
    </xdr:to>
    <xdr:pic>
      <xdr:nvPicPr>
        <xdr:cNvPr id="1027" name="Имя " descr="Descr ">
          <a:extLst>
            <a:ext uri="{FF2B5EF4-FFF2-40B4-BE49-F238E27FC236}">
              <a16:creationId xmlns:a16="http://schemas.microsoft.com/office/drawing/2014/main" id="{00000000-0008-0000-0000-000003040000}"/>
            </a:ext>
          </a:extLst>
        </xdr:cNvPr>
        <xdr:cNvPicPr>
          <a:picLocks noChangeAspect="1"/>
        </xdr:cNvPicPr>
      </xdr:nvPicPr>
      <xdr:blipFill>
        <a:blip xmlns:r="http://schemas.openxmlformats.org/officeDocument/2006/relationships" r:embed="rId1004"/>
        <a:stretch>
          <a:fillRect/>
        </a:stretch>
      </xdr:blipFill>
      <xdr:spPr>
        <a:prstGeom prst="rect">
          <a:avLst/>
        </a:prstGeom>
        <a:ln w="9525">
          <a:solidFill>
            <a:srgbClr val="000000"/>
          </a:solidFill>
          <a:prstDash val="solid"/>
        </a:ln>
      </xdr:spPr>
    </xdr:pic>
    <xdr:clientData/>
  </xdr:twoCellAnchor>
  <xdr:twoCellAnchor>
    <xdr:from>
      <xdr:col>3</xdr:col>
      <xdr:colOff>114300</xdr:colOff>
      <xdr:row>2312</xdr:row>
      <xdr:rowOff>28575</xdr:rowOff>
    </xdr:from>
    <xdr:to>
      <xdr:col>3</xdr:col>
      <xdr:colOff>1552575</xdr:colOff>
      <xdr:row>2317</xdr:row>
      <xdr:rowOff>209550</xdr:rowOff>
    </xdr:to>
    <xdr:pic>
      <xdr:nvPicPr>
        <xdr:cNvPr id="1028" name="Имя " descr="Descr ">
          <a:extLst>
            <a:ext uri="{FF2B5EF4-FFF2-40B4-BE49-F238E27FC236}">
              <a16:creationId xmlns:a16="http://schemas.microsoft.com/office/drawing/2014/main" id="{00000000-0008-0000-0000-000004040000}"/>
            </a:ext>
          </a:extLst>
        </xdr:cNvPr>
        <xdr:cNvPicPr>
          <a:picLocks noChangeAspect="1"/>
        </xdr:cNvPicPr>
      </xdr:nvPicPr>
      <xdr:blipFill>
        <a:blip xmlns:r="http://schemas.openxmlformats.org/officeDocument/2006/relationships" r:embed="rId1005"/>
        <a:stretch>
          <a:fillRect/>
        </a:stretch>
      </xdr:blipFill>
      <xdr:spPr>
        <a:prstGeom prst="rect">
          <a:avLst/>
        </a:prstGeom>
        <a:ln w="9525">
          <a:solidFill>
            <a:srgbClr val="000000"/>
          </a:solidFill>
          <a:prstDash val="solid"/>
        </a:ln>
      </xdr:spPr>
    </xdr:pic>
    <xdr:clientData/>
  </xdr:twoCellAnchor>
  <xdr:twoCellAnchor>
    <xdr:from>
      <xdr:col>3</xdr:col>
      <xdr:colOff>114300</xdr:colOff>
      <xdr:row>2318</xdr:row>
      <xdr:rowOff>28575</xdr:rowOff>
    </xdr:from>
    <xdr:to>
      <xdr:col>3</xdr:col>
      <xdr:colOff>1552575</xdr:colOff>
      <xdr:row>2326</xdr:row>
      <xdr:rowOff>133350</xdr:rowOff>
    </xdr:to>
    <xdr:pic>
      <xdr:nvPicPr>
        <xdr:cNvPr id="1029" name="Имя " descr="Descr ">
          <a:extLst>
            <a:ext uri="{FF2B5EF4-FFF2-40B4-BE49-F238E27FC236}">
              <a16:creationId xmlns:a16="http://schemas.microsoft.com/office/drawing/2014/main" id="{00000000-0008-0000-0000-000005040000}"/>
            </a:ext>
          </a:extLst>
        </xdr:cNvPr>
        <xdr:cNvPicPr>
          <a:picLocks noChangeAspect="1"/>
        </xdr:cNvPicPr>
      </xdr:nvPicPr>
      <xdr:blipFill>
        <a:blip xmlns:r="http://schemas.openxmlformats.org/officeDocument/2006/relationships" r:embed="rId1006"/>
        <a:stretch>
          <a:fillRect/>
        </a:stretch>
      </xdr:blipFill>
      <xdr:spPr>
        <a:prstGeom prst="rect">
          <a:avLst/>
        </a:prstGeom>
        <a:ln w="9525">
          <a:solidFill>
            <a:srgbClr val="000000"/>
          </a:solidFill>
          <a:prstDash val="solid"/>
        </a:ln>
      </xdr:spPr>
    </xdr:pic>
    <xdr:clientData/>
  </xdr:twoCellAnchor>
  <xdr:twoCellAnchor>
    <xdr:from>
      <xdr:col>3</xdr:col>
      <xdr:colOff>114300</xdr:colOff>
      <xdr:row>2329</xdr:row>
      <xdr:rowOff>28575</xdr:rowOff>
    </xdr:from>
    <xdr:to>
      <xdr:col>3</xdr:col>
      <xdr:colOff>1552575</xdr:colOff>
      <xdr:row>2333</xdr:row>
      <xdr:rowOff>333375</xdr:rowOff>
    </xdr:to>
    <xdr:pic>
      <xdr:nvPicPr>
        <xdr:cNvPr id="1030" name="Имя " descr="Descr ">
          <a:extLst>
            <a:ext uri="{FF2B5EF4-FFF2-40B4-BE49-F238E27FC236}">
              <a16:creationId xmlns:a16="http://schemas.microsoft.com/office/drawing/2014/main" id="{00000000-0008-0000-0000-000006040000}"/>
            </a:ext>
          </a:extLst>
        </xdr:cNvPr>
        <xdr:cNvPicPr>
          <a:picLocks noChangeAspect="1"/>
        </xdr:cNvPicPr>
      </xdr:nvPicPr>
      <xdr:blipFill>
        <a:blip xmlns:r="http://schemas.openxmlformats.org/officeDocument/2006/relationships" r:embed="rId1007"/>
        <a:stretch>
          <a:fillRect/>
        </a:stretch>
      </xdr:blipFill>
      <xdr:spPr>
        <a:prstGeom prst="rect">
          <a:avLst/>
        </a:prstGeom>
        <a:ln w="9525">
          <a:solidFill>
            <a:srgbClr val="000000"/>
          </a:solidFill>
          <a:prstDash val="solid"/>
        </a:ln>
      </xdr:spPr>
    </xdr:pic>
    <xdr:clientData/>
  </xdr:twoCellAnchor>
  <xdr:twoCellAnchor>
    <xdr:from>
      <xdr:col>3</xdr:col>
      <xdr:colOff>114300</xdr:colOff>
      <xdr:row>2334</xdr:row>
      <xdr:rowOff>28575</xdr:rowOff>
    </xdr:from>
    <xdr:to>
      <xdr:col>3</xdr:col>
      <xdr:colOff>1552575</xdr:colOff>
      <xdr:row>2341</xdr:row>
      <xdr:rowOff>152400</xdr:rowOff>
    </xdr:to>
    <xdr:pic>
      <xdr:nvPicPr>
        <xdr:cNvPr id="1031" name="Имя " descr="Descr ">
          <a:extLst>
            <a:ext uri="{FF2B5EF4-FFF2-40B4-BE49-F238E27FC236}">
              <a16:creationId xmlns:a16="http://schemas.microsoft.com/office/drawing/2014/main" id="{00000000-0008-0000-0000-000007040000}"/>
            </a:ext>
          </a:extLst>
        </xdr:cNvPr>
        <xdr:cNvPicPr>
          <a:picLocks noChangeAspect="1"/>
        </xdr:cNvPicPr>
      </xdr:nvPicPr>
      <xdr:blipFill>
        <a:blip xmlns:r="http://schemas.openxmlformats.org/officeDocument/2006/relationships" r:embed="rId1008"/>
        <a:stretch>
          <a:fillRect/>
        </a:stretch>
      </xdr:blipFill>
      <xdr:spPr>
        <a:prstGeom prst="rect">
          <a:avLst/>
        </a:prstGeom>
        <a:ln w="9525">
          <a:solidFill>
            <a:srgbClr val="000000"/>
          </a:solidFill>
          <a:prstDash val="solid"/>
        </a:ln>
      </xdr:spPr>
    </xdr:pic>
    <xdr:clientData/>
  </xdr:twoCellAnchor>
  <xdr:twoCellAnchor>
    <xdr:from>
      <xdr:col>3</xdr:col>
      <xdr:colOff>114300</xdr:colOff>
      <xdr:row>2342</xdr:row>
      <xdr:rowOff>28575</xdr:rowOff>
    </xdr:from>
    <xdr:to>
      <xdr:col>3</xdr:col>
      <xdr:colOff>1552575</xdr:colOff>
      <xdr:row>2344</xdr:row>
      <xdr:rowOff>419100</xdr:rowOff>
    </xdr:to>
    <xdr:pic>
      <xdr:nvPicPr>
        <xdr:cNvPr id="1032" name="Имя " descr="Descr ">
          <a:extLst>
            <a:ext uri="{FF2B5EF4-FFF2-40B4-BE49-F238E27FC236}">
              <a16:creationId xmlns:a16="http://schemas.microsoft.com/office/drawing/2014/main" id="{00000000-0008-0000-0000-000008040000}"/>
            </a:ext>
          </a:extLst>
        </xdr:cNvPr>
        <xdr:cNvPicPr>
          <a:picLocks noChangeAspect="1"/>
        </xdr:cNvPicPr>
      </xdr:nvPicPr>
      <xdr:blipFill>
        <a:blip xmlns:r="http://schemas.openxmlformats.org/officeDocument/2006/relationships" r:embed="rId1009"/>
        <a:stretch>
          <a:fillRect/>
        </a:stretch>
      </xdr:blipFill>
      <xdr:spPr>
        <a:prstGeom prst="rect">
          <a:avLst/>
        </a:prstGeom>
        <a:ln w="9525">
          <a:solidFill>
            <a:srgbClr val="000000"/>
          </a:solidFill>
          <a:prstDash val="solid"/>
        </a:ln>
      </xdr:spPr>
    </xdr:pic>
    <xdr:clientData/>
  </xdr:twoCellAnchor>
  <xdr:twoCellAnchor>
    <xdr:from>
      <xdr:col>3</xdr:col>
      <xdr:colOff>114300</xdr:colOff>
      <xdr:row>2345</xdr:row>
      <xdr:rowOff>28575</xdr:rowOff>
    </xdr:from>
    <xdr:to>
      <xdr:col>3</xdr:col>
      <xdr:colOff>1552575</xdr:colOff>
      <xdr:row>2348</xdr:row>
      <xdr:rowOff>209550</xdr:rowOff>
    </xdr:to>
    <xdr:pic>
      <xdr:nvPicPr>
        <xdr:cNvPr id="1033" name="Имя " descr="Descr ">
          <a:extLst>
            <a:ext uri="{FF2B5EF4-FFF2-40B4-BE49-F238E27FC236}">
              <a16:creationId xmlns:a16="http://schemas.microsoft.com/office/drawing/2014/main" id="{00000000-0008-0000-0000-000009040000}"/>
            </a:ext>
          </a:extLst>
        </xdr:cNvPr>
        <xdr:cNvPicPr>
          <a:picLocks noChangeAspect="1"/>
        </xdr:cNvPicPr>
      </xdr:nvPicPr>
      <xdr:blipFill>
        <a:blip xmlns:r="http://schemas.openxmlformats.org/officeDocument/2006/relationships" r:embed="rId1010"/>
        <a:stretch>
          <a:fillRect/>
        </a:stretch>
      </xdr:blipFill>
      <xdr:spPr>
        <a:prstGeom prst="rect">
          <a:avLst/>
        </a:prstGeom>
        <a:ln w="9525">
          <a:solidFill>
            <a:srgbClr val="000000"/>
          </a:solidFill>
          <a:prstDash val="solid"/>
        </a:ln>
      </xdr:spPr>
    </xdr:pic>
    <xdr:clientData/>
  </xdr:twoCellAnchor>
  <xdr:twoCellAnchor>
    <xdr:from>
      <xdr:col>3</xdr:col>
      <xdr:colOff>114300</xdr:colOff>
      <xdr:row>2349</xdr:row>
      <xdr:rowOff>38100</xdr:rowOff>
    </xdr:from>
    <xdr:to>
      <xdr:col>3</xdr:col>
      <xdr:colOff>1552575</xdr:colOff>
      <xdr:row>2350</xdr:row>
      <xdr:rowOff>638175</xdr:rowOff>
    </xdr:to>
    <xdr:pic>
      <xdr:nvPicPr>
        <xdr:cNvPr id="1034" name="Имя " descr="Descr ">
          <a:extLst>
            <a:ext uri="{FF2B5EF4-FFF2-40B4-BE49-F238E27FC236}">
              <a16:creationId xmlns:a16="http://schemas.microsoft.com/office/drawing/2014/main" id="{00000000-0008-0000-0000-00000A040000}"/>
            </a:ext>
          </a:extLst>
        </xdr:cNvPr>
        <xdr:cNvPicPr>
          <a:picLocks noChangeAspect="1"/>
        </xdr:cNvPicPr>
      </xdr:nvPicPr>
      <xdr:blipFill>
        <a:blip xmlns:r="http://schemas.openxmlformats.org/officeDocument/2006/relationships" r:embed="rId1011"/>
        <a:stretch>
          <a:fillRect/>
        </a:stretch>
      </xdr:blipFill>
      <xdr:spPr>
        <a:prstGeom prst="rect">
          <a:avLst/>
        </a:prstGeom>
        <a:ln w="9525">
          <a:solidFill>
            <a:srgbClr val="000000"/>
          </a:solidFill>
          <a:prstDash val="solid"/>
        </a:ln>
      </xdr:spPr>
    </xdr:pic>
    <xdr:clientData/>
  </xdr:twoCellAnchor>
  <xdr:twoCellAnchor>
    <xdr:from>
      <xdr:col>3</xdr:col>
      <xdr:colOff>114300</xdr:colOff>
      <xdr:row>2351</xdr:row>
      <xdr:rowOff>28575</xdr:rowOff>
    </xdr:from>
    <xdr:to>
      <xdr:col>3</xdr:col>
      <xdr:colOff>1552575</xdr:colOff>
      <xdr:row>2351</xdr:row>
      <xdr:rowOff>1266825</xdr:rowOff>
    </xdr:to>
    <xdr:pic>
      <xdr:nvPicPr>
        <xdr:cNvPr id="1035" name="Имя " descr="Descr ">
          <a:extLst>
            <a:ext uri="{FF2B5EF4-FFF2-40B4-BE49-F238E27FC236}">
              <a16:creationId xmlns:a16="http://schemas.microsoft.com/office/drawing/2014/main" id="{00000000-0008-0000-0000-00000B040000}"/>
            </a:ext>
          </a:extLst>
        </xdr:cNvPr>
        <xdr:cNvPicPr>
          <a:picLocks noChangeAspect="1"/>
        </xdr:cNvPicPr>
      </xdr:nvPicPr>
      <xdr:blipFill>
        <a:blip xmlns:r="http://schemas.openxmlformats.org/officeDocument/2006/relationships" r:embed="rId1012"/>
        <a:stretch>
          <a:fillRect/>
        </a:stretch>
      </xdr:blipFill>
      <xdr:spPr>
        <a:prstGeom prst="rect">
          <a:avLst/>
        </a:prstGeom>
        <a:ln w="9525">
          <a:solidFill>
            <a:srgbClr val="000000"/>
          </a:solidFill>
          <a:prstDash val="solid"/>
        </a:ln>
      </xdr:spPr>
    </xdr:pic>
    <xdr:clientData/>
  </xdr:twoCellAnchor>
  <xdr:twoCellAnchor>
    <xdr:from>
      <xdr:col>3</xdr:col>
      <xdr:colOff>114300</xdr:colOff>
      <xdr:row>2352</xdr:row>
      <xdr:rowOff>28575</xdr:rowOff>
    </xdr:from>
    <xdr:to>
      <xdr:col>3</xdr:col>
      <xdr:colOff>1552575</xdr:colOff>
      <xdr:row>2352</xdr:row>
      <xdr:rowOff>1266825</xdr:rowOff>
    </xdr:to>
    <xdr:pic>
      <xdr:nvPicPr>
        <xdr:cNvPr id="1036" name="Имя " descr="Descr ">
          <a:extLst>
            <a:ext uri="{FF2B5EF4-FFF2-40B4-BE49-F238E27FC236}">
              <a16:creationId xmlns:a16="http://schemas.microsoft.com/office/drawing/2014/main" id="{00000000-0008-0000-0000-00000C040000}"/>
            </a:ext>
          </a:extLst>
        </xdr:cNvPr>
        <xdr:cNvPicPr>
          <a:picLocks noChangeAspect="1"/>
        </xdr:cNvPicPr>
      </xdr:nvPicPr>
      <xdr:blipFill>
        <a:blip xmlns:r="http://schemas.openxmlformats.org/officeDocument/2006/relationships" r:embed="rId1013"/>
        <a:stretch>
          <a:fillRect/>
        </a:stretch>
      </xdr:blipFill>
      <xdr:spPr>
        <a:prstGeom prst="rect">
          <a:avLst/>
        </a:prstGeom>
        <a:ln w="9525">
          <a:solidFill>
            <a:srgbClr val="000000"/>
          </a:solidFill>
          <a:prstDash val="solid"/>
        </a:ln>
      </xdr:spPr>
    </xdr:pic>
    <xdr:clientData/>
  </xdr:twoCellAnchor>
  <xdr:twoCellAnchor>
    <xdr:from>
      <xdr:col>3</xdr:col>
      <xdr:colOff>114300</xdr:colOff>
      <xdr:row>2353</xdr:row>
      <xdr:rowOff>28575</xdr:rowOff>
    </xdr:from>
    <xdr:to>
      <xdr:col>3</xdr:col>
      <xdr:colOff>1552575</xdr:colOff>
      <xdr:row>2357</xdr:row>
      <xdr:rowOff>333375</xdr:rowOff>
    </xdr:to>
    <xdr:pic>
      <xdr:nvPicPr>
        <xdr:cNvPr id="1037" name="Имя " descr="Descr ">
          <a:extLst>
            <a:ext uri="{FF2B5EF4-FFF2-40B4-BE49-F238E27FC236}">
              <a16:creationId xmlns:a16="http://schemas.microsoft.com/office/drawing/2014/main" id="{00000000-0008-0000-0000-00000D040000}"/>
            </a:ext>
          </a:extLst>
        </xdr:cNvPr>
        <xdr:cNvPicPr>
          <a:picLocks noChangeAspect="1"/>
        </xdr:cNvPicPr>
      </xdr:nvPicPr>
      <xdr:blipFill>
        <a:blip xmlns:r="http://schemas.openxmlformats.org/officeDocument/2006/relationships" r:embed="rId1014"/>
        <a:stretch>
          <a:fillRect/>
        </a:stretch>
      </xdr:blipFill>
      <xdr:spPr>
        <a:prstGeom prst="rect">
          <a:avLst/>
        </a:prstGeom>
        <a:ln w="9525">
          <a:solidFill>
            <a:srgbClr val="000000"/>
          </a:solidFill>
          <a:prstDash val="solid"/>
        </a:ln>
      </xdr:spPr>
    </xdr:pic>
    <xdr:clientData/>
  </xdr:twoCellAnchor>
  <xdr:twoCellAnchor>
    <xdr:from>
      <xdr:col>3</xdr:col>
      <xdr:colOff>114300</xdr:colOff>
      <xdr:row>2358</xdr:row>
      <xdr:rowOff>28575</xdr:rowOff>
    </xdr:from>
    <xdr:to>
      <xdr:col>3</xdr:col>
      <xdr:colOff>1552575</xdr:colOff>
      <xdr:row>2358</xdr:row>
      <xdr:rowOff>1266825</xdr:rowOff>
    </xdr:to>
    <xdr:pic>
      <xdr:nvPicPr>
        <xdr:cNvPr id="1038" name="Имя " descr="Descr ">
          <a:extLst>
            <a:ext uri="{FF2B5EF4-FFF2-40B4-BE49-F238E27FC236}">
              <a16:creationId xmlns:a16="http://schemas.microsoft.com/office/drawing/2014/main" id="{00000000-0008-0000-0000-00000E040000}"/>
            </a:ext>
          </a:extLst>
        </xdr:cNvPr>
        <xdr:cNvPicPr>
          <a:picLocks noChangeAspect="1"/>
        </xdr:cNvPicPr>
      </xdr:nvPicPr>
      <xdr:blipFill>
        <a:blip xmlns:r="http://schemas.openxmlformats.org/officeDocument/2006/relationships" r:embed="rId1015"/>
        <a:stretch>
          <a:fillRect/>
        </a:stretch>
      </xdr:blipFill>
      <xdr:spPr>
        <a:prstGeom prst="rect">
          <a:avLst/>
        </a:prstGeom>
        <a:ln w="9525">
          <a:solidFill>
            <a:srgbClr val="000000"/>
          </a:solidFill>
          <a:prstDash val="solid"/>
        </a:ln>
      </xdr:spPr>
    </xdr:pic>
    <xdr:clientData/>
  </xdr:twoCellAnchor>
  <xdr:twoCellAnchor>
    <xdr:from>
      <xdr:col>3</xdr:col>
      <xdr:colOff>114300</xdr:colOff>
      <xdr:row>2359</xdr:row>
      <xdr:rowOff>28575</xdr:rowOff>
    </xdr:from>
    <xdr:to>
      <xdr:col>3</xdr:col>
      <xdr:colOff>1552575</xdr:colOff>
      <xdr:row>2366</xdr:row>
      <xdr:rowOff>152400</xdr:rowOff>
    </xdr:to>
    <xdr:pic>
      <xdr:nvPicPr>
        <xdr:cNvPr id="1039" name="Имя " descr="Descr ">
          <a:extLst>
            <a:ext uri="{FF2B5EF4-FFF2-40B4-BE49-F238E27FC236}">
              <a16:creationId xmlns:a16="http://schemas.microsoft.com/office/drawing/2014/main" id="{00000000-0008-0000-0000-00000F040000}"/>
            </a:ext>
          </a:extLst>
        </xdr:cNvPr>
        <xdr:cNvPicPr>
          <a:picLocks noChangeAspect="1"/>
        </xdr:cNvPicPr>
      </xdr:nvPicPr>
      <xdr:blipFill>
        <a:blip xmlns:r="http://schemas.openxmlformats.org/officeDocument/2006/relationships" r:embed="rId1016"/>
        <a:stretch>
          <a:fillRect/>
        </a:stretch>
      </xdr:blipFill>
      <xdr:spPr>
        <a:prstGeom prst="rect">
          <a:avLst/>
        </a:prstGeom>
        <a:ln w="9525">
          <a:solidFill>
            <a:srgbClr val="000000"/>
          </a:solidFill>
          <a:prstDash val="solid"/>
        </a:ln>
      </xdr:spPr>
    </xdr:pic>
    <xdr:clientData/>
  </xdr:twoCellAnchor>
  <xdr:twoCellAnchor>
    <xdr:from>
      <xdr:col>3</xdr:col>
      <xdr:colOff>114300</xdr:colOff>
      <xdr:row>2367</xdr:row>
      <xdr:rowOff>28575</xdr:rowOff>
    </xdr:from>
    <xdr:to>
      <xdr:col>3</xdr:col>
      <xdr:colOff>1552575</xdr:colOff>
      <xdr:row>2371</xdr:row>
      <xdr:rowOff>333375</xdr:rowOff>
    </xdr:to>
    <xdr:pic>
      <xdr:nvPicPr>
        <xdr:cNvPr id="1040" name="Имя " descr="Descr ">
          <a:extLst>
            <a:ext uri="{FF2B5EF4-FFF2-40B4-BE49-F238E27FC236}">
              <a16:creationId xmlns:a16="http://schemas.microsoft.com/office/drawing/2014/main" id="{00000000-0008-0000-0000-000010040000}"/>
            </a:ext>
          </a:extLst>
        </xdr:cNvPr>
        <xdr:cNvPicPr>
          <a:picLocks noChangeAspect="1"/>
        </xdr:cNvPicPr>
      </xdr:nvPicPr>
      <xdr:blipFill>
        <a:blip xmlns:r="http://schemas.openxmlformats.org/officeDocument/2006/relationships" r:embed="rId1017"/>
        <a:stretch>
          <a:fillRect/>
        </a:stretch>
      </xdr:blipFill>
      <xdr:spPr>
        <a:prstGeom prst="rect">
          <a:avLst/>
        </a:prstGeom>
        <a:ln w="9525">
          <a:solidFill>
            <a:srgbClr val="000000"/>
          </a:solidFill>
          <a:prstDash val="solid"/>
        </a:ln>
      </xdr:spPr>
    </xdr:pic>
    <xdr:clientData/>
  </xdr:twoCellAnchor>
  <xdr:twoCellAnchor>
    <xdr:from>
      <xdr:col>3</xdr:col>
      <xdr:colOff>114300</xdr:colOff>
      <xdr:row>2372</xdr:row>
      <xdr:rowOff>28575</xdr:rowOff>
    </xdr:from>
    <xdr:to>
      <xdr:col>3</xdr:col>
      <xdr:colOff>1552575</xdr:colOff>
      <xdr:row>2378</xdr:row>
      <xdr:rowOff>171450</xdr:rowOff>
    </xdr:to>
    <xdr:pic>
      <xdr:nvPicPr>
        <xdr:cNvPr id="1041" name="Имя " descr="Descr ">
          <a:extLst>
            <a:ext uri="{FF2B5EF4-FFF2-40B4-BE49-F238E27FC236}">
              <a16:creationId xmlns:a16="http://schemas.microsoft.com/office/drawing/2014/main" id="{00000000-0008-0000-0000-000011040000}"/>
            </a:ext>
          </a:extLst>
        </xdr:cNvPr>
        <xdr:cNvPicPr>
          <a:picLocks noChangeAspect="1"/>
        </xdr:cNvPicPr>
      </xdr:nvPicPr>
      <xdr:blipFill>
        <a:blip xmlns:r="http://schemas.openxmlformats.org/officeDocument/2006/relationships" r:embed="rId1018"/>
        <a:stretch>
          <a:fillRect/>
        </a:stretch>
      </xdr:blipFill>
      <xdr:spPr>
        <a:prstGeom prst="rect">
          <a:avLst/>
        </a:prstGeom>
        <a:ln w="9525">
          <a:solidFill>
            <a:srgbClr val="000000"/>
          </a:solidFill>
          <a:prstDash val="solid"/>
        </a:ln>
      </xdr:spPr>
    </xdr:pic>
    <xdr:clientData/>
  </xdr:twoCellAnchor>
  <xdr:twoCellAnchor>
    <xdr:from>
      <xdr:col>3</xdr:col>
      <xdr:colOff>114300</xdr:colOff>
      <xdr:row>2379</xdr:row>
      <xdr:rowOff>28575</xdr:rowOff>
    </xdr:from>
    <xdr:to>
      <xdr:col>3</xdr:col>
      <xdr:colOff>1552575</xdr:colOff>
      <xdr:row>2381</xdr:row>
      <xdr:rowOff>419100</xdr:rowOff>
    </xdr:to>
    <xdr:pic>
      <xdr:nvPicPr>
        <xdr:cNvPr id="1042" name="Имя " descr="Descr ">
          <a:extLst>
            <a:ext uri="{FF2B5EF4-FFF2-40B4-BE49-F238E27FC236}">
              <a16:creationId xmlns:a16="http://schemas.microsoft.com/office/drawing/2014/main" id="{00000000-0008-0000-0000-000012040000}"/>
            </a:ext>
          </a:extLst>
        </xdr:cNvPr>
        <xdr:cNvPicPr>
          <a:picLocks noChangeAspect="1"/>
        </xdr:cNvPicPr>
      </xdr:nvPicPr>
      <xdr:blipFill>
        <a:blip xmlns:r="http://schemas.openxmlformats.org/officeDocument/2006/relationships" r:embed="rId1019"/>
        <a:stretch>
          <a:fillRect/>
        </a:stretch>
      </xdr:blipFill>
      <xdr:spPr>
        <a:prstGeom prst="rect">
          <a:avLst/>
        </a:prstGeom>
        <a:ln w="9525">
          <a:solidFill>
            <a:srgbClr val="000000"/>
          </a:solidFill>
          <a:prstDash val="solid"/>
        </a:ln>
      </xdr:spPr>
    </xdr:pic>
    <xdr:clientData/>
  </xdr:twoCellAnchor>
  <xdr:twoCellAnchor>
    <xdr:from>
      <xdr:col>3</xdr:col>
      <xdr:colOff>114300</xdr:colOff>
      <xdr:row>2382</xdr:row>
      <xdr:rowOff>28575</xdr:rowOff>
    </xdr:from>
    <xdr:to>
      <xdr:col>3</xdr:col>
      <xdr:colOff>1552575</xdr:colOff>
      <xdr:row>2385</xdr:row>
      <xdr:rowOff>209550</xdr:rowOff>
    </xdr:to>
    <xdr:pic>
      <xdr:nvPicPr>
        <xdr:cNvPr id="1043" name="Имя " descr="Descr ">
          <a:extLst>
            <a:ext uri="{FF2B5EF4-FFF2-40B4-BE49-F238E27FC236}">
              <a16:creationId xmlns:a16="http://schemas.microsoft.com/office/drawing/2014/main" id="{00000000-0008-0000-0000-000013040000}"/>
            </a:ext>
          </a:extLst>
        </xdr:cNvPr>
        <xdr:cNvPicPr>
          <a:picLocks noChangeAspect="1"/>
        </xdr:cNvPicPr>
      </xdr:nvPicPr>
      <xdr:blipFill>
        <a:blip xmlns:r="http://schemas.openxmlformats.org/officeDocument/2006/relationships" r:embed="rId1020"/>
        <a:stretch>
          <a:fillRect/>
        </a:stretch>
      </xdr:blipFill>
      <xdr:spPr>
        <a:prstGeom prst="rect">
          <a:avLst/>
        </a:prstGeom>
        <a:ln w="9525">
          <a:solidFill>
            <a:srgbClr val="000000"/>
          </a:solidFill>
          <a:prstDash val="solid"/>
        </a:ln>
      </xdr:spPr>
    </xdr:pic>
    <xdr:clientData/>
  </xdr:twoCellAnchor>
  <xdr:twoCellAnchor>
    <xdr:from>
      <xdr:col>3</xdr:col>
      <xdr:colOff>114300</xdr:colOff>
      <xdr:row>2386</xdr:row>
      <xdr:rowOff>28575</xdr:rowOff>
    </xdr:from>
    <xdr:to>
      <xdr:col>3</xdr:col>
      <xdr:colOff>1552575</xdr:colOff>
      <xdr:row>2392</xdr:row>
      <xdr:rowOff>171450</xdr:rowOff>
    </xdr:to>
    <xdr:pic>
      <xdr:nvPicPr>
        <xdr:cNvPr id="1044" name="Имя " descr="Descr ">
          <a:extLst>
            <a:ext uri="{FF2B5EF4-FFF2-40B4-BE49-F238E27FC236}">
              <a16:creationId xmlns:a16="http://schemas.microsoft.com/office/drawing/2014/main" id="{00000000-0008-0000-0000-000014040000}"/>
            </a:ext>
          </a:extLst>
        </xdr:cNvPr>
        <xdr:cNvPicPr>
          <a:picLocks noChangeAspect="1"/>
        </xdr:cNvPicPr>
      </xdr:nvPicPr>
      <xdr:blipFill>
        <a:blip xmlns:r="http://schemas.openxmlformats.org/officeDocument/2006/relationships" r:embed="rId1021"/>
        <a:stretch>
          <a:fillRect/>
        </a:stretch>
      </xdr:blipFill>
      <xdr:spPr>
        <a:prstGeom prst="rect">
          <a:avLst/>
        </a:prstGeom>
        <a:ln w="9525">
          <a:solidFill>
            <a:srgbClr val="000000"/>
          </a:solidFill>
          <a:prstDash val="solid"/>
        </a:ln>
      </xdr:spPr>
    </xdr:pic>
    <xdr:clientData/>
  </xdr:twoCellAnchor>
  <xdr:twoCellAnchor>
    <xdr:from>
      <xdr:col>3</xdr:col>
      <xdr:colOff>114300</xdr:colOff>
      <xdr:row>2393</xdr:row>
      <xdr:rowOff>38100</xdr:rowOff>
    </xdr:from>
    <xdr:to>
      <xdr:col>3</xdr:col>
      <xdr:colOff>1552575</xdr:colOff>
      <xdr:row>2394</xdr:row>
      <xdr:rowOff>638175</xdr:rowOff>
    </xdr:to>
    <xdr:pic>
      <xdr:nvPicPr>
        <xdr:cNvPr id="1045" name="Имя " descr="Descr ">
          <a:extLst>
            <a:ext uri="{FF2B5EF4-FFF2-40B4-BE49-F238E27FC236}">
              <a16:creationId xmlns:a16="http://schemas.microsoft.com/office/drawing/2014/main" id="{00000000-0008-0000-0000-000015040000}"/>
            </a:ext>
          </a:extLst>
        </xdr:cNvPr>
        <xdr:cNvPicPr>
          <a:picLocks noChangeAspect="1"/>
        </xdr:cNvPicPr>
      </xdr:nvPicPr>
      <xdr:blipFill>
        <a:blip xmlns:r="http://schemas.openxmlformats.org/officeDocument/2006/relationships" r:embed="rId1022"/>
        <a:stretch>
          <a:fillRect/>
        </a:stretch>
      </xdr:blipFill>
      <xdr:spPr>
        <a:prstGeom prst="rect">
          <a:avLst/>
        </a:prstGeom>
        <a:ln w="9525">
          <a:solidFill>
            <a:srgbClr val="000000"/>
          </a:solidFill>
          <a:prstDash val="solid"/>
        </a:ln>
      </xdr:spPr>
    </xdr:pic>
    <xdr:clientData/>
  </xdr:twoCellAnchor>
  <xdr:twoCellAnchor>
    <xdr:from>
      <xdr:col>3</xdr:col>
      <xdr:colOff>114300</xdr:colOff>
      <xdr:row>2395</xdr:row>
      <xdr:rowOff>28575</xdr:rowOff>
    </xdr:from>
    <xdr:to>
      <xdr:col>3</xdr:col>
      <xdr:colOff>1552575</xdr:colOff>
      <xdr:row>2395</xdr:row>
      <xdr:rowOff>1266825</xdr:rowOff>
    </xdr:to>
    <xdr:pic>
      <xdr:nvPicPr>
        <xdr:cNvPr id="1046" name="Имя " descr="Descr ">
          <a:extLst>
            <a:ext uri="{FF2B5EF4-FFF2-40B4-BE49-F238E27FC236}">
              <a16:creationId xmlns:a16="http://schemas.microsoft.com/office/drawing/2014/main" id="{00000000-0008-0000-0000-000016040000}"/>
            </a:ext>
          </a:extLst>
        </xdr:cNvPr>
        <xdr:cNvPicPr>
          <a:picLocks noChangeAspect="1"/>
        </xdr:cNvPicPr>
      </xdr:nvPicPr>
      <xdr:blipFill>
        <a:blip xmlns:r="http://schemas.openxmlformats.org/officeDocument/2006/relationships" r:embed="rId1023"/>
        <a:stretch>
          <a:fillRect/>
        </a:stretch>
      </xdr:blipFill>
      <xdr:spPr>
        <a:prstGeom prst="rect">
          <a:avLst/>
        </a:prstGeom>
        <a:ln w="9525">
          <a:solidFill>
            <a:srgbClr val="000000"/>
          </a:solidFill>
          <a:prstDash val="solid"/>
        </a:ln>
      </xdr:spPr>
    </xdr:pic>
    <xdr:clientData/>
  </xdr:twoCellAnchor>
  <xdr:twoCellAnchor>
    <xdr:from>
      <xdr:col>3</xdr:col>
      <xdr:colOff>114300</xdr:colOff>
      <xdr:row>2396</xdr:row>
      <xdr:rowOff>28575</xdr:rowOff>
    </xdr:from>
    <xdr:to>
      <xdr:col>3</xdr:col>
      <xdr:colOff>1552575</xdr:colOff>
      <xdr:row>2402</xdr:row>
      <xdr:rowOff>171450</xdr:rowOff>
    </xdr:to>
    <xdr:pic>
      <xdr:nvPicPr>
        <xdr:cNvPr id="1047" name="Имя " descr="Descr ">
          <a:extLst>
            <a:ext uri="{FF2B5EF4-FFF2-40B4-BE49-F238E27FC236}">
              <a16:creationId xmlns:a16="http://schemas.microsoft.com/office/drawing/2014/main" id="{00000000-0008-0000-0000-000017040000}"/>
            </a:ext>
          </a:extLst>
        </xdr:cNvPr>
        <xdr:cNvPicPr>
          <a:picLocks noChangeAspect="1"/>
        </xdr:cNvPicPr>
      </xdr:nvPicPr>
      <xdr:blipFill>
        <a:blip xmlns:r="http://schemas.openxmlformats.org/officeDocument/2006/relationships" r:embed="rId1024"/>
        <a:stretch>
          <a:fillRect/>
        </a:stretch>
      </xdr:blipFill>
      <xdr:spPr>
        <a:prstGeom prst="rect">
          <a:avLst/>
        </a:prstGeom>
        <a:ln w="9525">
          <a:solidFill>
            <a:srgbClr val="000000"/>
          </a:solidFill>
          <a:prstDash val="solid"/>
        </a:ln>
      </xdr:spPr>
    </xdr:pic>
    <xdr:clientData/>
  </xdr:twoCellAnchor>
  <xdr:twoCellAnchor>
    <xdr:from>
      <xdr:col>3</xdr:col>
      <xdr:colOff>114300</xdr:colOff>
      <xdr:row>2403</xdr:row>
      <xdr:rowOff>28575</xdr:rowOff>
    </xdr:from>
    <xdr:to>
      <xdr:col>3</xdr:col>
      <xdr:colOff>1552575</xdr:colOff>
      <xdr:row>2409</xdr:row>
      <xdr:rowOff>171450</xdr:rowOff>
    </xdr:to>
    <xdr:pic>
      <xdr:nvPicPr>
        <xdr:cNvPr id="1048" name="Имя " descr="Descr ">
          <a:extLst>
            <a:ext uri="{FF2B5EF4-FFF2-40B4-BE49-F238E27FC236}">
              <a16:creationId xmlns:a16="http://schemas.microsoft.com/office/drawing/2014/main" id="{00000000-0008-0000-0000-000018040000}"/>
            </a:ext>
          </a:extLst>
        </xdr:cNvPr>
        <xdr:cNvPicPr>
          <a:picLocks noChangeAspect="1"/>
        </xdr:cNvPicPr>
      </xdr:nvPicPr>
      <xdr:blipFill>
        <a:blip xmlns:r="http://schemas.openxmlformats.org/officeDocument/2006/relationships" r:embed="rId1025"/>
        <a:stretch>
          <a:fillRect/>
        </a:stretch>
      </xdr:blipFill>
      <xdr:spPr>
        <a:prstGeom prst="rect">
          <a:avLst/>
        </a:prstGeom>
        <a:ln w="9525">
          <a:solidFill>
            <a:srgbClr val="000000"/>
          </a:solidFill>
          <a:prstDash val="solid"/>
        </a:ln>
      </xdr:spPr>
    </xdr:pic>
    <xdr:clientData/>
  </xdr:twoCellAnchor>
  <xdr:twoCellAnchor>
    <xdr:from>
      <xdr:col>3</xdr:col>
      <xdr:colOff>114300</xdr:colOff>
      <xdr:row>2410</xdr:row>
      <xdr:rowOff>28575</xdr:rowOff>
    </xdr:from>
    <xdr:to>
      <xdr:col>3</xdr:col>
      <xdr:colOff>1552575</xdr:colOff>
      <xdr:row>2417</xdr:row>
      <xdr:rowOff>152400</xdr:rowOff>
    </xdr:to>
    <xdr:pic>
      <xdr:nvPicPr>
        <xdr:cNvPr id="1049" name="Имя " descr="Descr ">
          <a:extLst>
            <a:ext uri="{FF2B5EF4-FFF2-40B4-BE49-F238E27FC236}">
              <a16:creationId xmlns:a16="http://schemas.microsoft.com/office/drawing/2014/main" id="{00000000-0008-0000-0000-000019040000}"/>
            </a:ext>
          </a:extLst>
        </xdr:cNvPr>
        <xdr:cNvPicPr>
          <a:picLocks noChangeAspect="1"/>
        </xdr:cNvPicPr>
      </xdr:nvPicPr>
      <xdr:blipFill>
        <a:blip xmlns:r="http://schemas.openxmlformats.org/officeDocument/2006/relationships" r:embed="rId1026"/>
        <a:stretch>
          <a:fillRect/>
        </a:stretch>
      </xdr:blipFill>
      <xdr:spPr>
        <a:prstGeom prst="rect">
          <a:avLst/>
        </a:prstGeom>
        <a:ln w="9525">
          <a:solidFill>
            <a:srgbClr val="000000"/>
          </a:solidFill>
          <a:prstDash val="solid"/>
        </a:ln>
      </xdr:spPr>
    </xdr:pic>
    <xdr:clientData/>
  </xdr:twoCellAnchor>
  <xdr:twoCellAnchor>
    <xdr:from>
      <xdr:col>3</xdr:col>
      <xdr:colOff>114300</xdr:colOff>
      <xdr:row>2418</xdr:row>
      <xdr:rowOff>38100</xdr:rowOff>
    </xdr:from>
    <xdr:to>
      <xdr:col>3</xdr:col>
      <xdr:colOff>1552575</xdr:colOff>
      <xdr:row>2419</xdr:row>
      <xdr:rowOff>638175</xdr:rowOff>
    </xdr:to>
    <xdr:pic>
      <xdr:nvPicPr>
        <xdr:cNvPr id="1050" name="Имя " descr="Descr ">
          <a:extLst>
            <a:ext uri="{FF2B5EF4-FFF2-40B4-BE49-F238E27FC236}">
              <a16:creationId xmlns:a16="http://schemas.microsoft.com/office/drawing/2014/main" id="{00000000-0008-0000-0000-00001A040000}"/>
            </a:ext>
          </a:extLst>
        </xdr:cNvPr>
        <xdr:cNvPicPr>
          <a:picLocks noChangeAspect="1"/>
        </xdr:cNvPicPr>
      </xdr:nvPicPr>
      <xdr:blipFill>
        <a:blip xmlns:r="http://schemas.openxmlformats.org/officeDocument/2006/relationships" r:embed="rId1027"/>
        <a:stretch>
          <a:fillRect/>
        </a:stretch>
      </xdr:blipFill>
      <xdr:spPr>
        <a:prstGeom prst="rect">
          <a:avLst/>
        </a:prstGeom>
        <a:ln w="9525">
          <a:solidFill>
            <a:srgbClr val="000000"/>
          </a:solidFill>
          <a:prstDash val="solid"/>
        </a:ln>
      </xdr:spPr>
    </xdr:pic>
    <xdr:clientData/>
  </xdr:twoCellAnchor>
  <xdr:twoCellAnchor>
    <xdr:from>
      <xdr:col>3</xdr:col>
      <xdr:colOff>114300</xdr:colOff>
      <xdr:row>2420</xdr:row>
      <xdr:rowOff>28575</xdr:rowOff>
    </xdr:from>
    <xdr:to>
      <xdr:col>3</xdr:col>
      <xdr:colOff>1552575</xdr:colOff>
      <xdr:row>2427</xdr:row>
      <xdr:rowOff>152400</xdr:rowOff>
    </xdr:to>
    <xdr:pic>
      <xdr:nvPicPr>
        <xdr:cNvPr id="1051" name="Имя " descr="Descr ">
          <a:extLst>
            <a:ext uri="{FF2B5EF4-FFF2-40B4-BE49-F238E27FC236}">
              <a16:creationId xmlns:a16="http://schemas.microsoft.com/office/drawing/2014/main" id="{00000000-0008-0000-0000-00001B040000}"/>
            </a:ext>
          </a:extLst>
        </xdr:cNvPr>
        <xdr:cNvPicPr>
          <a:picLocks noChangeAspect="1"/>
        </xdr:cNvPicPr>
      </xdr:nvPicPr>
      <xdr:blipFill>
        <a:blip xmlns:r="http://schemas.openxmlformats.org/officeDocument/2006/relationships" r:embed="rId1028"/>
        <a:stretch>
          <a:fillRect/>
        </a:stretch>
      </xdr:blipFill>
      <xdr:spPr>
        <a:prstGeom prst="rect">
          <a:avLst/>
        </a:prstGeom>
        <a:ln w="9525">
          <a:solidFill>
            <a:srgbClr val="000000"/>
          </a:solidFill>
          <a:prstDash val="solid"/>
        </a:ln>
      </xdr:spPr>
    </xdr:pic>
    <xdr:clientData/>
  </xdr:twoCellAnchor>
  <xdr:twoCellAnchor>
    <xdr:from>
      <xdr:col>3</xdr:col>
      <xdr:colOff>114300</xdr:colOff>
      <xdr:row>2428</xdr:row>
      <xdr:rowOff>28575</xdr:rowOff>
    </xdr:from>
    <xdr:to>
      <xdr:col>3</xdr:col>
      <xdr:colOff>1552575</xdr:colOff>
      <xdr:row>2428</xdr:row>
      <xdr:rowOff>1266825</xdr:rowOff>
    </xdr:to>
    <xdr:pic>
      <xdr:nvPicPr>
        <xdr:cNvPr id="1052" name="Имя " descr="Descr ">
          <a:extLst>
            <a:ext uri="{FF2B5EF4-FFF2-40B4-BE49-F238E27FC236}">
              <a16:creationId xmlns:a16="http://schemas.microsoft.com/office/drawing/2014/main" id="{00000000-0008-0000-0000-00001C040000}"/>
            </a:ext>
          </a:extLst>
        </xdr:cNvPr>
        <xdr:cNvPicPr>
          <a:picLocks noChangeAspect="1"/>
        </xdr:cNvPicPr>
      </xdr:nvPicPr>
      <xdr:blipFill>
        <a:blip xmlns:r="http://schemas.openxmlformats.org/officeDocument/2006/relationships" r:embed="rId1029"/>
        <a:stretch>
          <a:fillRect/>
        </a:stretch>
      </xdr:blipFill>
      <xdr:spPr>
        <a:prstGeom prst="rect">
          <a:avLst/>
        </a:prstGeom>
        <a:ln w="9525">
          <a:solidFill>
            <a:srgbClr val="000000"/>
          </a:solidFill>
          <a:prstDash val="solid"/>
        </a:ln>
      </xdr:spPr>
    </xdr:pic>
    <xdr:clientData/>
  </xdr:twoCellAnchor>
  <xdr:twoCellAnchor>
    <xdr:from>
      <xdr:col>3</xdr:col>
      <xdr:colOff>114300</xdr:colOff>
      <xdr:row>2429</xdr:row>
      <xdr:rowOff>28575</xdr:rowOff>
    </xdr:from>
    <xdr:to>
      <xdr:col>3</xdr:col>
      <xdr:colOff>1552575</xdr:colOff>
      <xdr:row>2431</xdr:row>
      <xdr:rowOff>419100</xdr:rowOff>
    </xdr:to>
    <xdr:pic>
      <xdr:nvPicPr>
        <xdr:cNvPr id="1053" name="Имя " descr="Descr ">
          <a:extLst>
            <a:ext uri="{FF2B5EF4-FFF2-40B4-BE49-F238E27FC236}">
              <a16:creationId xmlns:a16="http://schemas.microsoft.com/office/drawing/2014/main" id="{00000000-0008-0000-0000-00001D040000}"/>
            </a:ext>
          </a:extLst>
        </xdr:cNvPr>
        <xdr:cNvPicPr>
          <a:picLocks noChangeAspect="1"/>
        </xdr:cNvPicPr>
      </xdr:nvPicPr>
      <xdr:blipFill>
        <a:blip xmlns:r="http://schemas.openxmlformats.org/officeDocument/2006/relationships" r:embed="rId1030"/>
        <a:stretch>
          <a:fillRect/>
        </a:stretch>
      </xdr:blipFill>
      <xdr:spPr>
        <a:prstGeom prst="rect">
          <a:avLst/>
        </a:prstGeom>
        <a:ln w="9525">
          <a:solidFill>
            <a:srgbClr val="000000"/>
          </a:solidFill>
          <a:prstDash val="solid"/>
        </a:ln>
      </xdr:spPr>
    </xdr:pic>
    <xdr:clientData/>
  </xdr:twoCellAnchor>
  <xdr:twoCellAnchor>
    <xdr:from>
      <xdr:col>3</xdr:col>
      <xdr:colOff>114300</xdr:colOff>
      <xdr:row>2432</xdr:row>
      <xdr:rowOff>28575</xdr:rowOff>
    </xdr:from>
    <xdr:to>
      <xdr:col>3</xdr:col>
      <xdr:colOff>1552575</xdr:colOff>
      <xdr:row>2435</xdr:row>
      <xdr:rowOff>209550</xdr:rowOff>
    </xdr:to>
    <xdr:pic>
      <xdr:nvPicPr>
        <xdr:cNvPr id="1054" name="Имя " descr="Descr ">
          <a:extLst>
            <a:ext uri="{FF2B5EF4-FFF2-40B4-BE49-F238E27FC236}">
              <a16:creationId xmlns:a16="http://schemas.microsoft.com/office/drawing/2014/main" id="{00000000-0008-0000-0000-00001E040000}"/>
            </a:ext>
          </a:extLst>
        </xdr:cNvPr>
        <xdr:cNvPicPr>
          <a:picLocks noChangeAspect="1"/>
        </xdr:cNvPicPr>
      </xdr:nvPicPr>
      <xdr:blipFill>
        <a:blip xmlns:r="http://schemas.openxmlformats.org/officeDocument/2006/relationships" r:embed="rId1031"/>
        <a:stretch>
          <a:fillRect/>
        </a:stretch>
      </xdr:blipFill>
      <xdr:spPr>
        <a:prstGeom prst="rect">
          <a:avLst/>
        </a:prstGeom>
        <a:ln w="9525">
          <a:solidFill>
            <a:srgbClr val="000000"/>
          </a:solidFill>
          <a:prstDash val="solid"/>
        </a:ln>
      </xdr:spPr>
    </xdr:pic>
    <xdr:clientData/>
  </xdr:twoCellAnchor>
  <xdr:twoCellAnchor>
    <xdr:from>
      <xdr:col>3</xdr:col>
      <xdr:colOff>114300</xdr:colOff>
      <xdr:row>2436</xdr:row>
      <xdr:rowOff>28575</xdr:rowOff>
    </xdr:from>
    <xdr:to>
      <xdr:col>3</xdr:col>
      <xdr:colOff>1552575</xdr:colOff>
      <xdr:row>2443</xdr:row>
      <xdr:rowOff>152400</xdr:rowOff>
    </xdr:to>
    <xdr:pic>
      <xdr:nvPicPr>
        <xdr:cNvPr id="1055" name="Имя " descr="Descr ">
          <a:extLst>
            <a:ext uri="{FF2B5EF4-FFF2-40B4-BE49-F238E27FC236}">
              <a16:creationId xmlns:a16="http://schemas.microsoft.com/office/drawing/2014/main" id="{00000000-0008-0000-0000-00001F040000}"/>
            </a:ext>
          </a:extLst>
        </xdr:cNvPr>
        <xdr:cNvPicPr>
          <a:picLocks noChangeAspect="1"/>
        </xdr:cNvPicPr>
      </xdr:nvPicPr>
      <xdr:blipFill>
        <a:blip xmlns:r="http://schemas.openxmlformats.org/officeDocument/2006/relationships" r:embed="rId1032"/>
        <a:stretch>
          <a:fillRect/>
        </a:stretch>
      </xdr:blipFill>
      <xdr:spPr>
        <a:prstGeom prst="rect">
          <a:avLst/>
        </a:prstGeom>
        <a:ln w="9525">
          <a:solidFill>
            <a:srgbClr val="000000"/>
          </a:solidFill>
          <a:prstDash val="solid"/>
        </a:ln>
      </xdr:spPr>
    </xdr:pic>
    <xdr:clientData/>
  </xdr:twoCellAnchor>
  <xdr:twoCellAnchor>
    <xdr:from>
      <xdr:col>3</xdr:col>
      <xdr:colOff>114300</xdr:colOff>
      <xdr:row>2444</xdr:row>
      <xdr:rowOff>28575</xdr:rowOff>
    </xdr:from>
    <xdr:to>
      <xdr:col>3</xdr:col>
      <xdr:colOff>1552575</xdr:colOff>
      <xdr:row>2449</xdr:row>
      <xdr:rowOff>209550</xdr:rowOff>
    </xdr:to>
    <xdr:pic>
      <xdr:nvPicPr>
        <xdr:cNvPr id="1056" name="Имя " descr="Descr ">
          <a:extLst>
            <a:ext uri="{FF2B5EF4-FFF2-40B4-BE49-F238E27FC236}">
              <a16:creationId xmlns:a16="http://schemas.microsoft.com/office/drawing/2014/main" id="{00000000-0008-0000-0000-000020040000}"/>
            </a:ext>
          </a:extLst>
        </xdr:cNvPr>
        <xdr:cNvPicPr>
          <a:picLocks noChangeAspect="1"/>
        </xdr:cNvPicPr>
      </xdr:nvPicPr>
      <xdr:blipFill>
        <a:blip xmlns:r="http://schemas.openxmlformats.org/officeDocument/2006/relationships" r:embed="rId1033"/>
        <a:stretch>
          <a:fillRect/>
        </a:stretch>
      </xdr:blipFill>
      <xdr:spPr>
        <a:prstGeom prst="rect">
          <a:avLst/>
        </a:prstGeom>
        <a:ln w="9525">
          <a:solidFill>
            <a:srgbClr val="000000"/>
          </a:solidFill>
          <a:prstDash val="solid"/>
        </a:ln>
      </xdr:spPr>
    </xdr:pic>
    <xdr:clientData/>
  </xdr:twoCellAnchor>
  <xdr:twoCellAnchor>
    <xdr:from>
      <xdr:col>3</xdr:col>
      <xdr:colOff>114300</xdr:colOff>
      <xdr:row>2450</xdr:row>
      <xdr:rowOff>28575</xdr:rowOff>
    </xdr:from>
    <xdr:to>
      <xdr:col>3</xdr:col>
      <xdr:colOff>1552575</xdr:colOff>
      <xdr:row>2453</xdr:row>
      <xdr:rowOff>209550</xdr:rowOff>
    </xdr:to>
    <xdr:pic>
      <xdr:nvPicPr>
        <xdr:cNvPr id="1057" name="Имя " descr="Descr ">
          <a:extLst>
            <a:ext uri="{FF2B5EF4-FFF2-40B4-BE49-F238E27FC236}">
              <a16:creationId xmlns:a16="http://schemas.microsoft.com/office/drawing/2014/main" id="{00000000-0008-0000-0000-000021040000}"/>
            </a:ext>
          </a:extLst>
        </xdr:cNvPr>
        <xdr:cNvPicPr>
          <a:picLocks noChangeAspect="1"/>
        </xdr:cNvPicPr>
      </xdr:nvPicPr>
      <xdr:blipFill>
        <a:blip xmlns:r="http://schemas.openxmlformats.org/officeDocument/2006/relationships" r:embed="rId1034"/>
        <a:stretch>
          <a:fillRect/>
        </a:stretch>
      </xdr:blipFill>
      <xdr:spPr>
        <a:prstGeom prst="rect">
          <a:avLst/>
        </a:prstGeom>
        <a:ln w="9525">
          <a:solidFill>
            <a:srgbClr val="000000"/>
          </a:solidFill>
          <a:prstDash val="solid"/>
        </a:ln>
      </xdr:spPr>
    </xdr:pic>
    <xdr:clientData/>
  </xdr:twoCellAnchor>
  <xdr:twoCellAnchor>
    <xdr:from>
      <xdr:col>3</xdr:col>
      <xdr:colOff>114300</xdr:colOff>
      <xdr:row>2454</xdr:row>
      <xdr:rowOff>28575</xdr:rowOff>
    </xdr:from>
    <xdr:to>
      <xdr:col>3</xdr:col>
      <xdr:colOff>1552575</xdr:colOff>
      <xdr:row>2457</xdr:row>
      <xdr:rowOff>209550</xdr:rowOff>
    </xdr:to>
    <xdr:pic>
      <xdr:nvPicPr>
        <xdr:cNvPr id="1058" name="Имя " descr="Descr ">
          <a:extLst>
            <a:ext uri="{FF2B5EF4-FFF2-40B4-BE49-F238E27FC236}">
              <a16:creationId xmlns:a16="http://schemas.microsoft.com/office/drawing/2014/main" id="{00000000-0008-0000-0000-000022040000}"/>
            </a:ext>
          </a:extLst>
        </xdr:cNvPr>
        <xdr:cNvPicPr>
          <a:picLocks noChangeAspect="1"/>
        </xdr:cNvPicPr>
      </xdr:nvPicPr>
      <xdr:blipFill>
        <a:blip xmlns:r="http://schemas.openxmlformats.org/officeDocument/2006/relationships" r:embed="rId1035"/>
        <a:stretch>
          <a:fillRect/>
        </a:stretch>
      </xdr:blipFill>
      <xdr:spPr>
        <a:prstGeom prst="rect">
          <a:avLst/>
        </a:prstGeom>
        <a:ln w="9525">
          <a:solidFill>
            <a:srgbClr val="000000"/>
          </a:solidFill>
          <a:prstDash val="solid"/>
        </a:ln>
      </xdr:spPr>
    </xdr:pic>
    <xdr:clientData/>
  </xdr:twoCellAnchor>
  <xdr:twoCellAnchor>
    <xdr:from>
      <xdr:col>3</xdr:col>
      <xdr:colOff>114300</xdr:colOff>
      <xdr:row>2458</xdr:row>
      <xdr:rowOff>28575</xdr:rowOff>
    </xdr:from>
    <xdr:to>
      <xdr:col>3</xdr:col>
      <xdr:colOff>1552575</xdr:colOff>
      <xdr:row>2461</xdr:row>
      <xdr:rowOff>209550</xdr:rowOff>
    </xdr:to>
    <xdr:pic>
      <xdr:nvPicPr>
        <xdr:cNvPr id="1059" name="Имя " descr="Descr ">
          <a:extLst>
            <a:ext uri="{FF2B5EF4-FFF2-40B4-BE49-F238E27FC236}">
              <a16:creationId xmlns:a16="http://schemas.microsoft.com/office/drawing/2014/main" id="{00000000-0008-0000-0000-000023040000}"/>
            </a:ext>
          </a:extLst>
        </xdr:cNvPr>
        <xdr:cNvPicPr>
          <a:picLocks noChangeAspect="1"/>
        </xdr:cNvPicPr>
      </xdr:nvPicPr>
      <xdr:blipFill>
        <a:blip xmlns:r="http://schemas.openxmlformats.org/officeDocument/2006/relationships" r:embed="rId1036"/>
        <a:stretch>
          <a:fillRect/>
        </a:stretch>
      </xdr:blipFill>
      <xdr:spPr>
        <a:prstGeom prst="rect">
          <a:avLst/>
        </a:prstGeom>
        <a:ln w="9525">
          <a:solidFill>
            <a:srgbClr val="000000"/>
          </a:solidFill>
          <a:prstDash val="solid"/>
        </a:ln>
      </xdr:spPr>
    </xdr:pic>
    <xdr:clientData/>
  </xdr:twoCellAnchor>
  <xdr:twoCellAnchor>
    <xdr:from>
      <xdr:col>3</xdr:col>
      <xdr:colOff>114300</xdr:colOff>
      <xdr:row>2462</xdr:row>
      <xdr:rowOff>28575</xdr:rowOff>
    </xdr:from>
    <xdr:to>
      <xdr:col>3</xdr:col>
      <xdr:colOff>1552575</xdr:colOff>
      <xdr:row>2465</xdr:row>
      <xdr:rowOff>209550</xdr:rowOff>
    </xdr:to>
    <xdr:pic>
      <xdr:nvPicPr>
        <xdr:cNvPr id="1060" name="Имя " descr="Descr ">
          <a:extLst>
            <a:ext uri="{FF2B5EF4-FFF2-40B4-BE49-F238E27FC236}">
              <a16:creationId xmlns:a16="http://schemas.microsoft.com/office/drawing/2014/main" id="{00000000-0008-0000-0000-000024040000}"/>
            </a:ext>
          </a:extLst>
        </xdr:cNvPr>
        <xdr:cNvPicPr>
          <a:picLocks noChangeAspect="1"/>
        </xdr:cNvPicPr>
      </xdr:nvPicPr>
      <xdr:blipFill>
        <a:blip xmlns:r="http://schemas.openxmlformats.org/officeDocument/2006/relationships" r:embed="rId1037"/>
        <a:stretch>
          <a:fillRect/>
        </a:stretch>
      </xdr:blipFill>
      <xdr:spPr>
        <a:prstGeom prst="rect">
          <a:avLst/>
        </a:prstGeom>
        <a:ln w="9525">
          <a:solidFill>
            <a:srgbClr val="000000"/>
          </a:solidFill>
          <a:prstDash val="solid"/>
        </a:ln>
      </xdr:spPr>
    </xdr:pic>
    <xdr:clientData/>
  </xdr:twoCellAnchor>
  <xdr:twoCellAnchor>
    <xdr:from>
      <xdr:col>3</xdr:col>
      <xdr:colOff>114300</xdr:colOff>
      <xdr:row>2466</xdr:row>
      <xdr:rowOff>28575</xdr:rowOff>
    </xdr:from>
    <xdr:to>
      <xdr:col>3</xdr:col>
      <xdr:colOff>1552575</xdr:colOff>
      <xdr:row>2472</xdr:row>
      <xdr:rowOff>171450</xdr:rowOff>
    </xdr:to>
    <xdr:pic>
      <xdr:nvPicPr>
        <xdr:cNvPr id="1061" name="Имя " descr="Descr ">
          <a:extLst>
            <a:ext uri="{FF2B5EF4-FFF2-40B4-BE49-F238E27FC236}">
              <a16:creationId xmlns:a16="http://schemas.microsoft.com/office/drawing/2014/main" id="{00000000-0008-0000-0000-000025040000}"/>
            </a:ext>
          </a:extLst>
        </xdr:cNvPr>
        <xdr:cNvPicPr>
          <a:picLocks noChangeAspect="1"/>
        </xdr:cNvPicPr>
      </xdr:nvPicPr>
      <xdr:blipFill>
        <a:blip xmlns:r="http://schemas.openxmlformats.org/officeDocument/2006/relationships" r:embed="rId1038"/>
        <a:stretch>
          <a:fillRect/>
        </a:stretch>
      </xdr:blipFill>
      <xdr:spPr>
        <a:prstGeom prst="rect">
          <a:avLst/>
        </a:prstGeom>
        <a:ln w="9525">
          <a:solidFill>
            <a:srgbClr val="000000"/>
          </a:solidFill>
          <a:prstDash val="solid"/>
        </a:ln>
      </xdr:spPr>
    </xdr:pic>
    <xdr:clientData/>
  </xdr:twoCellAnchor>
  <xdr:twoCellAnchor>
    <xdr:from>
      <xdr:col>3</xdr:col>
      <xdr:colOff>114300</xdr:colOff>
      <xdr:row>2473</xdr:row>
      <xdr:rowOff>28575</xdr:rowOff>
    </xdr:from>
    <xdr:to>
      <xdr:col>3</xdr:col>
      <xdr:colOff>1552575</xdr:colOff>
      <xdr:row>2476</xdr:row>
      <xdr:rowOff>209550</xdr:rowOff>
    </xdr:to>
    <xdr:pic>
      <xdr:nvPicPr>
        <xdr:cNvPr id="1062" name="Имя " descr="Descr ">
          <a:extLst>
            <a:ext uri="{FF2B5EF4-FFF2-40B4-BE49-F238E27FC236}">
              <a16:creationId xmlns:a16="http://schemas.microsoft.com/office/drawing/2014/main" id="{00000000-0008-0000-0000-000026040000}"/>
            </a:ext>
          </a:extLst>
        </xdr:cNvPr>
        <xdr:cNvPicPr>
          <a:picLocks noChangeAspect="1"/>
        </xdr:cNvPicPr>
      </xdr:nvPicPr>
      <xdr:blipFill>
        <a:blip xmlns:r="http://schemas.openxmlformats.org/officeDocument/2006/relationships" r:embed="rId1039"/>
        <a:stretch>
          <a:fillRect/>
        </a:stretch>
      </xdr:blipFill>
      <xdr:spPr>
        <a:prstGeom prst="rect">
          <a:avLst/>
        </a:prstGeom>
        <a:ln w="9525">
          <a:solidFill>
            <a:srgbClr val="000000"/>
          </a:solidFill>
          <a:prstDash val="solid"/>
        </a:ln>
      </xdr:spPr>
    </xdr:pic>
    <xdr:clientData/>
  </xdr:twoCellAnchor>
  <xdr:twoCellAnchor>
    <xdr:from>
      <xdr:col>3</xdr:col>
      <xdr:colOff>114300</xdr:colOff>
      <xdr:row>2477</xdr:row>
      <xdr:rowOff>28575</xdr:rowOff>
    </xdr:from>
    <xdr:to>
      <xdr:col>3</xdr:col>
      <xdr:colOff>1552575</xdr:colOff>
      <xdr:row>2482</xdr:row>
      <xdr:rowOff>209550</xdr:rowOff>
    </xdr:to>
    <xdr:pic>
      <xdr:nvPicPr>
        <xdr:cNvPr id="1063" name="Имя " descr="Descr ">
          <a:extLst>
            <a:ext uri="{FF2B5EF4-FFF2-40B4-BE49-F238E27FC236}">
              <a16:creationId xmlns:a16="http://schemas.microsoft.com/office/drawing/2014/main" id="{00000000-0008-0000-0000-000027040000}"/>
            </a:ext>
          </a:extLst>
        </xdr:cNvPr>
        <xdr:cNvPicPr>
          <a:picLocks noChangeAspect="1"/>
        </xdr:cNvPicPr>
      </xdr:nvPicPr>
      <xdr:blipFill>
        <a:blip xmlns:r="http://schemas.openxmlformats.org/officeDocument/2006/relationships" r:embed="rId1040"/>
        <a:stretch>
          <a:fillRect/>
        </a:stretch>
      </xdr:blipFill>
      <xdr:spPr>
        <a:prstGeom prst="rect">
          <a:avLst/>
        </a:prstGeom>
        <a:ln w="9525">
          <a:solidFill>
            <a:srgbClr val="000000"/>
          </a:solidFill>
          <a:prstDash val="solid"/>
        </a:ln>
      </xdr:spPr>
    </xdr:pic>
    <xdr:clientData/>
  </xdr:twoCellAnchor>
  <xdr:twoCellAnchor>
    <xdr:from>
      <xdr:col>3</xdr:col>
      <xdr:colOff>114300</xdr:colOff>
      <xdr:row>2483</xdr:row>
      <xdr:rowOff>28575</xdr:rowOff>
    </xdr:from>
    <xdr:to>
      <xdr:col>3</xdr:col>
      <xdr:colOff>1552575</xdr:colOff>
      <xdr:row>2486</xdr:row>
      <xdr:rowOff>209550</xdr:rowOff>
    </xdr:to>
    <xdr:pic>
      <xdr:nvPicPr>
        <xdr:cNvPr id="1064" name="Имя " descr="Descr ">
          <a:extLst>
            <a:ext uri="{FF2B5EF4-FFF2-40B4-BE49-F238E27FC236}">
              <a16:creationId xmlns:a16="http://schemas.microsoft.com/office/drawing/2014/main" id="{00000000-0008-0000-0000-000028040000}"/>
            </a:ext>
          </a:extLst>
        </xdr:cNvPr>
        <xdr:cNvPicPr>
          <a:picLocks noChangeAspect="1"/>
        </xdr:cNvPicPr>
      </xdr:nvPicPr>
      <xdr:blipFill>
        <a:blip xmlns:r="http://schemas.openxmlformats.org/officeDocument/2006/relationships" r:embed="rId1041"/>
        <a:stretch>
          <a:fillRect/>
        </a:stretch>
      </xdr:blipFill>
      <xdr:spPr>
        <a:prstGeom prst="rect">
          <a:avLst/>
        </a:prstGeom>
        <a:ln w="9525">
          <a:solidFill>
            <a:srgbClr val="000000"/>
          </a:solidFill>
          <a:prstDash val="solid"/>
        </a:ln>
      </xdr:spPr>
    </xdr:pic>
    <xdr:clientData/>
  </xdr:twoCellAnchor>
  <xdr:twoCellAnchor>
    <xdr:from>
      <xdr:col>3</xdr:col>
      <xdr:colOff>114300</xdr:colOff>
      <xdr:row>2487</xdr:row>
      <xdr:rowOff>28575</xdr:rowOff>
    </xdr:from>
    <xdr:to>
      <xdr:col>3</xdr:col>
      <xdr:colOff>1552575</xdr:colOff>
      <xdr:row>2491</xdr:row>
      <xdr:rowOff>333375</xdr:rowOff>
    </xdr:to>
    <xdr:pic>
      <xdr:nvPicPr>
        <xdr:cNvPr id="1065" name="Имя " descr="Descr ">
          <a:extLst>
            <a:ext uri="{FF2B5EF4-FFF2-40B4-BE49-F238E27FC236}">
              <a16:creationId xmlns:a16="http://schemas.microsoft.com/office/drawing/2014/main" id="{00000000-0008-0000-0000-000029040000}"/>
            </a:ext>
          </a:extLst>
        </xdr:cNvPr>
        <xdr:cNvPicPr>
          <a:picLocks noChangeAspect="1"/>
        </xdr:cNvPicPr>
      </xdr:nvPicPr>
      <xdr:blipFill>
        <a:blip xmlns:r="http://schemas.openxmlformats.org/officeDocument/2006/relationships" r:embed="rId1042"/>
        <a:stretch>
          <a:fillRect/>
        </a:stretch>
      </xdr:blipFill>
      <xdr:spPr>
        <a:prstGeom prst="rect">
          <a:avLst/>
        </a:prstGeom>
        <a:ln w="9525">
          <a:solidFill>
            <a:srgbClr val="000000"/>
          </a:solidFill>
          <a:prstDash val="solid"/>
        </a:ln>
      </xdr:spPr>
    </xdr:pic>
    <xdr:clientData/>
  </xdr:twoCellAnchor>
  <xdr:twoCellAnchor>
    <xdr:from>
      <xdr:col>3</xdr:col>
      <xdr:colOff>114300</xdr:colOff>
      <xdr:row>2492</xdr:row>
      <xdr:rowOff>28575</xdr:rowOff>
    </xdr:from>
    <xdr:to>
      <xdr:col>3</xdr:col>
      <xdr:colOff>1552575</xdr:colOff>
      <xdr:row>2495</xdr:row>
      <xdr:rowOff>209550</xdr:rowOff>
    </xdr:to>
    <xdr:pic>
      <xdr:nvPicPr>
        <xdr:cNvPr id="1066" name="Имя " descr="Descr ">
          <a:extLst>
            <a:ext uri="{FF2B5EF4-FFF2-40B4-BE49-F238E27FC236}">
              <a16:creationId xmlns:a16="http://schemas.microsoft.com/office/drawing/2014/main" id="{00000000-0008-0000-0000-00002A040000}"/>
            </a:ext>
          </a:extLst>
        </xdr:cNvPr>
        <xdr:cNvPicPr>
          <a:picLocks noChangeAspect="1"/>
        </xdr:cNvPicPr>
      </xdr:nvPicPr>
      <xdr:blipFill>
        <a:blip xmlns:r="http://schemas.openxmlformats.org/officeDocument/2006/relationships" r:embed="rId1043"/>
        <a:stretch>
          <a:fillRect/>
        </a:stretch>
      </xdr:blipFill>
      <xdr:spPr>
        <a:prstGeom prst="rect">
          <a:avLst/>
        </a:prstGeom>
        <a:ln w="9525">
          <a:solidFill>
            <a:srgbClr val="000000"/>
          </a:solidFill>
          <a:prstDash val="solid"/>
        </a:ln>
      </xdr:spPr>
    </xdr:pic>
    <xdr:clientData/>
  </xdr:twoCellAnchor>
  <xdr:twoCellAnchor>
    <xdr:from>
      <xdr:col>3</xdr:col>
      <xdr:colOff>114300</xdr:colOff>
      <xdr:row>2496</xdr:row>
      <xdr:rowOff>28575</xdr:rowOff>
    </xdr:from>
    <xdr:to>
      <xdr:col>3</xdr:col>
      <xdr:colOff>1552575</xdr:colOff>
      <xdr:row>2501</xdr:row>
      <xdr:rowOff>209550</xdr:rowOff>
    </xdr:to>
    <xdr:pic>
      <xdr:nvPicPr>
        <xdr:cNvPr id="1067" name="Имя " descr="Descr ">
          <a:extLst>
            <a:ext uri="{FF2B5EF4-FFF2-40B4-BE49-F238E27FC236}">
              <a16:creationId xmlns:a16="http://schemas.microsoft.com/office/drawing/2014/main" id="{00000000-0008-0000-0000-00002B040000}"/>
            </a:ext>
          </a:extLst>
        </xdr:cNvPr>
        <xdr:cNvPicPr>
          <a:picLocks noChangeAspect="1"/>
        </xdr:cNvPicPr>
      </xdr:nvPicPr>
      <xdr:blipFill>
        <a:blip xmlns:r="http://schemas.openxmlformats.org/officeDocument/2006/relationships" r:embed="rId1044"/>
        <a:stretch>
          <a:fillRect/>
        </a:stretch>
      </xdr:blipFill>
      <xdr:spPr>
        <a:prstGeom prst="rect">
          <a:avLst/>
        </a:prstGeom>
        <a:ln w="9525">
          <a:solidFill>
            <a:srgbClr val="000000"/>
          </a:solidFill>
          <a:prstDash val="solid"/>
        </a:ln>
      </xdr:spPr>
    </xdr:pic>
    <xdr:clientData/>
  </xdr:twoCellAnchor>
  <xdr:twoCellAnchor>
    <xdr:from>
      <xdr:col>3</xdr:col>
      <xdr:colOff>114300</xdr:colOff>
      <xdr:row>2502</xdr:row>
      <xdr:rowOff>38100</xdr:rowOff>
    </xdr:from>
    <xdr:to>
      <xdr:col>3</xdr:col>
      <xdr:colOff>1552575</xdr:colOff>
      <xdr:row>2503</xdr:row>
      <xdr:rowOff>638175</xdr:rowOff>
    </xdr:to>
    <xdr:pic>
      <xdr:nvPicPr>
        <xdr:cNvPr id="1068" name="Имя " descr="Descr ">
          <a:extLst>
            <a:ext uri="{FF2B5EF4-FFF2-40B4-BE49-F238E27FC236}">
              <a16:creationId xmlns:a16="http://schemas.microsoft.com/office/drawing/2014/main" id="{00000000-0008-0000-0000-00002C040000}"/>
            </a:ext>
          </a:extLst>
        </xdr:cNvPr>
        <xdr:cNvPicPr>
          <a:picLocks noChangeAspect="1"/>
        </xdr:cNvPicPr>
      </xdr:nvPicPr>
      <xdr:blipFill>
        <a:blip xmlns:r="http://schemas.openxmlformats.org/officeDocument/2006/relationships" r:embed="rId1045"/>
        <a:stretch>
          <a:fillRect/>
        </a:stretch>
      </xdr:blipFill>
      <xdr:spPr>
        <a:prstGeom prst="rect">
          <a:avLst/>
        </a:prstGeom>
        <a:ln w="9525">
          <a:solidFill>
            <a:srgbClr val="000000"/>
          </a:solidFill>
          <a:prstDash val="solid"/>
        </a:ln>
      </xdr:spPr>
    </xdr:pic>
    <xdr:clientData/>
  </xdr:twoCellAnchor>
  <xdr:twoCellAnchor>
    <xdr:from>
      <xdr:col>3</xdr:col>
      <xdr:colOff>114300</xdr:colOff>
      <xdr:row>2504</xdr:row>
      <xdr:rowOff>38100</xdr:rowOff>
    </xdr:from>
    <xdr:to>
      <xdr:col>3</xdr:col>
      <xdr:colOff>1552575</xdr:colOff>
      <xdr:row>2505</xdr:row>
      <xdr:rowOff>638175</xdr:rowOff>
    </xdr:to>
    <xdr:pic>
      <xdr:nvPicPr>
        <xdr:cNvPr id="1069" name="Имя " descr="Descr ">
          <a:extLst>
            <a:ext uri="{FF2B5EF4-FFF2-40B4-BE49-F238E27FC236}">
              <a16:creationId xmlns:a16="http://schemas.microsoft.com/office/drawing/2014/main" id="{00000000-0008-0000-0000-00002D040000}"/>
            </a:ext>
          </a:extLst>
        </xdr:cNvPr>
        <xdr:cNvPicPr>
          <a:picLocks noChangeAspect="1"/>
        </xdr:cNvPicPr>
      </xdr:nvPicPr>
      <xdr:blipFill>
        <a:blip xmlns:r="http://schemas.openxmlformats.org/officeDocument/2006/relationships" r:embed="rId1046"/>
        <a:stretch>
          <a:fillRect/>
        </a:stretch>
      </xdr:blipFill>
      <xdr:spPr>
        <a:prstGeom prst="rect">
          <a:avLst/>
        </a:prstGeom>
        <a:ln w="9525">
          <a:solidFill>
            <a:srgbClr val="000000"/>
          </a:solidFill>
          <a:prstDash val="solid"/>
        </a:ln>
      </xdr:spPr>
    </xdr:pic>
    <xdr:clientData/>
  </xdr:twoCellAnchor>
  <xdr:twoCellAnchor>
    <xdr:from>
      <xdr:col>3</xdr:col>
      <xdr:colOff>114300</xdr:colOff>
      <xdr:row>2506</xdr:row>
      <xdr:rowOff>28575</xdr:rowOff>
    </xdr:from>
    <xdr:to>
      <xdr:col>3</xdr:col>
      <xdr:colOff>1552575</xdr:colOff>
      <xdr:row>2508</xdr:row>
      <xdr:rowOff>419100</xdr:rowOff>
    </xdr:to>
    <xdr:pic>
      <xdr:nvPicPr>
        <xdr:cNvPr id="1070" name="Имя " descr="Descr ">
          <a:extLst>
            <a:ext uri="{FF2B5EF4-FFF2-40B4-BE49-F238E27FC236}">
              <a16:creationId xmlns:a16="http://schemas.microsoft.com/office/drawing/2014/main" id="{00000000-0008-0000-0000-00002E040000}"/>
            </a:ext>
          </a:extLst>
        </xdr:cNvPr>
        <xdr:cNvPicPr>
          <a:picLocks noChangeAspect="1"/>
        </xdr:cNvPicPr>
      </xdr:nvPicPr>
      <xdr:blipFill>
        <a:blip xmlns:r="http://schemas.openxmlformats.org/officeDocument/2006/relationships" r:embed="rId1047"/>
        <a:stretch>
          <a:fillRect/>
        </a:stretch>
      </xdr:blipFill>
      <xdr:spPr>
        <a:prstGeom prst="rect">
          <a:avLst/>
        </a:prstGeom>
        <a:ln w="9525">
          <a:solidFill>
            <a:srgbClr val="000000"/>
          </a:solidFill>
          <a:prstDash val="solid"/>
        </a:ln>
      </xdr:spPr>
    </xdr:pic>
    <xdr:clientData/>
  </xdr:twoCellAnchor>
  <xdr:twoCellAnchor>
    <xdr:from>
      <xdr:col>3</xdr:col>
      <xdr:colOff>114300</xdr:colOff>
      <xdr:row>2509</xdr:row>
      <xdr:rowOff>28575</xdr:rowOff>
    </xdr:from>
    <xdr:to>
      <xdr:col>3</xdr:col>
      <xdr:colOff>1552575</xdr:colOff>
      <xdr:row>2511</xdr:row>
      <xdr:rowOff>419100</xdr:rowOff>
    </xdr:to>
    <xdr:pic>
      <xdr:nvPicPr>
        <xdr:cNvPr id="1071" name="Имя " descr="Descr ">
          <a:extLst>
            <a:ext uri="{FF2B5EF4-FFF2-40B4-BE49-F238E27FC236}">
              <a16:creationId xmlns:a16="http://schemas.microsoft.com/office/drawing/2014/main" id="{00000000-0008-0000-0000-00002F040000}"/>
            </a:ext>
          </a:extLst>
        </xdr:cNvPr>
        <xdr:cNvPicPr>
          <a:picLocks noChangeAspect="1"/>
        </xdr:cNvPicPr>
      </xdr:nvPicPr>
      <xdr:blipFill>
        <a:blip xmlns:r="http://schemas.openxmlformats.org/officeDocument/2006/relationships" r:embed="rId1048"/>
        <a:stretch>
          <a:fillRect/>
        </a:stretch>
      </xdr:blipFill>
      <xdr:spPr>
        <a:prstGeom prst="rect">
          <a:avLst/>
        </a:prstGeom>
        <a:ln w="9525">
          <a:solidFill>
            <a:srgbClr val="000000"/>
          </a:solidFill>
          <a:prstDash val="solid"/>
        </a:ln>
      </xdr:spPr>
    </xdr:pic>
    <xdr:clientData/>
  </xdr:twoCellAnchor>
  <xdr:twoCellAnchor>
    <xdr:from>
      <xdr:col>3</xdr:col>
      <xdr:colOff>114300</xdr:colOff>
      <xdr:row>2512</xdr:row>
      <xdr:rowOff>28575</xdr:rowOff>
    </xdr:from>
    <xdr:to>
      <xdr:col>3</xdr:col>
      <xdr:colOff>1552575</xdr:colOff>
      <xdr:row>2514</xdr:row>
      <xdr:rowOff>419100</xdr:rowOff>
    </xdr:to>
    <xdr:pic>
      <xdr:nvPicPr>
        <xdr:cNvPr id="1072" name="Имя " descr="Descr ">
          <a:extLst>
            <a:ext uri="{FF2B5EF4-FFF2-40B4-BE49-F238E27FC236}">
              <a16:creationId xmlns:a16="http://schemas.microsoft.com/office/drawing/2014/main" id="{00000000-0008-0000-0000-000030040000}"/>
            </a:ext>
          </a:extLst>
        </xdr:cNvPr>
        <xdr:cNvPicPr>
          <a:picLocks noChangeAspect="1"/>
        </xdr:cNvPicPr>
      </xdr:nvPicPr>
      <xdr:blipFill>
        <a:blip xmlns:r="http://schemas.openxmlformats.org/officeDocument/2006/relationships" r:embed="rId1049"/>
        <a:stretch>
          <a:fillRect/>
        </a:stretch>
      </xdr:blipFill>
      <xdr:spPr>
        <a:prstGeom prst="rect">
          <a:avLst/>
        </a:prstGeom>
        <a:ln w="9525">
          <a:solidFill>
            <a:srgbClr val="000000"/>
          </a:solidFill>
          <a:prstDash val="solid"/>
        </a:ln>
      </xdr:spPr>
    </xdr:pic>
    <xdr:clientData/>
  </xdr:twoCellAnchor>
  <xdr:twoCellAnchor>
    <xdr:from>
      <xdr:col>3</xdr:col>
      <xdr:colOff>114300</xdr:colOff>
      <xdr:row>2515</xdr:row>
      <xdr:rowOff>28575</xdr:rowOff>
    </xdr:from>
    <xdr:to>
      <xdr:col>3</xdr:col>
      <xdr:colOff>1552575</xdr:colOff>
      <xdr:row>2515</xdr:row>
      <xdr:rowOff>1266825</xdr:rowOff>
    </xdr:to>
    <xdr:pic>
      <xdr:nvPicPr>
        <xdr:cNvPr id="1073" name="Имя " descr="Descr ">
          <a:extLst>
            <a:ext uri="{FF2B5EF4-FFF2-40B4-BE49-F238E27FC236}">
              <a16:creationId xmlns:a16="http://schemas.microsoft.com/office/drawing/2014/main" id="{00000000-0008-0000-0000-000031040000}"/>
            </a:ext>
          </a:extLst>
        </xdr:cNvPr>
        <xdr:cNvPicPr>
          <a:picLocks noChangeAspect="1"/>
        </xdr:cNvPicPr>
      </xdr:nvPicPr>
      <xdr:blipFill>
        <a:blip xmlns:r="http://schemas.openxmlformats.org/officeDocument/2006/relationships" r:embed="rId1050"/>
        <a:stretch>
          <a:fillRect/>
        </a:stretch>
      </xdr:blipFill>
      <xdr:spPr>
        <a:prstGeom prst="rect">
          <a:avLst/>
        </a:prstGeom>
        <a:ln w="9525">
          <a:solidFill>
            <a:srgbClr val="000000"/>
          </a:solidFill>
          <a:prstDash val="solid"/>
        </a:ln>
      </xdr:spPr>
    </xdr:pic>
    <xdr:clientData/>
  </xdr:twoCellAnchor>
  <xdr:twoCellAnchor>
    <xdr:from>
      <xdr:col>3</xdr:col>
      <xdr:colOff>114300</xdr:colOff>
      <xdr:row>2516</xdr:row>
      <xdr:rowOff>38100</xdr:rowOff>
    </xdr:from>
    <xdr:to>
      <xdr:col>3</xdr:col>
      <xdr:colOff>1552575</xdr:colOff>
      <xdr:row>2517</xdr:row>
      <xdr:rowOff>638175</xdr:rowOff>
    </xdr:to>
    <xdr:pic>
      <xdr:nvPicPr>
        <xdr:cNvPr id="1074" name="Имя " descr="Descr ">
          <a:extLst>
            <a:ext uri="{FF2B5EF4-FFF2-40B4-BE49-F238E27FC236}">
              <a16:creationId xmlns:a16="http://schemas.microsoft.com/office/drawing/2014/main" id="{00000000-0008-0000-0000-000032040000}"/>
            </a:ext>
          </a:extLst>
        </xdr:cNvPr>
        <xdr:cNvPicPr>
          <a:picLocks noChangeAspect="1"/>
        </xdr:cNvPicPr>
      </xdr:nvPicPr>
      <xdr:blipFill>
        <a:blip xmlns:r="http://schemas.openxmlformats.org/officeDocument/2006/relationships" r:embed="rId1051"/>
        <a:stretch>
          <a:fillRect/>
        </a:stretch>
      </xdr:blipFill>
      <xdr:spPr>
        <a:prstGeom prst="rect">
          <a:avLst/>
        </a:prstGeom>
        <a:ln w="9525">
          <a:solidFill>
            <a:srgbClr val="000000"/>
          </a:solidFill>
          <a:prstDash val="solid"/>
        </a:ln>
      </xdr:spPr>
    </xdr:pic>
    <xdr:clientData/>
  </xdr:twoCellAnchor>
  <xdr:twoCellAnchor>
    <xdr:from>
      <xdr:col>3</xdr:col>
      <xdr:colOff>114300</xdr:colOff>
      <xdr:row>2518</xdr:row>
      <xdr:rowOff>28575</xdr:rowOff>
    </xdr:from>
    <xdr:to>
      <xdr:col>3</xdr:col>
      <xdr:colOff>1552575</xdr:colOff>
      <xdr:row>2518</xdr:row>
      <xdr:rowOff>1266825</xdr:rowOff>
    </xdr:to>
    <xdr:pic>
      <xdr:nvPicPr>
        <xdr:cNvPr id="1075" name="Имя " descr="Descr ">
          <a:extLst>
            <a:ext uri="{FF2B5EF4-FFF2-40B4-BE49-F238E27FC236}">
              <a16:creationId xmlns:a16="http://schemas.microsoft.com/office/drawing/2014/main" id="{00000000-0008-0000-0000-000033040000}"/>
            </a:ext>
          </a:extLst>
        </xdr:cNvPr>
        <xdr:cNvPicPr>
          <a:picLocks noChangeAspect="1"/>
        </xdr:cNvPicPr>
      </xdr:nvPicPr>
      <xdr:blipFill>
        <a:blip xmlns:r="http://schemas.openxmlformats.org/officeDocument/2006/relationships" r:embed="rId1052"/>
        <a:stretch>
          <a:fillRect/>
        </a:stretch>
      </xdr:blipFill>
      <xdr:spPr>
        <a:prstGeom prst="rect">
          <a:avLst/>
        </a:prstGeom>
        <a:ln w="9525">
          <a:solidFill>
            <a:srgbClr val="000000"/>
          </a:solidFill>
          <a:prstDash val="solid"/>
        </a:ln>
      </xdr:spPr>
    </xdr:pic>
    <xdr:clientData/>
  </xdr:twoCellAnchor>
  <xdr:twoCellAnchor>
    <xdr:from>
      <xdr:col>3</xdr:col>
      <xdr:colOff>114300</xdr:colOff>
      <xdr:row>2519</xdr:row>
      <xdr:rowOff>28575</xdr:rowOff>
    </xdr:from>
    <xdr:to>
      <xdr:col>3</xdr:col>
      <xdr:colOff>1552575</xdr:colOff>
      <xdr:row>2527</xdr:row>
      <xdr:rowOff>133350</xdr:rowOff>
    </xdr:to>
    <xdr:pic>
      <xdr:nvPicPr>
        <xdr:cNvPr id="1076" name="Имя " descr="Descr ">
          <a:extLst>
            <a:ext uri="{FF2B5EF4-FFF2-40B4-BE49-F238E27FC236}">
              <a16:creationId xmlns:a16="http://schemas.microsoft.com/office/drawing/2014/main" id="{00000000-0008-0000-0000-000034040000}"/>
            </a:ext>
          </a:extLst>
        </xdr:cNvPr>
        <xdr:cNvPicPr>
          <a:picLocks noChangeAspect="1"/>
        </xdr:cNvPicPr>
      </xdr:nvPicPr>
      <xdr:blipFill>
        <a:blip xmlns:r="http://schemas.openxmlformats.org/officeDocument/2006/relationships" r:embed="rId1053"/>
        <a:stretch>
          <a:fillRect/>
        </a:stretch>
      </xdr:blipFill>
      <xdr:spPr>
        <a:prstGeom prst="rect">
          <a:avLst/>
        </a:prstGeom>
        <a:ln w="9525">
          <a:solidFill>
            <a:srgbClr val="000000"/>
          </a:solidFill>
          <a:prstDash val="solid"/>
        </a:ln>
      </xdr:spPr>
    </xdr:pic>
    <xdr:clientData/>
  </xdr:twoCellAnchor>
  <xdr:twoCellAnchor>
    <xdr:from>
      <xdr:col>3</xdr:col>
      <xdr:colOff>114300</xdr:colOff>
      <xdr:row>2530</xdr:row>
      <xdr:rowOff>28575</xdr:rowOff>
    </xdr:from>
    <xdr:to>
      <xdr:col>3</xdr:col>
      <xdr:colOff>1552575</xdr:colOff>
      <xdr:row>2538</xdr:row>
      <xdr:rowOff>133350</xdr:rowOff>
    </xdr:to>
    <xdr:pic>
      <xdr:nvPicPr>
        <xdr:cNvPr id="1077" name="Имя " descr="Descr ">
          <a:extLst>
            <a:ext uri="{FF2B5EF4-FFF2-40B4-BE49-F238E27FC236}">
              <a16:creationId xmlns:a16="http://schemas.microsoft.com/office/drawing/2014/main" id="{00000000-0008-0000-0000-000035040000}"/>
            </a:ext>
          </a:extLst>
        </xdr:cNvPr>
        <xdr:cNvPicPr>
          <a:picLocks noChangeAspect="1"/>
        </xdr:cNvPicPr>
      </xdr:nvPicPr>
      <xdr:blipFill>
        <a:blip xmlns:r="http://schemas.openxmlformats.org/officeDocument/2006/relationships" r:embed="rId1054"/>
        <a:stretch>
          <a:fillRect/>
        </a:stretch>
      </xdr:blipFill>
      <xdr:spPr>
        <a:prstGeom prst="rect">
          <a:avLst/>
        </a:prstGeom>
        <a:ln w="9525">
          <a:solidFill>
            <a:srgbClr val="000000"/>
          </a:solidFill>
          <a:prstDash val="solid"/>
        </a:ln>
      </xdr:spPr>
    </xdr:pic>
    <xdr:clientData/>
  </xdr:twoCellAnchor>
  <xdr:twoCellAnchor>
    <xdr:from>
      <xdr:col>3</xdr:col>
      <xdr:colOff>114300</xdr:colOff>
      <xdr:row>2541</xdr:row>
      <xdr:rowOff>28575</xdr:rowOff>
    </xdr:from>
    <xdr:to>
      <xdr:col>3</xdr:col>
      <xdr:colOff>1552575</xdr:colOff>
      <xdr:row>2544</xdr:row>
      <xdr:rowOff>209550</xdr:rowOff>
    </xdr:to>
    <xdr:pic>
      <xdr:nvPicPr>
        <xdr:cNvPr id="1078" name="Имя " descr="Descr ">
          <a:extLst>
            <a:ext uri="{FF2B5EF4-FFF2-40B4-BE49-F238E27FC236}">
              <a16:creationId xmlns:a16="http://schemas.microsoft.com/office/drawing/2014/main" id="{00000000-0008-0000-0000-000036040000}"/>
            </a:ext>
          </a:extLst>
        </xdr:cNvPr>
        <xdr:cNvPicPr>
          <a:picLocks noChangeAspect="1"/>
        </xdr:cNvPicPr>
      </xdr:nvPicPr>
      <xdr:blipFill>
        <a:blip xmlns:r="http://schemas.openxmlformats.org/officeDocument/2006/relationships" r:embed="rId1055"/>
        <a:stretch>
          <a:fillRect/>
        </a:stretch>
      </xdr:blipFill>
      <xdr:spPr>
        <a:prstGeom prst="rect">
          <a:avLst/>
        </a:prstGeom>
        <a:ln w="9525">
          <a:solidFill>
            <a:srgbClr val="000000"/>
          </a:solidFill>
          <a:prstDash val="solid"/>
        </a:ln>
      </xdr:spPr>
    </xdr:pic>
    <xdr:clientData/>
  </xdr:twoCellAnchor>
  <xdr:twoCellAnchor>
    <xdr:from>
      <xdr:col>3</xdr:col>
      <xdr:colOff>114300</xdr:colOff>
      <xdr:row>2545</xdr:row>
      <xdr:rowOff>28575</xdr:rowOff>
    </xdr:from>
    <xdr:to>
      <xdr:col>3</xdr:col>
      <xdr:colOff>1552575</xdr:colOff>
      <xdr:row>2547</xdr:row>
      <xdr:rowOff>419100</xdr:rowOff>
    </xdr:to>
    <xdr:pic>
      <xdr:nvPicPr>
        <xdr:cNvPr id="1079" name="Имя " descr="Descr ">
          <a:extLst>
            <a:ext uri="{FF2B5EF4-FFF2-40B4-BE49-F238E27FC236}">
              <a16:creationId xmlns:a16="http://schemas.microsoft.com/office/drawing/2014/main" id="{00000000-0008-0000-0000-000037040000}"/>
            </a:ext>
          </a:extLst>
        </xdr:cNvPr>
        <xdr:cNvPicPr>
          <a:picLocks noChangeAspect="1"/>
        </xdr:cNvPicPr>
      </xdr:nvPicPr>
      <xdr:blipFill>
        <a:blip xmlns:r="http://schemas.openxmlformats.org/officeDocument/2006/relationships" r:embed="rId1056"/>
        <a:stretch>
          <a:fillRect/>
        </a:stretch>
      </xdr:blipFill>
      <xdr:spPr>
        <a:prstGeom prst="rect">
          <a:avLst/>
        </a:prstGeom>
        <a:ln w="9525">
          <a:solidFill>
            <a:srgbClr val="000000"/>
          </a:solidFill>
          <a:prstDash val="solid"/>
        </a:ln>
      </xdr:spPr>
    </xdr:pic>
    <xdr:clientData/>
  </xdr:twoCellAnchor>
  <xdr:twoCellAnchor>
    <xdr:from>
      <xdr:col>3</xdr:col>
      <xdr:colOff>114300</xdr:colOff>
      <xdr:row>2548</xdr:row>
      <xdr:rowOff>28575</xdr:rowOff>
    </xdr:from>
    <xdr:to>
      <xdr:col>3</xdr:col>
      <xdr:colOff>1552575</xdr:colOff>
      <xdr:row>2550</xdr:row>
      <xdr:rowOff>419100</xdr:rowOff>
    </xdr:to>
    <xdr:pic>
      <xdr:nvPicPr>
        <xdr:cNvPr id="1080" name="Имя " descr="Descr ">
          <a:extLst>
            <a:ext uri="{FF2B5EF4-FFF2-40B4-BE49-F238E27FC236}">
              <a16:creationId xmlns:a16="http://schemas.microsoft.com/office/drawing/2014/main" id="{00000000-0008-0000-0000-000038040000}"/>
            </a:ext>
          </a:extLst>
        </xdr:cNvPr>
        <xdr:cNvPicPr>
          <a:picLocks noChangeAspect="1"/>
        </xdr:cNvPicPr>
      </xdr:nvPicPr>
      <xdr:blipFill>
        <a:blip xmlns:r="http://schemas.openxmlformats.org/officeDocument/2006/relationships" r:embed="rId1057"/>
        <a:stretch>
          <a:fillRect/>
        </a:stretch>
      </xdr:blipFill>
      <xdr:spPr>
        <a:prstGeom prst="rect">
          <a:avLst/>
        </a:prstGeom>
        <a:ln w="9525">
          <a:solidFill>
            <a:srgbClr val="000000"/>
          </a:solidFill>
          <a:prstDash val="solid"/>
        </a:ln>
      </xdr:spPr>
    </xdr:pic>
    <xdr:clientData/>
  </xdr:twoCellAnchor>
  <xdr:twoCellAnchor>
    <xdr:from>
      <xdr:col>3</xdr:col>
      <xdr:colOff>114300</xdr:colOff>
      <xdr:row>2551</xdr:row>
      <xdr:rowOff>28575</xdr:rowOff>
    </xdr:from>
    <xdr:to>
      <xdr:col>3</xdr:col>
      <xdr:colOff>1552575</xdr:colOff>
      <xdr:row>2559</xdr:row>
      <xdr:rowOff>133350</xdr:rowOff>
    </xdr:to>
    <xdr:pic>
      <xdr:nvPicPr>
        <xdr:cNvPr id="1081" name="Имя " descr="Descr ">
          <a:extLst>
            <a:ext uri="{FF2B5EF4-FFF2-40B4-BE49-F238E27FC236}">
              <a16:creationId xmlns:a16="http://schemas.microsoft.com/office/drawing/2014/main" id="{00000000-0008-0000-0000-000039040000}"/>
            </a:ext>
          </a:extLst>
        </xdr:cNvPr>
        <xdr:cNvPicPr>
          <a:picLocks noChangeAspect="1"/>
        </xdr:cNvPicPr>
      </xdr:nvPicPr>
      <xdr:blipFill>
        <a:blip xmlns:r="http://schemas.openxmlformats.org/officeDocument/2006/relationships" r:embed="rId1058"/>
        <a:stretch>
          <a:fillRect/>
        </a:stretch>
      </xdr:blipFill>
      <xdr:spPr>
        <a:prstGeom prst="rect">
          <a:avLst/>
        </a:prstGeom>
        <a:ln w="9525">
          <a:solidFill>
            <a:srgbClr val="000000"/>
          </a:solidFill>
          <a:prstDash val="solid"/>
        </a:ln>
      </xdr:spPr>
    </xdr:pic>
    <xdr:clientData/>
  </xdr:twoCellAnchor>
  <xdr:twoCellAnchor>
    <xdr:from>
      <xdr:col>3</xdr:col>
      <xdr:colOff>114300</xdr:colOff>
      <xdr:row>2561</xdr:row>
      <xdr:rowOff>28575</xdr:rowOff>
    </xdr:from>
    <xdr:to>
      <xdr:col>3</xdr:col>
      <xdr:colOff>1552575</xdr:colOff>
      <xdr:row>2561</xdr:row>
      <xdr:rowOff>1266825</xdr:rowOff>
    </xdr:to>
    <xdr:pic>
      <xdr:nvPicPr>
        <xdr:cNvPr id="1082" name="Имя " descr="Descr ">
          <a:extLst>
            <a:ext uri="{FF2B5EF4-FFF2-40B4-BE49-F238E27FC236}">
              <a16:creationId xmlns:a16="http://schemas.microsoft.com/office/drawing/2014/main" id="{00000000-0008-0000-0000-00003A040000}"/>
            </a:ext>
          </a:extLst>
        </xdr:cNvPr>
        <xdr:cNvPicPr>
          <a:picLocks noChangeAspect="1"/>
        </xdr:cNvPicPr>
      </xdr:nvPicPr>
      <xdr:blipFill>
        <a:blip xmlns:r="http://schemas.openxmlformats.org/officeDocument/2006/relationships" r:embed="rId1059"/>
        <a:stretch>
          <a:fillRect/>
        </a:stretch>
      </xdr:blipFill>
      <xdr:spPr>
        <a:prstGeom prst="rect">
          <a:avLst/>
        </a:prstGeom>
        <a:ln w="9525">
          <a:solidFill>
            <a:srgbClr val="000000"/>
          </a:solidFill>
          <a:prstDash val="solid"/>
        </a:ln>
      </xdr:spPr>
    </xdr:pic>
    <xdr:clientData/>
  </xdr:twoCellAnchor>
  <xdr:twoCellAnchor>
    <xdr:from>
      <xdr:col>3</xdr:col>
      <xdr:colOff>114300</xdr:colOff>
      <xdr:row>2562</xdr:row>
      <xdr:rowOff>28575</xdr:rowOff>
    </xdr:from>
    <xdr:to>
      <xdr:col>3</xdr:col>
      <xdr:colOff>1552575</xdr:colOff>
      <xdr:row>2568</xdr:row>
      <xdr:rowOff>171450</xdr:rowOff>
    </xdr:to>
    <xdr:pic>
      <xdr:nvPicPr>
        <xdr:cNvPr id="1083" name="Имя " descr="Descr ">
          <a:extLst>
            <a:ext uri="{FF2B5EF4-FFF2-40B4-BE49-F238E27FC236}">
              <a16:creationId xmlns:a16="http://schemas.microsoft.com/office/drawing/2014/main" id="{00000000-0008-0000-0000-00003B040000}"/>
            </a:ext>
          </a:extLst>
        </xdr:cNvPr>
        <xdr:cNvPicPr>
          <a:picLocks noChangeAspect="1"/>
        </xdr:cNvPicPr>
      </xdr:nvPicPr>
      <xdr:blipFill>
        <a:blip xmlns:r="http://schemas.openxmlformats.org/officeDocument/2006/relationships" r:embed="rId1060"/>
        <a:stretch>
          <a:fillRect/>
        </a:stretch>
      </xdr:blipFill>
      <xdr:spPr>
        <a:prstGeom prst="rect">
          <a:avLst/>
        </a:prstGeom>
        <a:ln w="9525">
          <a:solidFill>
            <a:srgbClr val="000000"/>
          </a:solidFill>
          <a:prstDash val="solid"/>
        </a:ln>
      </xdr:spPr>
    </xdr:pic>
    <xdr:clientData/>
  </xdr:twoCellAnchor>
  <xdr:twoCellAnchor>
    <xdr:from>
      <xdr:col>3</xdr:col>
      <xdr:colOff>114300</xdr:colOff>
      <xdr:row>2569</xdr:row>
      <xdr:rowOff>28575</xdr:rowOff>
    </xdr:from>
    <xdr:to>
      <xdr:col>3</xdr:col>
      <xdr:colOff>1552575</xdr:colOff>
      <xdr:row>2574</xdr:row>
      <xdr:rowOff>209550</xdr:rowOff>
    </xdr:to>
    <xdr:pic>
      <xdr:nvPicPr>
        <xdr:cNvPr id="1084" name="Имя " descr="Descr ">
          <a:extLst>
            <a:ext uri="{FF2B5EF4-FFF2-40B4-BE49-F238E27FC236}">
              <a16:creationId xmlns:a16="http://schemas.microsoft.com/office/drawing/2014/main" id="{00000000-0008-0000-0000-00003C040000}"/>
            </a:ext>
          </a:extLst>
        </xdr:cNvPr>
        <xdr:cNvPicPr>
          <a:picLocks noChangeAspect="1"/>
        </xdr:cNvPicPr>
      </xdr:nvPicPr>
      <xdr:blipFill>
        <a:blip xmlns:r="http://schemas.openxmlformats.org/officeDocument/2006/relationships" r:embed="rId1061"/>
        <a:stretch>
          <a:fillRect/>
        </a:stretch>
      </xdr:blipFill>
      <xdr:spPr>
        <a:prstGeom prst="rect">
          <a:avLst/>
        </a:prstGeom>
        <a:ln w="9525">
          <a:solidFill>
            <a:srgbClr val="000000"/>
          </a:solidFill>
          <a:prstDash val="solid"/>
        </a:ln>
      </xdr:spPr>
    </xdr:pic>
    <xdr:clientData/>
  </xdr:twoCellAnchor>
  <xdr:twoCellAnchor>
    <xdr:from>
      <xdr:col>3</xdr:col>
      <xdr:colOff>114300</xdr:colOff>
      <xdr:row>2575</xdr:row>
      <xdr:rowOff>28575</xdr:rowOff>
    </xdr:from>
    <xdr:to>
      <xdr:col>3</xdr:col>
      <xdr:colOff>1552575</xdr:colOff>
      <xdr:row>2581</xdr:row>
      <xdr:rowOff>171450</xdr:rowOff>
    </xdr:to>
    <xdr:pic>
      <xdr:nvPicPr>
        <xdr:cNvPr id="1085" name="Имя " descr="Descr ">
          <a:extLst>
            <a:ext uri="{FF2B5EF4-FFF2-40B4-BE49-F238E27FC236}">
              <a16:creationId xmlns:a16="http://schemas.microsoft.com/office/drawing/2014/main" id="{00000000-0008-0000-0000-00003D040000}"/>
            </a:ext>
          </a:extLst>
        </xdr:cNvPr>
        <xdr:cNvPicPr>
          <a:picLocks noChangeAspect="1"/>
        </xdr:cNvPicPr>
      </xdr:nvPicPr>
      <xdr:blipFill>
        <a:blip xmlns:r="http://schemas.openxmlformats.org/officeDocument/2006/relationships" r:embed="rId1062"/>
        <a:stretch>
          <a:fillRect/>
        </a:stretch>
      </xdr:blipFill>
      <xdr:spPr>
        <a:prstGeom prst="rect">
          <a:avLst/>
        </a:prstGeom>
        <a:ln w="9525">
          <a:solidFill>
            <a:srgbClr val="000000"/>
          </a:solidFill>
          <a:prstDash val="solid"/>
        </a:ln>
      </xdr:spPr>
    </xdr:pic>
    <xdr:clientData/>
  </xdr:twoCellAnchor>
  <xdr:twoCellAnchor>
    <xdr:from>
      <xdr:col>3</xdr:col>
      <xdr:colOff>114300</xdr:colOff>
      <xdr:row>2582</xdr:row>
      <xdr:rowOff>28575</xdr:rowOff>
    </xdr:from>
    <xdr:to>
      <xdr:col>3</xdr:col>
      <xdr:colOff>1552575</xdr:colOff>
      <xdr:row>2587</xdr:row>
      <xdr:rowOff>209550</xdr:rowOff>
    </xdr:to>
    <xdr:pic>
      <xdr:nvPicPr>
        <xdr:cNvPr id="1086" name="Имя " descr="Descr ">
          <a:extLst>
            <a:ext uri="{FF2B5EF4-FFF2-40B4-BE49-F238E27FC236}">
              <a16:creationId xmlns:a16="http://schemas.microsoft.com/office/drawing/2014/main" id="{00000000-0008-0000-0000-00003E040000}"/>
            </a:ext>
          </a:extLst>
        </xdr:cNvPr>
        <xdr:cNvPicPr>
          <a:picLocks noChangeAspect="1"/>
        </xdr:cNvPicPr>
      </xdr:nvPicPr>
      <xdr:blipFill>
        <a:blip xmlns:r="http://schemas.openxmlformats.org/officeDocument/2006/relationships" r:embed="rId1063"/>
        <a:stretch>
          <a:fillRect/>
        </a:stretch>
      </xdr:blipFill>
      <xdr:spPr>
        <a:prstGeom prst="rect">
          <a:avLst/>
        </a:prstGeom>
        <a:ln w="9525">
          <a:solidFill>
            <a:srgbClr val="000000"/>
          </a:solidFill>
          <a:prstDash val="solid"/>
        </a:ln>
      </xdr:spPr>
    </xdr:pic>
    <xdr:clientData/>
  </xdr:twoCellAnchor>
  <xdr:twoCellAnchor>
    <xdr:from>
      <xdr:col>3</xdr:col>
      <xdr:colOff>114300</xdr:colOff>
      <xdr:row>2588</xdr:row>
      <xdr:rowOff>28575</xdr:rowOff>
    </xdr:from>
    <xdr:to>
      <xdr:col>3</xdr:col>
      <xdr:colOff>1552575</xdr:colOff>
      <xdr:row>2592</xdr:row>
      <xdr:rowOff>333375</xdr:rowOff>
    </xdr:to>
    <xdr:pic>
      <xdr:nvPicPr>
        <xdr:cNvPr id="1087" name="Имя " descr="Descr ">
          <a:extLst>
            <a:ext uri="{FF2B5EF4-FFF2-40B4-BE49-F238E27FC236}">
              <a16:creationId xmlns:a16="http://schemas.microsoft.com/office/drawing/2014/main" id="{00000000-0008-0000-0000-00003F040000}"/>
            </a:ext>
          </a:extLst>
        </xdr:cNvPr>
        <xdr:cNvPicPr>
          <a:picLocks noChangeAspect="1"/>
        </xdr:cNvPicPr>
      </xdr:nvPicPr>
      <xdr:blipFill>
        <a:blip xmlns:r="http://schemas.openxmlformats.org/officeDocument/2006/relationships" r:embed="rId1064"/>
        <a:stretch>
          <a:fillRect/>
        </a:stretch>
      </xdr:blipFill>
      <xdr:spPr>
        <a:prstGeom prst="rect">
          <a:avLst/>
        </a:prstGeom>
        <a:ln w="9525">
          <a:solidFill>
            <a:srgbClr val="000000"/>
          </a:solidFill>
          <a:prstDash val="solid"/>
        </a:ln>
      </xdr:spPr>
    </xdr:pic>
    <xdr:clientData/>
  </xdr:twoCellAnchor>
  <xdr:twoCellAnchor>
    <xdr:from>
      <xdr:col>3</xdr:col>
      <xdr:colOff>114300</xdr:colOff>
      <xdr:row>2593</xdr:row>
      <xdr:rowOff>28575</xdr:rowOff>
    </xdr:from>
    <xdr:to>
      <xdr:col>3</xdr:col>
      <xdr:colOff>1552575</xdr:colOff>
      <xdr:row>2597</xdr:row>
      <xdr:rowOff>333375</xdr:rowOff>
    </xdr:to>
    <xdr:pic>
      <xdr:nvPicPr>
        <xdr:cNvPr id="1088" name="Имя " descr="Descr ">
          <a:extLst>
            <a:ext uri="{FF2B5EF4-FFF2-40B4-BE49-F238E27FC236}">
              <a16:creationId xmlns:a16="http://schemas.microsoft.com/office/drawing/2014/main" id="{00000000-0008-0000-0000-000040040000}"/>
            </a:ext>
          </a:extLst>
        </xdr:cNvPr>
        <xdr:cNvPicPr>
          <a:picLocks noChangeAspect="1"/>
        </xdr:cNvPicPr>
      </xdr:nvPicPr>
      <xdr:blipFill>
        <a:blip xmlns:r="http://schemas.openxmlformats.org/officeDocument/2006/relationships" r:embed="rId1065"/>
        <a:stretch>
          <a:fillRect/>
        </a:stretch>
      </xdr:blipFill>
      <xdr:spPr>
        <a:prstGeom prst="rect">
          <a:avLst/>
        </a:prstGeom>
        <a:ln w="9525">
          <a:solidFill>
            <a:srgbClr val="000000"/>
          </a:solidFill>
          <a:prstDash val="solid"/>
        </a:ln>
      </xdr:spPr>
    </xdr:pic>
    <xdr:clientData/>
  </xdr:twoCellAnchor>
  <xdr:twoCellAnchor>
    <xdr:from>
      <xdr:col>3</xdr:col>
      <xdr:colOff>114300</xdr:colOff>
      <xdr:row>2598</xdr:row>
      <xdr:rowOff>38100</xdr:rowOff>
    </xdr:from>
    <xdr:to>
      <xdr:col>3</xdr:col>
      <xdr:colOff>1552575</xdr:colOff>
      <xdr:row>2599</xdr:row>
      <xdr:rowOff>638175</xdr:rowOff>
    </xdr:to>
    <xdr:pic>
      <xdr:nvPicPr>
        <xdr:cNvPr id="1089" name="Имя " descr="Descr ">
          <a:extLst>
            <a:ext uri="{FF2B5EF4-FFF2-40B4-BE49-F238E27FC236}">
              <a16:creationId xmlns:a16="http://schemas.microsoft.com/office/drawing/2014/main" id="{00000000-0008-0000-0000-000041040000}"/>
            </a:ext>
          </a:extLst>
        </xdr:cNvPr>
        <xdr:cNvPicPr>
          <a:picLocks noChangeAspect="1"/>
        </xdr:cNvPicPr>
      </xdr:nvPicPr>
      <xdr:blipFill>
        <a:blip xmlns:r="http://schemas.openxmlformats.org/officeDocument/2006/relationships" r:embed="rId1066"/>
        <a:stretch>
          <a:fillRect/>
        </a:stretch>
      </xdr:blipFill>
      <xdr:spPr>
        <a:prstGeom prst="rect">
          <a:avLst/>
        </a:prstGeom>
        <a:ln w="9525">
          <a:solidFill>
            <a:srgbClr val="000000"/>
          </a:solidFill>
          <a:prstDash val="solid"/>
        </a:ln>
      </xdr:spPr>
    </xdr:pic>
    <xdr:clientData/>
  </xdr:twoCellAnchor>
  <xdr:twoCellAnchor>
    <xdr:from>
      <xdr:col>3</xdr:col>
      <xdr:colOff>114300</xdr:colOff>
      <xdr:row>2600</xdr:row>
      <xdr:rowOff>38100</xdr:rowOff>
    </xdr:from>
    <xdr:to>
      <xdr:col>3</xdr:col>
      <xdr:colOff>1552575</xdr:colOff>
      <xdr:row>2601</xdr:row>
      <xdr:rowOff>638175</xdr:rowOff>
    </xdr:to>
    <xdr:pic>
      <xdr:nvPicPr>
        <xdr:cNvPr id="1090" name="Имя " descr="Descr ">
          <a:extLst>
            <a:ext uri="{FF2B5EF4-FFF2-40B4-BE49-F238E27FC236}">
              <a16:creationId xmlns:a16="http://schemas.microsoft.com/office/drawing/2014/main" id="{00000000-0008-0000-0000-000042040000}"/>
            </a:ext>
          </a:extLst>
        </xdr:cNvPr>
        <xdr:cNvPicPr>
          <a:picLocks noChangeAspect="1"/>
        </xdr:cNvPicPr>
      </xdr:nvPicPr>
      <xdr:blipFill>
        <a:blip xmlns:r="http://schemas.openxmlformats.org/officeDocument/2006/relationships" r:embed="rId1067"/>
        <a:stretch>
          <a:fillRect/>
        </a:stretch>
      </xdr:blipFill>
      <xdr:spPr>
        <a:prstGeom prst="rect">
          <a:avLst/>
        </a:prstGeom>
        <a:ln w="9525">
          <a:solidFill>
            <a:srgbClr val="000000"/>
          </a:solidFill>
          <a:prstDash val="solid"/>
        </a:ln>
      </xdr:spPr>
    </xdr:pic>
    <xdr:clientData/>
  </xdr:twoCellAnchor>
  <xdr:twoCellAnchor>
    <xdr:from>
      <xdr:col>3</xdr:col>
      <xdr:colOff>114300</xdr:colOff>
      <xdr:row>2602</xdr:row>
      <xdr:rowOff>38100</xdr:rowOff>
    </xdr:from>
    <xdr:to>
      <xdr:col>3</xdr:col>
      <xdr:colOff>1552575</xdr:colOff>
      <xdr:row>2603</xdr:row>
      <xdr:rowOff>638175</xdr:rowOff>
    </xdr:to>
    <xdr:pic>
      <xdr:nvPicPr>
        <xdr:cNvPr id="1091" name="Имя " descr="Descr ">
          <a:extLst>
            <a:ext uri="{FF2B5EF4-FFF2-40B4-BE49-F238E27FC236}">
              <a16:creationId xmlns:a16="http://schemas.microsoft.com/office/drawing/2014/main" id="{00000000-0008-0000-0000-000043040000}"/>
            </a:ext>
          </a:extLst>
        </xdr:cNvPr>
        <xdr:cNvPicPr>
          <a:picLocks noChangeAspect="1"/>
        </xdr:cNvPicPr>
      </xdr:nvPicPr>
      <xdr:blipFill>
        <a:blip xmlns:r="http://schemas.openxmlformats.org/officeDocument/2006/relationships" r:embed="rId1068"/>
        <a:stretch>
          <a:fillRect/>
        </a:stretch>
      </xdr:blipFill>
      <xdr:spPr>
        <a:prstGeom prst="rect">
          <a:avLst/>
        </a:prstGeom>
        <a:ln w="9525">
          <a:solidFill>
            <a:srgbClr val="000000"/>
          </a:solidFill>
          <a:prstDash val="solid"/>
        </a:ln>
      </xdr:spPr>
    </xdr:pic>
    <xdr:clientData/>
  </xdr:twoCellAnchor>
  <xdr:twoCellAnchor>
    <xdr:from>
      <xdr:col>3</xdr:col>
      <xdr:colOff>114300</xdr:colOff>
      <xdr:row>2604</xdr:row>
      <xdr:rowOff>38100</xdr:rowOff>
    </xdr:from>
    <xdr:to>
      <xdr:col>3</xdr:col>
      <xdr:colOff>1552575</xdr:colOff>
      <xdr:row>2605</xdr:row>
      <xdr:rowOff>638175</xdr:rowOff>
    </xdr:to>
    <xdr:pic>
      <xdr:nvPicPr>
        <xdr:cNvPr id="1092" name="Имя " descr="Descr ">
          <a:extLst>
            <a:ext uri="{FF2B5EF4-FFF2-40B4-BE49-F238E27FC236}">
              <a16:creationId xmlns:a16="http://schemas.microsoft.com/office/drawing/2014/main" id="{00000000-0008-0000-0000-000044040000}"/>
            </a:ext>
          </a:extLst>
        </xdr:cNvPr>
        <xdr:cNvPicPr>
          <a:picLocks noChangeAspect="1"/>
        </xdr:cNvPicPr>
      </xdr:nvPicPr>
      <xdr:blipFill>
        <a:blip xmlns:r="http://schemas.openxmlformats.org/officeDocument/2006/relationships" r:embed="rId1069"/>
        <a:stretch>
          <a:fillRect/>
        </a:stretch>
      </xdr:blipFill>
      <xdr:spPr>
        <a:prstGeom prst="rect">
          <a:avLst/>
        </a:prstGeom>
        <a:ln w="9525">
          <a:solidFill>
            <a:srgbClr val="000000"/>
          </a:solidFill>
          <a:prstDash val="solid"/>
        </a:ln>
      </xdr:spPr>
    </xdr:pic>
    <xdr:clientData/>
  </xdr:twoCellAnchor>
  <xdr:twoCellAnchor>
    <xdr:from>
      <xdr:col>3</xdr:col>
      <xdr:colOff>114300</xdr:colOff>
      <xdr:row>2606</xdr:row>
      <xdr:rowOff>28575</xdr:rowOff>
    </xdr:from>
    <xdr:to>
      <xdr:col>3</xdr:col>
      <xdr:colOff>1552575</xdr:colOff>
      <xdr:row>2606</xdr:row>
      <xdr:rowOff>1266825</xdr:rowOff>
    </xdr:to>
    <xdr:pic>
      <xdr:nvPicPr>
        <xdr:cNvPr id="1093" name="Имя " descr="Descr ">
          <a:extLst>
            <a:ext uri="{FF2B5EF4-FFF2-40B4-BE49-F238E27FC236}">
              <a16:creationId xmlns:a16="http://schemas.microsoft.com/office/drawing/2014/main" id="{00000000-0008-0000-0000-000045040000}"/>
            </a:ext>
          </a:extLst>
        </xdr:cNvPr>
        <xdr:cNvPicPr>
          <a:picLocks noChangeAspect="1"/>
        </xdr:cNvPicPr>
      </xdr:nvPicPr>
      <xdr:blipFill>
        <a:blip xmlns:r="http://schemas.openxmlformats.org/officeDocument/2006/relationships" r:embed="rId1070"/>
        <a:stretch>
          <a:fillRect/>
        </a:stretch>
      </xdr:blipFill>
      <xdr:spPr>
        <a:prstGeom prst="rect">
          <a:avLst/>
        </a:prstGeom>
        <a:ln w="9525">
          <a:solidFill>
            <a:srgbClr val="000000"/>
          </a:solidFill>
          <a:prstDash val="solid"/>
        </a:ln>
      </xdr:spPr>
    </xdr:pic>
    <xdr:clientData/>
  </xdr:twoCellAnchor>
  <xdr:twoCellAnchor>
    <xdr:from>
      <xdr:col>3</xdr:col>
      <xdr:colOff>114300</xdr:colOff>
      <xdr:row>2607</xdr:row>
      <xdr:rowOff>38100</xdr:rowOff>
    </xdr:from>
    <xdr:to>
      <xdr:col>3</xdr:col>
      <xdr:colOff>1552575</xdr:colOff>
      <xdr:row>2608</xdr:row>
      <xdr:rowOff>638175</xdr:rowOff>
    </xdr:to>
    <xdr:pic>
      <xdr:nvPicPr>
        <xdr:cNvPr id="1094" name="Имя " descr="Descr ">
          <a:extLst>
            <a:ext uri="{FF2B5EF4-FFF2-40B4-BE49-F238E27FC236}">
              <a16:creationId xmlns:a16="http://schemas.microsoft.com/office/drawing/2014/main" id="{00000000-0008-0000-0000-000046040000}"/>
            </a:ext>
          </a:extLst>
        </xdr:cNvPr>
        <xdr:cNvPicPr>
          <a:picLocks noChangeAspect="1"/>
        </xdr:cNvPicPr>
      </xdr:nvPicPr>
      <xdr:blipFill>
        <a:blip xmlns:r="http://schemas.openxmlformats.org/officeDocument/2006/relationships" r:embed="rId1071"/>
        <a:stretch>
          <a:fillRect/>
        </a:stretch>
      </xdr:blipFill>
      <xdr:spPr>
        <a:prstGeom prst="rect">
          <a:avLst/>
        </a:prstGeom>
        <a:ln w="9525">
          <a:solidFill>
            <a:srgbClr val="000000"/>
          </a:solidFill>
          <a:prstDash val="solid"/>
        </a:ln>
      </xdr:spPr>
    </xdr:pic>
    <xdr:clientData/>
  </xdr:twoCellAnchor>
  <xdr:twoCellAnchor>
    <xdr:from>
      <xdr:col>3</xdr:col>
      <xdr:colOff>114300</xdr:colOff>
      <xdr:row>2609</xdr:row>
      <xdr:rowOff>38100</xdr:rowOff>
    </xdr:from>
    <xdr:to>
      <xdr:col>3</xdr:col>
      <xdr:colOff>1552575</xdr:colOff>
      <xdr:row>2610</xdr:row>
      <xdr:rowOff>638175</xdr:rowOff>
    </xdr:to>
    <xdr:pic>
      <xdr:nvPicPr>
        <xdr:cNvPr id="1095" name="Имя " descr="Descr ">
          <a:extLst>
            <a:ext uri="{FF2B5EF4-FFF2-40B4-BE49-F238E27FC236}">
              <a16:creationId xmlns:a16="http://schemas.microsoft.com/office/drawing/2014/main" id="{00000000-0008-0000-0000-000047040000}"/>
            </a:ext>
          </a:extLst>
        </xdr:cNvPr>
        <xdr:cNvPicPr>
          <a:picLocks noChangeAspect="1"/>
        </xdr:cNvPicPr>
      </xdr:nvPicPr>
      <xdr:blipFill>
        <a:blip xmlns:r="http://schemas.openxmlformats.org/officeDocument/2006/relationships" r:embed="rId1072"/>
        <a:stretch>
          <a:fillRect/>
        </a:stretch>
      </xdr:blipFill>
      <xdr:spPr>
        <a:prstGeom prst="rect">
          <a:avLst/>
        </a:prstGeom>
        <a:ln w="9525">
          <a:solidFill>
            <a:srgbClr val="000000"/>
          </a:solidFill>
          <a:prstDash val="solid"/>
        </a:ln>
      </xdr:spPr>
    </xdr:pic>
    <xdr:clientData/>
  </xdr:twoCellAnchor>
  <xdr:twoCellAnchor>
    <xdr:from>
      <xdr:col>3</xdr:col>
      <xdr:colOff>114300</xdr:colOff>
      <xdr:row>2611</xdr:row>
      <xdr:rowOff>28575</xdr:rowOff>
    </xdr:from>
    <xdr:to>
      <xdr:col>3</xdr:col>
      <xdr:colOff>1552575</xdr:colOff>
      <xdr:row>2613</xdr:row>
      <xdr:rowOff>419100</xdr:rowOff>
    </xdr:to>
    <xdr:pic>
      <xdr:nvPicPr>
        <xdr:cNvPr id="1096" name="Имя " descr="Descr ">
          <a:extLst>
            <a:ext uri="{FF2B5EF4-FFF2-40B4-BE49-F238E27FC236}">
              <a16:creationId xmlns:a16="http://schemas.microsoft.com/office/drawing/2014/main" id="{00000000-0008-0000-0000-000048040000}"/>
            </a:ext>
          </a:extLst>
        </xdr:cNvPr>
        <xdr:cNvPicPr>
          <a:picLocks noChangeAspect="1"/>
        </xdr:cNvPicPr>
      </xdr:nvPicPr>
      <xdr:blipFill>
        <a:blip xmlns:r="http://schemas.openxmlformats.org/officeDocument/2006/relationships" r:embed="rId1073"/>
        <a:stretch>
          <a:fillRect/>
        </a:stretch>
      </xdr:blipFill>
      <xdr:spPr>
        <a:prstGeom prst="rect">
          <a:avLst/>
        </a:prstGeom>
        <a:ln w="9525">
          <a:solidFill>
            <a:srgbClr val="000000"/>
          </a:solidFill>
          <a:prstDash val="solid"/>
        </a:ln>
      </xdr:spPr>
    </xdr:pic>
    <xdr:clientData/>
  </xdr:twoCellAnchor>
  <xdr:twoCellAnchor>
    <xdr:from>
      <xdr:col>3</xdr:col>
      <xdr:colOff>114300</xdr:colOff>
      <xdr:row>2614</xdr:row>
      <xdr:rowOff>28575</xdr:rowOff>
    </xdr:from>
    <xdr:to>
      <xdr:col>3</xdr:col>
      <xdr:colOff>1552575</xdr:colOff>
      <xdr:row>2614</xdr:row>
      <xdr:rowOff>1266825</xdr:rowOff>
    </xdr:to>
    <xdr:pic>
      <xdr:nvPicPr>
        <xdr:cNvPr id="1097" name="Имя " descr="Descr ">
          <a:extLst>
            <a:ext uri="{FF2B5EF4-FFF2-40B4-BE49-F238E27FC236}">
              <a16:creationId xmlns:a16="http://schemas.microsoft.com/office/drawing/2014/main" id="{00000000-0008-0000-0000-000049040000}"/>
            </a:ext>
          </a:extLst>
        </xdr:cNvPr>
        <xdr:cNvPicPr>
          <a:picLocks noChangeAspect="1"/>
        </xdr:cNvPicPr>
      </xdr:nvPicPr>
      <xdr:blipFill>
        <a:blip xmlns:r="http://schemas.openxmlformats.org/officeDocument/2006/relationships" r:embed="rId1074"/>
        <a:stretch>
          <a:fillRect/>
        </a:stretch>
      </xdr:blipFill>
      <xdr:spPr>
        <a:prstGeom prst="rect">
          <a:avLst/>
        </a:prstGeom>
        <a:ln w="9525">
          <a:solidFill>
            <a:srgbClr val="000000"/>
          </a:solidFill>
          <a:prstDash val="solid"/>
        </a:ln>
      </xdr:spPr>
    </xdr:pic>
    <xdr:clientData/>
  </xdr:twoCellAnchor>
  <xdr:twoCellAnchor>
    <xdr:from>
      <xdr:col>3</xdr:col>
      <xdr:colOff>114300</xdr:colOff>
      <xdr:row>2615</xdr:row>
      <xdr:rowOff>38100</xdr:rowOff>
    </xdr:from>
    <xdr:to>
      <xdr:col>3</xdr:col>
      <xdr:colOff>1552575</xdr:colOff>
      <xdr:row>2616</xdr:row>
      <xdr:rowOff>638175</xdr:rowOff>
    </xdr:to>
    <xdr:pic>
      <xdr:nvPicPr>
        <xdr:cNvPr id="1098" name="Имя " descr="Descr ">
          <a:extLst>
            <a:ext uri="{FF2B5EF4-FFF2-40B4-BE49-F238E27FC236}">
              <a16:creationId xmlns:a16="http://schemas.microsoft.com/office/drawing/2014/main" id="{00000000-0008-0000-0000-00004A040000}"/>
            </a:ext>
          </a:extLst>
        </xdr:cNvPr>
        <xdr:cNvPicPr>
          <a:picLocks noChangeAspect="1"/>
        </xdr:cNvPicPr>
      </xdr:nvPicPr>
      <xdr:blipFill>
        <a:blip xmlns:r="http://schemas.openxmlformats.org/officeDocument/2006/relationships" r:embed="rId1075"/>
        <a:stretch>
          <a:fillRect/>
        </a:stretch>
      </xdr:blipFill>
      <xdr:spPr>
        <a:prstGeom prst="rect">
          <a:avLst/>
        </a:prstGeom>
        <a:ln w="9525">
          <a:solidFill>
            <a:srgbClr val="000000"/>
          </a:solidFill>
          <a:prstDash val="solid"/>
        </a:ln>
      </xdr:spPr>
    </xdr:pic>
    <xdr:clientData/>
  </xdr:twoCellAnchor>
  <xdr:twoCellAnchor>
    <xdr:from>
      <xdr:col>3</xdr:col>
      <xdr:colOff>114300</xdr:colOff>
      <xdr:row>2617</xdr:row>
      <xdr:rowOff>38100</xdr:rowOff>
    </xdr:from>
    <xdr:to>
      <xdr:col>3</xdr:col>
      <xdr:colOff>1552575</xdr:colOff>
      <xdr:row>2618</xdr:row>
      <xdr:rowOff>638175</xdr:rowOff>
    </xdr:to>
    <xdr:pic>
      <xdr:nvPicPr>
        <xdr:cNvPr id="1099" name="Имя " descr="Descr ">
          <a:extLst>
            <a:ext uri="{FF2B5EF4-FFF2-40B4-BE49-F238E27FC236}">
              <a16:creationId xmlns:a16="http://schemas.microsoft.com/office/drawing/2014/main" id="{00000000-0008-0000-0000-00004B040000}"/>
            </a:ext>
          </a:extLst>
        </xdr:cNvPr>
        <xdr:cNvPicPr>
          <a:picLocks noChangeAspect="1"/>
        </xdr:cNvPicPr>
      </xdr:nvPicPr>
      <xdr:blipFill>
        <a:blip xmlns:r="http://schemas.openxmlformats.org/officeDocument/2006/relationships" r:embed="rId1076"/>
        <a:stretch>
          <a:fillRect/>
        </a:stretch>
      </xdr:blipFill>
      <xdr:spPr>
        <a:prstGeom prst="rect">
          <a:avLst/>
        </a:prstGeom>
        <a:ln w="9525">
          <a:solidFill>
            <a:srgbClr val="000000"/>
          </a:solidFill>
          <a:prstDash val="solid"/>
        </a:ln>
      </xdr:spPr>
    </xdr:pic>
    <xdr:clientData/>
  </xdr:twoCellAnchor>
  <xdr:twoCellAnchor>
    <xdr:from>
      <xdr:col>3</xdr:col>
      <xdr:colOff>114300</xdr:colOff>
      <xdr:row>2619</xdr:row>
      <xdr:rowOff>28575</xdr:rowOff>
    </xdr:from>
    <xdr:to>
      <xdr:col>3</xdr:col>
      <xdr:colOff>1552575</xdr:colOff>
      <xdr:row>2623</xdr:row>
      <xdr:rowOff>333375</xdr:rowOff>
    </xdr:to>
    <xdr:pic>
      <xdr:nvPicPr>
        <xdr:cNvPr id="1100" name="Имя " descr="Descr ">
          <a:extLst>
            <a:ext uri="{FF2B5EF4-FFF2-40B4-BE49-F238E27FC236}">
              <a16:creationId xmlns:a16="http://schemas.microsoft.com/office/drawing/2014/main" id="{00000000-0008-0000-0000-00004C040000}"/>
            </a:ext>
          </a:extLst>
        </xdr:cNvPr>
        <xdr:cNvPicPr>
          <a:picLocks noChangeAspect="1"/>
        </xdr:cNvPicPr>
      </xdr:nvPicPr>
      <xdr:blipFill>
        <a:blip xmlns:r="http://schemas.openxmlformats.org/officeDocument/2006/relationships" r:embed="rId1077"/>
        <a:stretch>
          <a:fillRect/>
        </a:stretch>
      </xdr:blipFill>
      <xdr:spPr>
        <a:prstGeom prst="rect">
          <a:avLst/>
        </a:prstGeom>
        <a:ln w="9525">
          <a:solidFill>
            <a:srgbClr val="000000"/>
          </a:solidFill>
          <a:prstDash val="solid"/>
        </a:ln>
      </xdr:spPr>
    </xdr:pic>
    <xdr:clientData/>
  </xdr:twoCellAnchor>
  <xdr:twoCellAnchor>
    <xdr:from>
      <xdr:col>3</xdr:col>
      <xdr:colOff>114300</xdr:colOff>
      <xdr:row>2624</xdr:row>
      <xdr:rowOff>28575</xdr:rowOff>
    </xdr:from>
    <xdr:to>
      <xdr:col>3</xdr:col>
      <xdr:colOff>1552575</xdr:colOff>
      <xdr:row>2627</xdr:row>
      <xdr:rowOff>209550</xdr:rowOff>
    </xdr:to>
    <xdr:pic>
      <xdr:nvPicPr>
        <xdr:cNvPr id="1101" name="Имя " descr="Descr ">
          <a:extLst>
            <a:ext uri="{FF2B5EF4-FFF2-40B4-BE49-F238E27FC236}">
              <a16:creationId xmlns:a16="http://schemas.microsoft.com/office/drawing/2014/main" id="{00000000-0008-0000-0000-00004D040000}"/>
            </a:ext>
          </a:extLst>
        </xdr:cNvPr>
        <xdr:cNvPicPr>
          <a:picLocks noChangeAspect="1"/>
        </xdr:cNvPicPr>
      </xdr:nvPicPr>
      <xdr:blipFill>
        <a:blip xmlns:r="http://schemas.openxmlformats.org/officeDocument/2006/relationships" r:embed="rId1078"/>
        <a:stretch>
          <a:fillRect/>
        </a:stretch>
      </xdr:blipFill>
      <xdr:spPr>
        <a:prstGeom prst="rect">
          <a:avLst/>
        </a:prstGeom>
        <a:ln w="9525">
          <a:solidFill>
            <a:srgbClr val="000000"/>
          </a:solidFill>
          <a:prstDash val="solid"/>
        </a:ln>
      </xdr:spPr>
    </xdr:pic>
    <xdr:clientData/>
  </xdr:twoCellAnchor>
  <xdr:twoCellAnchor>
    <xdr:from>
      <xdr:col>3</xdr:col>
      <xdr:colOff>114300</xdr:colOff>
      <xdr:row>2628</xdr:row>
      <xdr:rowOff>28575</xdr:rowOff>
    </xdr:from>
    <xdr:to>
      <xdr:col>3</xdr:col>
      <xdr:colOff>1552575</xdr:colOff>
      <xdr:row>2630</xdr:row>
      <xdr:rowOff>419100</xdr:rowOff>
    </xdr:to>
    <xdr:pic>
      <xdr:nvPicPr>
        <xdr:cNvPr id="1102" name="Имя " descr="Descr ">
          <a:extLst>
            <a:ext uri="{FF2B5EF4-FFF2-40B4-BE49-F238E27FC236}">
              <a16:creationId xmlns:a16="http://schemas.microsoft.com/office/drawing/2014/main" id="{00000000-0008-0000-0000-00004E040000}"/>
            </a:ext>
          </a:extLst>
        </xdr:cNvPr>
        <xdr:cNvPicPr>
          <a:picLocks noChangeAspect="1"/>
        </xdr:cNvPicPr>
      </xdr:nvPicPr>
      <xdr:blipFill>
        <a:blip xmlns:r="http://schemas.openxmlformats.org/officeDocument/2006/relationships" r:embed="rId1079"/>
        <a:stretch>
          <a:fillRect/>
        </a:stretch>
      </xdr:blipFill>
      <xdr:spPr>
        <a:prstGeom prst="rect">
          <a:avLst/>
        </a:prstGeom>
        <a:ln w="9525">
          <a:solidFill>
            <a:srgbClr val="000000"/>
          </a:solidFill>
          <a:prstDash val="solid"/>
        </a:ln>
      </xdr:spPr>
    </xdr:pic>
    <xdr:clientData/>
  </xdr:twoCellAnchor>
  <xdr:twoCellAnchor>
    <xdr:from>
      <xdr:col>3</xdr:col>
      <xdr:colOff>114300</xdr:colOff>
      <xdr:row>2631</xdr:row>
      <xdr:rowOff>28575</xdr:rowOff>
    </xdr:from>
    <xdr:to>
      <xdr:col>3</xdr:col>
      <xdr:colOff>1552575</xdr:colOff>
      <xdr:row>2636</xdr:row>
      <xdr:rowOff>209550</xdr:rowOff>
    </xdr:to>
    <xdr:pic>
      <xdr:nvPicPr>
        <xdr:cNvPr id="1103" name="Имя " descr="Descr ">
          <a:extLst>
            <a:ext uri="{FF2B5EF4-FFF2-40B4-BE49-F238E27FC236}">
              <a16:creationId xmlns:a16="http://schemas.microsoft.com/office/drawing/2014/main" id="{00000000-0008-0000-0000-00004F040000}"/>
            </a:ext>
          </a:extLst>
        </xdr:cNvPr>
        <xdr:cNvPicPr>
          <a:picLocks noChangeAspect="1"/>
        </xdr:cNvPicPr>
      </xdr:nvPicPr>
      <xdr:blipFill>
        <a:blip xmlns:r="http://schemas.openxmlformats.org/officeDocument/2006/relationships" r:embed="rId1080"/>
        <a:stretch>
          <a:fillRect/>
        </a:stretch>
      </xdr:blipFill>
      <xdr:spPr>
        <a:prstGeom prst="rect">
          <a:avLst/>
        </a:prstGeom>
        <a:ln w="9525">
          <a:solidFill>
            <a:srgbClr val="000000"/>
          </a:solidFill>
          <a:prstDash val="solid"/>
        </a:ln>
      </xdr:spPr>
    </xdr:pic>
    <xdr:clientData/>
  </xdr:twoCellAnchor>
  <xdr:twoCellAnchor>
    <xdr:from>
      <xdr:col>3</xdr:col>
      <xdr:colOff>114300</xdr:colOff>
      <xdr:row>2637</xdr:row>
      <xdr:rowOff>28575</xdr:rowOff>
    </xdr:from>
    <xdr:to>
      <xdr:col>3</xdr:col>
      <xdr:colOff>1552575</xdr:colOff>
      <xdr:row>2642</xdr:row>
      <xdr:rowOff>209550</xdr:rowOff>
    </xdr:to>
    <xdr:pic>
      <xdr:nvPicPr>
        <xdr:cNvPr id="1104" name="Имя " descr="Descr ">
          <a:extLst>
            <a:ext uri="{FF2B5EF4-FFF2-40B4-BE49-F238E27FC236}">
              <a16:creationId xmlns:a16="http://schemas.microsoft.com/office/drawing/2014/main" id="{00000000-0008-0000-0000-000050040000}"/>
            </a:ext>
          </a:extLst>
        </xdr:cNvPr>
        <xdr:cNvPicPr>
          <a:picLocks noChangeAspect="1"/>
        </xdr:cNvPicPr>
      </xdr:nvPicPr>
      <xdr:blipFill>
        <a:blip xmlns:r="http://schemas.openxmlformats.org/officeDocument/2006/relationships" r:embed="rId1081"/>
        <a:stretch>
          <a:fillRect/>
        </a:stretch>
      </xdr:blipFill>
      <xdr:spPr>
        <a:prstGeom prst="rect">
          <a:avLst/>
        </a:prstGeom>
        <a:ln w="9525">
          <a:solidFill>
            <a:srgbClr val="000000"/>
          </a:solidFill>
          <a:prstDash val="solid"/>
        </a:ln>
      </xdr:spPr>
    </xdr:pic>
    <xdr:clientData/>
  </xdr:twoCellAnchor>
  <xdr:twoCellAnchor>
    <xdr:from>
      <xdr:col>3</xdr:col>
      <xdr:colOff>114300</xdr:colOff>
      <xdr:row>2643</xdr:row>
      <xdr:rowOff>28575</xdr:rowOff>
    </xdr:from>
    <xdr:to>
      <xdr:col>3</xdr:col>
      <xdr:colOff>1552575</xdr:colOff>
      <xdr:row>2646</xdr:row>
      <xdr:rowOff>209550</xdr:rowOff>
    </xdr:to>
    <xdr:pic>
      <xdr:nvPicPr>
        <xdr:cNvPr id="1105" name="Имя " descr="Descr ">
          <a:extLst>
            <a:ext uri="{FF2B5EF4-FFF2-40B4-BE49-F238E27FC236}">
              <a16:creationId xmlns:a16="http://schemas.microsoft.com/office/drawing/2014/main" id="{00000000-0008-0000-0000-000051040000}"/>
            </a:ext>
          </a:extLst>
        </xdr:cNvPr>
        <xdr:cNvPicPr>
          <a:picLocks noChangeAspect="1"/>
        </xdr:cNvPicPr>
      </xdr:nvPicPr>
      <xdr:blipFill>
        <a:blip xmlns:r="http://schemas.openxmlformats.org/officeDocument/2006/relationships" r:embed="rId1082"/>
        <a:stretch>
          <a:fillRect/>
        </a:stretch>
      </xdr:blipFill>
      <xdr:spPr>
        <a:prstGeom prst="rect">
          <a:avLst/>
        </a:prstGeom>
        <a:ln w="9525">
          <a:solidFill>
            <a:srgbClr val="000000"/>
          </a:solidFill>
          <a:prstDash val="solid"/>
        </a:ln>
      </xdr:spPr>
    </xdr:pic>
    <xdr:clientData/>
  </xdr:twoCellAnchor>
  <xdr:twoCellAnchor>
    <xdr:from>
      <xdr:col>3</xdr:col>
      <xdr:colOff>114300</xdr:colOff>
      <xdr:row>2647</xdr:row>
      <xdr:rowOff>28575</xdr:rowOff>
    </xdr:from>
    <xdr:to>
      <xdr:col>3</xdr:col>
      <xdr:colOff>1552575</xdr:colOff>
      <xdr:row>2650</xdr:row>
      <xdr:rowOff>209550</xdr:rowOff>
    </xdr:to>
    <xdr:pic>
      <xdr:nvPicPr>
        <xdr:cNvPr id="1106" name="Имя " descr="Descr ">
          <a:extLst>
            <a:ext uri="{FF2B5EF4-FFF2-40B4-BE49-F238E27FC236}">
              <a16:creationId xmlns:a16="http://schemas.microsoft.com/office/drawing/2014/main" id="{00000000-0008-0000-0000-000052040000}"/>
            </a:ext>
          </a:extLst>
        </xdr:cNvPr>
        <xdr:cNvPicPr>
          <a:picLocks noChangeAspect="1"/>
        </xdr:cNvPicPr>
      </xdr:nvPicPr>
      <xdr:blipFill>
        <a:blip xmlns:r="http://schemas.openxmlformats.org/officeDocument/2006/relationships" r:embed="rId1083"/>
        <a:stretch>
          <a:fillRect/>
        </a:stretch>
      </xdr:blipFill>
      <xdr:spPr>
        <a:prstGeom prst="rect">
          <a:avLst/>
        </a:prstGeom>
        <a:ln w="9525">
          <a:solidFill>
            <a:srgbClr val="000000"/>
          </a:solidFill>
          <a:prstDash val="solid"/>
        </a:ln>
      </xdr:spPr>
    </xdr:pic>
    <xdr:clientData/>
  </xdr:twoCellAnchor>
  <xdr:twoCellAnchor>
    <xdr:from>
      <xdr:col>3</xdr:col>
      <xdr:colOff>114300</xdr:colOff>
      <xdr:row>2651</xdr:row>
      <xdr:rowOff>28575</xdr:rowOff>
    </xdr:from>
    <xdr:to>
      <xdr:col>3</xdr:col>
      <xdr:colOff>1552575</xdr:colOff>
      <xdr:row>2654</xdr:row>
      <xdr:rowOff>209550</xdr:rowOff>
    </xdr:to>
    <xdr:pic>
      <xdr:nvPicPr>
        <xdr:cNvPr id="1107" name="Имя " descr="Descr ">
          <a:extLst>
            <a:ext uri="{FF2B5EF4-FFF2-40B4-BE49-F238E27FC236}">
              <a16:creationId xmlns:a16="http://schemas.microsoft.com/office/drawing/2014/main" id="{00000000-0008-0000-0000-000053040000}"/>
            </a:ext>
          </a:extLst>
        </xdr:cNvPr>
        <xdr:cNvPicPr>
          <a:picLocks noChangeAspect="1"/>
        </xdr:cNvPicPr>
      </xdr:nvPicPr>
      <xdr:blipFill>
        <a:blip xmlns:r="http://schemas.openxmlformats.org/officeDocument/2006/relationships" r:embed="rId1084"/>
        <a:stretch>
          <a:fillRect/>
        </a:stretch>
      </xdr:blipFill>
      <xdr:spPr>
        <a:prstGeom prst="rect">
          <a:avLst/>
        </a:prstGeom>
        <a:ln w="9525">
          <a:solidFill>
            <a:srgbClr val="000000"/>
          </a:solidFill>
          <a:prstDash val="solid"/>
        </a:ln>
      </xdr:spPr>
    </xdr:pic>
    <xdr:clientData/>
  </xdr:twoCellAnchor>
  <xdr:twoCellAnchor>
    <xdr:from>
      <xdr:col>3</xdr:col>
      <xdr:colOff>114300</xdr:colOff>
      <xdr:row>2655</xdr:row>
      <xdr:rowOff>28575</xdr:rowOff>
    </xdr:from>
    <xdr:to>
      <xdr:col>3</xdr:col>
      <xdr:colOff>1552575</xdr:colOff>
      <xdr:row>2657</xdr:row>
      <xdr:rowOff>419100</xdr:rowOff>
    </xdr:to>
    <xdr:pic>
      <xdr:nvPicPr>
        <xdr:cNvPr id="1108" name="Имя " descr="Descr ">
          <a:extLst>
            <a:ext uri="{FF2B5EF4-FFF2-40B4-BE49-F238E27FC236}">
              <a16:creationId xmlns:a16="http://schemas.microsoft.com/office/drawing/2014/main" id="{00000000-0008-0000-0000-000054040000}"/>
            </a:ext>
          </a:extLst>
        </xdr:cNvPr>
        <xdr:cNvPicPr>
          <a:picLocks noChangeAspect="1"/>
        </xdr:cNvPicPr>
      </xdr:nvPicPr>
      <xdr:blipFill>
        <a:blip xmlns:r="http://schemas.openxmlformats.org/officeDocument/2006/relationships" r:embed="rId1085"/>
        <a:stretch>
          <a:fillRect/>
        </a:stretch>
      </xdr:blipFill>
      <xdr:spPr>
        <a:prstGeom prst="rect">
          <a:avLst/>
        </a:prstGeom>
        <a:ln w="9525">
          <a:solidFill>
            <a:srgbClr val="000000"/>
          </a:solidFill>
          <a:prstDash val="solid"/>
        </a:ln>
      </xdr:spPr>
    </xdr:pic>
    <xdr:clientData/>
  </xdr:twoCellAnchor>
  <xdr:twoCellAnchor>
    <xdr:from>
      <xdr:col>3</xdr:col>
      <xdr:colOff>114300</xdr:colOff>
      <xdr:row>2658</xdr:row>
      <xdr:rowOff>28575</xdr:rowOff>
    </xdr:from>
    <xdr:to>
      <xdr:col>3</xdr:col>
      <xdr:colOff>1552575</xdr:colOff>
      <xdr:row>2658</xdr:row>
      <xdr:rowOff>1266825</xdr:rowOff>
    </xdr:to>
    <xdr:pic>
      <xdr:nvPicPr>
        <xdr:cNvPr id="1109" name="Имя " descr="Descr ">
          <a:extLst>
            <a:ext uri="{FF2B5EF4-FFF2-40B4-BE49-F238E27FC236}">
              <a16:creationId xmlns:a16="http://schemas.microsoft.com/office/drawing/2014/main" id="{00000000-0008-0000-0000-000055040000}"/>
            </a:ext>
          </a:extLst>
        </xdr:cNvPr>
        <xdr:cNvPicPr>
          <a:picLocks noChangeAspect="1"/>
        </xdr:cNvPicPr>
      </xdr:nvPicPr>
      <xdr:blipFill>
        <a:blip xmlns:r="http://schemas.openxmlformats.org/officeDocument/2006/relationships" r:embed="rId1086"/>
        <a:stretch>
          <a:fillRect/>
        </a:stretch>
      </xdr:blipFill>
      <xdr:spPr>
        <a:prstGeom prst="rect">
          <a:avLst/>
        </a:prstGeom>
        <a:ln w="9525">
          <a:solidFill>
            <a:srgbClr val="000000"/>
          </a:solidFill>
          <a:prstDash val="solid"/>
        </a:ln>
      </xdr:spPr>
    </xdr:pic>
    <xdr:clientData/>
  </xdr:twoCellAnchor>
  <xdr:twoCellAnchor>
    <xdr:from>
      <xdr:col>3</xdr:col>
      <xdr:colOff>114300</xdr:colOff>
      <xdr:row>2659</xdr:row>
      <xdr:rowOff>28575</xdr:rowOff>
    </xdr:from>
    <xdr:to>
      <xdr:col>3</xdr:col>
      <xdr:colOff>1552575</xdr:colOff>
      <xdr:row>2661</xdr:row>
      <xdr:rowOff>419100</xdr:rowOff>
    </xdr:to>
    <xdr:pic>
      <xdr:nvPicPr>
        <xdr:cNvPr id="1110" name="Имя " descr="Descr ">
          <a:extLst>
            <a:ext uri="{FF2B5EF4-FFF2-40B4-BE49-F238E27FC236}">
              <a16:creationId xmlns:a16="http://schemas.microsoft.com/office/drawing/2014/main" id="{00000000-0008-0000-0000-000056040000}"/>
            </a:ext>
          </a:extLst>
        </xdr:cNvPr>
        <xdr:cNvPicPr>
          <a:picLocks noChangeAspect="1"/>
        </xdr:cNvPicPr>
      </xdr:nvPicPr>
      <xdr:blipFill>
        <a:blip xmlns:r="http://schemas.openxmlformats.org/officeDocument/2006/relationships" r:embed="rId1087"/>
        <a:stretch>
          <a:fillRect/>
        </a:stretch>
      </xdr:blipFill>
      <xdr:spPr>
        <a:prstGeom prst="rect">
          <a:avLst/>
        </a:prstGeom>
        <a:ln w="9525">
          <a:solidFill>
            <a:srgbClr val="000000"/>
          </a:solidFill>
          <a:prstDash val="solid"/>
        </a:ln>
      </xdr:spPr>
    </xdr:pic>
    <xdr:clientData/>
  </xdr:twoCellAnchor>
  <xdr:twoCellAnchor>
    <xdr:from>
      <xdr:col>3</xdr:col>
      <xdr:colOff>114300</xdr:colOff>
      <xdr:row>2662</xdr:row>
      <xdr:rowOff>28575</xdr:rowOff>
    </xdr:from>
    <xdr:to>
      <xdr:col>3</xdr:col>
      <xdr:colOff>1552575</xdr:colOff>
      <xdr:row>2662</xdr:row>
      <xdr:rowOff>1266825</xdr:rowOff>
    </xdr:to>
    <xdr:pic>
      <xdr:nvPicPr>
        <xdr:cNvPr id="1111" name="Имя " descr="Descr ">
          <a:extLst>
            <a:ext uri="{FF2B5EF4-FFF2-40B4-BE49-F238E27FC236}">
              <a16:creationId xmlns:a16="http://schemas.microsoft.com/office/drawing/2014/main" id="{00000000-0008-0000-0000-000057040000}"/>
            </a:ext>
          </a:extLst>
        </xdr:cNvPr>
        <xdr:cNvPicPr>
          <a:picLocks noChangeAspect="1"/>
        </xdr:cNvPicPr>
      </xdr:nvPicPr>
      <xdr:blipFill>
        <a:blip xmlns:r="http://schemas.openxmlformats.org/officeDocument/2006/relationships" r:embed="rId1088"/>
        <a:stretch>
          <a:fillRect/>
        </a:stretch>
      </xdr:blipFill>
      <xdr:spPr>
        <a:prstGeom prst="rect">
          <a:avLst/>
        </a:prstGeom>
        <a:ln w="9525">
          <a:solidFill>
            <a:srgbClr val="000000"/>
          </a:solidFill>
          <a:prstDash val="solid"/>
        </a:ln>
      </xdr:spPr>
    </xdr:pic>
    <xdr:clientData/>
  </xdr:twoCellAnchor>
  <xdr:twoCellAnchor>
    <xdr:from>
      <xdr:col>3</xdr:col>
      <xdr:colOff>114300</xdr:colOff>
      <xdr:row>2663</xdr:row>
      <xdr:rowOff>28575</xdr:rowOff>
    </xdr:from>
    <xdr:to>
      <xdr:col>3</xdr:col>
      <xdr:colOff>1552575</xdr:colOff>
      <xdr:row>2663</xdr:row>
      <xdr:rowOff>1266825</xdr:rowOff>
    </xdr:to>
    <xdr:pic>
      <xdr:nvPicPr>
        <xdr:cNvPr id="1112" name="Имя " descr="Descr ">
          <a:extLst>
            <a:ext uri="{FF2B5EF4-FFF2-40B4-BE49-F238E27FC236}">
              <a16:creationId xmlns:a16="http://schemas.microsoft.com/office/drawing/2014/main" id="{00000000-0008-0000-0000-000058040000}"/>
            </a:ext>
          </a:extLst>
        </xdr:cNvPr>
        <xdr:cNvPicPr>
          <a:picLocks noChangeAspect="1"/>
        </xdr:cNvPicPr>
      </xdr:nvPicPr>
      <xdr:blipFill>
        <a:blip xmlns:r="http://schemas.openxmlformats.org/officeDocument/2006/relationships" r:embed="rId1089"/>
        <a:stretch>
          <a:fillRect/>
        </a:stretch>
      </xdr:blipFill>
      <xdr:spPr>
        <a:prstGeom prst="rect">
          <a:avLst/>
        </a:prstGeom>
        <a:ln w="9525">
          <a:solidFill>
            <a:srgbClr val="000000"/>
          </a:solidFill>
          <a:prstDash val="solid"/>
        </a:ln>
      </xdr:spPr>
    </xdr:pic>
    <xdr:clientData/>
  </xdr:twoCellAnchor>
  <xdr:twoCellAnchor>
    <xdr:from>
      <xdr:col>3</xdr:col>
      <xdr:colOff>114300</xdr:colOff>
      <xdr:row>2664</xdr:row>
      <xdr:rowOff>28575</xdr:rowOff>
    </xdr:from>
    <xdr:to>
      <xdr:col>3</xdr:col>
      <xdr:colOff>1552575</xdr:colOff>
      <xdr:row>2664</xdr:row>
      <xdr:rowOff>1266825</xdr:rowOff>
    </xdr:to>
    <xdr:pic>
      <xdr:nvPicPr>
        <xdr:cNvPr id="1113" name="Имя " descr="Descr ">
          <a:extLst>
            <a:ext uri="{FF2B5EF4-FFF2-40B4-BE49-F238E27FC236}">
              <a16:creationId xmlns:a16="http://schemas.microsoft.com/office/drawing/2014/main" id="{00000000-0008-0000-0000-000059040000}"/>
            </a:ext>
          </a:extLst>
        </xdr:cNvPr>
        <xdr:cNvPicPr>
          <a:picLocks noChangeAspect="1"/>
        </xdr:cNvPicPr>
      </xdr:nvPicPr>
      <xdr:blipFill>
        <a:blip xmlns:r="http://schemas.openxmlformats.org/officeDocument/2006/relationships" r:embed="rId1090"/>
        <a:stretch>
          <a:fillRect/>
        </a:stretch>
      </xdr:blipFill>
      <xdr:spPr>
        <a:prstGeom prst="rect">
          <a:avLst/>
        </a:prstGeom>
        <a:ln w="9525">
          <a:solidFill>
            <a:srgbClr val="000000"/>
          </a:solidFill>
          <a:prstDash val="solid"/>
        </a:ln>
      </xdr:spPr>
    </xdr:pic>
    <xdr:clientData/>
  </xdr:twoCellAnchor>
  <xdr:twoCellAnchor>
    <xdr:from>
      <xdr:col>3</xdr:col>
      <xdr:colOff>114300</xdr:colOff>
      <xdr:row>2665</xdr:row>
      <xdr:rowOff>28575</xdr:rowOff>
    </xdr:from>
    <xdr:to>
      <xdr:col>3</xdr:col>
      <xdr:colOff>1552575</xdr:colOff>
      <xdr:row>2665</xdr:row>
      <xdr:rowOff>1266825</xdr:rowOff>
    </xdr:to>
    <xdr:pic>
      <xdr:nvPicPr>
        <xdr:cNvPr id="1114" name="Имя " descr="Descr ">
          <a:extLst>
            <a:ext uri="{FF2B5EF4-FFF2-40B4-BE49-F238E27FC236}">
              <a16:creationId xmlns:a16="http://schemas.microsoft.com/office/drawing/2014/main" id="{00000000-0008-0000-0000-00005A040000}"/>
            </a:ext>
          </a:extLst>
        </xdr:cNvPr>
        <xdr:cNvPicPr>
          <a:picLocks noChangeAspect="1"/>
        </xdr:cNvPicPr>
      </xdr:nvPicPr>
      <xdr:blipFill>
        <a:blip xmlns:r="http://schemas.openxmlformats.org/officeDocument/2006/relationships" r:embed="rId1091"/>
        <a:stretch>
          <a:fillRect/>
        </a:stretch>
      </xdr:blipFill>
      <xdr:spPr>
        <a:prstGeom prst="rect">
          <a:avLst/>
        </a:prstGeom>
        <a:ln w="9525">
          <a:solidFill>
            <a:srgbClr val="000000"/>
          </a:solidFill>
          <a:prstDash val="solid"/>
        </a:ln>
      </xdr:spPr>
    </xdr:pic>
    <xdr:clientData/>
  </xdr:twoCellAnchor>
  <xdr:twoCellAnchor>
    <xdr:from>
      <xdr:col>3</xdr:col>
      <xdr:colOff>114300</xdr:colOff>
      <xdr:row>2666</xdr:row>
      <xdr:rowOff>28575</xdr:rowOff>
    </xdr:from>
    <xdr:to>
      <xdr:col>3</xdr:col>
      <xdr:colOff>1552575</xdr:colOff>
      <xdr:row>2666</xdr:row>
      <xdr:rowOff>1266825</xdr:rowOff>
    </xdr:to>
    <xdr:pic>
      <xdr:nvPicPr>
        <xdr:cNvPr id="1115" name="Имя " descr="Descr ">
          <a:extLst>
            <a:ext uri="{FF2B5EF4-FFF2-40B4-BE49-F238E27FC236}">
              <a16:creationId xmlns:a16="http://schemas.microsoft.com/office/drawing/2014/main" id="{00000000-0008-0000-0000-00005B040000}"/>
            </a:ext>
          </a:extLst>
        </xdr:cNvPr>
        <xdr:cNvPicPr>
          <a:picLocks noChangeAspect="1"/>
        </xdr:cNvPicPr>
      </xdr:nvPicPr>
      <xdr:blipFill>
        <a:blip xmlns:r="http://schemas.openxmlformats.org/officeDocument/2006/relationships" r:embed="rId1092"/>
        <a:stretch>
          <a:fillRect/>
        </a:stretch>
      </xdr:blipFill>
      <xdr:spPr>
        <a:prstGeom prst="rect">
          <a:avLst/>
        </a:prstGeom>
        <a:ln w="9525">
          <a:solidFill>
            <a:srgbClr val="000000"/>
          </a:solidFill>
          <a:prstDash val="solid"/>
        </a:ln>
      </xdr:spPr>
    </xdr:pic>
    <xdr:clientData/>
  </xdr:twoCellAnchor>
  <xdr:twoCellAnchor>
    <xdr:from>
      <xdr:col>3</xdr:col>
      <xdr:colOff>114300</xdr:colOff>
      <xdr:row>2667</xdr:row>
      <xdr:rowOff>28575</xdr:rowOff>
    </xdr:from>
    <xdr:to>
      <xdr:col>3</xdr:col>
      <xdr:colOff>1552575</xdr:colOff>
      <xdr:row>2667</xdr:row>
      <xdr:rowOff>1266825</xdr:rowOff>
    </xdr:to>
    <xdr:pic>
      <xdr:nvPicPr>
        <xdr:cNvPr id="1116" name="Имя " descr="Descr ">
          <a:extLst>
            <a:ext uri="{FF2B5EF4-FFF2-40B4-BE49-F238E27FC236}">
              <a16:creationId xmlns:a16="http://schemas.microsoft.com/office/drawing/2014/main" id="{00000000-0008-0000-0000-00005C040000}"/>
            </a:ext>
          </a:extLst>
        </xdr:cNvPr>
        <xdr:cNvPicPr>
          <a:picLocks noChangeAspect="1"/>
        </xdr:cNvPicPr>
      </xdr:nvPicPr>
      <xdr:blipFill>
        <a:blip xmlns:r="http://schemas.openxmlformats.org/officeDocument/2006/relationships" r:embed="rId1093"/>
        <a:stretch>
          <a:fillRect/>
        </a:stretch>
      </xdr:blipFill>
      <xdr:spPr>
        <a:prstGeom prst="rect">
          <a:avLst/>
        </a:prstGeom>
        <a:ln w="9525">
          <a:solidFill>
            <a:srgbClr val="000000"/>
          </a:solidFill>
          <a:prstDash val="solid"/>
        </a:ln>
      </xdr:spPr>
    </xdr:pic>
    <xdr:clientData/>
  </xdr:twoCellAnchor>
  <xdr:twoCellAnchor>
    <xdr:from>
      <xdr:col>3</xdr:col>
      <xdr:colOff>114300</xdr:colOff>
      <xdr:row>2668</xdr:row>
      <xdr:rowOff>28575</xdr:rowOff>
    </xdr:from>
    <xdr:to>
      <xdr:col>3</xdr:col>
      <xdr:colOff>1552575</xdr:colOff>
      <xdr:row>2670</xdr:row>
      <xdr:rowOff>419100</xdr:rowOff>
    </xdr:to>
    <xdr:pic>
      <xdr:nvPicPr>
        <xdr:cNvPr id="1117" name="Имя " descr="Descr ">
          <a:extLst>
            <a:ext uri="{FF2B5EF4-FFF2-40B4-BE49-F238E27FC236}">
              <a16:creationId xmlns:a16="http://schemas.microsoft.com/office/drawing/2014/main" id="{00000000-0008-0000-0000-00005D040000}"/>
            </a:ext>
          </a:extLst>
        </xdr:cNvPr>
        <xdr:cNvPicPr>
          <a:picLocks noChangeAspect="1"/>
        </xdr:cNvPicPr>
      </xdr:nvPicPr>
      <xdr:blipFill>
        <a:blip xmlns:r="http://schemas.openxmlformats.org/officeDocument/2006/relationships" r:embed="rId1094"/>
        <a:stretch>
          <a:fillRect/>
        </a:stretch>
      </xdr:blipFill>
      <xdr:spPr>
        <a:prstGeom prst="rect">
          <a:avLst/>
        </a:prstGeom>
        <a:ln w="9525">
          <a:solidFill>
            <a:srgbClr val="000000"/>
          </a:solidFill>
          <a:prstDash val="solid"/>
        </a:ln>
      </xdr:spPr>
    </xdr:pic>
    <xdr:clientData/>
  </xdr:twoCellAnchor>
  <xdr:twoCellAnchor>
    <xdr:from>
      <xdr:col>3</xdr:col>
      <xdr:colOff>114300</xdr:colOff>
      <xdr:row>2671</xdr:row>
      <xdr:rowOff>28575</xdr:rowOff>
    </xdr:from>
    <xdr:to>
      <xdr:col>3</xdr:col>
      <xdr:colOff>1552575</xdr:colOff>
      <xdr:row>2674</xdr:row>
      <xdr:rowOff>209550</xdr:rowOff>
    </xdr:to>
    <xdr:pic>
      <xdr:nvPicPr>
        <xdr:cNvPr id="1118" name="Имя " descr="Descr ">
          <a:extLst>
            <a:ext uri="{FF2B5EF4-FFF2-40B4-BE49-F238E27FC236}">
              <a16:creationId xmlns:a16="http://schemas.microsoft.com/office/drawing/2014/main" id="{00000000-0008-0000-0000-00005E040000}"/>
            </a:ext>
          </a:extLst>
        </xdr:cNvPr>
        <xdr:cNvPicPr>
          <a:picLocks noChangeAspect="1"/>
        </xdr:cNvPicPr>
      </xdr:nvPicPr>
      <xdr:blipFill>
        <a:blip xmlns:r="http://schemas.openxmlformats.org/officeDocument/2006/relationships" r:embed="rId1095"/>
        <a:stretch>
          <a:fillRect/>
        </a:stretch>
      </xdr:blipFill>
      <xdr:spPr>
        <a:prstGeom prst="rect">
          <a:avLst/>
        </a:prstGeom>
        <a:ln w="9525">
          <a:solidFill>
            <a:srgbClr val="000000"/>
          </a:solidFill>
          <a:prstDash val="solid"/>
        </a:ln>
      </xdr:spPr>
    </xdr:pic>
    <xdr:clientData/>
  </xdr:twoCellAnchor>
  <xdr:twoCellAnchor>
    <xdr:from>
      <xdr:col>3</xdr:col>
      <xdr:colOff>114300</xdr:colOff>
      <xdr:row>2675</xdr:row>
      <xdr:rowOff>28575</xdr:rowOff>
    </xdr:from>
    <xdr:to>
      <xdr:col>3</xdr:col>
      <xdr:colOff>1552575</xdr:colOff>
      <xdr:row>2675</xdr:row>
      <xdr:rowOff>1266825</xdr:rowOff>
    </xdr:to>
    <xdr:pic>
      <xdr:nvPicPr>
        <xdr:cNvPr id="1119" name="Имя " descr="Descr ">
          <a:extLst>
            <a:ext uri="{FF2B5EF4-FFF2-40B4-BE49-F238E27FC236}">
              <a16:creationId xmlns:a16="http://schemas.microsoft.com/office/drawing/2014/main" id="{00000000-0008-0000-0000-00005F040000}"/>
            </a:ext>
          </a:extLst>
        </xdr:cNvPr>
        <xdr:cNvPicPr>
          <a:picLocks noChangeAspect="1"/>
        </xdr:cNvPicPr>
      </xdr:nvPicPr>
      <xdr:blipFill>
        <a:blip xmlns:r="http://schemas.openxmlformats.org/officeDocument/2006/relationships" r:embed="rId1096"/>
        <a:stretch>
          <a:fillRect/>
        </a:stretch>
      </xdr:blipFill>
      <xdr:spPr>
        <a:prstGeom prst="rect">
          <a:avLst/>
        </a:prstGeom>
        <a:ln w="9525">
          <a:solidFill>
            <a:srgbClr val="000000"/>
          </a:solidFill>
          <a:prstDash val="solid"/>
        </a:ln>
      </xdr:spPr>
    </xdr:pic>
    <xdr:clientData/>
  </xdr:twoCellAnchor>
  <xdr:twoCellAnchor>
    <xdr:from>
      <xdr:col>3</xdr:col>
      <xdr:colOff>114300</xdr:colOff>
      <xdr:row>2676</xdr:row>
      <xdr:rowOff>38100</xdr:rowOff>
    </xdr:from>
    <xdr:to>
      <xdr:col>3</xdr:col>
      <xdr:colOff>1552575</xdr:colOff>
      <xdr:row>2677</xdr:row>
      <xdr:rowOff>638175</xdr:rowOff>
    </xdr:to>
    <xdr:pic>
      <xdr:nvPicPr>
        <xdr:cNvPr id="1120" name="Имя " descr="Descr ">
          <a:extLst>
            <a:ext uri="{FF2B5EF4-FFF2-40B4-BE49-F238E27FC236}">
              <a16:creationId xmlns:a16="http://schemas.microsoft.com/office/drawing/2014/main" id="{00000000-0008-0000-0000-000060040000}"/>
            </a:ext>
          </a:extLst>
        </xdr:cNvPr>
        <xdr:cNvPicPr>
          <a:picLocks noChangeAspect="1"/>
        </xdr:cNvPicPr>
      </xdr:nvPicPr>
      <xdr:blipFill>
        <a:blip xmlns:r="http://schemas.openxmlformats.org/officeDocument/2006/relationships" r:embed="rId1097"/>
        <a:stretch>
          <a:fillRect/>
        </a:stretch>
      </xdr:blipFill>
      <xdr:spPr>
        <a:prstGeom prst="rect">
          <a:avLst/>
        </a:prstGeom>
        <a:ln w="9525">
          <a:solidFill>
            <a:srgbClr val="000000"/>
          </a:solidFill>
          <a:prstDash val="solid"/>
        </a:ln>
      </xdr:spPr>
    </xdr:pic>
    <xdr:clientData/>
  </xdr:twoCellAnchor>
  <xdr:twoCellAnchor>
    <xdr:from>
      <xdr:col>3</xdr:col>
      <xdr:colOff>114300</xdr:colOff>
      <xdr:row>2678</xdr:row>
      <xdr:rowOff>28575</xdr:rowOff>
    </xdr:from>
    <xdr:to>
      <xdr:col>3</xdr:col>
      <xdr:colOff>1552575</xdr:colOff>
      <xdr:row>2680</xdr:row>
      <xdr:rowOff>419100</xdr:rowOff>
    </xdr:to>
    <xdr:pic>
      <xdr:nvPicPr>
        <xdr:cNvPr id="1121" name="Имя " descr="Descr ">
          <a:extLst>
            <a:ext uri="{FF2B5EF4-FFF2-40B4-BE49-F238E27FC236}">
              <a16:creationId xmlns:a16="http://schemas.microsoft.com/office/drawing/2014/main" id="{00000000-0008-0000-0000-000061040000}"/>
            </a:ext>
          </a:extLst>
        </xdr:cNvPr>
        <xdr:cNvPicPr>
          <a:picLocks noChangeAspect="1"/>
        </xdr:cNvPicPr>
      </xdr:nvPicPr>
      <xdr:blipFill>
        <a:blip xmlns:r="http://schemas.openxmlformats.org/officeDocument/2006/relationships" r:embed="rId1098"/>
        <a:stretch>
          <a:fillRect/>
        </a:stretch>
      </xdr:blipFill>
      <xdr:spPr>
        <a:prstGeom prst="rect">
          <a:avLst/>
        </a:prstGeom>
        <a:ln w="9525">
          <a:solidFill>
            <a:srgbClr val="000000"/>
          </a:solidFill>
          <a:prstDash val="solid"/>
        </a:ln>
      </xdr:spPr>
    </xdr:pic>
    <xdr:clientData/>
  </xdr:twoCellAnchor>
  <xdr:twoCellAnchor>
    <xdr:from>
      <xdr:col>3</xdr:col>
      <xdr:colOff>114300</xdr:colOff>
      <xdr:row>2681</xdr:row>
      <xdr:rowOff>28575</xdr:rowOff>
    </xdr:from>
    <xdr:to>
      <xdr:col>3</xdr:col>
      <xdr:colOff>1552575</xdr:colOff>
      <xdr:row>2683</xdr:row>
      <xdr:rowOff>419100</xdr:rowOff>
    </xdr:to>
    <xdr:pic>
      <xdr:nvPicPr>
        <xdr:cNvPr id="1122" name="Имя " descr="Descr ">
          <a:extLst>
            <a:ext uri="{FF2B5EF4-FFF2-40B4-BE49-F238E27FC236}">
              <a16:creationId xmlns:a16="http://schemas.microsoft.com/office/drawing/2014/main" id="{00000000-0008-0000-0000-000062040000}"/>
            </a:ext>
          </a:extLst>
        </xdr:cNvPr>
        <xdr:cNvPicPr>
          <a:picLocks noChangeAspect="1"/>
        </xdr:cNvPicPr>
      </xdr:nvPicPr>
      <xdr:blipFill>
        <a:blip xmlns:r="http://schemas.openxmlformats.org/officeDocument/2006/relationships" r:embed="rId1099"/>
        <a:stretch>
          <a:fillRect/>
        </a:stretch>
      </xdr:blipFill>
      <xdr:spPr>
        <a:prstGeom prst="rect">
          <a:avLst/>
        </a:prstGeom>
        <a:ln w="9525">
          <a:solidFill>
            <a:srgbClr val="000000"/>
          </a:solidFill>
          <a:prstDash val="solid"/>
        </a:ln>
      </xdr:spPr>
    </xdr:pic>
    <xdr:clientData/>
  </xdr:twoCellAnchor>
  <xdr:twoCellAnchor>
    <xdr:from>
      <xdr:col>3</xdr:col>
      <xdr:colOff>114300</xdr:colOff>
      <xdr:row>2684</xdr:row>
      <xdr:rowOff>28575</xdr:rowOff>
    </xdr:from>
    <xdr:to>
      <xdr:col>3</xdr:col>
      <xdr:colOff>1552575</xdr:colOff>
      <xdr:row>2686</xdr:row>
      <xdr:rowOff>419100</xdr:rowOff>
    </xdr:to>
    <xdr:pic>
      <xdr:nvPicPr>
        <xdr:cNvPr id="1123" name="Имя " descr="Descr ">
          <a:extLst>
            <a:ext uri="{FF2B5EF4-FFF2-40B4-BE49-F238E27FC236}">
              <a16:creationId xmlns:a16="http://schemas.microsoft.com/office/drawing/2014/main" id="{00000000-0008-0000-0000-000063040000}"/>
            </a:ext>
          </a:extLst>
        </xdr:cNvPr>
        <xdr:cNvPicPr>
          <a:picLocks noChangeAspect="1"/>
        </xdr:cNvPicPr>
      </xdr:nvPicPr>
      <xdr:blipFill>
        <a:blip xmlns:r="http://schemas.openxmlformats.org/officeDocument/2006/relationships" r:embed="rId1100"/>
        <a:stretch>
          <a:fillRect/>
        </a:stretch>
      </xdr:blipFill>
      <xdr:spPr>
        <a:prstGeom prst="rect">
          <a:avLst/>
        </a:prstGeom>
        <a:ln w="9525">
          <a:solidFill>
            <a:srgbClr val="000000"/>
          </a:solidFill>
          <a:prstDash val="solid"/>
        </a:ln>
      </xdr:spPr>
    </xdr:pic>
    <xdr:clientData/>
  </xdr:twoCellAnchor>
  <xdr:twoCellAnchor>
    <xdr:from>
      <xdr:col>3</xdr:col>
      <xdr:colOff>114300</xdr:colOff>
      <xdr:row>2687</xdr:row>
      <xdr:rowOff>28575</xdr:rowOff>
    </xdr:from>
    <xdr:to>
      <xdr:col>3</xdr:col>
      <xdr:colOff>1552575</xdr:colOff>
      <xdr:row>2687</xdr:row>
      <xdr:rowOff>1266825</xdr:rowOff>
    </xdr:to>
    <xdr:pic>
      <xdr:nvPicPr>
        <xdr:cNvPr id="1124" name="Имя " descr="Descr ">
          <a:extLst>
            <a:ext uri="{FF2B5EF4-FFF2-40B4-BE49-F238E27FC236}">
              <a16:creationId xmlns:a16="http://schemas.microsoft.com/office/drawing/2014/main" id="{00000000-0008-0000-0000-000064040000}"/>
            </a:ext>
          </a:extLst>
        </xdr:cNvPr>
        <xdr:cNvPicPr>
          <a:picLocks noChangeAspect="1"/>
        </xdr:cNvPicPr>
      </xdr:nvPicPr>
      <xdr:blipFill>
        <a:blip xmlns:r="http://schemas.openxmlformats.org/officeDocument/2006/relationships" r:embed="rId1101"/>
        <a:stretch>
          <a:fillRect/>
        </a:stretch>
      </xdr:blipFill>
      <xdr:spPr>
        <a:prstGeom prst="rect">
          <a:avLst/>
        </a:prstGeom>
        <a:ln w="9525">
          <a:solidFill>
            <a:srgbClr val="000000"/>
          </a:solidFill>
          <a:prstDash val="solid"/>
        </a:ln>
      </xdr:spPr>
    </xdr:pic>
    <xdr:clientData/>
  </xdr:twoCellAnchor>
  <xdr:twoCellAnchor>
    <xdr:from>
      <xdr:col>3</xdr:col>
      <xdr:colOff>114300</xdr:colOff>
      <xdr:row>2688</xdr:row>
      <xdr:rowOff>28575</xdr:rowOff>
    </xdr:from>
    <xdr:to>
      <xdr:col>3</xdr:col>
      <xdr:colOff>1552575</xdr:colOff>
      <xdr:row>2694</xdr:row>
      <xdr:rowOff>171450</xdr:rowOff>
    </xdr:to>
    <xdr:pic>
      <xdr:nvPicPr>
        <xdr:cNvPr id="1125" name="Имя " descr="Descr ">
          <a:extLst>
            <a:ext uri="{FF2B5EF4-FFF2-40B4-BE49-F238E27FC236}">
              <a16:creationId xmlns:a16="http://schemas.microsoft.com/office/drawing/2014/main" id="{00000000-0008-0000-0000-000065040000}"/>
            </a:ext>
          </a:extLst>
        </xdr:cNvPr>
        <xdr:cNvPicPr>
          <a:picLocks noChangeAspect="1"/>
        </xdr:cNvPicPr>
      </xdr:nvPicPr>
      <xdr:blipFill>
        <a:blip xmlns:r="http://schemas.openxmlformats.org/officeDocument/2006/relationships" r:embed="rId1102"/>
        <a:stretch>
          <a:fillRect/>
        </a:stretch>
      </xdr:blipFill>
      <xdr:spPr>
        <a:prstGeom prst="rect">
          <a:avLst/>
        </a:prstGeom>
        <a:ln w="9525">
          <a:solidFill>
            <a:srgbClr val="000000"/>
          </a:solidFill>
          <a:prstDash val="solid"/>
        </a:ln>
      </xdr:spPr>
    </xdr:pic>
    <xdr:clientData/>
  </xdr:twoCellAnchor>
  <xdr:twoCellAnchor>
    <xdr:from>
      <xdr:col>3</xdr:col>
      <xdr:colOff>114300</xdr:colOff>
      <xdr:row>2695</xdr:row>
      <xdr:rowOff>28575</xdr:rowOff>
    </xdr:from>
    <xdr:to>
      <xdr:col>3</xdr:col>
      <xdr:colOff>1552575</xdr:colOff>
      <xdr:row>2699</xdr:row>
      <xdr:rowOff>333375</xdr:rowOff>
    </xdr:to>
    <xdr:pic>
      <xdr:nvPicPr>
        <xdr:cNvPr id="1126" name="Имя " descr="Descr ">
          <a:extLst>
            <a:ext uri="{FF2B5EF4-FFF2-40B4-BE49-F238E27FC236}">
              <a16:creationId xmlns:a16="http://schemas.microsoft.com/office/drawing/2014/main" id="{00000000-0008-0000-0000-000066040000}"/>
            </a:ext>
          </a:extLst>
        </xdr:cNvPr>
        <xdr:cNvPicPr>
          <a:picLocks noChangeAspect="1"/>
        </xdr:cNvPicPr>
      </xdr:nvPicPr>
      <xdr:blipFill>
        <a:blip xmlns:r="http://schemas.openxmlformats.org/officeDocument/2006/relationships" r:embed="rId1103"/>
        <a:stretch>
          <a:fillRect/>
        </a:stretch>
      </xdr:blipFill>
      <xdr:spPr>
        <a:prstGeom prst="rect">
          <a:avLst/>
        </a:prstGeom>
        <a:ln w="9525">
          <a:solidFill>
            <a:srgbClr val="000000"/>
          </a:solidFill>
          <a:prstDash val="solid"/>
        </a:ln>
      </xdr:spPr>
    </xdr:pic>
    <xdr:clientData/>
  </xdr:twoCellAnchor>
  <xdr:twoCellAnchor>
    <xdr:from>
      <xdr:col>3</xdr:col>
      <xdr:colOff>114300</xdr:colOff>
      <xdr:row>2700</xdr:row>
      <xdr:rowOff>28575</xdr:rowOff>
    </xdr:from>
    <xdr:to>
      <xdr:col>3</xdr:col>
      <xdr:colOff>1552575</xdr:colOff>
      <xdr:row>2704</xdr:row>
      <xdr:rowOff>333375</xdr:rowOff>
    </xdr:to>
    <xdr:pic>
      <xdr:nvPicPr>
        <xdr:cNvPr id="1127" name="Имя " descr="Descr ">
          <a:extLst>
            <a:ext uri="{FF2B5EF4-FFF2-40B4-BE49-F238E27FC236}">
              <a16:creationId xmlns:a16="http://schemas.microsoft.com/office/drawing/2014/main" id="{00000000-0008-0000-0000-000067040000}"/>
            </a:ext>
          </a:extLst>
        </xdr:cNvPr>
        <xdr:cNvPicPr>
          <a:picLocks noChangeAspect="1"/>
        </xdr:cNvPicPr>
      </xdr:nvPicPr>
      <xdr:blipFill>
        <a:blip xmlns:r="http://schemas.openxmlformats.org/officeDocument/2006/relationships" r:embed="rId1104"/>
        <a:stretch>
          <a:fillRect/>
        </a:stretch>
      </xdr:blipFill>
      <xdr:spPr>
        <a:prstGeom prst="rect">
          <a:avLst/>
        </a:prstGeom>
        <a:ln w="9525">
          <a:solidFill>
            <a:srgbClr val="000000"/>
          </a:solidFill>
          <a:prstDash val="solid"/>
        </a:ln>
      </xdr:spPr>
    </xdr:pic>
    <xdr:clientData/>
  </xdr:twoCellAnchor>
  <xdr:twoCellAnchor>
    <xdr:from>
      <xdr:col>3</xdr:col>
      <xdr:colOff>114300</xdr:colOff>
      <xdr:row>2705</xdr:row>
      <xdr:rowOff>28575</xdr:rowOff>
    </xdr:from>
    <xdr:to>
      <xdr:col>3</xdr:col>
      <xdr:colOff>1552575</xdr:colOff>
      <xdr:row>2708</xdr:row>
      <xdr:rowOff>209550</xdr:rowOff>
    </xdr:to>
    <xdr:pic>
      <xdr:nvPicPr>
        <xdr:cNvPr id="1128" name="Имя " descr="Descr ">
          <a:extLst>
            <a:ext uri="{FF2B5EF4-FFF2-40B4-BE49-F238E27FC236}">
              <a16:creationId xmlns:a16="http://schemas.microsoft.com/office/drawing/2014/main" id="{00000000-0008-0000-0000-000068040000}"/>
            </a:ext>
          </a:extLst>
        </xdr:cNvPr>
        <xdr:cNvPicPr>
          <a:picLocks noChangeAspect="1"/>
        </xdr:cNvPicPr>
      </xdr:nvPicPr>
      <xdr:blipFill>
        <a:blip xmlns:r="http://schemas.openxmlformats.org/officeDocument/2006/relationships" r:embed="rId1105"/>
        <a:stretch>
          <a:fillRect/>
        </a:stretch>
      </xdr:blipFill>
      <xdr:spPr>
        <a:prstGeom prst="rect">
          <a:avLst/>
        </a:prstGeom>
        <a:ln w="9525">
          <a:solidFill>
            <a:srgbClr val="000000"/>
          </a:solidFill>
          <a:prstDash val="solid"/>
        </a:ln>
      </xdr:spPr>
    </xdr:pic>
    <xdr:clientData/>
  </xdr:twoCellAnchor>
  <xdr:twoCellAnchor>
    <xdr:from>
      <xdr:col>3</xdr:col>
      <xdr:colOff>114300</xdr:colOff>
      <xdr:row>2709</xdr:row>
      <xdr:rowOff>28575</xdr:rowOff>
    </xdr:from>
    <xdr:to>
      <xdr:col>3</xdr:col>
      <xdr:colOff>1552575</xdr:colOff>
      <xdr:row>2715</xdr:row>
      <xdr:rowOff>171450</xdr:rowOff>
    </xdr:to>
    <xdr:pic>
      <xdr:nvPicPr>
        <xdr:cNvPr id="1129" name="Имя " descr="Descr ">
          <a:extLst>
            <a:ext uri="{FF2B5EF4-FFF2-40B4-BE49-F238E27FC236}">
              <a16:creationId xmlns:a16="http://schemas.microsoft.com/office/drawing/2014/main" id="{00000000-0008-0000-0000-000069040000}"/>
            </a:ext>
          </a:extLst>
        </xdr:cNvPr>
        <xdr:cNvPicPr>
          <a:picLocks noChangeAspect="1"/>
        </xdr:cNvPicPr>
      </xdr:nvPicPr>
      <xdr:blipFill>
        <a:blip xmlns:r="http://schemas.openxmlformats.org/officeDocument/2006/relationships" r:embed="rId1106"/>
        <a:stretch>
          <a:fillRect/>
        </a:stretch>
      </xdr:blipFill>
      <xdr:spPr>
        <a:prstGeom prst="rect">
          <a:avLst/>
        </a:prstGeom>
        <a:ln w="9525">
          <a:solidFill>
            <a:srgbClr val="000000"/>
          </a:solidFill>
          <a:prstDash val="solid"/>
        </a:ln>
      </xdr:spPr>
    </xdr:pic>
    <xdr:clientData/>
  </xdr:twoCellAnchor>
  <xdr:twoCellAnchor>
    <xdr:from>
      <xdr:col>3</xdr:col>
      <xdr:colOff>114300</xdr:colOff>
      <xdr:row>2716</xdr:row>
      <xdr:rowOff>28575</xdr:rowOff>
    </xdr:from>
    <xdr:to>
      <xdr:col>3</xdr:col>
      <xdr:colOff>1552575</xdr:colOff>
      <xdr:row>2722</xdr:row>
      <xdr:rowOff>171450</xdr:rowOff>
    </xdr:to>
    <xdr:pic>
      <xdr:nvPicPr>
        <xdr:cNvPr id="1130" name="Имя " descr="Descr ">
          <a:extLst>
            <a:ext uri="{FF2B5EF4-FFF2-40B4-BE49-F238E27FC236}">
              <a16:creationId xmlns:a16="http://schemas.microsoft.com/office/drawing/2014/main" id="{00000000-0008-0000-0000-00006A040000}"/>
            </a:ext>
          </a:extLst>
        </xdr:cNvPr>
        <xdr:cNvPicPr>
          <a:picLocks noChangeAspect="1"/>
        </xdr:cNvPicPr>
      </xdr:nvPicPr>
      <xdr:blipFill>
        <a:blip xmlns:r="http://schemas.openxmlformats.org/officeDocument/2006/relationships" r:embed="rId1107"/>
        <a:stretch>
          <a:fillRect/>
        </a:stretch>
      </xdr:blipFill>
      <xdr:spPr>
        <a:prstGeom prst="rect">
          <a:avLst/>
        </a:prstGeom>
        <a:ln w="9525">
          <a:solidFill>
            <a:srgbClr val="000000"/>
          </a:solidFill>
          <a:prstDash val="solid"/>
        </a:ln>
      </xdr:spPr>
    </xdr:pic>
    <xdr:clientData/>
  </xdr:twoCellAnchor>
  <xdr:twoCellAnchor>
    <xdr:from>
      <xdr:col>3</xdr:col>
      <xdr:colOff>114300</xdr:colOff>
      <xdr:row>2723</xdr:row>
      <xdr:rowOff>28575</xdr:rowOff>
    </xdr:from>
    <xdr:to>
      <xdr:col>3</xdr:col>
      <xdr:colOff>1552575</xdr:colOff>
      <xdr:row>2726</xdr:row>
      <xdr:rowOff>209550</xdr:rowOff>
    </xdr:to>
    <xdr:pic>
      <xdr:nvPicPr>
        <xdr:cNvPr id="1131" name="Имя " descr="Descr ">
          <a:extLst>
            <a:ext uri="{FF2B5EF4-FFF2-40B4-BE49-F238E27FC236}">
              <a16:creationId xmlns:a16="http://schemas.microsoft.com/office/drawing/2014/main" id="{00000000-0008-0000-0000-00006B040000}"/>
            </a:ext>
          </a:extLst>
        </xdr:cNvPr>
        <xdr:cNvPicPr>
          <a:picLocks noChangeAspect="1"/>
        </xdr:cNvPicPr>
      </xdr:nvPicPr>
      <xdr:blipFill>
        <a:blip xmlns:r="http://schemas.openxmlformats.org/officeDocument/2006/relationships" r:embed="rId1108"/>
        <a:stretch>
          <a:fillRect/>
        </a:stretch>
      </xdr:blipFill>
      <xdr:spPr>
        <a:prstGeom prst="rect">
          <a:avLst/>
        </a:prstGeom>
        <a:ln w="9525">
          <a:solidFill>
            <a:srgbClr val="000000"/>
          </a:solidFill>
          <a:prstDash val="solid"/>
        </a:ln>
      </xdr:spPr>
    </xdr:pic>
    <xdr:clientData/>
  </xdr:twoCellAnchor>
  <xdr:twoCellAnchor>
    <xdr:from>
      <xdr:col>3</xdr:col>
      <xdr:colOff>114300</xdr:colOff>
      <xdr:row>2727</xdr:row>
      <xdr:rowOff>28575</xdr:rowOff>
    </xdr:from>
    <xdr:to>
      <xdr:col>3</xdr:col>
      <xdr:colOff>1552575</xdr:colOff>
      <xdr:row>2731</xdr:row>
      <xdr:rowOff>333375</xdr:rowOff>
    </xdr:to>
    <xdr:pic>
      <xdr:nvPicPr>
        <xdr:cNvPr id="1132" name="Имя " descr="Descr ">
          <a:extLst>
            <a:ext uri="{FF2B5EF4-FFF2-40B4-BE49-F238E27FC236}">
              <a16:creationId xmlns:a16="http://schemas.microsoft.com/office/drawing/2014/main" id="{00000000-0008-0000-0000-00006C040000}"/>
            </a:ext>
          </a:extLst>
        </xdr:cNvPr>
        <xdr:cNvPicPr>
          <a:picLocks noChangeAspect="1"/>
        </xdr:cNvPicPr>
      </xdr:nvPicPr>
      <xdr:blipFill>
        <a:blip xmlns:r="http://schemas.openxmlformats.org/officeDocument/2006/relationships" r:embed="rId1109"/>
        <a:stretch>
          <a:fillRect/>
        </a:stretch>
      </xdr:blipFill>
      <xdr:spPr>
        <a:prstGeom prst="rect">
          <a:avLst/>
        </a:prstGeom>
        <a:ln w="9525">
          <a:solidFill>
            <a:srgbClr val="000000"/>
          </a:solidFill>
          <a:prstDash val="solid"/>
        </a:ln>
      </xdr:spPr>
    </xdr:pic>
    <xdr:clientData/>
  </xdr:twoCellAnchor>
  <xdr:twoCellAnchor>
    <xdr:from>
      <xdr:col>3</xdr:col>
      <xdr:colOff>114300</xdr:colOff>
      <xdr:row>2732</xdr:row>
      <xdr:rowOff>38100</xdr:rowOff>
    </xdr:from>
    <xdr:to>
      <xdr:col>3</xdr:col>
      <xdr:colOff>1552575</xdr:colOff>
      <xdr:row>2733</xdr:row>
      <xdr:rowOff>638175</xdr:rowOff>
    </xdr:to>
    <xdr:pic>
      <xdr:nvPicPr>
        <xdr:cNvPr id="1133" name="Имя " descr="Descr ">
          <a:extLst>
            <a:ext uri="{FF2B5EF4-FFF2-40B4-BE49-F238E27FC236}">
              <a16:creationId xmlns:a16="http://schemas.microsoft.com/office/drawing/2014/main" id="{00000000-0008-0000-0000-00006D040000}"/>
            </a:ext>
          </a:extLst>
        </xdr:cNvPr>
        <xdr:cNvPicPr>
          <a:picLocks noChangeAspect="1"/>
        </xdr:cNvPicPr>
      </xdr:nvPicPr>
      <xdr:blipFill>
        <a:blip xmlns:r="http://schemas.openxmlformats.org/officeDocument/2006/relationships" r:embed="rId1110"/>
        <a:stretch>
          <a:fillRect/>
        </a:stretch>
      </xdr:blipFill>
      <xdr:spPr>
        <a:prstGeom prst="rect">
          <a:avLst/>
        </a:prstGeom>
        <a:ln w="9525">
          <a:solidFill>
            <a:srgbClr val="000000"/>
          </a:solidFill>
          <a:prstDash val="solid"/>
        </a:ln>
      </xdr:spPr>
    </xdr:pic>
    <xdr:clientData/>
  </xdr:twoCellAnchor>
  <xdr:twoCellAnchor>
    <xdr:from>
      <xdr:col>3</xdr:col>
      <xdr:colOff>114300</xdr:colOff>
      <xdr:row>2734</xdr:row>
      <xdr:rowOff>28575</xdr:rowOff>
    </xdr:from>
    <xdr:to>
      <xdr:col>3</xdr:col>
      <xdr:colOff>1552575</xdr:colOff>
      <xdr:row>2739</xdr:row>
      <xdr:rowOff>209550</xdr:rowOff>
    </xdr:to>
    <xdr:pic>
      <xdr:nvPicPr>
        <xdr:cNvPr id="1134" name="Имя " descr="Descr ">
          <a:extLst>
            <a:ext uri="{FF2B5EF4-FFF2-40B4-BE49-F238E27FC236}">
              <a16:creationId xmlns:a16="http://schemas.microsoft.com/office/drawing/2014/main" id="{00000000-0008-0000-0000-00006E040000}"/>
            </a:ext>
          </a:extLst>
        </xdr:cNvPr>
        <xdr:cNvPicPr>
          <a:picLocks noChangeAspect="1"/>
        </xdr:cNvPicPr>
      </xdr:nvPicPr>
      <xdr:blipFill>
        <a:blip xmlns:r="http://schemas.openxmlformats.org/officeDocument/2006/relationships" r:embed="rId1111"/>
        <a:stretch>
          <a:fillRect/>
        </a:stretch>
      </xdr:blipFill>
      <xdr:spPr>
        <a:prstGeom prst="rect">
          <a:avLst/>
        </a:prstGeom>
        <a:ln w="9525">
          <a:solidFill>
            <a:srgbClr val="000000"/>
          </a:solidFill>
          <a:prstDash val="solid"/>
        </a:ln>
      </xdr:spPr>
    </xdr:pic>
    <xdr:clientData/>
  </xdr:twoCellAnchor>
  <xdr:twoCellAnchor>
    <xdr:from>
      <xdr:col>3</xdr:col>
      <xdr:colOff>114300</xdr:colOff>
      <xdr:row>2740</xdr:row>
      <xdr:rowOff>38100</xdr:rowOff>
    </xdr:from>
    <xdr:to>
      <xdr:col>3</xdr:col>
      <xdr:colOff>1552575</xdr:colOff>
      <xdr:row>2741</xdr:row>
      <xdr:rowOff>638175</xdr:rowOff>
    </xdr:to>
    <xdr:pic>
      <xdr:nvPicPr>
        <xdr:cNvPr id="1135" name="Имя " descr="Descr ">
          <a:extLst>
            <a:ext uri="{FF2B5EF4-FFF2-40B4-BE49-F238E27FC236}">
              <a16:creationId xmlns:a16="http://schemas.microsoft.com/office/drawing/2014/main" id="{00000000-0008-0000-0000-00006F040000}"/>
            </a:ext>
          </a:extLst>
        </xdr:cNvPr>
        <xdr:cNvPicPr>
          <a:picLocks noChangeAspect="1"/>
        </xdr:cNvPicPr>
      </xdr:nvPicPr>
      <xdr:blipFill>
        <a:blip xmlns:r="http://schemas.openxmlformats.org/officeDocument/2006/relationships" r:embed="rId1112"/>
        <a:stretch>
          <a:fillRect/>
        </a:stretch>
      </xdr:blipFill>
      <xdr:spPr>
        <a:prstGeom prst="rect">
          <a:avLst/>
        </a:prstGeom>
        <a:ln w="9525">
          <a:solidFill>
            <a:srgbClr val="000000"/>
          </a:solidFill>
          <a:prstDash val="solid"/>
        </a:ln>
      </xdr:spPr>
    </xdr:pic>
    <xdr:clientData/>
  </xdr:twoCellAnchor>
  <xdr:twoCellAnchor>
    <xdr:from>
      <xdr:col>3</xdr:col>
      <xdr:colOff>114300</xdr:colOff>
      <xdr:row>2742</xdr:row>
      <xdr:rowOff>28575</xdr:rowOff>
    </xdr:from>
    <xdr:to>
      <xdr:col>3</xdr:col>
      <xdr:colOff>1552575</xdr:colOff>
      <xdr:row>2744</xdr:row>
      <xdr:rowOff>419100</xdr:rowOff>
    </xdr:to>
    <xdr:pic>
      <xdr:nvPicPr>
        <xdr:cNvPr id="1136" name="Имя " descr="Descr ">
          <a:extLst>
            <a:ext uri="{FF2B5EF4-FFF2-40B4-BE49-F238E27FC236}">
              <a16:creationId xmlns:a16="http://schemas.microsoft.com/office/drawing/2014/main" id="{00000000-0008-0000-0000-000070040000}"/>
            </a:ext>
          </a:extLst>
        </xdr:cNvPr>
        <xdr:cNvPicPr>
          <a:picLocks noChangeAspect="1"/>
        </xdr:cNvPicPr>
      </xdr:nvPicPr>
      <xdr:blipFill>
        <a:blip xmlns:r="http://schemas.openxmlformats.org/officeDocument/2006/relationships" r:embed="rId1113"/>
        <a:stretch>
          <a:fillRect/>
        </a:stretch>
      </xdr:blipFill>
      <xdr:spPr>
        <a:prstGeom prst="rect">
          <a:avLst/>
        </a:prstGeom>
        <a:ln w="9525">
          <a:solidFill>
            <a:srgbClr val="000000"/>
          </a:solidFill>
          <a:prstDash val="solid"/>
        </a:ln>
      </xdr:spPr>
    </xdr:pic>
    <xdr:clientData/>
  </xdr:twoCellAnchor>
  <xdr:twoCellAnchor>
    <xdr:from>
      <xdr:col>3</xdr:col>
      <xdr:colOff>114300</xdr:colOff>
      <xdr:row>2745</xdr:row>
      <xdr:rowOff>28575</xdr:rowOff>
    </xdr:from>
    <xdr:to>
      <xdr:col>3</xdr:col>
      <xdr:colOff>1552575</xdr:colOff>
      <xdr:row>2745</xdr:row>
      <xdr:rowOff>1266825</xdr:rowOff>
    </xdr:to>
    <xdr:pic>
      <xdr:nvPicPr>
        <xdr:cNvPr id="1137" name="Имя " descr="Descr ">
          <a:extLst>
            <a:ext uri="{FF2B5EF4-FFF2-40B4-BE49-F238E27FC236}">
              <a16:creationId xmlns:a16="http://schemas.microsoft.com/office/drawing/2014/main" id="{00000000-0008-0000-0000-000071040000}"/>
            </a:ext>
          </a:extLst>
        </xdr:cNvPr>
        <xdr:cNvPicPr>
          <a:picLocks noChangeAspect="1"/>
        </xdr:cNvPicPr>
      </xdr:nvPicPr>
      <xdr:blipFill>
        <a:blip xmlns:r="http://schemas.openxmlformats.org/officeDocument/2006/relationships" r:embed="rId1114"/>
        <a:stretch>
          <a:fillRect/>
        </a:stretch>
      </xdr:blipFill>
      <xdr:spPr>
        <a:prstGeom prst="rect">
          <a:avLst/>
        </a:prstGeom>
        <a:ln w="9525">
          <a:solidFill>
            <a:srgbClr val="000000"/>
          </a:solidFill>
          <a:prstDash val="solid"/>
        </a:ln>
      </xdr:spPr>
    </xdr:pic>
    <xdr:clientData/>
  </xdr:twoCellAnchor>
  <xdr:twoCellAnchor>
    <xdr:from>
      <xdr:col>3</xdr:col>
      <xdr:colOff>114300</xdr:colOff>
      <xdr:row>2746</xdr:row>
      <xdr:rowOff>38100</xdr:rowOff>
    </xdr:from>
    <xdr:to>
      <xdr:col>3</xdr:col>
      <xdr:colOff>1552575</xdr:colOff>
      <xdr:row>2747</xdr:row>
      <xdr:rowOff>638175</xdr:rowOff>
    </xdr:to>
    <xdr:pic>
      <xdr:nvPicPr>
        <xdr:cNvPr id="1138" name="Имя " descr="Descr ">
          <a:extLst>
            <a:ext uri="{FF2B5EF4-FFF2-40B4-BE49-F238E27FC236}">
              <a16:creationId xmlns:a16="http://schemas.microsoft.com/office/drawing/2014/main" id="{00000000-0008-0000-0000-000072040000}"/>
            </a:ext>
          </a:extLst>
        </xdr:cNvPr>
        <xdr:cNvPicPr>
          <a:picLocks noChangeAspect="1"/>
        </xdr:cNvPicPr>
      </xdr:nvPicPr>
      <xdr:blipFill>
        <a:blip xmlns:r="http://schemas.openxmlformats.org/officeDocument/2006/relationships" r:embed="rId1115"/>
        <a:stretch>
          <a:fillRect/>
        </a:stretch>
      </xdr:blipFill>
      <xdr:spPr>
        <a:prstGeom prst="rect">
          <a:avLst/>
        </a:prstGeom>
        <a:ln w="9525">
          <a:solidFill>
            <a:srgbClr val="000000"/>
          </a:solidFill>
          <a:prstDash val="solid"/>
        </a:ln>
      </xdr:spPr>
    </xdr:pic>
    <xdr:clientData/>
  </xdr:twoCellAnchor>
  <xdr:twoCellAnchor>
    <xdr:from>
      <xdr:col>3</xdr:col>
      <xdr:colOff>114300</xdr:colOff>
      <xdr:row>2748</xdr:row>
      <xdr:rowOff>38100</xdr:rowOff>
    </xdr:from>
    <xdr:to>
      <xdr:col>3</xdr:col>
      <xdr:colOff>1552575</xdr:colOff>
      <xdr:row>2749</xdr:row>
      <xdr:rowOff>638175</xdr:rowOff>
    </xdr:to>
    <xdr:pic>
      <xdr:nvPicPr>
        <xdr:cNvPr id="1139" name="Имя " descr="Descr ">
          <a:extLst>
            <a:ext uri="{FF2B5EF4-FFF2-40B4-BE49-F238E27FC236}">
              <a16:creationId xmlns:a16="http://schemas.microsoft.com/office/drawing/2014/main" id="{00000000-0008-0000-0000-000073040000}"/>
            </a:ext>
          </a:extLst>
        </xdr:cNvPr>
        <xdr:cNvPicPr>
          <a:picLocks noChangeAspect="1"/>
        </xdr:cNvPicPr>
      </xdr:nvPicPr>
      <xdr:blipFill>
        <a:blip xmlns:r="http://schemas.openxmlformats.org/officeDocument/2006/relationships" r:embed="rId1116"/>
        <a:stretch>
          <a:fillRect/>
        </a:stretch>
      </xdr:blipFill>
      <xdr:spPr>
        <a:prstGeom prst="rect">
          <a:avLst/>
        </a:prstGeom>
        <a:ln w="9525">
          <a:solidFill>
            <a:srgbClr val="000000"/>
          </a:solidFill>
          <a:prstDash val="solid"/>
        </a:ln>
      </xdr:spPr>
    </xdr:pic>
    <xdr:clientData/>
  </xdr:twoCellAnchor>
  <xdr:twoCellAnchor>
    <xdr:from>
      <xdr:col>3</xdr:col>
      <xdr:colOff>114300</xdr:colOff>
      <xdr:row>2750</xdr:row>
      <xdr:rowOff>28575</xdr:rowOff>
    </xdr:from>
    <xdr:to>
      <xdr:col>3</xdr:col>
      <xdr:colOff>1552575</xdr:colOff>
      <xdr:row>2750</xdr:row>
      <xdr:rowOff>1266825</xdr:rowOff>
    </xdr:to>
    <xdr:pic>
      <xdr:nvPicPr>
        <xdr:cNvPr id="1140" name="Имя " descr="Descr ">
          <a:extLst>
            <a:ext uri="{FF2B5EF4-FFF2-40B4-BE49-F238E27FC236}">
              <a16:creationId xmlns:a16="http://schemas.microsoft.com/office/drawing/2014/main" id="{00000000-0008-0000-0000-000074040000}"/>
            </a:ext>
          </a:extLst>
        </xdr:cNvPr>
        <xdr:cNvPicPr>
          <a:picLocks noChangeAspect="1"/>
        </xdr:cNvPicPr>
      </xdr:nvPicPr>
      <xdr:blipFill>
        <a:blip xmlns:r="http://schemas.openxmlformats.org/officeDocument/2006/relationships" r:embed="rId1117"/>
        <a:stretch>
          <a:fillRect/>
        </a:stretch>
      </xdr:blipFill>
      <xdr:spPr>
        <a:prstGeom prst="rect">
          <a:avLst/>
        </a:prstGeom>
        <a:ln w="9525">
          <a:solidFill>
            <a:srgbClr val="000000"/>
          </a:solidFill>
          <a:prstDash val="solid"/>
        </a:ln>
      </xdr:spPr>
    </xdr:pic>
    <xdr:clientData/>
  </xdr:twoCellAnchor>
  <xdr:twoCellAnchor>
    <xdr:from>
      <xdr:col>3</xdr:col>
      <xdr:colOff>114300</xdr:colOff>
      <xdr:row>2751</xdr:row>
      <xdr:rowOff>28575</xdr:rowOff>
    </xdr:from>
    <xdr:to>
      <xdr:col>3</xdr:col>
      <xdr:colOff>1552575</xdr:colOff>
      <xdr:row>2753</xdr:row>
      <xdr:rowOff>419100</xdr:rowOff>
    </xdr:to>
    <xdr:pic>
      <xdr:nvPicPr>
        <xdr:cNvPr id="1141" name="Имя " descr="Descr ">
          <a:extLst>
            <a:ext uri="{FF2B5EF4-FFF2-40B4-BE49-F238E27FC236}">
              <a16:creationId xmlns:a16="http://schemas.microsoft.com/office/drawing/2014/main" id="{00000000-0008-0000-0000-000075040000}"/>
            </a:ext>
          </a:extLst>
        </xdr:cNvPr>
        <xdr:cNvPicPr>
          <a:picLocks noChangeAspect="1"/>
        </xdr:cNvPicPr>
      </xdr:nvPicPr>
      <xdr:blipFill>
        <a:blip xmlns:r="http://schemas.openxmlformats.org/officeDocument/2006/relationships" r:embed="rId1118"/>
        <a:stretch>
          <a:fillRect/>
        </a:stretch>
      </xdr:blipFill>
      <xdr:spPr>
        <a:prstGeom prst="rect">
          <a:avLst/>
        </a:prstGeom>
        <a:ln w="9525">
          <a:solidFill>
            <a:srgbClr val="000000"/>
          </a:solidFill>
          <a:prstDash val="solid"/>
        </a:ln>
      </xdr:spPr>
    </xdr:pic>
    <xdr:clientData/>
  </xdr:twoCellAnchor>
  <xdr:twoCellAnchor>
    <xdr:from>
      <xdr:col>3</xdr:col>
      <xdr:colOff>114300</xdr:colOff>
      <xdr:row>2754</xdr:row>
      <xdr:rowOff>28575</xdr:rowOff>
    </xdr:from>
    <xdr:to>
      <xdr:col>3</xdr:col>
      <xdr:colOff>1552575</xdr:colOff>
      <xdr:row>2756</xdr:row>
      <xdr:rowOff>419100</xdr:rowOff>
    </xdr:to>
    <xdr:pic>
      <xdr:nvPicPr>
        <xdr:cNvPr id="1142" name="Имя " descr="Descr ">
          <a:extLst>
            <a:ext uri="{FF2B5EF4-FFF2-40B4-BE49-F238E27FC236}">
              <a16:creationId xmlns:a16="http://schemas.microsoft.com/office/drawing/2014/main" id="{00000000-0008-0000-0000-000076040000}"/>
            </a:ext>
          </a:extLst>
        </xdr:cNvPr>
        <xdr:cNvPicPr>
          <a:picLocks noChangeAspect="1"/>
        </xdr:cNvPicPr>
      </xdr:nvPicPr>
      <xdr:blipFill>
        <a:blip xmlns:r="http://schemas.openxmlformats.org/officeDocument/2006/relationships" r:embed="rId1119"/>
        <a:stretch>
          <a:fillRect/>
        </a:stretch>
      </xdr:blipFill>
      <xdr:spPr>
        <a:prstGeom prst="rect">
          <a:avLst/>
        </a:prstGeom>
        <a:ln w="9525">
          <a:solidFill>
            <a:srgbClr val="000000"/>
          </a:solidFill>
          <a:prstDash val="solid"/>
        </a:ln>
      </xdr:spPr>
    </xdr:pic>
    <xdr:clientData/>
  </xdr:twoCellAnchor>
  <xdr:twoCellAnchor>
    <xdr:from>
      <xdr:col>3</xdr:col>
      <xdr:colOff>114300</xdr:colOff>
      <xdr:row>2757</xdr:row>
      <xdr:rowOff>28575</xdr:rowOff>
    </xdr:from>
    <xdr:to>
      <xdr:col>3</xdr:col>
      <xdr:colOff>1552575</xdr:colOff>
      <xdr:row>2757</xdr:row>
      <xdr:rowOff>1266825</xdr:rowOff>
    </xdr:to>
    <xdr:pic>
      <xdr:nvPicPr>
        <xdr:cNvPr id="1143" name="Имя " descr="Descr ">
          <a:extLst>
            <a:ext uri="{FF2B5EF4-FFF2-40B4-BE49-F238E27FC236}">
              <a16:creationId xmlns:a16="http://schemas.microsoft.com/office/drawing/2014/main" id="{00000000-0008-0000-0000-000077040000}"/>
            </a:ext>
          </a:extLst>
        </xdr:cNvPr>
        <xdr:cNvPicPr>
          <a:picLocks noChangeAspect="1"/>
        </xdr:cNvPicPr>
      </xdr:nvPicPr>
      <xdr:blipFill>
        <a:blip xmlns:r="http://schemas.openxmlformats.org/officeDocument/2006/relationships" r:embed="rId1120"/>
        <a:stretch>
          <a:fillRect/>
        </a:stretch>
      </xdr:blipFill>
      <xdr:spPr>
        <a:prstGeom prst="rect">
          <a:avLst/>
        </a:prstGeom>
        <a:ln w="9525">
          <a:solidFill>
            <a:srgbClr val="000000"/>
          </a:solidFill>
          <a:prstDash val="solid"/>
        </a:ln>
      </xdr:spPr>
    </xdr:pic>
    <xdr:clientData/>
  </xdr:twoCellAnchor>
  <xdr:twoCellAnchor>
    <xdr:from>
      <xdr:col>3</xdr:col>
      <xdr:colOff>114300</xdr:colOff>
      <xdr:row>2758</xdr:row>
      <xdr:rowOff>28575</xdr:rowOff>
    </xdr:from>
    <xdr:to>
      <xdr:col>3</xdr:col>
      <xdr:colOff>1552575</xdr:colOff>
      <xdr:row>2763</xdr:row>
      <xdr:rowOff>209550</xdr:rowOff>
    </xdr:to>
    <xdr:pic>
      <xdr:nvPicPr>
        <xdr:cNvPr id="1144" name="Имя " descr="Descr ">
          <a:extLst>
            <a:ext uri="{FF2B5EF4-FFF2-40B4-BE49-F238E27FC236}">
              <a16:creationId xmlns:a16="http://schemas.microsoft.com/office/drawing/2014/main" id="{00000000-0008-0000-0000-000078040000}"/>
            </a:ext>
          </a:extLst>
        </xdr:cNvPr>
        <xdr:cNvPicPr>
          <a:picLocks noChangeAspect="1"/>
        </xdr:cNvPicPr>
      </xdr:nvPicPr>
      <xdr:blipFill>
        <a:blip xmlns:r="http://schemas.openxmlformats.org/officeDocument/2006/relationships" r:embed="rId1121"/>
        <a:stretch>
          <a:fillRect/>
        </a:stretch>
      </xdr:blipFill>
      <xdr:spPr>
        <a:prstGeom prst="rect">
          <a:avLst/>
        </a:prstGeom>
        <a:ln w="9525">
          <a:solidFill>
            <a:srgbClr val="000000"/>
          </a:solidFill>
          <a:prstDash val="solid"/>
        </a:ln>
      </xdr:spPr>
    </xdr:pic>
    <xdr:clientData/>
  </xdr:twoCellAnchor>
  <xdr:twoCellAnchor>
    <xdr:from>
      <xdr:col>3</xdr:col>
      <xdr:colOff>114300</xdr:colOff>
      <xdr:row>2764</xdr:row>
      <xdr:rowOff>28575</xdr:rowOff>
    </xdr:from>
    <xdr:to>
      <xdr:col>3</xdr:col>
      <xdr:colOff>1552575</xdr:colOff>
      <xdr:row>2767</xdr:row>
      <xdr:rowOff>209550</xdr:rowOff>
    </xdr:to>
    <xdr:pic>
      <xdr:nvPicPr>
        <xdr:cNvPr id="1145" name="Имя " descr="Descr ">
          <a:extLst>
            <a:ext uri="{FF2B5EF4-FFF2-40B4-BE49-F238E27FC236}">
              <a16:creationId xmlns:a16="http://schemas.microsoft.com/office/drawing/2014/main" id="{00000000-0008-0000-0000-000079040000}"/>
            </a:ext>
          </a:extLst>
        </xdr:cNvPr>
        <xdr:cNvPicPr>
          <a:picLocks noChangeAspect="1"/>
        </xdr:cNvPicPr>
      </xdr:nvPicPr>
      <xdr:blipFill>
        <a:blip xmlns:r="http://schemas.openxmlformats.org/officeDocument/2006/relationships" r:embed="rId1122"/>
        <a:stretch>
          <a:fillRect/>
        </a:stretch>
      </xdr:blipFill>
      <xdr:spPr>
        <a:prstGeom prst="rect">
          <a:avLst/>
        </a:prstGeom>
        <a:ln w="9525">
          <a:solidFill>
            <a:srgbClr val="000000"/>
          </a:solidFill>
          <a:prstDash val="solid"/>
        </a:ln>
      </xdr:spPr>
    </xdr:pic>
    <xdr:clientData/>
  </xdr:twoCellAnchor>
  <xdr:twoCellAnchor>
    <xdr:from>
      <xdr:col>3</xdr:col>
      <xdr:colOff>114300</xdr:colOff>
      <xdr:row>2768</xdr:row>
      <xdr:rowOff>28575</xdr:rowOff>
    </xdr:from>
    <xdr:to>
      <xdr:col>3</xdr:col>
      <xdr:colOff>1552575</xdr:colOff>
      <xdr:row>2768</xdr:row>
      <xdr:rowOff>1266825</xdr:rowOff>
    </xdr:to>
    <xdr:pic>
      <xdr:nvPicPr>
        <xdr:cNvPr id="1146" name="Имя " descr="Descr ">
          <a:extLst>
            <a:ext uri="{FF2B5EF4-FFF2-40B4-BE49-F238E27FC236}">
              <a16:creationId xmlns:a16="http://schemas.microsoft.com/office/drawing/2014/main" id="{00000000-0008-0000-0000-00007A040000}"/>
            </a:ext>
          </a:extLst>
        </xdr:cNvPr>
        <xdr:cNvPicPr>
          <a:picLocks noChangeAspect="1"/>
        </xdr:cNvPicPr>
      </xdr:nvPicPr>
      <xdr:blipFill>
        <a:blip xmlns:r="http://schemas.openxmlformats.org/officeDocument/2006/relationships" r:embed="rId1123"/>
        <a:stretch>
          <a:fillRect/>
        </a:stretch>
      </xdr:blipFill>
      <xdr:spPr>
        <a:prstGeom prst="rect">
          <a:avLst/>
        </a:prstGeom>
        <a:ln w="9525">
          <a:solidFill>
            <a:srgbClr val="000000"/>
          </a:solidFill>
          <a:prstDash val="solid"/>
        </a:ln>
      </xdr:spPr>
    </xdr:pic>
    <xdr:clientData/>
  </xdr:twoCellAnchor>
  <xdr:twoCellAnchor>
    <xdr:from>
      <xdr:col>3</xdr:col>
      <xdr:colOff>114300</xdr:colOff>
      <xdr:row>2769</xdr:row>
      <xdr:rowOff>28575</xdr:rowOff>
    </xdr:from>
    <xdr:to>
      <xdr:col>3</xdr:col>
      <xdr:colOff>1552575</xdr:colOff>
      <xdr:row>2771</xdr:row>
      <xdr:rowOff>419100</xdr:rowOff>
    </xdr:to>
    <xdr:pic>
      <xdr:nvPicPr>
        <xdr:cNvPr id="1147" name="Имя " descr="Descr ">
          <a:extLst>
            <a:ext uri="{FF2B5EF4-FFF2-40B4-BE49-F238E27FC236}">
              <a16:creationId xmlns:a16="http://schemas.microsoft.com/office/drawing/2014/main" id="{00000000-0008-0000-0000-00007B040000}"/>
            </a:ext>
          </a:extLst>
        </xdr:cNvPr>
        <xdr:cNvPicPr>
          <a:picLocks noChangeAspect="1"/>
        </xdr:cNvPicPr>
      </xdr:nvPicPr>
      <xdr:blipFill>
        <a:blip xmlns:r="http://schemas.openxmlformats.org/officeDocument/2006/relationships" r:embed="rId1124"/>
        <a:stretch>
          <a:fillRect/>
        </a:stretch>
      </xdr:blipFill>
      <xdr:spPr>
        <a:prstGeom prst="rect">
          <a:avLst/>
        </a:prstGeom>
        <a:ln w="9525">
          <a:solidFill>
            <a:srgbClr val="000000"/>
          </a:solidFill>
          <a:prstDash val="solid"/>
        </a:ln>
      </xdr:spPr>
    </xdr:pic>
    <xdr:clientData/>
  </xdr:twoCellAnchor>
  <xdr:twoCellAnchor>
    <xdr:from>
      <xdr:col>3</xdr:col>
      <xdr:colOff>114300</xdr:colOff>
      <xdr:row>2772</xdr:row>
      <xdr:rowOff>38100</xdr:rowOff>
    </xdr:from>
    <xdr:to>
      <xdr:col>3</xdr:col>
      <xdr:colOff>1552575</xdr:colOff>
      <xdr:row>2773</xdr:row>
      <xdr:rowOff>638175</xdr:rowOff>
    </xdr:to>
    <xdr:pic>
      <xdr:nvPicPr>
        <xdr:cNvPr id="1148" name="Имя " descr="Descr ">
          <a:extLst>
            <a:ext uri="{FF2B5EF4-FFF2-40B4-BE49-F238E27FC236}">
              <a16:creationId xmlns:a16="http://schemas.microsoft.com/office/drawing/2014/main" id="{00000000-0008-0000-0000-00007C040000}"/>
            </a:ext>
          </a:extLst>
        </xdr:cNvPr>
        <xdr:cNvPicPr>
          <a:picLocks noChangeAspect="1"/>
        </xdr:cNvPicPr>
      </xdr:nvPicPr>
      <xdr:blipFill>
        <a:blip xmlns:r="http://schemas.openxmlformats.org/officeDocument/2006/relationships" r:embed="rId1125"/>
        <a:stretch>
          <a:fillRect/>
        </a:stretch>
      </xdr:blipFill>
      <xdr:spPr>
        <a:prstGeom prst="rect">
          <a:avLst/>
        </a:prstGeom>
        <a:ln w="9525">
          <a:solidFill>
            <a:srgbClr val="000000"/>
          </a:solidFill>
          <a:prstDash val="solid"/>
        </a:ln>
      </xdr:spPr>
    </xdr:pic>
    <xdr:clientData/>
  </xdr:twoCellAnchor>
  <xdr:twoCellAnchor>
    <xdr:from>
      <xdr:col>3</xdr:col>
      <xdr:colOff>114300</xdr:colOff>
      <xdr:row>2774</xdr:row>
      <xdr:rowOff>28575</xdr:rowOff>
    </xdr:from>
    <xdr:to>
      <xdr:col>3</xdr:col>
      <xdr:colOff>1552575</xdr:colOff>
      <xdr:row>2774</xdr:row>
      <xdr:rowOff>1266825</xdr:rowOff>
    </xdr:to>
    <xdr:pic>
      <xdr:nvPicPr>
        <xdr:cNvPr id="1149" name="Имя " descr="Descr ">
          <a:extLst>
            <a:ext uri="{FF2B5EF4-FFF2-40B4-BE49-F238E27FC236}">
              <a16:creationId xmlns:a16="http://schemas.microsoft.com/office/drawing/2014/main" id="{00000000-0008-0000-0000-00007D040000}"/>
            </a:ext>
          </a:extLst>
        </xdr:cNvPr>
        <xdr:cNvPicPr>
          <a:picLocks noChangeAspect="1"/>
        </xdr:cNvPicPr>
      </xdr:nvPicPr>
      <xdr:blipFill>
        <a:blip xmlns:r="http://schemas.openxmlformats.org/officeDocument/2006/relationships" r:embed="rId1126"/>
        <a:stretch>
          <a:fillRect/>
        </a:stretch>
      </xdr:blipFill>
      <xdr:spPr>
        <a:prstGeom prst="rect">
          <a:avLst/>
        </a:prstGeom>
        <a:ln w="9525">
          <a:solidFill>
            <a:srgbClr val="000000"/>
          </a:solidFill>
          <a:prstDash val="solid"/>
        </a:ln>
      </xdr:spPr>
    </xdr:pic>
    <xdr:clientData/>
  </xdr:twoCellAnchor>
  <xdr:twoCellAnchor>
    <xdr:from>
      <xdr:col>3</xdr:col>
      <xdr:colOff>114300</xdr:colOff>
      <xdr:row>2775</xdr:row>
      <xdr:rowOff>28575</xdr:rowOff>
    </xdr:from>
    <xdr:to>
      <xdr:col>3</xdr:col>
      <xdr:colOff>1552575</xdr:colOff>
      <xdr:row>2777</xdr:row>
      <xdr:rowOff>419100</xdr:rowOff>
    </xdr:to>
    <xdr:pic>
      <xdr:nvPicPr>
        <xdr:cNvPr id="1150" name="Имя " descr="Descr ">
          <a:extLst>
            <a:ext uri="{FF2B5EF4-FFF2-40B4-BE49-F238E27FC236}">
              <a16:creationId xmlns:a16="http://schemas.microsoft.com/office/drawing/2014/main" id="{00000000-0008-0000-0000-00007E040000}"/>
            </a:ext>
          </a:extLst>
        </xdr:cNvPr>
        <xdr:cNvPicPr>
          <a:picLocks noChangeAspect="1"/>
        </xdr:cNvPicPr>
      </xdr:nvPicPr>
      <xdr:blipFill>
        <a:blip xmlns:r="http://schemas.openxmlformats.org/officeDocument/2006/relationships" r:embed="rId1127"/>
        <a:stretch>
          <a:fillRect/>
        </a:stretch>
      </xdr:blipFill>
      <xdr:spPr>
        <a:prstGeom prst="rect">
          <a:avLst/>
        </a:prstGeom>
        <a:ln w="9525">
          <a:solidFill>
            <a:srgbClr val="000000"/>
          </a:solidFill>
          <a:prstDash val="solid"/>
        </a:ln>
      </xdr:spPr>
    </xdr:pic>
    <xdr:clientData/>
  </xdr:twoCellAnchor>
  <xdr:twoCellAnchor>
    <xdr:from>
      <xdr:col>3</xdr:col>
      <xdr:colOff>114300</xdr:colOff>
      <xdr:row>2778</xdr:row>
      <xdr:rowOff>28575</xdr:rowOff>
    </xdr:from>
    <xdr:to>
      <xdr:col>3</xdr:col>
      <xdr:colOff>1552575</xdr:colOff>
      <xdr:row>2780</xdr:row>
      <xdr:rowOff>419100</xdr:rowOff>
    </xdr:to>
    <xdr:pic>
      <xdr:nvPicPr>
        <xdr:cNvPr id="1151" name="Имя " descr="Descr ">
          <a:extLst>
            <a:ext uri="{FF2B5EF4-FFF2-40B4-BE49-F238E27FC236}">
              <a16:creationId xmlns:a16="http://schemas.microsoft.com/office/drawing/2014/main" id="{00000000-0008-0000-0000-00007F040000}"/>
            </a:ext>
          </a:extLst>
        </xdr:cNvPr>
        <xdr:cNvPicPr>
          <a:picLocks noChangeAspect="1"/>
        </xdr:cNvPicPr>
      </xdr:nvPicPr>
      <xdr:blipFill>
        <a:blip xmlns:r="http://schemas.openxmlformats.org/officeDocument/2006/relationships" r:embed="rId1128"/>
        <a:stretch>
          <a:fillRect/>
        </a:stretch>
      </xdr:blipFill>
      <xdr:spPr>
        <a:prstGeom prst="rect">
          <a:avLst/>
        </a:prstGeom>
        <a:ln w="9525">
          <a:solidFill>
            <a:srgbClr val="000000"/>
          </a:solidFill>
          <a:prstDash val="solid"/>
        </a:ln>
      </xdr:spPr>
    </xdr:pic>
    <xdr:clientData/>
  </xdr:twoCellAnchor>
  <xdr:twoCellAnchor>
    <xdr:from>
      <xdr:col>3</xdr:col>
      <xdr:colOff>114300</xdr:colOff>
      <xdr:row>2781</xdr:row>
      <xdr:rowOff>28575</xdr:rowOff>
    </xdr:from>
    <xdr:to>
      <xdr:col>3</xdr:col>
      <xdr:colOff>1552575</xdr:colOff>
      <xdr:row>2781</xdr:row>
      <xdr:rowOff>1266825</xdr:rowOff>
    </xdr:to>
    <xdr:pic>
      <xdr:nvPicPr>
        <xdr:cNvPr id="1152" name="Имя " descr="Descr ">
          <a:extLst>
            <a:ext uri="{FF2B5EF4-FFF2-40B4-BE49-F238E27FC236}">
              <a16:creationId xmlns:a16="http://schemas.microsoft.com/office/drawing/2014/main" id="{00000000-0008-0000-0000-000080040000}"/>
            </a:ext>
          </a:extLst>
        </xdr:cNvPr>
        <xdr:cNvPicPr>
          <a:picLocks noChangeAspect="1"/>
        </xdr:cNvPicPr>
      </xdr:nvPicPr>
      <xdr:blipFill>
        <a:blip xmlns:r="http://schemas.openxmlformats.org/officeDocument/2006/relationships" r:embed="rId1129"/>
        <a:stretch>
          <a:fillRect/>
        </a:stretch>
      </xdr:blipFill>
      <xdr:spPr>
        <a:prstGeom prst="rect">
          <a:avLst/>
        </a:prstGeom>
        <a:ln w="9525">
          <a:solidFill>
            <a:srgbClr val="000000"/>
          </a:solidFill>
          <a:prstDash val="solid"/>
        </a:ln>
      </xdr:spPr>
    </xdr:pic>
    <xdr:clientData/>
  </xdr:twoCellAnchor>
  <xdr:twoCellAnchor>
    <xdr:from>
      <xdr:col>3</xdr:col>
      <xdr:colOff>114300</xdr:colOff>
      <xdr:row>2782</xdr:row>
      <xdr:rowOff>28575</xdr:rowOff>
    </xdr:from>
    <xdr:to>
      <xdr:col>3</xdr:col>
      <xdr:colOff>1552575</xdr:colOff>
      <xdr:row>2784</xdr:row>
      <xdr:rowOff>419100</xdr:rowOff>
    </xdr:to>
    <xdr:pic>
      <xdr:nvPicPr>
        <xdr:cNvPr id="1153" name="Имя " descr="Descr ">
          <a:extLst>
            <a:ext uri="{FF2B5EF4-FFF2-40B4-BE49-F238E27FC236}">
              <a16:creationId xmlns:a16="http://schemas.microsoft.com/office/drawing/2014/main" id="{00000000-0008-0000-0000-000081040000}"/>
            </a:ext>
          </a:extLst>
        </xdr:cNvPr>
        <xdr:cNvPicPr>
          <a:picLocks noChangeAspect="1"/>
        </xdr:cNvPicPr>
      </xdr:nvPicPr>
      <xdr:blipFill>
        <a:blip xmlns:r="http://schemas.openxmlformats.org/officeDocument/2006/relationships" r:embed="rId1130"/>
        <a:stretch>
          <a:fillRect/>
        </a:stretch>
      </xdr:blipFill>
      <xdr:spPr>
        <a:prstGeom prst="rect">
          <a:avLst/>
        </a:prstGeom>
        <a:ln w="9525">
          <a:solidFill>
            <a:srgbClr val="000000"/>
          </a:solidFill>
          <a:prstDash val="solid"/>
        </a:ln>
      </xdr:spPr>
    </xdr:pic>
    <xdr:clientData/>
  </xdr:twoCellAnchor>
  <xdr:twoCellAnchor>
    <xdr:from>
      <xdr:col>3</xdr:col>
      <xdr:colOff>114300</xdr:colOff>
      <xdr:row>2785</xdr:row>
      <xdr:rowOff>28575</xdr:rowOff>
    </xdr:from>
    <xdr:to>
      <xdr:col>3</xdr:col>
      <xdr:colOff>1552575</xdr:colOff>
      <xdr:row>2792</xdr:row>
      <xdr:rowOff>152400</xdr:rowOff>
    </xdr:to>
    <xdr:pic>
      <xdr:nvPicPr>
        <xdr:cNvPr id="1154" name="Имя " descr="Descr ">
          <a:extLst>
            <a:ext uri="{FF2B5EF4-FFF2-40B4-BE49-F238E27FC236}">
              <a16:creationId xmlns:a16="http://schemas.microsoft.com/office/drawing/2014/main" id="{00000000-0008-0000-0000-000082040000}"/>
            </a:ext>
          </a:extLst>
        </xdr:cNvPr>
        <xdr:cNvPicPr>
          <a:picLocks noChangeAspect="1"/>
        </xdr:cNvPicPr>
      </xdr:nvPicPr>
      <xdr:blipFill>
        <a:blip xmlns:r="http://schemas.openxmlformats.org/officeDocument/2006/relationships" r:embed="rId1131"/>
        <a:stretch>
          <a:fillRect/>
        </a:stretch>
      </xdr:blipFill>
      <xdr:spPr>
        <a:prstGeom prst="rect">
          <a:avLst/>
        </a:prstGeom>
        <a:ln w="9525">
          <a:solidFill>
            <a:srgbClr val="000000"/>
          </a:solidFill>
          <a:prstDash val="solid"/>
        </a:ln>
      </xdr:spPr>
    </xdr:pic>
    <xdr:clientData/>
  </xdr:twoCellAnchor>
  <xdr:twoCellAnchor>
    <xdr:from>
      <xdr:col>3</xdr:col>
      <xdr:colOff>114300</xdr:colOff>
      <xdr:row>2793</xdr:row>
      <xdr:rowOff>28575</xdr:rowOff>
    </xdr:from>
    <xdr:to>
      <xdr:col>3</xdr:col>
      <xdr:colOff>1552575</xdr:colOff>
      <xdr:row>2799</xdr:row>
      <xdr:rowOff>171450</xdr:rowOff>
    </xdr:to>
    <xdr:pic>
      <xdr:nvPicPr>
        <xdr:cNvPr id="1155" name="Имя " descr="Descr ">
          <a:extLst>
            <a:ext uri="{FF2B5EF4-FFF2-40B4-BE49-F238E27FC236}">
              <a16:creationId xmlns:a16="http://schemas.microsoft.com/office/drawing/2014/main" id="{00000000-0008-0000-0000-000083040000}"/>
            </a:ext>
          </a:extLst>
        </xdr:cNvPr>
        <xdr:cNvPicPr>
          <a:picLocks noChangeAspect="1"/>
        </xdr:cNvPicPr>
      </xdr:nvPicPr>
      <xdr:blipFill>
        <a:blip xmlns:r="http://schemas.openxmlformats.org/officeDocument/2006/relationships" r:embed="rId1132"/>
        <a:stretch>
          <a:fillRect/>
        </a:stretch>
      </xdr:blipFill>
      <xdr:spPr>
        <a:prstGeom prst="rect">
          <a:avLst/>
        </a:prstGeom>
        <a:ln w="9525">
          <a:solidFill>
            <a:srgbClr val="000000"/>
          </a:solidFill>
          <a:prstDash val="solid"/>
        </a:ln>
      </xdr:spPr>
    </xdr:pic>
    <xdr:clientData/>
  </xdr:twoCellAnchor>
  <xdr:twoCellAnchor>
    <xdr:from>
      <xdr:col>3</xdr:col>
      <xdr:colOff>114300</xdr:colOff>
      <xdr:row>2800</xdr:row>
      <xdr:rowOff>28575</xdr:rowOff>
    </xdr:from>
    <xdr:to>
      <xdr:col>3</xdr:col>
      <xdr:colOff>1552575</xdr:colOff>
      <xdr:row>2804</xdr:row>
      <xdr:rowOff>333375</xdr:rowOff>
    </xdr:to>
    <xdr:pic>
      <xdr:nvPicPr>
        <xdr:cNvPr id="1156" name="Имя " descr="Descr ">
          <a:extLst>
            <a:ext uri="{FF2B5EF4-FFF2-40B4-BE49-F238E27FC236}">
              <a16:creationId xmlns:a16="http://schemas.microsoft.com/office/drawing/2014/main" id="{00000000-0008-0000-0000-000084040000}"/>
            </a:ext>
          </a:extLst>
        </xdr:cNvPr>
        <xdr:cNvPicPr>
          <a:picLocks noChangeAspect="1"/>
        </xdr:cNvPicPr>
      </xdr:nvPicPr>
      <xdr:blipFill>
        <a:blip xmlns:r="http://schemas.openxmlformats.org/officeDocument/2006/relationships" r:embed="rId1133"/>
        <a:stretch>
          <a:fillRect/>
        </a:stretch>
      </xdr:blipFill>
      <xdr:spPr>
        <a:prstGeom prst="rect">
          <a:avLst/>
        </a:prstGeom>
        <a:ln w="9525">
          <a:solidFill>
            <a:srgbClr val="000000"/>
          </a:solidFill>
          <a:prstDash val="solid"/>
        </a:ln>
      </xdr:spPr>
    </xdr:pic>
    <xdr:clientData/>
  </xdr:twoCellAnchor>
  <xdr:twoCellAnchor>
    <xdr:from>
      <xdr:col>3</xdr:col>
      <xdr:colOff>114300</xdr:colOff>
      <xdr:row>2805</xdr:row>
      <xdr:rowOff>28575</xdr:rowOff>
    </xdr:from>
    <xdr:to>
      <xdr:col>3</xdr:col>
      <xdr:colOff>1552575</xdr:colOff>
      <xdr:row>2805</xdr:row>
      <xdr:rowOff>1266825</xdr:rowOff>
    </xdr:to>
    <xdr:pic>
      <xdr:nvPicPr>
        <xdr:cNvPr id="1157" name="Имя " descr="Descr ">
          <a:extLst>
            <a:ext uri="{FF2B5EF4-FFF2-40B4-BE49-F238E27FC236}">
              <a16:creationId xmlns:a16="http://schemas.microsoft.com/office/drawing/2014/main" id="{00000000-0008-0000-0000-000085040000}"/>
            </a:ext>
          </a:extLst>
        </xdr:cNvPr>
        <xdr:cNvPicPr>
          <a:picLocks noChangeAspect="1"/>
        </xdr:cNvPicPr>
      </xdr:nvPicPr>
      <xdr:blipFill>
        <a:blip xmlns:r="http://schemas.openxmlformats.org/officeDocument/2006/relationships" r:embed="rId1134"/>
        <a:stretch>
          <a:fillRect/>
        </a:stretch>
      </xdr:blipFill>
      <xdr:spPr>
        <a:prstGeom prst="rect">
          <a:avLst/>
        </a:prstGeom>
        <a:ln w="9525">
          <a:solidFill>
            <a:srgbClr val="000000"/>
          </a:solidFill>
          <a:prstDash val="solid"/>
        </a:ln>
      </xdr:spPr>
    </xdr:pic>
    <xdr:clientData/>
  </xdr:twoCellAnchor>
  <xdr:twoCellAnchor>
    <xdr:from>
      <xdr:col>3</xdr:col>
      <xdr:colOff>114300</xdr:colOff>
      <xdr:row>2806</xdr:row>
      <xdr:rowOff>28575</xdr:rowOff>
    </xdr:from>
    <xdr:to>
      <xdr:col>3</xdr:col>
      <xdr:colOff>1552575</xdr:colOff>
      <xdr:row>2814</xdr:row>
      <xdr:rowOff>133350</xdr:rowOff>
    </xdr:to>
    <xdr:pic>
      <xdr:nvPicPr>
        <xdr:cNvPr id="1158" name="Имя " descr="Descr ">
          <a:extLst>
            <a:ext uri="{FF2B5EF4-FFF2-40B4-BE49-F238E27FC236}">
              <a16:creationId xmlns:a16="http://schemas.microsoft.com/office/drawing/2014/main" id="{00000000-0008-0000-0000-000086040000}"/>
            </a:ext>
          </a:extLst>
        </xdr:cNvPr>
        <xdr:cNvPicPr>
          <a:picLocks noChangeAspect="1"/>
        </xdr:cNvPicPr>
      </xdr:nvPicPr>
      <xdr:blipFill>
        <a:blip xmlns:r="http://schemas.openxmlformats.org/officeDocument/2006/relationships" r:embed="rId1135"/>
        <a:stretch>
          <a:fillRect/>
        </a:stretch>
      </xdr:blipFill>
      <xdr:spPr>
        <a:prstGeom prst="rect">
          <a:avLst/>
        </a:prstGeom>
        <a:ln w="9525">
          <a:solidFill>
            <a:srgbClr val="000000"/>
          </a:solidFill>
          <a:prstDash val="solid"/>
        </a:ln>
      </xdr:spPr>
    </xdr:pic>
    <xdr:clientData/>
  </xdr:twoCellAnchor>
  <xdr:twoCellAnchor>
    <xdr:from>
      <xdr:col>3</xdr:col>
      <xdr:colOff>114300</xdr:colOff>
      <xdr:row>2815</xdr:row>
      <xdr:rowOff>28575</xdr:rowOff>
    </xdr:from>
    <xdr:to>
      <xdr:col>3</xdr:col>
      <xdr:colOff>1552575</xdr:colOff>
      <xdr:row>2819</xdr:row>
      <xdr:rowOff>333375</xdr:rowOff>
    </xdr:to>
    <xdr:pic>
      <xdr:nvPicPr>
        <xdr:cNvPr id="1159" name="Имя " descr="Descr ">
          <a:extLst>
            <a:ext uri="{FF2B5EF4-FFF2-40B4-BE49-F238E27FC236}">
              <a16:creationId xmlns:a16="http://schemas.microsoft.com/office/drawing/2014/main" id="{00000000-0008-0000-0000-000087040000}"/>
            </a:ext>
          </a:extLst>
        </xdr:cNvPr>
        <xdr:cNvPicPr>
          <a:picLocks noChangeAspect="1"/>
        </xdr:cNvPicPr>
      </xdr:nvPicPr>
      <xdr:blipFill>
        <a:blip xmlns:r="http://schemas.openxmlformats.org/officeDocument/2006/relationships" r:embed="rId1136"/>
        <a:stretch>
          <a:fillRect/>
        </a:stretch>
      </xdr:blipFill>
      <xdr:spPr>
        <a:prstGeom prst="rect">
          <a:avLst/>
        </a:prstGeom>
        <a:ln w="9525">
          <a:solidFill>
            <a:srgbClr val="000000"/>
          </a:solidFill>
          <a:prstDash val="solid"/>
        </a:ln>
      </xdr:spPr>
    </xdr:pic>
    <xdr:clientData/>
  </xdr:twoCellAnchor>
  <xdr:twoCellAnchor>
    <xdr:from>
      <xdr:col>3</xdr:col>
      <xdr:colOff>114300</xdr:colOff>
      <xdr:row>2820</xdr:row>
      <xdr:rowOff>28575</xdr:rowOff>
    </xdr:from>
    <xdr:to>
      <xdr:col>3</xdr:col>
      <xdr:colOff>1552575</xdr:colOff>
      <xdr:row>2824</xdr:row>
      <xdr:rowOff>333375</xdr:rowOff>
    </xdr:to>
    <xdr:pic>
      <xdr:nvPicPr>
        <xdr:cNvPr id="1160" name="Имя " descr="Descr ">
          <a:extLst>
            <a:ext uri="{FF2B5EF4-FFF2-40B4-BE49-F238E27FC236}">
              <a16:creationId xmlns:a16="http://schemas.microsoft.com/office/drawing/2014/main" id="{00000000-0008-0000-0000-000088040000}"/>
            </a:ext>
          </a:extLst>
        </xdr:cNvPr>
        <xdr:cNvPicPr>
          <a:picLocks noChangeAspect="1"/>
        </xdr:cNvPicPr>
      </xdr:nvPicPr>
      <xdr:blipFill>
        <a:blip xmlns:r="http://schemas.openxmlformats.org/officeDocument/2006/relationships" r:embed="rId1137"/>
        <a:stretch>
          <a:fillRect/>
        </a:stretch>
      </xdr:blipFill>
      <xdr:spPr>
        <a:prstGeom prst="rect">
          <a:avLst/>
        </a:prstGeom>
        <a:ln w="9525">
          <a:solidFill>
            <a:srgbClr val="000000"/>
          </a:solidFill>
          <a:prstDash val="solid"/>
        </a:ln>
      </xdr:spPr>
    </xdr:pic>
    <xdr:clientData/>
  </xdr:twoCellAnchor>
  <xdr:twoCellAnchor>
    <xdr:from>
      <xdr:col>3</xdr:col>
      <xdr:colOff>114300</xdr:colOff>
      <xdr:row>2825</xdr:row>
      <xdr:rowOff>28575</xdr:rowOff>
    </xdr:from>
    <xdr:to>
      <xdr:col>3</xdr:col>
      <xdr:colOff>1552575</xdr:colOff>
      <xdr:row>2828</xdr:row>
      <xdr:rowOff>209550</xdr:rowOff>
    </xdr:to>
    <xdr:pic>
      <xdr:nvPicPr>
        <xdr:cNvPr id="1161" name="Имя " descr="Descr ">
          <a:extLst>
            <a:ext uri="{FF2B5EF4-FFF2-40B4-BE49-F238E27FC236}">
              <a16:creationId xmlns:a16="http://schemas.microsoft.com/office/drawing/2014/main" id="{00000000-0008-0000-0000-000089040000}"/>
            </a:ext>
          </a:extLst>
        </xdr:cNvPr>
        <xdr:cNvPicPr>
          <a:picLocks noChangeAspect="1"/>
        </xdr:cNvPicPr>
      </xdr:nvPicPr>
      <xdr:blipFill>
        <a:blip xmlns:r="http://schemas.openxmlformats.org/officeDocument/2006/relationships" r:embed="rId1138"/>
        <a:stretch>
          <a:fillRect/>
        </a:stretch>
      </xdr:blipFill>
      <xdr:spPr>
        <a:prstGeom prst="rect">
          <a:avLst/>
        </a:prstGeom>
        <a:ln w="9525">
          <a:solidFill>
            <a:srgbClr val="000000"/>
          </a:solidFill>
          <a:prstDash val="solid"/>
        </a:ln>
      </xdr:spPr>
    </xdr:pic>
    <xdr:clientData/>
  </xdr:twoCellAnchor>
  <xdr:twoCellAnchor>
    <xdr:from>
      <xdr:col>3</xdr:col>
      <xdr:colOff>114300</xdr:colOff>
      <xdr:row>2829</xdr:row>
      <xdr:rowOff>28575</xdr:rowOff>
    </xdr:from>
    <xdr:to>
      <xdr:col>3</xdr:col>
      <xdr:colOff>1552575</xdr:colOff>
      <xdr:row>2832</xdr:row>
      <xdr:rowOff>209550</xdr:rowOff>
    </xdr:to>
    <xdr:pic>
      <xdr:nvPicPr>
        <xdr:cNvPr id="1162" name="Имя " descr="Descr ">
          <a:extLst>
            <a:ext uri="{FF2B5EF4-FFF2-40B4-BE49-F238E27FC236}">
              <a16:creationId xmlns:a16="http://schemas.microsoft.com/office/drawing/2014/main" id="{00000000-0008-0000-0000-00008A040000}"/>
            </a:ext>
          </a:extLst>
        </xdr:cNvPr>
        <xdr:cNvPicPr>
          <a:picLocks noChangeAspect="1"/>
        </xdr:cNvPicPr>
      </xdr:nvPicPr>
      <xdr:blipFill>
        <a:blip xmlns:r="http://schemas.openxmlformats.org/officeDocument/2006/relationships" r:embed="rId1139"/>
        <a:stretch>
          <a:fillRect/>
        </a:stretch>
      </xdr:blipFill>
      <xdr:spPr>
        <a:prstGeom prst="rect">
          <a:avLst/>
        </a:prstGeom>
        <a:ln w="9525">
          <a:solidFill>
            <a:srgbClr val="000000"/>
          </a:solidFill>
          <a:prstDash val="solid"/>
        </a:ln>
      </xdr:spPr>
    </xdr:pic>
    <xdr:clientData/>
  </xdr:twoCellAnchor>
  <xdr:twoCellAnchor>
    <xdr:from>
      <xdr:col>3</xdr:col>
      <xdr:colOff>114300</xdr:colOff>
      <xdr:row>2833</xdr:row>
      <xdr:rowOff>28575</xdr:rowOff>
    </xdr:from>
    <xdr:to>
      <xdr:col>3</xdr:col>
      <xdr:colOff>1552575</xdr:colOff>
      <xdr:row>2836</xdr:row>
      <xdr:rowOff>209550</xdr:rowOff>
    </xdr:to>
    <xdr:pic>
      <xdr:nvPicPr>
        <xdr:cNvPr id="1163" name="Имя " descr="Descr ">
          <a:extLst>
            <a:ext uri="{FF2B5EF4-FFF2-40B4-BE49-F238E27FC236}">
              <a16:creationId xmlns:a16="http://schemas.microsoft.com/office/drawing/2014/main" id="{00000000-0008-0000-0000-00008B040000}"/>
            </a:ext>
          </a:extLst>
        </xdr:cNvPr>
        <xdr:cNvPicPr>
          <a:picLocks noChangeAspect="1"/>
        </xdr:cNvPicPr>
      </xdr:nvPicPr>
      <xdr:blipFill>
        <a:blip xmlns:r="http://schemas.openxmlformats.org/officeDocument/2006/relationships" r:embed="rId1140"/>
        <a:stretch>
          <a:fillRect/>
        </a:stretch>
      </xdr:blipFill>
      <xdr:spPr>
        <a:prstGeom prst="rect">
          <a:avLst/>
        </a:prstGeom>
        <a:ln w="9525">
          <a:solidFill>
            <a:srgbClr val="000000"/>
          </a:solidFill>
          <a:prstDash val="solid"/>
        </a:ln>
      </xdr:spPr>
    </xdr:pic>
    <xdr:clientData/>
  </xdr:twoCellAnchor>
  <xdr:twoCellAnchor>
    <xdr:from>
      <xdr:col>3</xdr:col>
      <xdr:colOff>114300</xdr:colOff>
      <xdr:row>2837</xdr:row>
      <xdr:rowOff>28575</xdr:rowOff>
    </xdr:from>
    <xdr:to>
      <xdr:col>3</xdr:col>
      <xdr:colOff>1552575</xdr:colOff>
      <xdr:row>2841</xdr:row>
      <xdr:rowOff>333375</xdr:rowOff>
    </xdr:to>
    <xdr:pic>
      <xdr:nvPicPr>
        <xdr:cNvPr id="1164" name="Имя " descr="Descr ">
          <a:extLst>
            <a:ext uri="{FF2B5EF4-FFF2-40B4-BE49-F238E27FC236}">
              <a16:creationId xmlns:a16="http://schemas.microsoft.com/office/drawing/2014/main" id="{00000000-0008-0000-0000-00008C040000}"/>
            </a:ext>
          </a:extLst>
        </xdr:cNvPr>
        <xdr:cNvPicPr>
          <a:picLocks noChangeAspect="1"/>
        </xdr:cNvPicPr>
      </xdr:nvPicPr>
      <xdr:blipFill>
        <a:blip xmlns:r="http://schemas.openxmlformats.org/officeDocument/2006/relationships" r:embed="rId1141"/>
        <a:stretch>
          <a:fillRect/>
        </a:stretch>
      </xdr:blipFill>
      <xdr:spPr>
        <a:prstGeom prst="rect">
          <a:avLst/>
        </a:prstGeom>
        <a:ln w="9525">
          <a:solidFill>
            <a:srgbClr val="000000"/>
          </a:solidFill>
          <a:prstDash val="solid"/>
        </a:ln>
      </xdr:spPr>
    </xdr:pic>
    <xdr:clientData/>
  </xdr:twoCellAnchor>
  <xdr:twoCellAnchor>
    <xdr:from>
      <xdr:col>3</xdr:col>
      <xdr:colOff>114300</xdr:colOff>
      <xdr:row>2842</xdr:row>
      <xdr:rowOff>28575</xdr:rowOff>
    </xdr:from>
    <xdr:to>
      <xdr:col>3</xdr:col>
      <xdr:colOff>1552575</xdr:colOff>
      <xdr:row>2848</xdr:row>
      <xdr:rowOff>171450</xdr:rowOff>
    </xdr:to>
    <xdr:pic>
      <xdr:nvPicPr>
        <xdr:cNvPr id="1165" name="Имя " descr="Descr ">
          <a:extLst>
            <a:ext uri="{FF2B5EF4-FFF2-40B4-BE49-F238E27FC236}">
              <a16:creationId xmlns:a16="http://schemas.microsoft.com/office/drawing/2014/main" id="{00000000-0008-0000-0000-00008D040000}"/>
            </a:ext>
          </a:extLst>
        </xdr:cNvPr>
        <xdr:cNvPicPr>
          <a:picLocks noChangeAspect="1"/>
        </xdr:cNvPicPr>
      </xdr:nvPicPr>
      <xdr:blipFill>
        <a:blip xmlns:r="http://schemas.openxmlformats.org/officeDocument/2006/relationships" r:embed="rId1142"/>
        <a:stretch>
          <a:fillRect/>
        </a:stretch>
      </xdr:blipFill>
      <xdr:spPr>
        <a:prstGeom prst="rect">
          <a:avLst/>
        </a:prstGeom>
        <a:ln w="9525">
          <a:solidFill>
            <a:srgbClr val="000000"/>
          </a:solidFill>
          <a:prstDash val="solid"/>
        </a:ln>
      </xdr:spPr>
    </xdr:pic>
    <xdr:clientData/>
  </xdr:twoCellAnchor>
  <xdr:twoCellAnchor>
    <xdr:from>
      <xdr:col>3</xdr:col>
      <xdr:colOff>114300</xdr:colOff>
      <xdr:row>2849</xdr:row>
      <xdr:rowOff>28575</xdr:rowOff>
    </xdr:from>
    <xdr:to>
      <xdr:col>3</xdr:col>
      <xdr:colOff>1552575</xdr:colOff>
      <xdr:row>2853</xdr:row>
      <xdr:rowOff>333375</xdr:rowOff>
    </xdr:to>
    <xdr:pic>
      <xdr:nvPicPr>
        <xdr:cNvPr id="1166" name="Имя " descr="Descr ">
          <a:extLst>
            <a:ext uri="{FF2B5EF4-FFF2-40B4-BE49-F238E27FC236}">
              <a16:creationId xmlns:a16="http://schemas.microsoft.com/office/drawing/2014/main" id="{00000000-0008-0000-0000-00008E040000}"/>
            </a:ext>
          </a:extLst>
        </xdr:cNvPr>
        <xdr:cNvPicPr>
          <a:picLocks noChangeAspect="1"/>
        </xdr:cNvPicPr>
      </xdr:nvPicPr>
      <xdr:blipFill>
        <a:blip xmlns:r="http://schemas.openxmlformats.org/officeDocument/2006/relationships" r:embed="rId1143"/>
        <a:stretch>
          <a:fillRect/>
        </a:stretch>
      </xdr:blipFill>
      <xdr:spPr>
        <a:prstGeom prst="rect">
          <a:avLst/>
        </a:prstGeom>
        <a:ln w="9525">
          <a:solidFill>
            <a:srgbClr val="000000"/>
          </a:solidFill>
          <a:prstDash val="solid"/>
        </a:ln>
      </xdr:spPr>
    </xdr:pic>
    <xdr:clientData/>
  </xdr:twoCellAnchor>
  <xdr:twoCellAnchor>
    <xdr:from>
      <xdr:col>3</xdr:col>
      <xdr:colOff>114300</xdr:colOff>
      <xdr:row>2854</xdr:row>
      <xdr:rowOff>28575</xdr:rowOff>
    </xdr:from>
    <xdr:to>
      <xdr:col>3</xdr:col>
      <xdr:colOff>1552575</xdr:colOff>
      <xdr:row>2859</xdr:row>
      <xdr:rowOff>209550</xdr:rowOff>
    </xdr:to>
    <xdr:pic>
      <xdr:nvPicPr>
        <xdr:cNvPr id="1167" name="Имя " descr="Descr ">
          <a:extLst>
            <a:ext uri="{FF2B5EF4-FFF2-40B4-BE49-F238E27FC236}">
              <a16:creationId xmlns:a16="http://schemas.microsoft.com/office/drawing/2014/main" id="{00000000-0008-0000-0000-00008F040000}"/>
            </a:ext>
          </a:extLst>
        </xdr:cNvPr>
        <xdr:cNvPicPr>
          <a:picLocks noChangeAspect="1"/>
        </xdr:cNvPicPr>
      </xdr:nvPicPr>
      <xdr:blipFill>
        <a:blip xmlns:r="http://schemas.openxmlformats.org/officeDocument/2006/relationships" r:embed="rId1144"/>
        <a:stretch>
          <a:fillRect/>
        </a:stretch>
      </xdr:blipFill>
      <xdr:spPr>
        <a:prstGeom prst="rect">
          <a:avLst/>
        </a:prstGeom>
        <a:ln w="9525">
          <a:solidFill>
            <a:srgbClr val="000000"/>
          </a:solidFill>
          <a:prstDash val="solid"/>
        </a:ln>
      </xdr:spPr>
    </xdr:pic>
    <xdr:clientData/>
  </xdr:twoCellAnchor>
  <xdr:twoCellAnchor>
    <xdr:from>
      <xdr:col>3</xdr:col>
      <xdr:colOff>114300</xdr:colOff>
      <xdr:row>2860</xdr:row>
      <xdr:rowOff>28575</xdr:rowOff>
    </xdr:from>
    <xdr:to>
      <xdr:col>3</xdr:col>
      <xdr:colOff>1552575</xdr:colOff>
      <xdr:row>2863</xdr:row>
      <xdr:rowOff>209550</xdr:rowOff>
    </xdr:to>
    <xdr:pic>
      <xdr:nvPicPr>
        <xdr:cNvPr id="1168" name="Имя " descr="Descr ">
          <a:extLst>
            <a:ext uri="{FF2B5EF4-FFF2-40B4-BE49-F238E27FC236}">
              <a16:creationId xmlns:a16="http://schemas.microsoft.com/office/drawing/2014/main" id="{00000000-0008-0000-0000-000090040000}"/>
            </a:ext>
          </a:extLst>
        </xdr:cNvPr>
        <xdr:cNvPicPr>
          <a:picLocks noChangeAspect="1"/>
        </xdr:cNvPicPr>
      </xdr:nvPicPr>
      <xdr:blipFill>
        <a:blip xmlns:r="http://schemas.openxmlformats.org/officeDocument/2006/relationships" r:embed="rId1145"/>
        <a:stretch>
          <a:fillRect/>
        </a:stretch>
      </xdr:blipFill>
      <xdr:spPr>
        <a:prstGeom prst="rect">
          <a:avLst/>
        </a:prstGeom>
        <a:ln w="9525">
          <a:solidFill>
            <a:srgbClr val="000000"/>
          </a:solidFill>
          <a:prstDash val="solid"/>
        </a:ln>
      </xdr:spPr>
    </xdr:pic>
    <xdr:clientData/>
  </xdr:twoCellAnchor>
  <xdr:twoCellAnchor>
    <xdr:from>
      <xdr:col>3</xdr:col>
      <xdr:colOff>114300</xdr:colOff>
      <xdr:row>2864</xdr:row>
      <xdr:rowOff>28575</xdr:rowOff>
    </xdr:from>
    <xdr:to>
      <xdr:col>3</xdr:col>
      <xdr:colOff>1552575</xdr:colOff>
      <xdr:row>2864</xdr:row>
      <xdr:rowOff>1266825</xdr:rowOff>
    </xdr:to>
    <xdr:pic>
      <xdr:nvPicPr>
        <xdr:cNvPr id="1169" name="Имя " descr="Descr ">
          <a:extLst>
            <a:ext uri="{FF2B5EF4-FFF2-40B4-BE49-F238E27FC236}">
              <a16:creationId xmlns:a16="http://schemas.microsoft.com/office/drawing/2014/main" id="{00000000-0008-0000-0000-000091040000}"/>
            </a:ext>
          </a:extLst>
        </xdr:cNvPr>
        <xdr:cNvPicPr>
          <a:picLocks noChangeAspect="1"/>
        </xdr:cNvPicPr>
      </xdr:nvPicPr>
      <xdr:blipFill>
        <a:blip xmlns:r="http://schemas.openxmlformats.org/officeDocument/2006/relationships" r:embed="rId1146"/>
        <a:stretch>
          <a:fillRect/>
        </a:stretch>
      </xdr:blipFill>
      <xdr:spPr>
        <a:prstGeom prst="rect">
          <a:avLst/>
        </a:prstGeom>
        <a:ln w="9525">
          <a:solidFill>
            <a:srgbClr val="000000"/>
          </a:solidFill>
          <a:prstDash val="solid"/>
        </a:ln>
      </xdr:spPr>
    </xdr:pic>
    <xdr:clientData/>
  </xdr:twoCellAnchor>
  <xdr:twoCellAnchor>
    <xdr:from>
      <xdr:col>3</xdr:col>
      <xdr:colOff>114300</xdr:colOff>
      <xdr:row>2865</xdr:row>
      <xdr:rowOff>38100</xdr:rowOff>
    </xdr:from>
    <xdr:to>
      <xdr:col>3</xdr:col>
      <xdr:colOff>1552575</xdr:colOff>
      <xdr:row>2866</xdr:row>
      <xdr:rowOff>638175</xdr:rowOff>
    </xdr:to>
    <xdr:pic>
      <xdr:nvPicPr>
        <xdr:cNvPr id="1170" name="Имя " descr="Descr ">
          <a:extLst>
            <a:ext uri="{FF2B5EF4-FFF2-40B4-BE49-F238E27FC236}">
              <a16:creationId xmlns:a16="http://schemas.microsoft.com/office/drawing/2014/main" id="{00000000-0008-0000-0000-000092040000}"/>
            </a:ext>
          </a:extLst>
        </xdr:cNvPr>
        <xdr:cNvPicPr>
          <a:picLocks noChangeAspect="1"/>
        </xdr:cNvPicPr>
      </xdr:nvPicPr>
      <xdr:blipFill>
        <a:blip xmlns:r="http://schemas.openxmlformats.org/officeDocument/2006/relationships" r:embed="rId1147"/>
        <a:stretch>
          <a:fillRect/>
        </a:stretch>
      </xdr:blipFill>
      <xdr:spPr>
        <a:prstGeom prst="rect">
          <a:avLst/>
        </a:prstGeom>
        <a:ln w="9525">
          <a:solidFill>
            <a:srgbClr val="000000"/>
          </a:solidFill>
          <a:prstDash val="solid"/>
        </a:ln>
      </xdr:spPr>
    </xdr:pic>
    <xdr:clientData/>
  </xdr:twoCellAnchor>
  <xdr:twoCellAnchor>
    <xdr:from>
      <xdr:col>3</xdr:col>
      <xdr:colOff>114300</xdr:colOff>
      <xdr:row>2867</xdr:row>
      <xdr:rowOff>28575</xdr:rowOff>
    </xdr:from>
    <xdr:to>
      <xdr:col>3</xdr:col>
      <xdr:colOff>1552575</xdr:colOff>
      <xdr:row>2874</xdr:row>
      <xdr:rowOff>152400</xdr:rowOff>
    </xdr:to>
    <xdr:pic>
      <xdr:nvPicPr>
        <xdr:cNvPr id="1171" name="Имя " descr="Descr ">
          <a:extLst>
            <a:ext uri="{FF2B5EF4-FFF2-40B4-BE49-F238E27FC236}">
              <a16:creationId xmlns:a16="http://schemas.microsoft.com/office/drawing/2014/main" id="{00000000-0008-0000-0000-000093040000}"/>
            </a:ext>
          </a:extLst>
        </xdr:cNvPr>
        <xdr:cNvPicPr>
          <a:picLocks noChangeAspect="1"/>
        </xdr:cNvPicPr>
      </xdr:nvPicPr>
      <xdr:blipFill>
        <a:blip xmlns:r="http://schemas.openxmlformats.org/officeDocument/2006/relationships" r:embed="rId1148"/>
        <a:stretch>
          <a:fillRect/>
        </a:stretch>
      </xdr:blipFill>
      <xdr:spPr>
        <a:prstGeom prst="rect">
          <a:avLst/>
        </a:prstGeom>
        <a:ln w="9525">
          <a:solidFill>
            <a:srgbClr val="000000"/>
          </a:solidFill>
          <a:prstDash val="solid"/>
        </a:ln>
      </xdr:spPr>
    </xdr:pic>
    <xdr:clientData/>
  </xdr:twoCellAnchor>
  <xdr:twoCellAnchor>
    <xdr:from>
      <xdr:col>3</xdr:col>
      <xdr:colOff>114300</xdr:colOff>
      <xdr:row>2875</xdr:row>
      <xdr:rowOff>28575</xdr:rowOff>
    </xdr:from>
    <xdr:to>
      <xdr:col>3</xdr:col>
      <xdr:colOff>1552575</xdr:colOff>
      <xdr:row>2879</xdr:row>
      <xdr:rowOff>333375</xdr:rowOff>
    </xdr:to>
    <xdr:pic>
      <xdr:nvPicPr>
        <xdr:cNvPr id="1172" name="Имя " descr="Descr ">
          <a:extLst>
            <a:ext uri="{FF2B5EF4-FFF2-40B4-BE49-F238E27FC236}">
              <a16:creationId xmlns:a16="http://schemas.microsoft.com/office/drawing/2014/main" id="{00000000-0008-0000-0000-000094040000}"/>
            </a:ext>
          </a:extLst>
        </xdr:cNvPr>
        <xdr:cNvPicPr>
          <a:picLocks noChangeAspect="1"/>
        </xdr:cNvPicPr>
      </xdr:nvPicPr>
      <xdr:blipFill>
        <a:blip xmlns:r="http://schemas.openxmlformats.org/officeDocument/2006/relationships" r:embed="rId1149"/>
        <a:stretch>
          <a:fillRect/>
        </a:stretch>
      </xdr:blipFill>
      <xdr:spPr>
        <a:prstGeom prst="rect">
          <a:avLst/>
        </a:prstGeom>
        <a:ln w="9525">
          <a:solidFill>
            <a:srgbClr val="000000"/>
          </a:solidFill>
          <a:prstDash val="solid"/>
        </a:ln>
      </xdr:spPr>
    </xdr:pic>
    <xdr:clientData/>
  </xdr:twoCellAnchor>
  <xdr:twoCellAnchor>
    <xdr:from>
      <xdr:col>3</xdr:col>
      <xdr:colOff>114300</xdr:colOff>
      <xdr:row>2880</xdr:row>
      <xdr:rowOff>28575</xdr:rowOff>
    </xdr:from>
    <xdr:to>
      <xdr:col>3</xdr:col>
      <xdr:colOff>1552575</xdr:colOff>
      <xdr:row>2885</xdr:row>
      <xdr:rowOff>209550</xdr:rowOff>
    </xdr:to>
    <xdr:pic>
      <xdr:nvPicPr>
        <xdr:cNvPr id="1173" name="Имя " descr="Descr ">
          <a:extLst>
            <a:ext uri="{FF2B5EF4-FFF2-40B4-BE49-F238E27FC236}">
              <a16:creationId xmlns:a16="http://schemas.microsoft.com/office/drawing/2014/main" id="{00000000-0008-0000-0000-000095040000}"/>
            </a:ext>
          </a:extLst>
        </xdr:cNvPr>
        <xdr:cNvPicPr>
          <a:picLocks noChangeAspect="1"/>
        </xdr:cNvPicPr>
      </xdr:nvPicPr>
      <xdr:blipFill>
        <a:blip xmlns:r="http://schemas.openxmlformats.org/officeDocument/2006/relationships" r:embed="rId1150"/>
        <a:stretch>
          <a:fillRect/>
        </a:stretch>
      </xdr:blipFill>
      <xdr:spPr>
        <a:prstGeom prst="rect">
          <a:avLst/>
        </a:prstGeom>
        <a:ln w="9525">
          <a:solidFill>
            <a:srgbClr val="000000"/>
          </a:solidFill>
          <a:prstDash val="solid"/>
        </a:ln>
      </xdr:spPr>
    </xdr:pic>
    <xdr:clientData/>
  </xdr:twoCellAnchor>
  <xdr:twoCellAnchor>
    <xdr:from>
      <xdr:col>3</xdr:col>
      <xdr:colOff>114300</xdr:colOff>
      <xdr:row>2886</xdr:row>
      <xdr:rowOff>28575</xdr:rowOff>
    </xdr:from>
    <xdr:to>
      <xdr:col>3</xdr:col>
      <xdr:colOff>1552575</xdr:colOff>
      <xdr:row>2890</xdr:row>
      <xdr:rowOff>333375</xdr:rowOff>
    </xdr:to>
    <xdr:pic>
      <xdr:nvPicPr>
        <xdr:cNvPr id="1174" name="Имя " descr="Descr ">
          <a:extLst>
            <a:ext uri="{FF2B5EF4-FFF2-40B4-BE49-F238E27FC236}">
              <a16:creationId xmlns:a16="http://schemas.microsoft.com/office/drawing/2014/main" id="{00000000-0008-0000-0000-000096040000}"/>
            </a:ext>
          </a:extLst>
        </xdr:cNvPr>
        <xdr:cNvPicPr>
          <a:picLocks noChangeAspect="1"/>
        </xdr:cNvPicPr>
      </xdr:nvPicPr>
      <xdr:blipFill>
        <a:blip xmlns:r="http://schemas.openxmlformats.org/officeDocument/2006/relationships" r:embed="rId1151"/>
        <a:stretch>
          <a:fillRect/>
        </a:stretch>
      </xdr:blipFill>
      <xdr:spPr>
        <a:prstGeom prst="rect">
          <a:avLst/>
        </a:prstGeom>
        <a:ln w="9525">
          <a:solidFill>
            <a:srgbClr val="000000"/>
          </a:solidFill>
          <a:prstDash val="solid"/>
        </a:ln>
      </xdr:spPr>
    </xdr:pic>
    <xdr:clientData/>
  </xdr:twoCellAnchor>
  <xdr:twoCellAnchor>
    <xdr:from>
      <xdr:col>3</xdr:col>
      <xdr:colOff>114300</xdr:colOff>
      <xdr:row>2891</xdr:row>
      <xdr:rowOff>28575</xdr:rowOff>
    </xdr:from>
    <xdr:to>
      <xdr:col>3</xdr:col>
      <xdr:colOff>1552575</xdr:colOff>
      <xdr:row>2894</xdr:row>
      <xdr:rowOff>209550</xdr:rowOff>
    </xdr:to>
    <xdr:pic>
      <xdr:nvPicPr>
        <xdr:cNvPr id="1175" name="Имя " descr="Descr ">
          <a:extLst>
            <a:ext uri="{FF2B5EF4-FFF2-40B4-BE49-F238E27FC236}">
              <a16:creationId xmlns:a16="http://schemas.microsoft.com/office/drawing/2014/main" id="{00000000-0008-0000-0000-000097040000}"/>
            </a:ext>
          </a:extLst>
        </xdr:cNvPr>
        <xdr:cNvPicPr>
          <a:picLocks noChangeAspect="1"/>
        </xdr:cNvPicPr>
      </xdr:nvPicPr>
      <xdr:blipFill>
        <a:blip xmlns:r="http://schemas.openxmlformats.org/officeDocument/2006/relationships" r:embed="rId1152"/>
        <a:stretch>
          <a:fillRect/>
        </a:stretch>
      </xdr:blipFill>
      <xdr:spPr>
        <a:prstGeom prst="rect">
          <a:avLst/>
        </a:prstGeom>
        <a:ln w="9525">
          <a:solidFill>
            <a:srgbClr val="000000"/>
          </a:solidFill>
          <a:prstDash val="solid"/>
        </a:ln>
      </xdr:spPr>
    </xdr:pic>
    <xdr:clientData/>
  </xdr:twoCellAnchor>
  <xdr:twoCellAnchor>
    <xdr:from>
      <xdr:col>3</xdr:col>
      <xdr:colOff>114300</xdr:colOff>
      <xdr:row>2895</xdr:row>
      <xdr:rowOff>28575</xdr:rowOff>
    </xdr:from>
    <xdr:to>
      <xdr:col>3</xdr:col>
      <xdr:colOff>1552575</xdr:colOff>
      <xdr:row>2899</xdr:row>
      <xdr:rowOff>333375</xdr:rowOff>
    </xdr:to>
    <xdr:pic>
      <xdr:nvPicPr>
        <xdr:cNvPr id="1176" name="Имя " descr="Descr ">
          <a:extLst>
            <a:ext uri="{FF2B5EF4-FFF2-40B4-BE49-F238E27FC236}">
              <a16:creationId xmlns:a16="http://schemas.microsoft.com/office/drawing/2014/main" id="{00000000-0008-0000-0000-000098040000}"/>
            </a:ext>
          </a:extLst>
        </xdr:cNvPr>
        <xdr:cNvPicPr>
          <a:picLocks noChangeAspect="1"/>
        </xdr:cNvPicPr>
      </xdr:nvPicPr>
      <xdr:blipFill>
        <a:blip xmlns:r="http://schemas.openxmlformats.org/officeDocument/2006/relationships" r:embed="rId1153"/>
        <a:stretch>
          <a:fillRect/>
        </a:stretch>
      </xdr:blipFill>
      <xdr:spPr>
        <a:prstGeom prst="rect">
          <a:avLst/>
        </a:prstGeom>
        <a:ln w="9525">
          <a:solidFill>
            <a:srgbClr val="000000"/>
          </a:solidFill>
          <a:prstDash val="solid"/>
        </a:ln>
      </xdr:spPr>
    </xdr:pic>
    <xdr:clientData/>
  </xdr:twoCellAnchor>
  <xdr:twoCellAnchor>
    <xdr:from>
      <xdr:col>3</xdr:col>
      <xdr:colOff>114300</xdr:colOff>
      <xdr:row>2900</xdr:row>
      <xdr:rowOff>28575</xdr:rowOff>
    </xdr:from>
    <xdr:to>
      <xdr:col>3</xdr:col>
      <xdr:colOff>1552575</xdr:colOff>
      <xdr:row>2903</xdr:row>
      <xdr:rowOff>209550</xdr:rowOff>
    </xdr:to>
    <xdr:pic>
      <xdr:nvPicPr>
        <xdr:cNvPr id="1177" name="Имя " descr="Descr ">
          <a:extLst>
            <a:ext uri="{FF2B5EF4-FFF2-40B4-BE49-F238E27FC236}">
              <a16:creationId xmlns:a16="http://schemas.microsoft.com/office/drawing/2014/main" id="{00000000-0008-0000-0000-000099040000}"/>
            </a:ext>
          </a:extLst>
        </xdr:cNvPr>
        <xdr:cNvPicPr>
          <a:picLocks noChangeAspect="1"/>
        </xdr:cNvPicPr>
      </xdr:nvPicPr>
      <xdr:blipFill>
        <a:blip xmlns:r="http://schemas.openxmlformats.org/officeDocument/2006/relationships" r:embed="rId1154"/>
        <a:stretch>
          <a:fillRect/>
        </a:stretch>
      </xdr:blipFill>
      <xdr:spPr>
        <a:prstGeom prst="rect">
          <a:avLst/>
        </a:prstGeom>
        <a:ln w="9525">
          <a:solidFill>
            <a:srgbClr val="000000"/>
          </a:solidFill>
          <a:prstDash val="solid"/>
        </a:ln>
      </xdr:spPr>
    </xdr:pic>
    <xdr:clientData/>
  </xdr:twoCellAnchor>
  <xdr:twoCellAnchor>
    <xdr:from>
      <xdr:col>3</xdr:col>
      <xdr:colOff>114300</xdr:colOff>
      <xdr:row>2904</xdr:row>
      <xdr:rowOff>28575</xdr:rowOff>
    </xdr:from>
    <xdr:to>
      <xdr:col>3</xdr:col>
      <xdr:colOff>1552575</xdr:colOff>
      <xdr:row>2907</xdr:row>
      <xdr:rowOff>209550</xdr:rowOff>
    </xdr:to>
    <xdr:pic>
      <xdr:nvPicPr>
        <xdr:cNvPr id="1178" name="Имя " descr="Descr ">
          <a:extLst>
            <a:ext uri="{FF2B5EF4-FFF2-40B4-BE49-F238E27FC236}">
              <a16:creationId xmlns:a16="http://schemas.microsoft.com/office/drawing/2014/main" id="{00000000-0008-0000-0000-00009A040000}"/>
            </a:ext>
          </a:extLst>
        </xdr:cNvPr>
        <xdr:cNvPicPr>
          <a:picLocks noChangeAspect="1"/>
        </xdr:cNvPicPr>
      </xdr:nvPicPr>
      <xdr:blipFill>
        <a:blip xmlns:r="http://schemas.openxmlformats.org/officeDocument/2006/relationships" r:embed="rId1155"/>
        <a:stretch>
          <a:fillRect/>
        </a:stretch>
      </xdr:blipFill>
      <xdr:spPr>
        <a:prstGeom prst="rect">
          <a:avLst/>
        </a:prstGeom>
        <a:ln w="9525">
          <a:solidFill>
            <a:srgbClr val="000000"/>
          </a:solidFill>
          <a:prstDash val="solid"/>
        </a:ln>
      </xdr:spPr>
    </xdr:pic>
    <xdr:clientData/>
  </xdr:twoCellAnchor>
  <xdr:twoCellAnchor>
    <xdr:from>
      <xdr:col>3</xdr:col>
      <xdr:colOff>114300</xdr:colOff>
      <xdr:row>2908</xdr:row>
      <xdr:rowOff>28575</xdr:rowOff>
    </xdr:from>
    <xdr:to>
      <xdr:col>3</xdr:col>
      <xdr:colOff>1552575</xdr:colOff>
      <xdr:row>2911</xdr:row>
      <xdr:rowOff>209550</xdr:rowOff>
    </xdr:to>
    <xdr:pic>
      <xdr:nvPicPr>
        <xdr:cNvPr id="1179" name="Имя " descr="Descr ">
          <a:extLst>
            <a:ext uri="{FF2B5EF4-FFF2-40B4-BE49-F238E27FC236}">
              <a16:creationId xmlns:a16="http://schemas.microsoft.com/office/drawing/2014/main" id="{00000000-0008-0000-0000-00009B040000}"/>
            </a:ext>
          </a:extLst>
        </xdr:cNvPr>
        <xdr:cNvPicPr>
          <a:picLocks noChangeAspect="1"/>
        </xdr:cNvPicPr>
      </xdr:nvPicPr>
      <xdr:blipFill>
        <a:blip xmlns:r="http://schemas.openxmlformats.org/officeDocument/2006/relationships" r:embed="rId1156"/>
        <a:stretch>
          <a:fillRect/>
        </a:stretch>
      </xdr:blipFill>
      <xdr:spPr>
        <a:prstGeom prst="rect">
          <a:avLst/>
        </a:prstGeom>
        <a:ln w="9525">
          <a:solidFill>
            <a:srgbClr val="000000"/>
          </a:solidFill>
          <a:prstDash val="solid"/>
        </a:ln>
      </xdr:spPr>
    </xdr:pic>
    <xdr:clientData/>
  </xdr:twoCellAnchor>
  <xdr:twoCellAnchor>
    <xdr:from>
      <xdr:col>3</xdr:col>
      <xdr:colOff>114300</xdr:colOff>
      <xdr:row>2912</xdr:row>
      <xdr:rowOff>28575</xdr:rowOff>
    </xdr:from>
    <xdr:to>
      <xdr:col>3</xdr:col>
      <xdr:colOff>1552575</xdr:colOff>
      <xdr:row>2915</xdr:row>
      <xdr:rowOff>209550</xdr:rowOff>
    </xdr:to>
    <xdr:pic>
      <xdr:nvPicPr>
        <xdr:cNvPr id="1180" name="Имя " descr="Descr ">
          <a:extLst>
            <a:ext uri="{FF2B5EF4-FFF2-40B4-BE49-F238E27FC236}">
              <a16:creationId xmlns:a16="http://schemas.microsoft.com/office/drawing/2014/main" id="{00000000-0008-0000-0000-00009C040000}"/>
            </a:ext>
          </a:extLst>
        </xdr:cNvPr>
        <xdr:cNvPicPr>
          <a:picLocks noChangeAspect="1"/>
        </xdr:cNvPicPr>
      </xdr:nvPicPr>
      <xdr:blipFill>
        <a:blip xmlns:r="http://schemas.openxmlformats.org/officeDocument/2006/relationships" r:embed="rId1157"/>
        <a:stretch>
          <a:fillRect/>
        </a:stretch>
      </xdr:blipFill>
      <xdr:spPr>
        <a:prstGeom prst="rect">
          <a:avLst/>
        </a:prstGeom>
        <a:ln w="9525">
          <a:solidFill>
            <a:srgbClr val="000000"/>
          </a:solidFill>
          <a:prstDash val="solid"/>
        </a:ln>
      </xdr:spPr>
    </xdr:pic>
    <xdr:clientData/>
  </xdr:twoCellAnchor>
  <xdr:twoCellAnchor>
    <xdr:from>
      <xdr:col>3</xdr:col>
      <xdr:colOff>114300</xdr:colOff>
      <xdr:row>2916</xdr:row>
      <xdr:rowOff>28575</xdr:rowOff>
    </xdr:from>
    <xdr:to>
      <xdr:col>3</xdr:col>
      <xdr:colOff>1552575</xdr:colOff>
      <xdr:row>2919</xdr:row>
      <xdr:rowOff>209550</xdr:rowOff>
    </xdr:to>
    <xdr:pic>
      <xdr:nvPicPr>
        <xdr:cNvPr id="1181" name="Имя " descr="Descr ">
          <a:extLst>
            <a:ext uri="{FF2B5EF4-FFF2-40B4-BE49-F238E27FC236}">
              <a16:creationId xmlns:a16="http://schemas.microsoft.com/office/drawing/2014/main" id="{00000000-0008-0000-0000-00009D040000}"/>
            </a:ext>
          </a:extLst>
        </xdr:cNvPr>
        <xdr:cNvPicPr>
          <a:picLocks noChangeAspect="1"/>
        </xdr:cNvPicPr>
      </xdr:nvPicPr>
      <xdr:blipFill>
        <a:blip xmlns:r="http://schemas.openxmlformats.org/officeDocument/2006/relationships" r:embed="rId1158"/>
        <a:stretch>
          <a:fillRect/>
        </a:stretch>
      </xdr:blipFill>
      <xdr:spPr>
        <a:prstGeom prst="rect">
          <a:avLst/>
        </a:prstGeom>
        <a:ln w="9525">
          <a:solidFill>
            <a:srgbClr val="000000"/>
          </a:solidFill>
          <a:prstDash val="solid"/>
        </a:ln>
      </xdr:spPr>
    </xdr:pic>
    <xdr:clientData/>
  </xdr:twoCellAnchor>
  <xdr:twoCellAnchor>
    <xdr:from>
      <xdr:col>3</xdr:col>
      <xdr:colOff>114300</xdr:colOff>
      <xdr:row>2920</xdr:row>
      <xdr:rowOff>28575</xdr:rowOff>
    </xdr:from>
    <xdr:to>
      <xdr:col>3</xdr:col>
      <xdr:colOff>1552575</xdr:colOff>
      <xdr:row>2920</xdr:row>
      <xdr:rowOff>1266825</xdr:rowOff>
    </xdr:to>
    <xdr:pic>
      <xdr:nvPicPr>
        <xdr:cNvPr id="1182" name="Имя " descr="Descr ">
          <a:extLst>
            <a:ext uri="{FF2B5EF4-FFF2-40B4-BE49-F238E27FC236}">
              <a16:creationId xmlns:a16="http://schemas.microsoft.com/office/drawing/2014/main" id="{00000000-0008-0000-0000-00009E040000}"/>
            </a:ext>
          </a:extLst>
        </xdr:cNvPr>
        <xdr:cNvPicPr>
          <a:picLocks noChangeAspect="1"/>
        </xdr:cNvPicPr>
      </xdr:nvPicPr>
      <xdr:blipFill>
        <a:blip xmlns:r="http://schemas.openxmlformats.org/officeDocument/2006/relationships" r:embed="rId1159"/>
        <a:stretch>
          <a:fillRect/>
        </a:stretch>
      </xdr:blipFill>
      <xdr:spPr>
        <a:prstGeom prst="rect">
          <a:avLst/>
        </a:prstGeom>
        <a:ln w="9525">
          <a:solidFill>
            <a:srgbClr val="000000"/>
          </a:solidFill>
          <a:prstDash val="solid"/>
        </a:ln>
      </xdr:spPr>
    </xdr:pic>
    <xdr:clientData/>
  </xdr:twoCellAnchor>
  <xdr:twoCellAnchor>
    <xdr:from>
      <xdr:col>3</xdr:col>
      <xdr:colOff>114300</xdr:colOff>
      <xdr:row>2921</xdr:row>
      <xdr:rowOff>28575</xdr:rowOff>
    </xdr:from>
    <xdr:to>
      <xdr:col>3</xdr:col>
      <xdr:colOff>1552575</xdr:colOff>
      <xdr:row>2923</xdr:row>
      <xdr:rowOff>419100</xdr:rowOff>
    </xdr:to>
    <xdr:pic>
      <xdr:nvPicPr>
        <xdr:cNvPr id="1183" name="Имя " descr="Descr ">
          <a:extLst>
            <a:ext uri="{FF2B5EF4-FFF2-40B4-BE49-F238E27FC236}">
              <a16:creationId xmlns:a16="http://schemas.microsoft.com/office/drawing/2014/main" id="{00000000-0008-0000-0000-00009F040000}"/>
            </a:ext>
          </a:extLst>
        </xdr:cNvPr>
        <xdr:cNvPicPr>
          <a:picLocks noChangeAspect="1"/>
        </xdr:cNvPicPr>
      </xdr:nvPicPr>
      <xdr:blipFill>
        <a:blip xmlns:r="http://schemas.openxmlformats.org/officeDocument/2006/relationships" r:embed="rId1160"/>
        <a:stretch>
          <a:fillRect/>
        </a:stretch>
      </xdr:blipFill>
      <xdr:spPr>
        <a:prstGeom prst="rect">
          <a:avLst/>
        </a:prstGeom>
        <a:ln w="9525">
          <a:solidFill>
            <a:srgbClr val="000000"/>
          </a:solidFill>
          <a:prstDash val="solid"/>
        </a:ln>
      </xdr:spPr>
    </xdr:pic>
    <xdr:clientData/>
  </xdr:twoCellAnchor>
  <xdr:twoCellAnchor>
    <xdr:from>
      <xdr:col>3</xdr:col>
      <xdr:colOff>114300</xdr:colOff>
      <xdr:row>2924</xdr:row>
      <xdr:rowOff>28575</xdr:rowOff>
    </xdr:from>
    <xdr:to>
      <xdr:col>3</xdr:col>
      <xdr:colOff>1552575</xdr:colOff>
      <xdr:row>2927</xdr:row>
      <xdr:rowOff>209550</xdr:rowOff>
    </xdr:to>
    <xdr:pic>
      <xdr:nvPicPr>
        <xdr:cNvPr id="1184" name="Имя " descr="Descr ">
          <a:extLst>
            <a:ext uri="{FF2B5EF4-FFF2-40B4-BE49-F238E27FC236}">
              <a16:creationId xmlns:a16="http://schemas.microsoft.com/office/drawing/2014/main" id="{00000000-0008-0000-0000-0000A0040000}"/>
            </a:ext>
          </a:extLst>
        </xdr:cNvPr>
        <xdr:cNvPicPr>
          <a:picLocks noChangeAspect="1"/>
        </xdr:cNvPicPr>
      </xdr:nvPicPr>
      <xdr:blipFill>
        <a:blip xmlns:r="http://schemas.openxmlformats.org/officeDocument/2006/relationships" r:embed="rId1161"/>
        <a:stretch>
          <a:fillRect/>
        </a:stretch>
      </xdr:blipFill>
      <xdr:spPr>
        <a:prstGeom prst="rect">
          <a:avLst/>
        </a:prstGeom>
        <a:ln w="9525">
          <a:solidFill>
            <a:srgbClr val="000000"/>
          </a:solidFill>
          <a:prstDash val="solid"/>
        </a:ln>
      </xdr:spPr>
    </xdr:pic>
    <xdr:clientData/>
  </xdr:twoCellAnchor>
  <xdr:twoCellAnchor>
    <xdr:from>
      <xdr:col>3</xdr:col>
      <xdr:colOff>114300</xdr:colOff>
      <xdr:row>2928</xdr:row>
      <xdr:rowOff>28575</xdr:rowOff>
    </xdr:from>
    <xdr:to>
      <xdr:col>3</xdr:col>
      <xdr:colOff>1552575</xdr:colOff>
      <xdr:row>2931</xdr:row>
      <xdr:rowOff>209550</xdr:rowOff>
    </xdr:to>
    <xdr:pic>
      <xdr:nvPicPr>
        <xdr:cNvPr id="1185" name="Имя " descr="Descr ">
          <a:extLst>
            <a:ext uri="{FF2B5EF4-FFF2-40B4-BE49-F238E27FC236}">
              <a16:creationId xmlns:a16="http://schemas.microsoft.com/office/drawing/2014/main" id="{00000000-0008-0000-0000-0000A1040000}"/>
            </a:ext>
          </a:extLst>
        </xdr:cNvPr>
        <xdr:cNvPicPr>
          <a:picLocks noChangeAspect="1"/>
        </xdr:cNvPicPr>
      </xdr:nvPicPr>
      <xdr:blipFill>
        <a:blip xmlns:r="http://schemas.openxmlformats.org/officeDocument/2006/relationships" r:embed="rId1162"/>
        <a:stretch>
          <a:fillRect/>
        </a:stretch>
      </xdr:blipFill>
      <xdr:spPr>
        <a:prstGeom prst="rect">
          <a:avLst/>
        </a:prstGeom>
        <a:ln w="9525">
          <a:solidFill>
            <a:srgbClr val="000000"/>
          </a:solidFill>
          <a:prstDash val="solid"/>
        </a:ln>
      </xdr:spPr>
    </xdr:pic>
    <xdr:clientData/>
  </xdr:twoCellAnchor>
  <xdr:twoCellAnchor>
    <xdr:from>
      <xdr:col>3</xdr:col>
      <xdr:colOff>114300</xdr:colOff>
      <xdr:row>2932</xdr:row>
      <xdr:rowOff>28575</xdr:rowOff>
    </xdr:from>
    <xdr:to>
      <xdr:col>3</xdr:col>
      <xdr:colOff>1552575</xdr:colOff>
      <xdr:row>2938</xdr:row>
      <xdr:rowOff>171450</xdr:rowOff>
    </xdr:to>
    <xdr:pic>
      <xdr:nvPicPr>
        <xdr:cNvPr id="1186" name="Имя " descr="Descr ">
          <a:extLst>
            <a:ext uri="{FF2B5EF4-FFF2-40B4-BE49-F238E27FC236}">
              <a16:creationId xmlns:a16="http://schemas.microsoft.com/office/drawing/2014/main" id="{00000000-0008-0000-0000-0000A2040000}"/>
            </a:ext>
          </a:extLst>
        </xdr:cNvPr>
        <xdr:cNvPicPr>
          <a:picLocks noChangeAspect="1"/>
        </xdr:cNvPicPr>
      </xdr:nvPicPr>
      <xdr:blipFill>
        <a:blip xmlns:r="http://schemas.openxmlformats.org/officeDocument/2006/relationships" r:embed="rId1163"/>
        <a:stretch>
          <a:fillRect/>
        </a:stretch>
      </xdr:blipFill>
      <xdr:spPr>
        <a:prstGeom prst="rect">
          <a:avLst/>
        </a:prstGeom>
        <a:ln w="9525">
          <a:solidFill>
            <a:srgbClr val="000000"/>
          </a:solidFill>
          <a:prstDash val="solid"/>
        </a:ln>
      </xdr:spPr>
    </xdr:pic>
    <xdr:clientData/>
  </xdr:twoCellAnchor>
  <xdr:twoCellAnchor>
    <xdr:from>
      <xdr:col>3</xdr:col>
      <xdr:colOff>114300</xdr:colOff>
      <xdr:row>2939</xdr:row>
      <xdr:rowOff>38100</xdr:rowOff>
    </xdr:from>
    <xdr:to>
      <xdr:col>3</xdr:col>
      <xdr:colOff>1552575</xdr:colOff>
      <xdr:row>2940</xdr:row>
      <xdr:rowOff>638175</xdr:rowOff>
    </xdr:to>
    <xdr:pic>
      <xdr:nvPicPr>
        <xdr:cNvPr id="1187" name="Имя " descr="Descr ">
          <a:extLst>
            <a:ext uri="{FF2B5EF4-FFF2-40B4-BE49-F238E27FC236}">
              <a16:creationId xmlns:a16="http://schemas.microsoft.com/office/drawing/2014/main" id="{00000000-0008-0000-0000-0000A3040000}"/>
            </a:ext>
          </a:extLst>
        </xdr:cNvPr>
        <xdr:cNvPicPr>
          <a:picLocks noChangeAspect="1"/>
        </xdr:cNvPicPr>
      </xdr:nvPicPr>
      <xdr:blipFill>
        <a:blip xmlns:r="http://schemas.openxmlformats.org/officeDocument/2006/relationships" r:embed="rId1164"/>
        <a:stretch>
          <a:fillRect/>
        </a:stretch>
      </xdr:blipFill>
      <xdr:spPr>
        <a:prstGeom prst="rect">
          <a:avLst/>
        </a:prstGeom>
        <a:ln w="9525">
          <a:solidFill>
            <a:srgbClr val="000000"/>
          </a:solidFill>
          <a:prstDash val="solid"/>
        </a:ln>
      </xdr:spPr>
    </xdr:pic>
    <xdr:clientData/>
  </xdr:twoCellAnchor>
  <xdr:twoCellAnchor>
    <xdr:from>
      <xdr:col>3</xdr:col>
      <xdr:colOff>114300</xdr:colOff>
      <xdr:row>2941</xdr:row>
      <xdr:rowOff>28575</xdr:rowOff>
    </xdr:from>
    <xdr:to>
      <xdr:col>3</xdr:col>
      <xdr:colOff>1552575</xdr:colOff>
      <xdr:row>2949</xdr:row>
      <xdr:rowOff>133350</xdr:rowOff>
    </xdr:to>
    <xdr:pic>
      <xdr:nvPicPr>
        <xdr:cNvPr id="1188" name="Имя " descr="Descr ">
          <a:extLst>
            <a:ext uri="{FF2B5EF4-FFF2-40B4-BE49-F238E27FC236}">
              <a16:creationId xmlns:a16="http://schemas.microsoft.com/office/drawing/2014/main" id="{00000000-0008-0000-0000-0000A4040000}"/>
            </a:ext>
          </a:extLst>
        </xdr:cNvPr>
        <xdr:cNvPicPr>
          <a:picLocks noChangeAspect="1"/>
        </xdr:cNvPicPr>
      </xdr:nvPicPr>
      <xdr:blipFill>
        <a:blip xmlns:r="http://schemas.openxmlformats.org/officeDocument/2006/relationships" r:embed="rId1165"/>
        <a:stretch>
          <a:fillRect/>
        </a:stretch>
      </xdr:blipFill>
      <xdr:spPr>
        <a:prstGeom prst="rect">
          <a:avLst/>
        </a:prstGeom>
        <a:ln w="9525">
          <a:solidFill>
            <a:srgbClr val="000000"/>
          </a:solidFill>
          <a:prstDash val="solid"/>
        </a:ln>
      </xdr:spPr>
    </xdr:pic>
    <xdr:clientData/>
  </xdr:twoCellAnchor>
  <xdr:twoCellAnchor>
    <xdr:from>
      <xdr:col>3</xdr:col>
      <xdr:colOff>114300</xdr:colOff>
      <xdr:row>2951</xdr:row>
      <xdr:rowOff>28575</xdr:rowOff>
    </xdr:from>
    <xdr:to>
      <xdr:col>3</xdr:col>
      <xdr:colOff>1552575</xdr:colOff>
      <xdr:row>2959</xdr:row>
      <xdr:rowOff>133350</xdr:rowOff>
    </xdr:to>
    <xdr:pic>
      <xdr:nvPicPr>
        <xdr:cNvPr id="1189" name="Имя " descr="Descr ">
          <a:extLst>
            <a:ext uri="{FF2B5EF4-FFF2-40B4-BE49-F238E27FC236}">
              <a16:creationId xmlns:a16="http://schemas.microsoft.com/office/drawing/2014/main" id="{00000000-0008-0000-0000-0000A5040000}"/>
            </a:ext>
          </a:extLst>
        </xdr:cNvPr>
        <xdr:cNvPicPr>
          <a:picLocks noChangeAspect="1"/>
        </xdr:cNvPicPr>
      </xdr:nvPicPr>
      <xdr:blipFill>
        <a:blip xmlns:r="http://schemas.openxmlformats.org/officeDocument/2006/relationships" r:embed="rId1166"/>
        <a:stretch>
          <a:fillRect/>
        </a:stretch>
      </xdr:blipFill>
      <xdr:spPr>
        <a:prstGeom prst="rect">
          <a:avLst/>
        </a:prstGeom>
        <a:ln w="9525">
          <a:solidFill>
            <a:srgbClr val="000000"/>
          </a:solidFill>
          <a:prstDash val="solid"/>
        </a:ln>
      </xdr:spPr>
    </xdr:pic>
    <xdr:clientData/>
  </xdr:twoCellAnchor>
  <xdr:twoCellAnchor>
    <xdr:from>
      <xdr:col>3</xdr:col>
      <xdr:colOff>114300</xdr:colOff>
      <xdr:row>2962</xdr:row>
      <xdr:rowOff>28575</xdr:rowOff>
    </xdr:from>
    <xdr:to>
      <xdr:col>3</xdr:col>
      <xdr:colOff>1552575</xdr:colOff>
      <xdr:row>2966</xdr:row>
      <xdr:rowOff>333375</xdr:rowOff>
    </xdr:to>
    <xdr:pic>
      <xdr:nvPicPr>
        <xdr:cNvPr id="1190" name="Имя " descr="Descr ">
          <a:extLst>
            <a:ext uri="{FF2B5EF4-FFF2-40B4-BE49-F238E27FC236}">
              <a16:creationId xmlns:a16="http://schemas.microsoft.com/office/drawing/2014/main" id="{00000000-0008-0000-0000-0000A6040000}"/>
            </a:ext>
          </a:extLst>
        </xdr:cNvPr>
        <xdr:cNvPicPr>
          <a:picLocks noChangeAspect="1"/>
        </xdr:cNvPicPr>
      </xdr:nvPicPr>
      <xdr:blipFill>
        <a:blip xmlns:r="http://schemas.openxmlformats.org/officeDocument/2006/relationships" r:embed="rId1167"/>
        <a:stretch>
          <a:fillRect/>
        </a:stretch>
      </xdr:blipFill>
      <xdr:spPr>
        <a:prstGeom prst="rect">
          <a:avLst/>
        </a:prstGeom>
        <a:ln w="9525">
          <a:solidFill>
            <a:srgbClr val="000000"/>
          </a:solidFill>
          <a:prstDash val="solid"/>
        </a:ln>
      </xdr:spPr>
    </xdr:pic>
    <xdr:clientData/>
  </xdr:twoCellAnchor>
  <xdr:twoCellAnchor>
    <xdr:from>
      <xdr:col>3</xdr:col>
      <xdr:colOff>114300</xdr:colOff>
      <xdr:row>2967</xdr:row>
      <xdr:rowOff>28575</xdr:rowOff>
    </xdr:from>
    <xdr:to>
      <xdr:col>3</xdr:col>
      <xdr:colOff>1552575</xdr:colOff>
      <xdr:row>2972</xdr:row>
      <xdr:rowOff>209550</xdr:rowOff>
    </xdr:to>
    <xdr:pic>
      <xdr:nvPicPr>
        <xdr:cNvPr id="1191" name="Имя " descr="Descr ">
          <a:extLst>
            <a:ext uri="{FF2B5EF4-FFF2-40B4-BE49-F238E27FC236}">
              <a16:creationId xmlns:a16="http://schemas.microsoft.com/office/drawing/2014/main" id="{00000000-0008-0000-0000-0000A7040000}"/>
            </a:ext>
          </a:extLst>
        </xdr:cNvPr>
        <xdr:cNvPicPr>
          <a:picLocks noChangeAspect="1"/>
        </xdr:cNvPicPr>
      </xdr:nvPicPr>
      <xdr:blipFill>
        <a:blip xmlns:r="http://schemas.openxmlformats.org/officeDocument/2006/relationships" r:embed="rId1168"/>
        <a:stretch>
          <a:fillRect/>
        </a:stretch>
      </xdr:blipFill>
      <xdr:spPr>
        <a:prstGeom prst="rect">
          <a:avLst/>
        </a:prstGeom>
        <a:ln w="9525">
          <a:solidFill>
            <a:srgbClr val="000000"/>
          </a:solidFill>
          <a:prstDash val="solid"/>
        </a:ln>
      </xdr:spPr>
    </xdr:pic>
    <xdr:clientData/>
  </xdr:twoCellAnchor>
  <xdr:twoCellAnchor>
    <xdr:from>
      <xdr:col>3</xdr:col>
      <xdr:colOff>114300</xdr:colOff>
      <xdr:row>2973</xdr:row>
      <xdr:rowOff>28575</xdr:rowOff>
    </xdr:from>
    <xdr:to>
      <xdr:col>3</xdr:col>
      <xdr:colOff>1552575</xdr:colOff>
      <xdr:row>2979</xdr:row>
      <xdr:rowOff>171450</xdr:rowOff>
    </xdr:to>
    <xdr:pic>
      <xdr:nvPicPr>
        <xdr:cNvPr id="1192" name="Имя " descr="Descr ">
          <a:extLst>
            <a:ext uri="{FF2B5EF4-FFF2-40B4-BE49-F238E27FC236}">
              <a16:creationId xmlns:a16="http://schemas.microsoft.com/office/drawing/2014/main" id="{00000000-0008-0000-0000-0000A8040000}"/>
            </a:ext>
          </a:extLst>
        </xdr:cNvPr>
        <xdr:cNvPicPr>
          <a:picLocks noChangeAspect="1"/>
        </xdr:cNvPicPr>
      </xdr:nvPicPr>
      <xdr:blipFill>
        <a:blip xmlns:r="http://schemas.openxmlformats.org/officeDocument/2006/relationships" r:embed="rId1169"/>
        <a:stretch>
          <a:fillRect/>
        </a:stretch>
      </xdr:blipFill>
      <xdr:spPr>
        <a:prstGeom prst="rect">
          <a:avLst/>
        </a:prstGeom>
        <a:ln w="9525">
          <a:solidFill>
            <a:srgbClr val="000000"/>
          </a:solidFill>
          <a:prstDash val="solid"/>
        </a:ln>
      </xdr:spPr>
    </xdr:pic>
    <xdr:clientData/>
  </xdr:twoCellAnchor>
  <xdr:twoCellAnchor>
    <xdr:from>
      <xdr:col>3</xdr:col>
      <xdr:colOff>114300</xdr:colOff>
      <xdr:row>2980</xdr:row>
      <xdr:rowOff>28575</xdr:rowOff>
    </xdr:from>
    <xdr:to>
      <xdr:col>3</xdr:col>
      <xdr:colOff>1552575</xdr:colOff>
      <xdr:row>2980</xdr:row>
      <xdr:rowOff>1266825</xdr:rowOff>
    </xdr:to>
    <xdr:pic>
      <xdr:nvPicPr>
        <xdr:cNvPr id="1193" name="Имя " descr="Descr ">
          <a:extLst>
            <a:ext uri="{FF2B5EF4-FFF2-40B4-BE49-F238E27FC236}">
              <a16:creationId xmlns:a16="http://schemas.microsoft.com/office/drawing/2014/main" id="{00000000-0008-0000-0000-0000A9040000}"/>
            </a:ext>
          </a:extLst>
        </xdr:cNvPr>
        <xdr:cNvPicPr>
          <a:picLocks noChangeAspect="1"/>
        </xdr:cNvPicPr>
      </xdr:nvPicPr>
      <xdr:blipFill>
        <a:blip xmlns:r="http://schemas.openxmlformats.org/officeDocument/2006/relationships" r:embed="rId1170"/>
        <a:stretch>
          <a:fillRect/>
        </a:stretch>
      </xdr:blipFill>
      <xdr:spPr>
        <a:prstGeom prst="rect">
          <a:avLst/>
        </a:prstGeom>
        <a:ln w="9525">
          <a:solidFill>
            <a:srgbClr val="000000"/>
          </a:solidFill>
          <a:prstDash val="solid"/>
        </a:ln>
      </xdr:spPr>
    </xdr:pic>
    <xdr:clientData/>
  </xdr:twoCellAnchor>
  <xdr:twoCellAnchor>
    <xdr:from>
      <xdr:col>3</xdr:col>
      <xdr:colOff>114300</xdr:colOff>
      <xdr:row>2981</xdr:row>
      <xdr:rowOff>28575</xdr:rowOff>
    </xdr:from>
    <xdr:to>
      <xdr:col>3</xdr:col>
      <xdr:colOff>1552575</xdr:colOff>
      <xdr:row>2985</xdr:row>
      <xdr:rowOff>333375</xdr:rowOff>
    </xdr:to>
    <xdr:pic>
      <xdr:nvPicPr>
        <xdr:cNvPr id="1194" name="Имя " descr="Descr ">
          <a:extLst>
            <a:ext uri="{FF2B5EF4-FFF2-40B4-BE49-F238E27FC236}">
              <a16:creationId xmlns:a16="http://schemas.microsoft.com/office/drawing/2014/main" id="{00000000-0008-0000-0000-0000AA040000}"/>
            </a:ext>
          </a:extLst>
        </xdr:cNvPr>
        <xdr:cNvPicPr>
          <a:picLocks noChangeAspect="1"/>
        </xdr:cNvPicPr>
      </xdr:nvPicPr>
      <xdr:blipFill>
        <a:blip xmlns:r="http://schemas.openxmlformats.org/officeDocument/2006/relationships" r:embed="rId1171"/>
        <a:stretch>
          <a:fillRect/>
        </a:stretch>
      </xdr:blipFill>
      <xdr:spPr>
        <a:prstGeom prst="rect">
          <a:avLst/>
        </a:prstGeom>
        <a:ln w="9525">
          <a:solidFill>
            <a:srgbClr val="000000"/>
          </a:solidFill>
          <a:prstDash val="solid"/>
        </a:ln>
      </xdr:spPr>
    </xdr:pic>
    <xdr:clientData/>
  </xdr:twoCellAnchor>
  <xdr:twoCellAnchor>
    <xdr:from>
      <xdr:col>3</xdr:col>
      <xdr:colOff>114300</xdr:colOff>
      <xdr:row>2986</xdr:row>
      <xdr:rowOff>28575</xdr:rowOff>
    </xdr:from>
    <xdr:to>
      <xdr:col>3</xdr:col>
      <xdr:colOff>1552575</xdr:colOff>
      <xdr:row>2991</xdr:row>
      <xdr:rowOff>209550</xdr:rowOff>
    </xdr:to>
    <xdr:pic>
      <xdr:nvPicPr>
        <xdr:cNvPr id="1195" name="Имя " descr="Descr ">
          <a:extLst>
            <a:ext uri="{FF2B5EF4-FFF2-40B4-BE49-F238E27FC236}">
              <a16:creationId xmlns:a16="http://schemas.microsoft.com/office/drawing/2014/main" id="{00000000-0008-0000-0000-0000AB040000}"/>
            </a:ext>
          </a:extLst>
        </xdr:cNvPr>
        <xdr:cNvPicPr>
          <a:picLocks noChangeAspect="1"/>
        </xdr:cNvPicPr>
      </xdr:nvPicPr>
      <xdr:blipFill>
        <a:blip xmlns:r="http://schemas.openxmlformats.org/officeDocument/2006/relationships" r:embed="rId1172"/>
        <a:stretch>
          <a:fillRect/>
        </a:stretch>
      </xdr:blipFill>
      <xdr:spPr>
        <a:prstGeom prst="rect">
          <a:avLst/>
        </a:prstGeom>
        <a:ln w="9525">
          <a:solidFill>
            <a:srgbClr val="000000"/>
          </a:solidFill>
          <a:prstDash val="solid"/>
        </a:ln>
      </xdr:spPr>
    </xdr:pic>
    <xdr:clientData/>
  </xdr:twoCellAnchor>
  <xdr:twoCellAnchor>
    <xdr:from>
      <xdr:col>3</xdr:col>
      <xdr:colOff>114300</xdr:colOff>
      <xdr:row>2992</xdr:row>
      <xdr:rowOff>28575</xdr:rowOff>
    </xdr:from>
    <xdr:to>
      <xdr:col>3</xdr:col>
      <xdr:colOff>1552575</xdr:colOff>
      <xdr:row>2992</xdr:row>
      <xdr:rowOff>1266825</xdr:rowOff>
    </xdr:to>
    <xdr:pic>
      <xdr:nvPicPr>
        <xdr:cNvPr id="1196" name="Имя " descr="Descr ">
          <a:extLst>
            <a:ext uri="{FF2B5EF4-FFF2-40B4-BE49-F238E27FC236}">
              <a16:creationId xmlns:a16="http://schemas.microsoft.com/office/drawing/2014/main" id="{00000000-0008-0000-0000-0000AC040000}"/>
            </a:ext>
          </a:extLst>
        </xdr:cNvPr>
        <xdr:cNvPicPr>
          <a:picLocks noChangeAspect="1"/>
        </xdr:cNvPicPr>
      </xdr:nvPicPr>
      <xdr:blipFill>
        <a:blip xmlns:r="http://schemas.openxmlformats.org/officeDocument/2006/relationships" r:embed="rId1173"/>
        <a:stretch>
          <a:fillRect/>
        </a:stretch>
      </xdr:blipFill>
      <xdr:spPr>
        <a:prstGeom prst="rect">
          <a:avLst/>
        </a:prstGeom>
        <a:ln w="9525">
          <a:solidFill>
            <a:srgbClr val="000000"/>
          </a:solidFill>
          <a:prstDash val="solid"/>
        </a:ln>
      </xdr:spPr>
    </xdr:pic>
    <xdr:clientData/>
  </xdr:twoCellAnchor>
  <xdr:twoCellAnchor>
    <xdr:from>
      <xdr:col>3</xdr:col>
      <xdr:colOff>114300</xdr:colOff>
      <xdr:row>2993</xdr:row>
      <xdr:rowOff>28575</xdr:rowOff>
    </xdr:from>
    <xdr:to>
      <xdr:col>3</xdr:col>
      <xdr:colOff>1552575</xdr:colOff>
      <xdr:row>2995</xdr:row>
      <xdr:rowOff>419100</xdr:rowOff>
    </xdr:to>
    <xdr:pic>
      <xdr:nvPicPr>
        <xdr:cNvPr id="1197" name="Имя " descr="Descr ">
          <a:extLst>
            <a:ext uri="{FF2B5EF4-FFF2-40B4-BE49-F238E27FC236}">
              <a16:creationId xmlns:a16="http://schemas.microsoft.com/office/drawing/2014/main" id="{00000000-0008-0000-0000-0000AD040000}"/>
            </a:ext>
          </a:extLst>
        </xdr:cNvPr>
        <xdr:cNvPicPr>
          <a:picLocks noChangeAspect="1"/>
        </xdr:cNvPicPr>
      </xdr:nvPicPr>
      <xdr:blipFill>
        <a:blip xmlns:r="http://schemas.openxmlformats.org/officeDocument/2006/relationships" r:embed="rId1174"/>
        <a:stretch>
          <a:fillRect/>
        </a:stretch>
      </xdr:blipFill>
      <xdr:spPr>
        <a:prstGeom prst="rect">
          <a:avLst/>
        </a:prstGeom>
        <a:ln w="9525">
          <a:solidFill>
            <a:srgbClr val="000000"/>
          </a:solidFill>
          <a:prstDash val="solid"/>
        </a:ln>
      </xdr:spPr>
    </xdr:pic>
    <xdr:clientData/>
  </xdr:twoCellAnchor>
  <xdr:twoCellAnchor>
    <xdr:from>
      <xdr:col>3</xdr:col>
      <xdr:colOff>114300</xdr:colOff>
      <xdr:row>2996</xdr:row>
      <xdr:rowOff>28575</xdr:rowOff>
    </xdr:from>
    <xdr:to>
      <xdr:col>3</xdr:col>
      <xdr:colOff>1552575</xdr:colOff>
      <xdr:row>3004</xdr:row>
      <xdr:rowOff>133350</xdr:rowOff>
    </xdr:to>
    <xdr:pic>
      <xdr:nvPicPr>
        <xdr:cNvPr id="1198" name="Имя " descr="Descr ">
          <a:extLst>
            <a:ext uri="{FF2B5EF4-FFF2-40B4-BE49-F238E27FC236}">
              <a16:creationId xmlns:a16="http://schemas.microsoft.com/office/drawing/2014/main" id="{00000000-0008-0000-0000-0000AE040000}"/>
            </a:ext>
          </a:extLst>
        </xdr:cNvPr>
        <xdr:cNvPicPr>
          <a:picLocks noChangeAspect="1"/>
        </xdr:cNvPicPr>
      </xdr:nvPicPr>
      <xdr:blipFill>
        <a:blip xmlns:r="http://schemas.openxmlformats.org/officeDocument/2006/relationships" r:embed="rId1175"/>
        <a:stretch>
          <a:fillRect/>
        </a:stretch>
      </xdr:blipFill>
      <xdr:spPr>
        <a:prstGeom prst="rect">
          <a:avLst/>
        </a:prstGeom>
        <a:ln w="9525">
          <a:solidFill>
            <a:srgbClr val="000000"/>
          </a:solidFill>
          <a:prstDash val="solid"/>
        </a:ln>
      </xdr:spPr>
    </xdr:pic>
    <xdr:clientData/>
  </xdr:twoCellAnchor>
  <xdr:twoCellAnchor>
    <xdr:from>
      <xdr:col>3</xdr:col>
      <xdr:colOff>114300</xdr:colOff>
      <xdr:row>3005</xdr:row>
      <xdr:rowOff>28575</xdr:rowOff>
    </xdr:from>
    <xdr:to>
      <xdr:col>3</xdr:col>
      <xdr:colOff>1552575</xdr:colOff>
      <xdr:row>3009</xdr:row>
      <xdr:rowOff>333375</xdr:rowOff>
    </xdr:to>
    <xdr:pic>
      <xdr:nvPicPr>
        <xdr:cNvPr id="1199" name="Имя " descr="Descr ">
          <a:extLst>
            <a:ext uri="{FF2B5EF4-FFF2-40B4-BE49-F238E27FC236}">
              <a16:creationId xmlns:a16="http://schemas.microsoft.com/office/drawing/2014/main" id="{00000000-0008-0000-0000-0000AF040000}"/>
            </a:ext>
          </a:extLst>
        </xdr:cNvPr>
        <xdr:cNvPicPr>
          <a:picLocks noChangeAspect="1"/>
        </xdr:cNvPicPr>
      </xdr:nvPicPr>
      <xdr:blipFill>
        <a:blip xmlns:r="http://schemas.openxmlformats.org/officeDocument/2006/relationships" r:embed="rId1176"/>
        <a:stretch>
          <a:fillRect/>
        </a:stretch>
      </xdr:blipFill>
      <xdr:spPr>
        <a:prstGeom prst="rect">
          <a:avLst/>
        </a:prstGeom>
        <a:ln w="9525">
          <a:solidFill>
            <a:srgbClr val="000000"/>
          </a:solidFill>
          <a:prstDash val="solid"/>
        </a:ln>
      </xdr:spPr>
    </xdr:pic>
    <xdr:clientData/>
  </xdr:twoCellAnchor>
  <xdr:twoCellAnchor>
    <xdr:from>
      <xdr:col>3</xdr:col>
      <xdr:colOff>114300</xdr:colOff>
      <xdr:row>3010</xdr:row>
      <xdr:rowOff>28575</xdr:rowOff>
    </xdr:from>
    <xdr:to>
      <xdr:col>3</xdr:col>
      <xdr:colOff>1552575</xdr:colOff>
      <xdr:row>3012</xdr:row>
      <xdr:rowOff>419100</xdr:rowOff>
    </xdr:to>
    <xdr:pic>
      <xdr:nvPicPr>
        <xdr:cNvPr id="1200" name="Имя " descr="Descr ">
          <a:extLst>
            <a:ext uri="{FF2B5EF4-FFF2-40B4-BE49-F238E27FC236}">
              <a16:creationId xmlns:a16="http://schemas.microsoft.com/office/drawing/2014/main" id="{00000000-0008-0000-0000-0000B0040000}"/>
            </a:ext>
          </a:extLst>
        </xdr:cNvPr>
        <xdr:cNvPicPr>
          <a:picLocks noChangeAspect="1"/>
        </xdr:cNvPicPr>
      </xdr:nvPicPr>
      <xdr:blipFill>
        <a:blip xmlns:r="http://schemas.openxmlformats.org/officeDocument/2006/relationships" r:embed="rId1177"/>
        <a:stretch>
          <a:fillRect/>
        </a:stretch>
      </xdr:blipFill>
      <xdr:spPr>
        <a:prstGeom prst="rect">
          <a:avLst/>
        </a:prstGeom>
        <a:ln w="9525">
          <a:solidFill>
            <a:srgbClr val="000000"/>
          </a:solidFill>
          <a:prstDash val="solid"/>
        </a:ln>
      </xdr:spPr>
    </xdr:pic>
    <xdr:clientData/>
  </xdr:twoCellAnchor>
  <xdr:twoCellAnchor>
    <xdr:from>
      <xdr:col>3</xdr:col>
      <xdr:colOff>114300</xdr:colOff>
      <xdr:row>3013</xdr:row>
      <xdr:rowOff>28575</xdr:rowOff>
    </xdr:from>
    <xdr:to>
      <xdr:col>3</xdr:col>
      <xdr:colOff>1552575</xdr:colOff>
      <xdr:row>3020</xdr:row>
      <xdr:rowOff>152400</xdr:rowOff>
    </xdr:to>
    <xdr:pic>
      <xdr:nvPicPr>
        <xdr:cNvPr id="1201" name="Имя " descr="Descr ">
          <a:extLst>
            <a:ext uri="{FF2B5EF4-FFF2-40B4-BE49-F238E27FC236}">
              <a16:creationId xmlns:a16="http://schemas.microsoft.com/office/drawing/2014/main" id="{00000000-0008-0000-0000-0000B1040000}"/>
            </a:ext>
          </a:extLst>
        </xdr:cNvPr>
        <xdr:cNvPicPr>
          <a:picLocks noChangeAspect="1"/>
        </xdr:cNvPicPr>
      </xdr:nvPicPr>
      <xdr:blipFill>
        <a:blip xmlns:r="http://schemas.openxmlformats.org/officeDocument/2006/relationships" r:embed="rId1178"/>
        <a:stretch>
          <a:fillRect/>
        </a:stretch>
      </xdr:blipFill>
      <xdr:spPr>
        <a:prstGeom prst="rect">
          <a:avLst/>
        </a:prstGeom>
        <a:ln w="9525">
          <a:solidFill>
            <a:srgbClr val="000000"/>
          </a:solidFill>
          <a:prstDash val="solid"/>
        </a:ln>
      </xdr:spPr>
    </xdr:pic>
    <xdr:clientData/>
  </xdr:twoCellAnchor>
  <xdr:twoCellAnchor>
    <xdr:from>
      <xdr:col>3</xdr:col>
      <xdr:colOff>114300</xdr:colOff>
      <xdr:row>3021</xdr:row>
      <xdr:rowOff>28575</xdr:rowOff>
    </xdr:from>
    <xdr:to>
      <xdr:col>3</xdr:col>
      <xdr:colOff>1552575</xdr:colOff>
      <xdr:row>3021</xdr:row>
      <xdr:rowOff>1266825</xdr:rowOff>
    </xdr:to>
    <xdr:pic>
      <xdr:nvPicPr>
        <xdr:cNvPr id="1202" name="Имя " descr="Descr ">
          <a:extLst>
            <a:ext uri="{FF2B5EF4-FFF2-40B4-BE49-F238E27FC236}">
              <a16:creationId xmlns:a16="http://schemas.microsoft.com/office/drawing/2014/main" id="{00000000-0008-0000-0000-0000B2040000}"/>
            </a:ext>
          </a:extLst>
        </xdr:cNvPr>
        <xdr:cNvPicPr>
          <a:picLocks noChangeAspect="1"/>
        </xdr:cNvPicPr>
      </xdr:nvPicPr>
      <xdr:blipFill>
        <a:blip xmlns:r="http://schemas.openxmlformats.org/officeDocument/2006/relationships" r:embed="rId1179"/>
        <a:stretch>
          <a:fillRect/>
        </a:stretch>
      </xdr:blipFill>
      <xdr:spPr>
        <a:prstGeom prst="rect">
          <a:avLst/>
        </a:prstGeom>
        <a:ln w="9525">
          <a:solidFill>
            <a:srgbClr val="000000"/>
          </a:solidFill>
          <a:prstDash val="solid"/>
        </a:ln>
      </xdr:spPr>
    </xdr:pic>
    <xdr:clientData/>
  </xdr:twoCellAnchor>
  <xdr:twoCellAnchor>
    <xdr:from>
      <xdr:col>3</xdr:col>
      <xdr:colOff>114300</xdr:colOff>
      <xdr:row>3022</xdr:row>
      <xdr:rowOff>28575</xdr:rowOff>
    </xdr:from>
    <xdr:to>
      <xdr:col>3</xdr:col>
      <xdr:colOff>1552575</xdr:colOff>
      <xdr:row>3026</xdr:row>
      <xdr:rowOff>333375</xdr:rowOff>
    </xdr:to>
    <xdr:pic>
      <xdr:nvPicPr>
        <xdr:cNvPr id="1203" name="Имя " descr="Descr ">
          <a:extLst>
            <a:ext uri="{FF2B5EF4-FFF2-40B4-BE49-F238E27FC236}">
              <a16:creationId xmlns:a16="http://schemas.microsoft.com/office/drawing/2014/main" id="{00000000-0008-0000-0000-0000B3040000}"/>
            </a:ext>
          </a:extLst>
        </xdr:cNvPr>
        <xdr:cNvPicPr>
          <a:picLocks noChangeAspect="1"/>
        </xdr:cNvPicPr>
      </xdr:nvPicPr>
      <xdr:blipFill>
        <a:blip xmlns:r="http://schemas.openxmlformats.org/officeDocument/2006/relationships" r:embed="rId1180"/>
        <a:stretch>
          <a:fillRect/>
        </a:stretch>
      </xdr:blipFill>
      <xdr:spPr>
        <a:prstGeom prst="rect">
          <a:avLst/>
        </a:prstGeom>
        <a:ln w="9525">
          <a:solidFill>
            <a:srgbClr val="000000"/>
          </a:solidFill>
          <a:prstDash val="solid"/>
        </a:ln>
      </xdr:spPr>
    </xdr:pic>
    <xdr:clientData/>
  </xdr:twoCellAnchor>
  <xdr:twoCellAnchor>
    <xdr:from>
      <xdr:col>3</xdr:col>
      <xdr:colOff>114300</xdr:colOff>
      <xdr:row>3027</xdr:row>
      <xdr:rowOff>28575</xdr:rowOff>
    </xdr:from>
    <xdr:to>
      <xdr:col>3</xdr:col>
      <xdr:colOff>1552575</xdr:colOff>
      <xdr:row>3030</xdr:row>
      <xdr:rowOff>209550</xdr:rowOff>
    </xdr:to>
    <xdr:pic>
      <xdr:nvPicPr>
        <xdr:cNvPr id="1204" name="Имя " descr="Descr ">
          <a:extLst>
            <a:ext uri="{FF2B5EF4-FFF2-40B4-BE49-F238E27FC236}">
              <a16:creationId xmlns:a16="http://schemas.microsoft.com/office/drawing/2014/main" id="{00000000-0008-0000-0000-0000B4040000}"/>
            </a:ext>
          </a:extLst>
        </xdr:cNvPr>
        <xdr:cNvPicPr>
          <a:picLocks noChangeAspect="1"/>
        </xdr:cNvPicPr>
      </xdr:nvPicPr>
      <xdr:blipFill>
        <a:blip xmlns:r="http://schemas.openxmlformats.org/officeDocument/2006/relationships" r:embed="rId1181"/>
        <a:stretch>
          <a:fillRect/>
        </a:stretch>
      </xdr:blipFill>
      <xdr:spPr>
        <a:prstGeom prst="rect">
          <a:avLst/>
        </a:prstGeom>
        <a:ln w="9525">
          <a:solidFill>
            <a:srgbClr val="000000"/>
          </a:solidFill>
          <a:prstDash val="solid"/>
        </a:ln>
      </xdr:spPr>
    </xdr:pic>
    <xdr:clientData/>
  </xdr:twoCellAnchor>
  <xdr:twoCellAnchor>
    <xdr:from>
      <xdr:col>3</xdr:col>
      <xdr:colOff>114300</xdr:colOff>
      <xdr:row>3031</xdr:row>
      <xdr:rowOff>28575</xdr:rowOff>
    </xdr:from>
    <xdr:to>
      <xdr:col>3</xdr:col>
      <xdr:colOff>1552575</xdr:colOff>
      <xdr:row>3034</xdr:row>
      <xdr:rowOff>209550</xdr:rowOff>
    </xdr:to>
    <xdr:pic>
      <xdr:nvPicPr>
        <xdr:cNvPr id="1205" name="Имя " descr="Descr ">
          <a:extLst>
            <a:ext uri="{FF2B5EF4-FFF2-40B4-BE49-F238E27FC236}">
              <a16:creationId xmlns:a16="http://schemas.microsoft.com/office/drawing/2014/main" id="{00000000-0008-0000-0000-0000B5040000}"/>
            </a:ext>
          </a:extLst>
        </xdr:cNvPr>
        <xdr:cNvPicPr>
          <a:picLocks noChangeAspect="1"/>
        </xdr:cNvPicPr>
      </xdr:nvPicPr>
      <xdr:blipFill>
        <a:blip xmlns:r="http://schemas.openxmlformats.org/officeDocument/2006/relationships" r:embed="rId1182"/>
        <a:stretch>
          <a:fillRect/>
        </a:stretch>
      </xdr:blipFill>
      <xdr:spPr>
        <a:prstGeom prst="rect">
          <a:avLst/>
        </a:prstGeom>
        <a:ln w="9525">
          <a:solidFill>
            <a:srgbClr val="000000"/>
          </a:solidFill>
          <a:prstDash val="solid"/>
        </a:ln>
      </xdr:spPr>
    </xdr:pic>
    <xdr:clientData/>
  </xdr:twoCellAnchor>
  <xdr:twoCellAnchor>
    <xdr:from>
      <xdr:col>3</xdr:col>
      <xdr:colOff>114300</xdr:colOff>
      <xdr:row>3035</xdr:row>
      <xdr:rowOff>28575</xdr:rowOff>
    </xdr:from>
    <xdr:to>
      <xdr:col>3</xdr:col>
      <xdr:colOff>1552575</xdr:colOff>
      <xdr:row>3043</xdr:row>
      <xdr:rowOff>133350</xdr:rowOff>
    </xdr:to>
    <xdr:pic>
      <xdr:nvPicPr>
        <xdr:cNvPr id="1206" name="Имя " descr="Descr ">
          <a:extLst>
            <a:ext uri="{FF2B5EF4-FFF2-40B4-BE49-F238E27FC236}">
              <a16:creationId xmlns:a16="http://schemas.microsoft.com/office/drawing/2014/main" id="{00000000-0008-0000-0000-0000B6040000}"/>
            </a:ext>
          </a:extLst>
        </xdr:cNvPr>
        <xdr:cNvPicPr>
          <a:picLocks noChangeAspect="1"/>
        </xdr:cNvPicPr>
      </xdr:nvPicPr>
      <xdr:blipFill>
        <a:blip xmlns:r="http://schemas.openxmlformats.org/officeDocument/2006/relationships" r:embed="rId1183"/>
        <a:stretch>
          <a:fillRect/>
        </a:stretch>
      </xdr:blipFill>
      <xdr:spPr>
        <a:prstGeom prst="rect">
          <a:avLst/>
        </a:prstGeom>
        <a:ln w="9525">
          <a:solidFill>
            <a:srgbClr val="000000"/>
          </a:solidFill>
          <a:prstDash val="solid"/>
        </a:ln>
      </xdr:spPr>
    </xdr:pic>
    <xdr:clientData/>
  </xdr:twoCellAnchor>
  <xdr:twoCellAnchor>
    <xdr:from>
      <xdr:col>3</xdr:col>
      <xdr:colOff>114300</xdr:colOff>
      <xdr:row>3045</xdr:row>
      <xdr:rowOff>28575</xdr:rowOff>
    </xdr:from>
    <xdr:to>
      <xdr:col>3</xdr:col>
      <xdr:colOff>1552575</xdr:colOff>
      <xdr:row>3052</xdr:row>
      <xdr:rowOff>152400</xdr:rowOff>
    </xdr:to>
    <xdr:pic>
      <xdr:nvPicPr>
        <xdr:cNvPr id="1207" name="Имя " descr="Descr ">
          <a:extLst>
            <a:ext uri="{FF2B5EF4-FFF2-40B4-BE49-F238E27FC236}">
              <a16:creationId xmlns:a16="http://schemas.microsoft.com/office/drawing/2014/main" id="{00000000-0008-0000-0000-0000B7040000}"/>
            </a:ext>
          </a:extLst>
        </xdr:cNvPr>
        <xdr:cNvPicPr>
          <a:picLocks noChangeAspect="1"/>
        </xdr:cNvPicPr>
      </xdr:nvPicPr>
      <xdr:blipFill>
        <a:blip xmlns:r="http://schemas.openxmlformats.org/officeDocument/2006/relationships" r:embed="rId1184"/>
        <a:stretch>
          <a:fillRect/>
        </a:stretch>
      </xdr:blipFill>
      <xdr:spPr>
        <a:prstGeom prst="rect">
          <a:avLst/>
        </a:prstGeom>
        <a:ln w="9525">
          <a:solidFill>
            <a:srgbClr val="000000"/>
          </a:solidFill>
          <a:prstDash val="solid"/>
        </a:ln>
      </xdr:spPr>
    </xdr:pic>
    <xdr:clientData/>
  </xdr:twoCellAnchor>
  <xdr:twoCellAnchor>
    <xdr:from>
      <xdr:col>3</xdr:col>
      <xdr:colOff>114300</xdr:colOff>
      <xdr:row>3053</xdr:row>
      <xdr:rowOff>28575</xdr:rowOff>
    </xdr:from>
    <xdr:to>
      <xdr:col>3</xdr:col>
      <xdr:colOff>1552575</xdr:colOff>
      <xdr:row>3056</xdr:row>
      <xdr:rowOff>209550</xdr:rowOff>
    </xdr:to>
    <xdr:pic>
      <xdr:nvPicPr>
        <xdr:cNvPr id="1208" name="Имя " descr="Descr ">
          <a:extLst>
            <a:ext uri="{FF2B5EF4-FFF2-40B4-BE49-F238E27FC236}">
              <a16:creationId xmlns:a16="http://schemas.microsoft.com/office/drawing/2014/main" id="{00000000-0008-0000-0000-0000B8040000}"/>
            </a:ext>
          </a:extLst>
        </xdr:cNvPr>
        <xdr:cNvPicPr>
          <a:picLocks noChangeAspect="1"/>
        </xdr:cNvPicPr>
      </xdr:nvPicPr>
      <xdr:blipFill>
        <a:blip xmlns:r="http://schemas.openxmlformats.org/officeDocument/2006/relationships" r:embed="rId1185"/>
        <a:stretch>
          <a:fillRect/>
        </a:stretch>
      </xdr:blipFill>
      <xdr:spPr>
        <a:prstGeom prst="rect">
          <a:avLst/>
        </a:prstGeom>
        <a:ln w="9525">
          <a:solidFill>
            <a:srgbClr val="000000"/>
          </a:solidFill>
          <a:prstDash val="solid"/>
        </a:ln>
      </xdr:spPr>
    </xdr:pic>
    <xdr:clientData/>
  </xdr:twoCellAnchor>
  <xdr:twoCellAnchor>
    <xdr:from>
      <xdr:col>3</xdr:col>
      <xdr:colOff>114300</xdr:colOff>
      <xdr:row>3057</xdr:row>
      <xdr:rowOff>28575</xdr:rowOff>
    </xdr:from>
    <xdr:to>
      <xdr:col>3</xdr:col>
      <xdr:colOff>1552575</xdr:colOff>
      <xdr:row>3063</xdr:row>
      <xdr:rowOff>171450</xdr:rowOff>
    </xdr:to>
    <xdr:pic>
      <xdr:nvPicPr>
        <xdr:cNvPr id="1209" name="Имя " descr="Descr ">
          <a:extLst>
            <a:ext uri="{FF2B5EF4-FFF2-40B4-BE49-F238E27FC236}">
              <a16:creationId xmlns:a16="http://schemas.microsoft.com/office/drawing/2014/main" id="{00000000-0008-0000-0000-0000B9040000}"/>
            </a:ext>
          </a:extLst>
        </xdr:cNvPr>
        <xdr:cNvPicPr>
          <a:picLocks noChangeAspect="1"/>
        </xdr:cNvPicPr>
      </xdr:nvPicPr>
      <xdr:blipFill>
        <a:blip xmlns:r="http://schemas.openxmlformats.org/officeDocument/2006/relationships" r:embed="rId1186"/>
        <a:stretch>
          <a:fillRect/>
        </a:stretch>
      </xdr:blipFill>
      <xdr:spPr>
        <a:prstGeom prst="rect">
          <a:avLst/>
        </a:prstGeom>
        <a:ln w="9525">
          <a:solidFill>
            <a:srgbClr val="000000"/>
          </a:solidFill>
          <a:prstDash val="solid"/>
        </a:ln>
      </xdr:spPr>
    </xdr:pic>
    <xdr:clientData/>
  </xdr:twoCellAnchor>
  <xdr:twoCellAnchor>
    <xdr:from>
      <xdr:col>3</xdr:col>
      <xdr:colOff>114300</xdr:colOff>
      <xdr:row>3064</xdr:row>
      <xdr:rowOff>28575</xdr:rowOff>
    </xdr:from>
    <xdr:to>
      <xdr:col>3</xdr:col>
      <xdr:colOff>1552575</xdr:colOff>
      <xdr:row>3068</xdr:row>
      <xdr:rowOff>333375</xdr:rowOff>
    </xdr:to>
    <xdr:pic>
      <xdr:nvPicPr>
        <xdr:cNvPr id="1210" name="Имя " descr="Descr ">
          <a:extLst>
            <a:ext uri="{FF2B5EF4-FFF2-40B4-BE49-F238E27FC236}">
              <a16:creationId xmlns:a16="http://schemas.microsoft.com/office/drawing/2014/main" id="{00000000-0008-0000-0000-0000BA040000}"/>
            </a:ext>
          </a:extLst>
        </xdr:cNvPr>
        <xdr:cNvPicPr>
          <a:picLocks noChangeAspect="1"/>
        </xdr:cNvPicPr>
      </xdr:nvPicPr>
      <xdr:blipFill>
        <a:blip xmlns:r="http://schemas.openxmlformats.org/officeDocument/2006/relationships" r:embed="rId1187"/>
        <a:stretch>
          <a:fillRect/>
        </a:stretch>
      </xdr:blipFill>
      <xdr:spPr>
        <a:prstGeom prst="rect">
          <a:avLst/>
        </a:prstGeom>
        <a:ln w="9525">
          <a:solidFill>
            <a:srgbClr val="000000"/>
          </a:solidFill>
          <a:prstDash val="solid"/>
        </a:ln>
      </xdr:spPr>
    </xdr:pic>
    <xdr:clientData/>
  </xdr:twoCellAnchor>
  <xdr:twoCellAnchor>
    <xdr:from>
      <xdr:col>3</xdr:col>
      <xdr:colOff>114300</xdr:colOff>
      <xdr:row>3069</xdr:row>
      <xdr:rowOff>28575</xdr:rowOff>
    </xdr:from>
    <xdr:to>
      <xdr:col>3</xdr:col>
      <xdr:colOff>1552575</xdr:colOff>
      <xdr:row>3074</xdr:row>
      <xdr:rowOff>209550</xdr:rowOff>
    </xdr:to>
    <xdr:pic>
      <xdr:nvPicPr>
        <xdr:cNvPr id="1211" name="Имя " descr="Descr ">
          <a:extLst>
            <a:ext uri="{FF2B5EF4-FFF2-40B4-BE49-F238E27FC236}">
              <a16:creationId xmlns:a16="http://schemas.microsoft.com/office/drawing/2014/main" id="{00000000-0008-0000-0000-0000BB040000}"/>
            </a:ext>
          </a:extLst>
        </xdr:cNvPr>
        <xdr:cNvPicPr>
          <a:picLocks noChangeAspect="1"/>
        </xdr:cNvPicPr>
      </xdr:nvPicPr>
      <xdr:blipFill>
        <a:blip xmlns:r="http://schemas.openxmlformats.org/officeDocument/2006/relationships" r:embed="rId1188"/>
        <a:stretch>
          <a:fillRect/>
        </a:stretch>
      </xdr:blipFill>
      <xdr:spPr>
        <a:prstGeom prst="rect">
          <a:avLst/>
        </a:prstGeom>
        <a:ln w="9525">
          <a:solidFill>
            <a:srgbClr val="000000"/>
          </a:solidFill>
          <a:prstDash val="solid"/>
        </a:ln>
      </xdr:spPr>
    </xdr:pic>
    <xdr:clientData/>
  </xdr:twoCellAnchor>
  <xdr:twoCellAnchor>
    <xdr:from>
      <xdr:col>3</xdr:col>
      <xdr:colOff>114300</xdr:colOff>
      <xdr:row>3075</xdr:row>
      <xdr:rowOff>28575</xdr:rowOff>
    </xdr:from>
    <xdr:to>
      <xdr:col>3</xdr:col>
      <xdr:colOff>1552575</xdr:colOff>
      <xdr:row>3075</xdr:row>
      <xdr:rowOff>1266825</xdr:rowOff>
    </xdr:to>
    <xdr:pic>
      <xdr:nvPicPr>
        <xdr:cNvPr id="1212" name="Имя " descr="Descr ">
          <a:extLst>
            <a:ext uri="{FF2B5EF4-FFF2-40B4-BE49-F238E27FC236}">
              <a16:creationId xmlns:a16="http://schemas.microsoft.com/office/drawing/2014/main" id="{00000000-0008-0000-0000-0000BC040000}"/>
            </a:ext>
          </a:extLst>
        </xdr:cNvPr>
        <xdr:cNvPicPr>
          <a:picLocks noChangeAspect="1"/>
        </xdr:cNvPicPr>
      </xdr:nvPicPr>
      <xdr:blipFill>
        <a:blip xmlns:r="http://schemas.openxmlformats.org/officeDocument/2006/relationships" r:embed="rId1189"/>
        <a:stretch>
          <a:fillRect/>
        </a:stretch>
      </xdr:blipFill>
      <xdr:spPr>
        <a:prstGeom prst="rect">
          <a:avLst/>
        </a:prstGeom>
        <a:ln w="9525">
          <a:solidFill>
            <a:srgbClr val="000000"/>
          </a:solidFill>
          <a:prstDash val="solid"/>
        </a:ln>
      </xdr:spPr>
    </xdr:pic>
    <xdr:clientData/>
  </xdr:twoCellAnchor>
  <xdr:twoCellAnchor>
    <xdr:from>
      <xdr:col>3</xdr:col>
      <xdr:colOff>114300</xdr:colOff>
      <xdr:row>3076</xdr:row>
      <xdr:rowOff>28575</xdr:rowOff>
    </xdr:from>
    <xdr:to>
      <xdr:col>3</xdr:col>
      <xdr:colOff>1552575</xdr:colOff>
      <xdr:row>3076</xdr:row>
      <xdr:rowOff>1266825</xdr:rowOff>
    </xdr:to>
    <xdr:pic>
      <xdr:nvPicPr>
        <xdr:cNvPr id="1213" name="Имя " descr="Descr ">
          <a:extLst>
            <a:ext uri="{FF2B5EF4-FFF2-40B4-BE49-F238E27FC236}">
              <a16:creationId xmlns:a16="http://schemas.microsoft.com/office/drawing/2014/main" id="{00000000-0008-0000-0000-0000BD040000}"/>
            </a:ext>
          </a:extLst>
        </xdr:cNvPr>
        <xdr:cNvPicPr>
          <a:picLocks noChangeAspect="1"/>
        </xdr:cNvPicPr>
      </xdr:nvPicPr>
      <xdr:blipFill>
        <a:blip xmlns:r="http://schemas.openxmlformats.org/officeDocument/2006/relationships" r:embed="rId1190"/>
        <a:stretch>
          <a:fillRect/>
        </a:stretch>
      </xdr:blipFill>
      <xdr:spPr>
        <a:prstGeom prst="rect">
          <a:avLst/>
        </a:prstGeom>
        <a:ln w="9525">
          <a:solidFill>
            <a:srgbClr val="000000"/>
          </a:solidFill>
          <a:prstDash val="solid"/>
        </a:ln>
      </xdr:spPr>
    </xdr:pic>
    <xdr:clientData/>
  </xdr:twoCellAnchor>
  <xdr:twoCellAnchor>
    <xdr:from>
      <xdr:col>3</xdr:col>
      <xdr:colOff>114300</xdr:colOff>
      <xdr:row>3077</xdr:row>
      <xdr:rowOff>28575</xdr:rowOff>
    </xdr:from>
    <xdr:to>
      <xdr:col>3</xdr:col>
      <xdr:colOff>1552575</xdr:colOff>
      <xdr:row>3077</xdr:row>
      <xdr:rowOff>1266825</xdr:rowOff>
    </xdr:to>
    <xdr:pic>
      <xdr:nvPicPr>
        <xdr:cNvPr id="1214" name="Имя " descr="Descr ">
          <a:extLst>
            <a:ext uri="{FF2B5EF4-FFF2-40B4-BE49-F238E27FC236}">
              <a16:creationId xmlns:a16="http://schemas.microsoft.com/office/drawing/2014/main" id="{00000000-0008-0000-0000-0000BE040000}"/>
            </a:ext>
          </a:extLst>
        </xdr:cNvPr>
        <xdr:cNvPicPr>
          <a:picLocks noChangeAspect="1"/>
        </xdr:cNvPicPr>
      </xdr:nvPicPr>
      <xdr:blipFill>
        <a:blip xmlns:r="http://schemas.openxmlformats.org/officeDocument/2006/relationships" r:embed="rId1191"/>
        <a:stretch>
          <a:fillRect/>
        </a:stretch>
      </xdr:blipFill>
      <xdr:spPr>
        <a:prstGeom prst="rect">
          <a:avLst/>
        </a:prstGeom>
        <a:ln w="9525">
          <a:solidFill>
            <a:srgbClr val="000000"/>
          </a:solidFill>
          <a:prstDash val="solid"/>
        </a:ln>
      </xdr:spPr>
    </xdr:pic>
    <xdr:clientData/>
  </xdr:twoCellAnchor>
  <xdr:twoCellAnchor>
    <xdr:from>
      <xdr:col>3</xdr:col>
      <xdr:colOff>114300</xdr:colOff>
      <xdr:row>3078</xdr:row>
      <xdr:rowOff>28575</xdr:rowOff>
    </xdr:from>
    <xdr:to>
      <xdr:col>3</xdr:col>
      <xdr:colOff>1552575</xdr:colOff>
      <xdr:row>3081</xdr:row>
      <xdr:rowOff>209550</xdr:rowOff>
    </xdr:to>
    <xdr:pic>
      <xdr:nvPicPr>
        <xdr:cNvPr id="1215" name="Имя " descr="Descr ">
          <a:extLst>
            <a:ext uri="{FF2B5EF4-FFF2-40B4-BE49-F238E27FC236}">
              <a16:creationId xmlns:a16="http://schemas.microsoft.com/office/drawing/2014/main" id="{00000000-0008-0000-0000-0000BF040000}"/>
            </a:ext>
          </a:extLst>
        </xdr:cNvPr>
        <xdr:cNvPicPr>
          <a:picLocks noChangeAspect="1"/>
        </xdr:cNvPicPr>
      </xdr:nvPicPr>
      <xdr:blipFill>
        <a:blip xmlns:r="http://schemas.openxmlformats.org/officeDocument/2006/relationships" r:embed="rId1192"/>
        <a:stretch>
          <a:fillRect/>
        </a:stretch>
      </xdr:blipFill>
      <xdr:spPr>
        <a:prstGeom prst="rect">
          <a:avLst/>
        </a:prstGeom>
        <a:ln w="9525">
          <a:solidFill>
            <a:srgbClr val="000000"/>
          </a:solidFill>
          <a:prstDash val="solid"/>
        </a:ln>
      </xdr:spPr>
    </xdr:pic>
    <xdr:clientData/>
  </xdr:twoCellAnchor>
  <xdr:twoCellAnchor>
    <xdr:from>
      <xdr:col>3</xdr:col>
      <xdr:colOff>114300</xdr:colOff>
      <xdr:row>3082</xdr:row>
      <xdr:rowOff>28575</xdr:rowOff>
    </xdr:from>
    <xdr:to>
      <xdr:col>3</xdr:col>
      <xdr:colOff>1552575</xdr:colOff>
      <xdr:row>3086</xdr:row>
      <xdr:rowOff>333375</xdr:rowOff>
    </xdr:to>
    <xdr:pic>
      <xdr:nvPicPr>
        <xdr:cNvPr id="1216" name="Имя " descr="Descr ">
          <a:extLst>
            <a:ext uri="{FF2B5EF4-FFF2-40B4-BE49-F238E27FC236}">
              <a16:creationId xmlns:a16="http://schemas.microsoft.com/office/drawing/2014/main" id="{00000000-0008-0000-0000-0000C0040000}"/>
            </a:ext>
          </a:extLst>
        </xdr:cNvPr>
        <xdr:cNvPicPr>
          <a:picLocks noChangeAspect="1"/>
        </xdr:cNvPicPr>
      </xdr:nvPicPr>
      <xdr:blipFill>
        <a:blip xmlns:r="http://schemas.openxmlformats.org/officeDocument/2006/relationships" r:embed="rId1193"/>
        <a:stretch>
          <a:fillRect/>
        </a:stretch>
      </xdr:blipFill>
      <xdr:spPr>
        <a:prstGeom prst="rect">
          <a:avLst/>
        </a:prstGeom>
        <a:ln w="9525">
          <a:solidFill>
            <a:srgbClr val="000000"/>
          </a:solidFill>
          <a:prstDash val="solid"/>
        </a:ln>
      </xdr:spPr>
    </xdr:pic>
    <xdr:clientData/>
  </xdr:twoCellAnchor>
  <xdr:twoCellAnchor>
    <xdr:from>
      <xdr:col>3</xdr:col>
      <xdr:colOff>114300</xdr:colOff>
      <xdr:row>3087</xdr:row>
      <xdr:rowOff>28575</xdr:rowOff>
    </xdr:from>
    <xdr:to>
      <xdr:col>3</xdr:col>
      <xdr:colOff>1552575</xdr:colOff>
      <xdr:row>3091</xdr:row>
      <xdr:rowOff>333375</xdr:rowOff>
    </xdr:to>
    <xdr:pic>
      <xdr:nvPicPr>
        <xdr:cNvPr id="1217" name="Имя " descr="Descr ">
          <a:extLst>
            <a:ext uri="{FF2B5EF4-FFF2-40B4-BE49-F238E27FC236}">
              <a16:creationId xmlns:a16="http://schemas.microsoft.com/office/drawing/2014/main" id="{00000000-0008-0000-0000-0000C1040000}"/>
            </a:ext>
          </a:extLst>
        </xdr:cNvPr>
        <xdr:cNvPicPr>
          <a:picLocks noChangeAspect="1"/>
        </xdr:cNvPicPr>
      </xdr:nvPicPr>
      <xdr:blipFill>
        <a:blip xmlns:r="http://schemas.openxmlformats.org/officeDocument/2006/relationships" r:embed="rId1194"/>
        <a:stretch>
          <a:fillRect/>
        </a:stretch>
      </xdr:blipFill>
      <xdr:spPr>
        <a:prstGeom prst="rect">
          <a:avLst/>
        </a:prstGeom>
        <a:ln w="9525">
          <a:solidFill>
            <a:srgbClr val="000000"/>
          </a:solidFill>
          <a:prstDash val="solid"/>
        </a:ln>
      </xdr:spPr>
    </xdr:pic>
    <xdr:clientData/>
  </xdr:twoCellAnchor>
  <xdr:twoCellAnchor>
    <xdr:from>
      <xdr:col>3</xdr:col>
      <xdr:colOff>114300</xdr:colOff>
      <xdr:row>3092</xdr:row>
      <xdr:rowOff>28575</xdr:rowOff>
    </xdr:from>
    <xdr:to>
      <xdr:col>3</xdr:col>
      <xdr:colOff>1552575</xdr:colOff>
      <xdr:row>3096</xdr:row>
      <xdr:rowOff>333375</xdr:rowOff>
    </xdr:to>
    <xdr:pic>
      <xdr:nvPicPr>
        <xdr:cNvPr id="1218" name="Имя " descr="Descr ">
          <a:extLst>
            <a:ext uri="{FF2B5EF4-FFF2-40B4-BE49-F238E27FC236}">
              <a16:creationId xmlns:a16="http://schemas.microsoft.com/office/drawing/2014/main" id="{00000000-0008-0000-0000-0000C2040000}"/>
            </a:ext>
          </a:extLst>
        </xdr:cNvPr>
        <xdr:cNvPicPr>
          <a:picLocks noChangeAspect="1"/>
        </xdr:cNvPicPr>
      </xdr:nvPicPr>
      <xdr:blipFill>
        <a:blip xmlns:r="http://schemas.openxmlformats.org/officeDocument/2006/relationships" r:embed="rId1195"/>
        <a:stretch>
          <a:fillRect/>
        </a:stretch>
      </xdr:blipFill>
      <xdr:spPr>
        <a:prstGeom prst="rect">
          <a:avLst/>
        </a:prstGeom>
        <a:ln w="9525">
          <a:solidFill>
            <a:srgbClr val="000000"/>
          </a:solidFill>
          <a:prstDash val="solid"/>
        </a:ln>
      </xdr:spPr>
    </xdr:pic>
    <xdr:clientData/>
  </xdr:twoCellAnchor>
  <xdr:twoCellAnchor>
    <xdr:from>
      <xdr:col>3</xdr:col>
      <xdr:colOff>114300</xdr:colOff>
      <xdr:row>3097</xdr:row>
      <xdr:rowOff>38100</xdr:rowOff>
    </xdr:from>
    <xdr:to>
      <xdr:col>3</xdr:col>
      <xdr:colOff>1552575</xdr:colOff>
      <xdr:row>3098</xdr:row>
      <xdr:rowOff>638175</xdr:rowOff>
    </xdr:to>
    <xdr:pic>
      <xdr:nvPicPr>
        <xdr:cNvPr id="1219" name="Имя " descr="Descr ">
          <a:extLst>
            <a:ext uri="{FF2B5EF4-FFF2-40B4-BE49-F238E27FC236}">
              <a16:creationId xmlns:a16="http://schemas.microsoft.com/office/drawing/2014/main" id="{00000000-0008-0000-0000-0000C3040000}"/>
            </a:ext>
          </a:extLst>
        </xdr:cNvPr>
        <xdr:cNvPicPr>
          <a:picLocks noChangeAspect="1"/>
        </xdr:cNvPicPr>
      </xdr:nvPicPr>
      <xdr:blipFill>
        <a:blip xmlns:r="http://schemas.openxmlformats.org/officeDocument/2006/relationships" r:embed="rId1196"/>
        <a:stretch>
          <a:fillRect/>
        </a:stretch>
      </xdr:blipFill>
      <xdr:spPr>
        <a:prstGeom prst="rect">
          <a:avLst/>
        </a:prstGeom>
        <a:ln w="9525">
          <a:solidFill>
            <a:srgbClr val="000000"/>
          </a:solidFill>
          <a:prstDash val="solid"/>
        </a:ln>
      </xdr:spPr>
    </xdr:pic>
    <xdr:clientData/>
  </xdr:twoCellAnchor>
  <xdr:twoCellAnchor>
    <xdr:from>
      <xdr:col>3</xdr:col>
      <xdr:colOff>114300</xdr:colOff>
      <xdr:row>3099</xdr:row>
      <xdr:rowOff>28575</xdr:rowOff>
    </xdr:from>
    <xdr:to>
      <xdr:col>3</xdr:col>
      <xdr:colOff>1552575</xdr:colOff>
      <xdr:row>3103</xdr:row>
      <xdr:rowOff>333375</xdr:rowOff>
    </xdr:to>
    <xdr:pic>
      <xdr:nvPicPr>
        <xdr:cNvPr id="1220" name="Имя " descr="Descr ">
          <a:extLst>
            <a:ext uri="{FF2B5EF4-FFF2-40B4-BE49-F238E27FC236}">
              <a16:creationId xmlns:a16="http://schemas.microsoft.com/office/drawing/2014/main" id="{00000000-0008-0000-0000-0000C4040000}"/>
            </a:ext>
          </a:extLst>
        </xdr:cNvPr>
        <xdr:cNvPicPr>
          <a:picLocks noChangeAspect="1"/>
        </xdr:cNvPicPr>
      </xdr:nvPicPr>
      <xdr:blipFill>
        <a:blip xmlns:r="http://schemas.openxmlformats.org/officeDocument/2006/relationships" r:embed="rId1197"/>
        <a:stretch>
          <a:fillRect/>
        </a:stretch>
      </xdr:blipFill>
      <xdr:spPr>
        <a:prstGeom prst="rect">
          <a:avLst/>
        </a:prstGeom>
        <a:ln w="9525">
          <a:solidFill>
            <a:srgbClr val="000000"/>
          </a:solidFill>
          <a:prstDash val="solid"/>
        </a:ln>
      </xdr:spPr>
    </xdr:pic>
    <xdr:clientData/>
  </xdr:twoCellAnchor>
  <xdr:twoCellAnchor>
    <xdr:from>
      <xdr:col>3</xdr:col>
      <xdr:colOff>114300</xdr:colOff>
      <xdr:row>3104</xdr:row>
      <xdr:rowOff>28575</xdr:rowOff>
    </xdr:from>
    <xdr:to>
      <xdr:col>3</xdr:col>
      <xdr:colOff>1552575</xdr:colOff>
      <xdr:row>3108</xdr:row>
      <xdr:rowOff>333375</xdr:rowOff>
    </xdr:to>
    <xdr:pic>
      <xdr:nvPicPr>
        <xdr:cNvPr id="1221" name="Имя " descr="Descr ">
          <a:extLst>
            <a:ext uri="{FF2B5EF4-FFF2-40B4-BE49-F238E27FC236}">
              <a16:creationId xmlns:a16="http://schemas.microsoft.com/office/drawing/2014/main" id="{00000000-0008-0000-0000-0000C5040000}"/>
            </a:ext>
          </a:extLst>
        </xdr:cNvPr>
        <xdr:cNvPicPr>
          <a:picLocks noChangeAspect="1"/>
        </xdr:cNvPicPr>
      </xdr:nvPicPr>
      <xdr:blipFill>
        <a:blip xmlns:r="http://schemas.openxmlformats.org/officeDocument/2006/relationships" r:embed="rId1198"/>
        <a:stretch>
          <a:fillRect/>
        </a:stretch>
      </xdr:blipFill>
      <xdr:spPr>
        <a:prstGeom prst="rect">
          <a:avLst/>
        </a:prstGeom>
        <a:ln w="9525">
          <a:solidFill>
            <a:srgbClr val="000000"/>
          </a:solidFill>
          <a:prstDash val="solid"/>
        </a:ln>
      </xdr:spPr>
    </xdr:pic>
    <xdr:clientData/>
  </xdr:twoCellAnchor>
  <xdr:twoCellAnchor>
    <xdr:from>
      <xdr:col>3</xdr:col>
      <xdr:colOff>114300</xdr:colOff>
      <xdr:row>3109</xdr:row>
      <xdr:rowOff>28575</xdr:rowOff>
    </xdr:from>
    <xdr:to>
      <xdr:col>3</xdr:col>
      <xdr:colOff>1552575</xdr:colOff>
      <xdr:row>3112</xdr:row>
      <xdr:rowOff>209550</xdr:rowOff>
    </xdr:to>
    <xdr:pic>
      <xdr:nvPicPr>
        <xdr:cNvPr id="1222" name="Имя " descr="Descr ">
          <a:extLst>
            <a:ext uri="{FF2B5EF4-FFF2-40B4-BE49-F238E27FC236}">
              <a16:creationId xmlns:a16="http://schemas.microsoft.com/office/drawing/2014/main" id="{00000000-0008-0000-0000-0000C6040000}"/>
            </a:ext>
          </a:extLst>
        </xdr:cNvPr>
        <xdr:cNvPicPr>
          <a:picLocks noChangeAspect="1"/>
        </xdr:cNvPicPr>
      </xdr:nvPicPr>
      <xdr:blipFill>
        <a:blip xmlns:r="http://schemas.openxmlformats.org/officeDocument/2006/relationships" r:embed="rId1199"/>
        <a:stretch>
          <a:fillRect/>
        </a:stretch>
      </xdr:blipFill>
      <xdr:spPr>
        <a:prstGeom prst="rect">
          <a:avLst/>
        </a:prstGeom>
        <a:ln w="9525">
          <a:solidFill>
            <a:srgbClr val="000000"/>
          </a:solidFill>
          <a:prstDash val="solid"/>
        </a:ln>
      </xdr:spPr>
    </xdr:pic>
    <xdr:clientData/>
  </xdr:twoCellAnchor>
  <xdr:twoCellAnchor>
    <xdr:from>
      <xdr:col>3</xdr:col>
      <xdr:colOff>114300</xdr:colOff>
      <xdr:row>3113</xdr:row>
      <xdr:rowOff>28575</xdr:rowOff>
    </xdr:from>
    <xdr:to>
      <xdr:col>3</xdr:col>
      <xdr:colOff>1552575</xdr:colOff>
      <xdr:row>3116</xdr:row>
      <xdr:rowOff>209550</xdr:rowOff>
    </xdr:to>
    <xdr:pic>
      <xdr:nvPicPr>
        <xdr:cNvPr id="1223" name="Имя " descr="Descr ">
          <a:extLst>
            <a:ext uri="{FF2B5EF4-FFF2-40B4-BE49-F238E27FC236}">
              <a16:creationId xmlns:a16="http://schemas.microsoft.com/office/drawing/2014/main" id="{00000000-0008-0000-0000-0000C7040000}"/>
            </a:ext>
          </a:extLst>
        </xdr:cNvPr>
        <xdr:cNvPicPr>
          <a:picLocks noChangeAspect="1"/>
        </xdr:cNvPicPr>
      </xdr:nvPicPr>
      <xdr:blipFill>
        <a:blip xmlns:r="http://schemas.openxmlformats.org/officeDocument/2006/relationships" r:embed="rId1200"/>
        <a:stretch>
          <a:fillRect/>
        </a:stretch>
      </xdr:blipFill>
      <xdr:spPr>
        <a:prstGeom prst="rect">
          <a:avLst/>
        </a:prstGeom>
        <a:ln w="9525">
          <a:solidFill>
            <a:srgbClr val="000000"/>
          </a:solidFill>
          <a:prstDash val="solid"/>
        </a:ln>
      </xdr:spPr>
    </xdr:pic>
    <xdr:clientData/>
  </xdr:twoCellAnchor>
  <xdr:twoCellAnchor>
    <xdr:from>
      <xdr:col>3</xdr:col>
      <xdr:colOff>114300</xdr:colOff>
      <xdr:row>3117</xdr:row>
      <xdr:rowOff>28575</xdr:rowOff>
    </xdr:from>
    <xdr:to>
      <xdr:col>3</xdr:col>
      <xdr:colOff>1552575</xdr:colOff>
      <xdr:row>3121</xdr:row>
      <xdr:rowOff>333375</xdr:rowOff>
    </xdr:to>
    <xdr:pic>
      <xdr:nvPicPr>
        <xdr:cNvPr id="1224" name="Имя " descr="Descr ">
          <a:extLst>
            <a:ext uri="{FF2B5EF4-FFF2-40B4-BE49-F238E27FC236}">
              <a16:creationId xmlns:a16="http://schemas.microsoft.com/office/drawing/2014/main" id="{00000000-0008-0000-0000-0000C8040000}"/>
            </a:ext>
          </a:extLst>
        </xdr:cNvPr>
        <xdr:cNvPicPr>
          <a:picLocks noChangeAspect="1"/>
        </xdr:cNvPicPr>
      </xdr:nvPicPr>
      <xdr:blipFill>
        <a:blip xmlns:r="http://schemas.openxmlformats.org/officeDocument/2006/relationships" r:embed="rId1201"/>
        <a:stretch>
          <a:fillRect/>
        </a:stretch>
      </xdr:blipFill>
      <xdr:spPr>
        <a:prstGeom prst="rect">
          <a:avLst/>
        </a:prstGeom>
        <a:ln w="9525">
          <a:solidFill>
            <a:srgbClr val="000000"/>
          </a:solidFill>
          <a:prstDash val="solid"/>
        </a:ln>
      </xdr:spPr>
    </xdr:pic>
    <xdr:clientData/>
  </xdr:twoCellAnchor>
  <xdr:twoCellAnchor>
    <xdr:from>
      <xdr:col>3</xdr:col>
      <xdr:colOff>114300</xdr:colOff>
      <xdr:row>3122</xdr:row>
      <xdr:rowOff>28575</xdr:rowOff>
    </xdr:from>
    <xdr:to>
      <xdr:col>3</xdr:col>
      <xdr:colOff>1552575</xdr:colOff>
      <xdr:row>3125</xdr:row>
      <xdr:rowOff>209550</xdr:rowOff>
    </xdr:to>
    <xdr:pic>
      <xdr:nvPicPr>
        <xdr:cNvPr id="1225" name="Имя " descr="Descr ">
          <a:extLst>
            <a:ext uri="{FF2B5EF4-FFF2-40B4-BE49-F238E27FC236}">
              <a16:creationId xmlns:a16="http://schemas.microsoft.com/office/drawing/2014/main" id="{00000000-0008-0000-0000-0000C9040000}"/>
            </a:ext>
          </a:extLst>
        </xdr:cNvPr>
        <xdr:cNvPicPr>
          <a:picLocks noChangeAspect="1"/>
        </xdr:cNvPicPr>
      </xdr:nvPicPr>
      <xdr:blipFill>
        <a:blip xmlns:r="http://schemas.openxmlformats.org/officeDocument/2006/relationships" r:embed="rId1202"/>
        <a:stretch>
          <a:fillRect/>
        </a:stretch>
      </xdr:blipFill>
      <xdr:spPr>
        <a:prstGeom prst="rect">
          <a:avLst/>
        </a:prstGeom>
        <a:ln w="9525">
          <a:solidFill>
            <a:srgbClr val="000000"/>
          </a:solidFill>
          <a:prstDash val="solid"/>
        </a:ln>
      </xdr:spPr>
    </xdr:pic>
    <xdr:clientData/>
  </xdr:twoCellAnchor>
  <xdr:twoCellAnchor>
    <xdr:from>
      <xdr:col>3</xdr:col>
      <xdr:colOff>114300</xdr:colOff>
      <xdr:row>3126</xdr:row>
      <xdr:rowOff>28575</xdr:rowOff>
    </xdr:from>
    <xdr:to>
      <xdr:col>3</xdr:col>
      <xdr:colOff>1552575</xdr:colOff>
      <xdr:row>3128</xdr:row>
      <xdr:rowOff>419100</xdr:rowOff>
    </xdr:to>
    <xdr:pic>
      <xdr:nvPicPr>
        <xdr:cNvPr id="1226" name="Имя " descr="Descr ">
          <a:extLst>
            <a:ext uri="{FF2B5EF4-FFF2-40B4-BE49-F238E27FC236}">
              <a16:creationId xmlns:a16="http://schemas.microsoft.com/office/drawing/2014/main" id="{00000000-0008-0000-0000-0000CA040000}"/>
            </a:ext>
          </a:extLst>
        </xdr:cNvPr>
        <xdr:cNvPicPr>
          <a:picLocks noChangeAspect="1"/>
        </xdr:cNvPicPr>
      </xdr:nvPicPr>
      <xdr:blipFill>
        <a:blip xmlns:r="http://schemas.openxmlformats.org/officeDocument/2006/relationships" r:embed="rId1203"/>
        <a:stretch>
          <a:fillRect/>
        </a:stretch>
      </xdr:blipFill>
      <xdr:spPr>
        <a:prstGeom prst="rect">
          <a:avLst/>
        </a:prstGeom>
        <a:ln w="9525">
          <a:solidFill>
            <a:srgbClr val="000000"/>
          </a:solidFill>
          <a:prstDash val="solid"/>
        </a:ln>
      </xdr:spPr>
    </xdr:pic>
    <xdr:clientData/>
  </xdr:twoCellAnchor>
  <xdr:twoCellAnchor>
    <xdr:from>
      <xdr:col>3</xdr:col>
      <xdr:colOff>114300</xdr:colOff>
      <xdr:row>3129</xdr:row>
      <xdr:rowOff>28575</xdr:rowOff>
    </xdr:from>
    <xdr:to>
      <xdr:col>3</xdr:col>
      <xdr:colOff>1552575</xdr:colOff>
      <xdr:row>3133</xdr:row>
      <xdr:rowOff>333375</xdr:rowOff>
    </xdr:to>
    <xdr:pic>
      <xdr:nvPicPr>
        <xdr:cNvPr id="1227" name="Имя " descr="Descr ">
          <a:extLst>
            <a:ext uri="{FF2B5EF4-FFF2-40B4-BE49-F238E27FC236}">
              <a16:creationId xmlns:a16="http://schemas.microsoft.com/office/drawing/2014/main" id="{00000000-0008-0000-0000-0000CB040000}"/>
            </a:ext>
          </a:extLst>
        </xdr:cNvPr>
        <xdr:cNvPicPr>
          <a:picLocks noChangeAspect="1"/>
        </xdr:cNvPicPr>
      </xdr:nvPicPr>
      <xdr:blipFill>
        <a:blip xmlns:r="http://schemas.openxmlformats.org/officeDocument/2006/relationships" r:embed="rId1204"/>
        <a:stretch>
          <a:fillRect/>
        </a:stretch>
      </xdr:blipFill>
      <xdr:spPr>
        <a:prstGeom prst="rect">
          <a:avLst/>
        </a:prstGeom>
        <a:ln w="9525">
          <a:solidFill>
            <a:srgbClr val="000000"/>
          </a:solidFill>
          <a:prstDash val="solid"/>
        </a:ln>
      </xdr:spPr>
    </xdr:pic>
    <xdr:clientData/>
  </xdr:twoCellAnchor>
  <xdr:twoCellAnchor>
    <xdr:from>
      <xdr:col>3</xdr:col>
      <xdr:colOff>114300</xdr:colOff>
      <xdr:row>3134</xdr:row>
      <xdr:rowOff>28575</xdr:rowOff>
    </xdr:from>
    <xdr:to>
      <xdr:col>3</xdr:col>
      <xdr:colOff>1552575</xdr:colOff>
      <xdr:row>3137</xdr:row>
      <xdr:rowOff>209550</xdr:rowOff>
    </xdr:to>
    <xdr:pic>
      <xdr:nvPicPr>
        <xdr:cNvPr id="1228" name="Имя " descr="Descr ">
          <a:extLst>
            <a:ext uri="{FF2B5EF4-FFF2-40B4-BE49-F238E27FC236}">
              <a16:creationId xmlns:a16="http://schemas.microsoft.com/office/drawing/2014/main" id="{00000000-0008-0000-0000-0000CC040000}"/>
            </a:ext>
          </a:extLst>
        </xdr:cNvPr>
        <xdr:cNvPicPr>
          <a:picLocks noChangeAspect="1"/>
        </xdr:cNvPicPr>
      </xdr:nvPicPr>
      <xdr:blipFill>
        <a:blip xmlns:r="http://schemas.openxmlformats.org/officeDocument/2006/relationships" r:embed="rId1205"/>
        <a:stretch>
          <a:fillRect/>
        </a:stretch>
      </xdr:blipFill>
      <xdr:spPr>
        <a:prstGeom prst="rect">
          <a:avLst/>
        </a:prstGeom>
        <a:ln w="9525">
          <a:solidFill>
            <a:srgbClr val="000000"/>
          </a:solidFill>
          <a:prstDash val="solid"/>
        </a:ln>
      </xdr:spPr>
    </xdr:pic>
    <xdr:clientData/>
  </xdr:twoCellAnchor>
  <xdr:twoCellAnchor>
    <xdr:from>
      <xdr:col>3</xdr:col>
      <xdr:colOff>114300</xdr:colOff>
      <xdr:row>3138</xdr:row>
      <xdr:rowOff>28575</xdr:rowOff>
    </xdr:from>
    <xdr:to>
      <xdr:col>3</xdr:col>
      <xdr:colOff>1552575</xdr:colOff>
      <xdr:row>3144</xdr:row>
      <xdr:rowOff>171450</xdr:rowOff>
    </xdr:to>
    <xdr:pic>
      <xdr:nvPicPr>
        <xdr:cNvPr id="1229" name="Имя " descr="Descr ">
          <a:extLst>
            <a:ext uri="{FF2B5EF4-FFF2-40B4-BE49-F238E27FC236}">
              <a16:creationId xmlns:a16="http://schemas.microsoft.com/office/drawing/2014/main" id="{00000000-0008-0000-0000-0000CD040000}"/>
            </a:ext>
          </a:extLst>
        </xdr:cNvPr>
        <xdr:cNvPicPr>
          <a:picLocks noChangeAspect="1"/>
        </xdr:cNvPicPr>
      </xdr:nvPicPr>
      <xdr:blipFill>
        <a:blip xmlns:r="http://schemas.openxmlformats.org/officeDocument/2006/relationships" r:embed="rId1206"/>
        <a:stretch>
          <a:fillRect/>
        </a:stretch>
      </xdr:blipFill>
      <xdr:spPr>
        <a:prstGeom prst="rect">
          <a:avLst/>
        </a:prstGeom>
        <a:ln w="9525">
          <a:solidFill>
            <a:srgbClr val="000000"/>
          </a:solidFill>
          <a:prstDash val="solid"/>
        </a:ln>
      </xdr:spPr>
    </xdr:pic>
    <xdr:clientData/>
  </xdr:twoCellAnchor>
  <xdr:twoCellAnchor>
    <xdr:from>
      <xdr:col>3</xdr:col>
      <xdr:colOff>114300</xdr:colOff>
      <xdr:row>3145</xdr:row>
      <xdr:rowOff>28575</xdr:rowOff>
    </xdr:from>
    <xdr:to>
      <xdr:col>3</xdr:col>
      <xdr:colOff>1552575</xdr:colOff>
      <xdr:row>3152</xdr:row>
      <xdr:rowOff>152400</xdr:rowOff>
    </xdr:to>
    <xdr:pic>
      <xdr:nvPicPr>
        <xdr:cNvPr id="1230" name="Имя " descr="Descr ">
          <a:extLst>
            <a:ext uri="{FF2B5EF4-FFF2-40B4-BE49-F238E27FC236}">
              <a16:creationId xmlns:a16="http://schemas.microsoft.com/office/drawing/2014/main" id="{00000000-0008-0000-0000-0000CE040000}"/>
            </a:ext>
          </a:extLst>
        </xdr:cNvPr>
        <xdr:cNvPicPr>
          <a:picLocks noChangeAspect="1"/>
        </xdr:cNvPicPr>
      </xdr:nvPicPr>
      <xdr:blipFill>
        <a:blip xmlns:r="http://schemas.openxmlformats.org/officeDocument/2006/relationships" r:embed="rId1207"/>
        <a:stretch>
          <a:fillRect/>
        </a:stretch>
      </xdr:blipFill>
      <xdr:spPr>
        <a:prstGeom prst="rect">
          <a:avLst/>
        </a:prstGeom>
        <a:ln w="9525">
          <a:solidFill>
            <a:srgbClr val="000000"/>
          </a:solidFill>
          <a:prstDash val="solid"/>
        </a:ln>
      </xdr:spPr>
    </xdr:pic>
    <xdr:clientData/>
  </xdr:twoCellAnchor>
  <xdr:twoCellAnchor>
    <xdr:from>
      <xdr:col>3</xdr:col>
      <xdr:colOff>114300</xdr:colOff>
      <xdr:row>3153</xdr:row>
      <xdr:rowOff>28575</xdr:rowOff>
    </xdr:from>
    <xdr:to>
      <xdr:col>3</xdr:col>
      <xdr:colOff>1552575</xdr:colOff>
      <xdr:row>3161</xdr:row>
      <xdr:rowOff>133350</xdr:rowOff>
    </xdr:to>
    <xdr:pic>
      <xdr:nvPicPr>
        <xdr:cNvPr id="1231" name="Имя " descr="Descr ">
          <a:extLst>
            <a:ext uri="{FF2B5EF4-FFF2-40B4-BE49-F238E27FC236}">
              <a16:creationId xmlns:a16="http://schemas.microsoft.com/office/drawing/2014/main" id="{00000000-0008-0000-0000-0000CF040000}"/>
            </a:ext>
          </a:extLst>
        </xdr:cNvPr>
        <xdr:cNvPicPr>
          <a:picLocks noChangeAspect="1"/>
        </xdr:cNvPicPr>
      </xdr:nvPicPr>
      <xdr:blipFill>
        <a:blip xmlns:r="http://schemas.openxmlformats.org/officeDocument/2006/relationships" r:embed="rId1208"/>
        <a:stretch>
          <a:fillRect/>
        </a:stretch>
      </xdr:blipFill>
      <xdr:spPr>
        <a:prstGeom prst="rect">
          <a:avLst/>
        </a:prstGeom>
        <a:ln w="9525">
          <a:solidFill>
            <a:srgbClr val="000000"/>
          </a:solidFill>
          <a:prstDash val="solid"/>
        </a:ln>
      </xdr:spPr>
    </xdr:pic>
    <xdr:clientData/>
  </xdr:twoCellAnchor>
  <xdr:twoCellAnchor>
    <xdr:from>
      <xdr:col>3</xdr:col>
      <xdr:colOff>114300</xdr:colOff>
      <xdr:row>3163</xdr:row>
      <xdr:rowOff>28575</xdr:rowOff>
    </xdr:from>
    <xdr:to>
      <xdr:col>3</xdr:col>
      <xdr:colOff>1552575</xdr:colOff>
      <xdr:row>3170</xdr:row>
      <xdr:rowOff>152400</xdr:rowOff>
    </xdr:to>
    <xdr:pic>
      <xdr:nvPicPr>
        <xdr:cNvPr id="1232" name="Имя " descr="Descr ">
          <a:extLst>
            <a:ext uri="{FF2B5EF4-FFF2-40B4-BE49-F238E27FC236}">
              <a16:creationId xmlns:a16="http://schemas.microsoft.com/office/drawing/2014/main" id="{00000000-0008-0000-0000-0000D0040000}"/>
            </a:ext>
          </a:extLst>
        </xdr:cNvPr>
        <xdr:cNvPicPr>
          <a:picLocks noChangeAspect="1"/>
        </xdr:cNvPicPr>
      </xdr:nvPicPr>
      <xdr:blipFill>
        <a:blip xmlns:r="http://schemas.openxmlformats.org/officeDocument/2006/relationships" r:embed="rId1209"/>
        <a:stretch>
          <a:fillRect/>
        </a:stretch>
      </xdr:blipFill>
      <xdr:spPr>
        <a:prstGeom prst="rect">
          <a:avLst/>
        </a:prstGeom>
        <a:ln w="9525">
          <a:solidFill>
            <a:srgbClr val="000000"/>
          </a:solidFill>
          <a:prstDash val="solid"/>
        </a:ln>
      </xdr:spPr>
    </xdr:pic>
    <xdr:clientData/>
  </xdr:twoCellAnchor>
  <xdr:twoCellAnchor>
    <xdr:from>
      <xdr:col>3</xdr:col>
      <xdr:colOff>114300</xdr:colOff>
      <xdr:row>3171</xdr:row>
      <xdr:rowOff>28575</xdr:rowOff>
    </xdr:from>
    <xdr:to>
      <xdr:col>3</xdr:col>
      <xdr:colOff>1552575</xdr:colOff>
      <xdr:row>3177</xdr:row>
      <xdr:rowOff>171450</xdr:rowOff>
    </xdr:to>
    <xdr:pic>
      <xdr:nvPicPr>
        <xdr:cNvPr id="1233" name="Имя " descr="Descr ">
          <a:extLst>
            <a:ext uri="{FF2B5EF4-FFF2-40B4-BE49-F238E27FC236}">
              <a16:creationId xmlns:a16="http://schemas.microsoft.com/office/drawing/2014/main" id="{00000000-0008-0000-0000-0000D1040000}"/>
            </a:ext>
          </a:extLst>
        </xdr:cNvPr>
        <xdr:cNvPicPr>
          <a:picLocks noChangeAspect="1"/>
        </xdr:cNvPicPr>
      </xdr:nvPicPr>
      <xdr:blipFill>
        <a:blip xmlns:r="http://schemas.openxmlformats.org/officeDocument/2006/relationships" r:embed="rId1210"/>
        <a:stretch>
          <a:fillRect/>
        </a:stretch>
      </xdr:blipFill>
      <xdr:spPr>
        <a:prstGeom prst="rect">
          <a:avLst/>
        </a:prstGeom>
        <a:ln w="9525">
          <a:solidFill>
            <a:srgbClr val="000000"/>
          </a:solidFill>
          <a:prstDash val="solid"/>
        </a:ln>
      </xdr:spPr>
    </xdr:pic>
    <xdr:clientData/>
  </xdr:twoCellAnchor>
  <xdr:twoCellAnchor>
    <xdr:from>
      <xdr:col>3</xdr:col>
      <xdr:colOff>114300</xdr:colOff>
      <xdr:row>3178</xdr:row>
      <xdr:rowOff>28575</xdr:rowOff>
    </xdr:from>
    <xdr:to>
      <xdr:col>3</xdr:col>
      <xdr:colOff>1552575</xdr:colOff>
      <xdr:row>3178</xdr:row>
      <xdr:rowOff>1266825</xdr:rowOff>
    </xdr:to>
    <xdr:pic>
      <xdr:nvPicPr>
        <xdr:cNvPr id="1234" name="Имя " descr="Descr ">
          <a:extLst>
            <a:ext uri="{FF2B5EF4-FFF2-40B4-BE49-F238E27FC236}">
              <a16:creationId xmlns:a16="http://schemas.microsoft.com/office/drawing/2014/main" id="{00000000-0008-0000-0000-0000D2040000}"/>
            </a:ext>
          </a:extLst>
        </xdr:cNvPr>
        <xdr:cNvPicPr>
          <a:picLocks noChangeAspect="1"/>
        </xdr:cNvPicPr>
      </xdr:nvPicPr>
      <xdr:blipFill>
        <a:blip xmlns:r="http://schemas.openxmlformats.org/officeDocument/2006/relationships" r:embed="rId1211"/>
        <a:stretch>
          <a:fillRect/>
        </a:stretch>
      </xdr:blipFill>
      <xdr:spPr>
        <a:prstGeom prst="rect">
          <a:avLst/>
        </a:prstGeom>
        <a:ln w="9525">
          <a:solidFill>
            <a:srgbClr val="000000"/>
          </a:solidFill>
          <a:prstDash val="solid"/>
        </a:ln>
      </xdr:spPr>
    </xdr:pic>
    <xdr:clientData/>
  </xdr:twoCellAnchor>
  <xdr:twoCellAnchor>
    <xdr:from>
      <xdr:col>3</xdr:col>
      <xdr:colOff>114300</xdr:colOff>
      <xdr:row>3179</xdr:row>
      <xdr:rowOff>28575</xdr:rowOff>
    </xdr:from>
    <xdr:to>
      <xdr:col>3</xdr:col>
      <xdr:colOff>1552575</xdr:colOff>
      <xdr:row>3181</xdr:row>
      <xdr:rowOff>419100</xdr:rowOff>
    </xdr:to>
    <xdr:pic>
      <xdr:nvPicPr>
        <xdr:cNvPr id="1235" name="Имя " descr="Descr ">
          <a:extLst>
            <a:ext uri="{FF2B5EF4-FFF2-40B4-BE49-F238E27FC236}">
              <a16:creationId xmlns:a16="http://schemas.microsoft.com/office/drawing/2014/main" id="{00000000-0008-0000-0000-0000D3040000}"/>
            </a:ext>
          </a:extLst>
        </xdr:cNvPr>
        <xdr:cNvPicPr>
          <a:picLocks noChangeAspect="1"/>
        </xdr:cNvPicPr>
      </xdr:nvPicPr>
      <xdr:blipFill>
        <a:blip xmlns:r="http://schemas.openxmlformats.org/officeDocument/2006/relationships" r:embed="rId1212"/>
        <a:stretch>
          <a:fillRect/>
        </a:stretch>
      </xdr:blipFill>
      <xdr:spPr>
        <a:prstGeom prst="rect">
          <a:avLst/>
        </a:prstGeom>
        <a:ln w="9525">
          <a:solidFill>
            <a:srgbClr val="000000"/>
          </a:solidFill>
          <a:prstDash val="solid"/>
        </a:ln>
      </xdr:spPr>
    </xdr:pic>
    <xdr:clientData/>
  </xdr:twoCellAnchor>
  <xdr:twoCellAnchor>
    <xdr:from>
      <xdr:col>3</xdr:col>
      <xdr:colOff>114300</xdr:colOff>
      <xdr:row>3182</xdr:row>
      <xdr:rowOff>28575</xdr:rowOff>
    </xdr:from>
    <xdr:to>
      <xdr:col>3</xdr:col>
      <xdr:colOff>1552575</xdr:colOff>
      <xdr:row>3182</xdr:row>
      <xdr:rowOff>1266825</xdr:rowOff>
    </xdr:to>
    <xdr:pic>
      <xdr:nvPicPr>
        <xdr:cNvPr id="1236" name="Имя " descr="Descr ">
          <a:extLst>
            <a:ext uri="{FF2B5EF4-FFF2-40B4-BE49-F238E27FC236}">
              <a16:creationId xmlns:a16="http://schemas.microsoft.com/office/drawing/2014/main" id="{00000000-0008-0000-0000-0000D4040000}"/>
            </a:ext>
          </a:extLst>
        </xdr:cNvPr>
        <xdr:cNvPicPr>
          <a:picLocks noChangeAspect="1"/>
        </xdr:cNvPicPr>
      </xdr:nvPicPr>
      <xdr:blipFill>
        <a:blip xmlns:r="http://schemas.openxmlformats.org/officeDocument/2006/relationships" r:embed="rId1213"/>
        <a:stretch>
          <a:fillRect/>
        </a:stretch>
      </xdr:blipFill>
      <xdr:spPr>
        <a:prstGeom prst="rect">
          <a:avLst/>
        </a:prstGeom>
        <a:ln w="9525">
          <a:solidFill>
            <a:srgbClr val="000000"/>
          </a:solidFill>
          <a:prstDash val="solid"/>
        </a:ln>
      </xdr:spPr>
    </xdr:pic>
    <xdr:clientData/>
  </xdr:twoCellAnchor>
  <xdr:twoCellAnchor>
    <xdr:from>
      <xdr:col>3</xdr:col>
      <xdr:colOff>114300</xdr:colOff>
      <xdr:row>3183</xdr:row>
      <xdr:rowOff>28575</xdr:rowOff>
    </xdr:from>
    <xdr:to>
      <xdr:col>3</xdr:col>
      <xdr:colOff>1552575</xdr:colOff>
      <xdr:row>3183</xdr:row>
      <xdr:rowOff>1266825</xdr:rowOff>
    </xdr:to>
    <xdr:pic>
      <xdr:nvPicPr>
        <xdr:cNvPr id="1237" name="Имя " descr="Descr ">
          <a:extLst>
            <a:ext uri="{FF2B5EF4-FFF2-40B4-BE49-F238E27FC236}">
              <a16:creationId xmlns:a16="http://schemas.microsoft.com/office/drawing/2014/main" id="{00000000-0008-0000-0000-0000D5040000}"/>
            </a:ext>
          </a:extLst>
        </xdr:cNvPr>
        <xdr:cNvPicPr>
          <a:picLocks noChangeAspect="1"/>
        </xdr:cNvPicPr>
      </xdr:nvPicPr>
      <xdr:blipFill>
        <a:blip xmlns:r="http://schemas.openxmlformats.org/officeDocument/2006/relationships" r:embed="rId1214"/>
        <a:stretch>
          <a:fillRect/>
        </a:stretch>
      </xdr:blipFill>
      <xdr:spPr>
        <a:prstGeom prst="rect">
          <a:avLst/>
        </a:prstGeom>
        <a:ln w="9525">
          <a:solidFill>
            <a:srgbClr val="000000"/>
          </a:solidFill>
          <a:prstDash val="solid"/>
        </a:ln>
      </xdr:spPr>
    </xdr:pic>
    <xdr:clientData/>
  </xdr:twoCellAnchor>
  <xdr:twoCellAnchor>
    <xdr:from>
      <xdr:col>3</xdr:col>
      <xdr:colOff>114300</xdr:colOff>
      <xdr:row>3184</xdr:row>
      <xdr:rowOff>38100</xdr:rowOff>
    </xdr:from>
    <xdr:to>
      <xdr:col>3</xdr:col>
      <xdr:colOff>1552575</xdr:colOff>
      <xdr:row>3185</xdr:row>
      <xdr:rowOff>638175</xdr:rowOff>
    </xdr:to>
    <xdr:pic>
      <xdr:nvPicPr>
        <xdr:cNvPr id="1238" name="Имя " descr="Descr ">
          <a:extLst>
            <a:ext uri="{FF2B5EF4-FFF2-40B4-BE49-F238E27FC236}">
              <a16:creationId xmlns:a16="http://schemas.microsoft.com/office/drawing/2014/main" id="{00000000-0008-0000-0000-0000D6040000}"/>
            </a:ext>
          </a:extLst>
        </xdr:cNvPr>
        <xdr:cNvPicPr>
          <a:picLocks noChangeAspect="1"/>
        </xdr:cNvPicPr>
      </xdr:nvPicPr>
      <xdr:blipFill>
        <a:blip xmlns:r="http://schemas.openxmlformats.org/officeDocument/2006/relationships" r:embed="rId1215"/>
        <a:stretch>
          <a:fillRect/>
        </a:stretch>
      </xdr:blipFill>
      <xdr:spPr>
        <a:prstGeom prst="rect">
          <a:avLst/>
        </a:prstGeom>
        <a:ln w="9525">
          <a:solidFill>
            <a:srgbClr val="000000"/>
          </a:solidFill>
          <a:prstDash val="solid"/>
        </a:ln>
      </xdr:spPr>
    </xdr:pic>
    <xdr:clientData/>
  </xdr:twoCellAnchor>
  <xdr:twoCellAnchor>
    <xdr:from>
      <xdr:col>3</xdr:col>
      <xdr:colOff>114300</xdr:colOff>
      <xdr:row>3186</xdr:row>
      <xdr:rowOff>28575</xdr:rowOff>
    </xdr:from>
    <xdr:to>
      <xdr:col>3</xdr:col>
      <xdr:colOff>1552575</xdr:colOff>
      <xdr:row>3186</xdr:row>
      <xdr:rowOff>1266825</xdr:rowOff>
    </xdr:to>
    <xdr:pic>
      <xdr:nvPicPr>
        <xdr:cNvPr id="1239" name="Имя " descr="Descr ">
          <a:extLst>
            <a:ext uri="{FF2B5EF4-FFF2-40B4-BE49-F238E27FC236}">
              <a16:creationId xmlns:a16="http://schemas.microsoft.com/office/drawing/2014/main" id="{00000000-0008-0000-0000-0000D7040000}"/>
            </a:ext>
          </a:extLst>
        </xdr:cNvPr>
        <xdr:cNvPicPr>
          <a:picLocks noChangeAspect="1"/>
        </xdr:cNvPicPr>
      </xdr:nvPicPr>
      <xdr:blipFill>
        <a:blip xmlns:r="http://schemas.openxmlformats.org/officeDocument/2006/relationships" r:embed="rId1216"/>
        <a:stretch>
          <a:fillRect/>
        </a:stretch>
      </xdr:blipFill>
      <xdr:spPr>
        <a:prstGeom prst="rect">
          <a:avLst/>
        </a:prstGeom>
        <a:ln w="9525">
          <a:solidFill>
            <a:srgbClr val="000000"/>
          </a:solidFill>
          <a:prstDash val="solid"/>
        </a:ln>
      </xdr:spPr>
    </xdr:pic>
    <xdr:clientData/>
  </xdr:twoCellAnchor>
  <xdr:twoCellAnchor>
    <xdr:from>
      <xdr:col>3</xdr:col>
      <xdr:colOff>114300</xdr:colOff>
      <xdr:row>3187</xdr:row>
      <xdr:rowOff>28575</xdr:rowOff>
    </xdr:from>
    <xdr:to>
      <xdr:col>3</xdr:col>
      <xdr:colOff>1552575</xdr:colOff>
      <xdr:row>3187</xdr:row>
      <xdr:rowOff>1266825</xdr:rowOff>
    </xdr:to>
    <xdr:pic>
      <xdr:nvPicPr>
        <xdr:cNvPr id="1240" name="Имя " descr="Descr ">
          <a:extLst>
            <a:ext uri="{FF2B5EF4-FFF2-40B4-BE49-F238E27FC236}">
              <a16:creationId xmlns:a16="http://schemas.microsoft.com/office/drawing/2014/main" id="{00000000-0008-0000-0000-0000D8040000}"/>
            </a:ext>
          </a:extLst>
        </xdr:cNvPr>
        <xdr:cNvPicPr>
          <a:picLocks noChangeAspect="1"/>
        </xdr:cNvPicPr>
      </xdr:nvPicPr>
      <xdr:blipFill>
        <a:blip xmlns:r="http://schemas.openxmlformats.org/officeDocument/2006/relationships" r:embed="rId1217"/>
        <a:stretch>
          <a:fillRect/>
        </a:stretch>
      </xdr:blipFill>
      <xdr:spPr>
        <a:prstGeom prst="rect">
          <a:avLst/>
        </a:prstGeom>
        <a:ln w="9525">
          <a:solidFill>
            <a:srgbClr val="000000"/>
          </a:solidFill>
          <a:prstDash val="solid"/>
        </a:ln>
      </xdr:spPr>
    </xdr:pic>
    <xdr:clientData/>
  </xdr:twoCellAnchor>
  <xdr:twoCellAnchor>
    <xdr:from>
      <xdr:col>3</xdr:col>
      <xdr:colOff>114300</xdr:colOff>
      <xdr:row>3188</xdr:row>
      <xdr:rowOff>38100</xdr:rowOff>
    </xdr:from>
    <xdr:to>
      <xdr:col>3</xdr:col>
      <xdr:colOff>1552575</xdr:colOff>
      <xdr:row>3189</xdr:row>
      <xdr:rowOff>638175</xdr:rowOff>
    </xdr:to>
    <xdr:pic>
      <xdr:nvPicPr>
        <xdr:cNvPr id="1241" name="Имя " descr="Descr ">
          <a:extLst>
            <a:ext uri="{FF2B5EF4-FFF2-40B4-BE49-F238E27FC236}">
              <a16:creationId xmlns:a16="http://schemas.microsoft.com/office/drawing/2014/main" id="{00000000-0008-0000-0000-0000D9040000}"/>
            </a:ext>
          </a:extLst>
        </xdr:cNvPr>
        <xdr:cNvPicPr>
          <a:picLocks noChangeAspect="1"/>
        </xdr:cNvPicPr>
      </xdr:nvPicPr>
      <xdr:blipFill>
        <a:blip xmlns:r="http://schemas.openxmlformats.org/officeDocument/2006/relationships" r:embed="rId1218"/>
        <a:stretch>
          <a:fillRect/>
        </a:stretch>
      </xdr:blipFill>
      <xdr:spPr>
        <a:prstGeom prst="rect">
          <a:avLst/>
        </a:prstGeom>
        <a:ln w="9525">
          <a:solidFill>
            <a:srgbClr val="000000"/>
          </a:solidFill>
          <a:prstDash val="solid"/>
        </a:ln>
      </xdr:spPr>
    </xdr:pic>
    <xdr:clientData/>
  </xdr:twoCellAnchor>
  <xdr:twoCellAnchor>
    <xdr:from>
      <xdr:col>3</xdr:col>
      <xdr:colOff>114300</xdr:colOff>
      <xdr:row>3190</xdr:row>
      <xdr:rowOff>38100</xdr:rowOff>
    </xdr:from>
    <xdr:to>
      <xdr:col>3</xdr:col>
      <xdr:colOff>1552575</xdr:colOff>
      <xdr:row>3191</xdr:row>
      <xdr:rowOff>638175</xdr:rowOff>
    </xdr:to>
    <xdr:pic>
      <xdr:nvPicPr>
        <xdr:cNvPr id="1242" name="Имя " descr="Descr ">
          <a:extLst>
            <a:ext uri="{FF2B5EF4-FFF2-40B4-BE49-F238E27FC236}">
              <a16:creationId xmlns:a16="http://schemas.microsoft.com/office/drawing/2014/main" id="{00000000-0008-0000-0000-0000DA040000}"/>
            </a:ext>
          </a:extLst>
        </xdr:cNvPr>
        <xdr:cNvPicPr>
          <a:picLocks noChangeAspect="1"/>
        </xdr:cNvPicPr>
      </xdr:nvPicPr>
      <xdr:blipFill>
        <a:blip xmlns:r="http://schemas.openxmlformats.org/officeDocument/2006/relationships" r:embed="rId1219"/>
        <a:stretch>
          <a:fillRect/>
        </a:stretch>
      </xdr:blipFill>
      <xdr:spPr>
        <a:prstGeom prst="rect">
          <a:avLst/>
        </a:prstGeom>
        <a:ln w="9525">
          <a:solidFill>
            <a:srgbClr val="000000"/>
          </a:solidFill>
          <a:prstDash val="solid"/>
        </a:ln>
      </xdr:spPr>
    </xdr:pic>
    <xdr:clientData/>
  </xdr:twoCellAnchor>
  <xdr:twoCellAnchor>
    <xdr:from>
      <xdr:col>3</xdr:col>
      <xdr:colOff>114300</xdr:colOff>
      <xdr:row>3192</xdr:row>
      <xdr:rowOff>38100</xdr:rowOff>
    </xdr:from>
    <xdr:to>
      <xdr:col>3</xdr:col>
      <xdr:colOff>1552575</xdr:colOff>
      <xdr:row>3193</xdr:row>
      <xdr:rowOff>638175</xdr:rowOff>
    </xdr:to>
    <xdr:pic>
      <xdr:nvPicPr>
        <xdr:cNvPr id="1243" name="Имя " descr="Descr ">
          <a:extLst>
            <a:ext uri="{FF2B5EF4-FFF2-40B4-BE49-F238E27FC236}">
              <a16:creationId xmlns:a16="http://schemas.microsoft.com/office/drawing/2014/main" id="{00000000-0008-0000-0000-0000DB040000}"/>
            </a:ext>
          </a:extLst>
        </xdr:cNvPr>
        <xdr:cNvPicPr>
          <a:picLocks noChangeAspect="1"/>
        </xdr:cNvPicPr>
      </xdr:nvPicPr>
      <xdr:blipFill>
        <a:blip xmlns:r="http://schemas.openxmlformats.org/officeDocument/2006/relationships" r:embed="rId1220"/>
        <a:stretch>
          <a:fillRect/>
        </a:stretch>
      </xdr:blipFill>
      <xdr:spPr>
        <a:prstGeom prst="rect">
          <a:avLst/>
        </a:prstGeom>
        <a:ln w="9525">
          <a:solidFill>
            <a:srgbClr val="000000"/>
          </a:solidFill>
          <a:prstDash val="solid"/>
        </a:ln>
      </xdr:spPr>
    </xdr:pic>
    <xdr:clientData/>
  </xdr:twoCellAnchor>
  <xdr:twoCellAnchor>
    <xdr:from>
      <xdr:col>3</xdr:col>
      <xdr:colOff>114300</xdr:colOff>
      <xdr:row>3194</xdr:row>
      <xdr:rowOff>38100</xdr:rowOff>
    </xdr:from>
    <xdr:to>
      <xdr:col>3</xdr:col>
      <xdr:colOff>1552575</xdr:colOff>
      <xdr:row>3195</xdr:row>
      <xdr:rowOff>638175</xdr:rowOff>
    </xdr:to>
    <xdr:pic>
      <xdr:nvPicPr>
        <xdr:cNvPr id="1244" name="Имя " descr="Descr ">
          <a:extLst>
            <a:ext uri="{FF2B5EF4-FFF2-40B4-BE49-F238E27FC236}">
              <a16:creationId xmlns:a16="http://schemas.microsoft.com/office/drawing/2014/main" id="{00000000-0008-0000-0000-0000DC040000}"/>
            </a:ext>
          </a:extLst>
        </xdr:cNvPr>
        <xdr:cNvPicPr>
          <a:picLocks noChangeAspect="1"/>
        </xdr:cNvPicPr>
      </xdr:nvPicPr>
      <xdr:blipFill>
        <a:blip xmlns:r="http://schemas.openxmlformats.org/officeDocument/2006/relationships" r:embed="rId1221"/>
        <a:stretch>
          <a:fillRect/>
        </a:stretch>
      </xdr:blipFill>
      <xdr:spPr>
        <a:prstGeom prst="rect">
          <a:avLst/>
        </a:prstGeom>
        <a:ln w="9525">
          <a:solidFill>
            <a:srgbClr val="000000"/>
          </a:solidFill>
          <a:prstDash val="solid"/>
        </a:ln>
      </xdr:spPr>
    </xdr:pic>
    <xdr:clientData/>
  </xdr:twoCellAnchor>
  <xdr:twoCellAnchor>
    <xdr:from>
      <xdr:col>3</xdr:col>
      <xdr:colOff>114300</xdr:colOff>
      <xdr:row>3196</xdr:row>
      <xdr:rowOff>28575</xdr:rowOff>
    </xdr:from>
    <xdr:to>
      <xdr:col>3</xdr:col>
      <xdr:colOff>1552575</xdr:colOff>
      <xdr:row>3199</xdr:row>
      <xdr:rowOff>209550</xdr:rowOff>
    </xdr:to>
    <xdr:pic>
      <xdr:nvPicPr>
        <xdr:cNvPr id="1245" name="Имя " descr="Descr ">
          <a:extLst>
            <a:ext uri="{FF2B5EF4-FFF2-40B4-BE49-F238E27FC236}">
              <a16:creationId xmlns:a16="http://schemas.microsoft.com/office/drawing/2014/main" id="{00000000-0008-0000-0000-0000DD040000}"/>
            </a:ext>
          </a:extLst>
        </xdr:cNvPr>
        <xdr:cNvPicPr>
          <a:picLocks noChangeAspect="1"/>
        </xdr:cNvPicPr>
      </xdr:nvPicPr>
      <xdr:blipFill>
        <a:blip xmlns:r="http://schemas.openxmlformats.org/officeDocument/2006/relationships" r:embed="rId1222"/>
        <a:stretch>
          <a:fillRect/>
        </a:stretch>
      </xdr:blipFill>
      <xdr:spPr>
        <a:prstGeom prst="rect">
          <a:avLst/>
        </a:prstGeom>
        <a:ln w="9525">
          <a:solidFill>
            <a:srgbClr val="000000"/>
          </a:solidFill>
          <a:prstDash val="solid"/>
        </a:ln>
      </xdr:spPr>
    </xdr:pic>
    <xdr:clientData/>
  </xdr:twoCellAnchor>
  <xdr:twoCellAnchor>
    <xdr:from>
      <xdr:col>3</xdr:col>
      <xdr:colOff>114300</xdr:colOff>
      <xdr:row>3200</xdr:row>
      <xdr:rowOff>28575</xdr:rowOff>
    </xdr:from>
    <xdr:to>
      <xdr:col>3</xdr:col>
      <xdr:colOff>1552575</xdr:colOff>
      <xdr:row>3204</xdr:row>
      <xdr:rowOff>333375</xdr:rowOff>
    </xdr:to>
    <xdr:pic>
      <xdr:nvPicPr>
        <xdr:cNvPr id="1246" name="Имя " descr="Descr ">
          <a:extLst>
            <a:ext uri="{FF2B5EF4-FFF2-40B4-BE49-F238E27FC236}">
              <a16:creationId xmlns:a16="http://schemas.microsoft.com/office/drawing/2014/main" id="{00000000-0008-0000-0000-0000DE040000}"/>
            </a:ext>
          </a:extLst>
        </xdr:cNvPr>
        <xdr:cNvPicPr>
          <a:picLocks noChangeAspect="1"/>
        </xdr:cNvPicPr>
      </xdr:nvPicPr>
      <xdr:blipFill>
        <a:blip xmlns:r="http://schemas.openxmlformats.org/officeDocument/2006/relationships" r:embed="rId1223"/>
        <a:stretch>
          <a:fillRect/>
        </a:stretch>
      </xdr:blipFill>
      <xdr:spPr>
        <a:prstGeom prst="rect">
          <a:avLst/>
        </a:prstGeom>
        <a:ln w="9525">
          <a:solidFill>
            <a:srgbClr val="000000"/>
          </a:solidFill>
          <a:prstDash val="solid"/>
        </a:ln>
      </xdr:spPr>
    </xdr:pic>
    <xdr:clientData/>
  </xdr:twoCellAnchor>
  <xdr:twoCellAnchor>
    <xdr:from>
      <xdr:col>3</xdr:col>
      <xdr:colOff>114300</xdr:colOff>
      <xdr:row>3205</xdr:row>
      <xdr:rowOff>38100</xdr:rowOff>
    </xdr:from>
    <xdr:to>
      <xdr:col>3</xdr:col>
      <xdr:colOff>1552575</xdr:colOff>
      <xdr:row>3206</xdr:row>
      <xdr:rowOff>638175</xdr:rowOff>
    </xdr:to>
    <xdr:pic>
      <xdr:nvPicPr>
        <xdr:cNvPr id="1247" name="Имя " descr="Descr ">
          <a:extLst>
            <a:ext uri="{FF2B5EF4-FFF2-40B4-BE49-F238E27FC236}">
              <a16:creationId xmlns:a16="http://schemas.microsoft.com/office/drawing/2014/main" id="{00000000-0008-0000-0000-0000DF040000}"/>
            </a:ext>
          </a:extLst>
        </xdr:cNvPr>
        <xdr:cNvPicPr>
          <a:picLocks noChangeAspect="1"/>
        </xdr:cNvPicPr>
      </xdr:nvPicPr>
      <xdr:blipFill>
        <a:blip xmlns:r="http://schemas.openxmlformats.org/officeDocument/2006/relationships" r:embed="rId1224"/>
        <a:stretch>
          <a:fillRect/>
        </a:stretch>
      </xdr:blipFill>
      <xdr:spPr>
        <a:prstGeom prst="rect">
          <a:avLst/>
        </a:prstGeom>
        <a:ln w="9525">
          <a:solidFill>
            <a:srgbClr val="000000"/>
          </a:solidFill>
          <a:prstDash val="solid"/>
        </a:ln>
      </xdr:spPr>
    </xdr:pic>
    <xdr:clientData/>
  </xdr:twoCellAnchor>
  <xdr:twoCellAnchor>
    <xdr:from>
      <xdr:col>3</xdr:col>
      <xdr:colOff>114300</xdr:colOff>
      <xdr:row>3207</xdr:row>
      <xdr:rowOff>28575</xdr:rowOff>
    </xdr:from>
    <xdr:to>
      <xdr:col>3</xdr:col>
      <xdr:colOff>1552575</xdr:colOff>
      <xdr:row>3210</xdr:row>
      <xdr:rowOff>209550</xdr:rowOff>
    </xdr:to>
    <xdr:pic>
      <xdr:nvPicPr>
        <xdr:cNvPr id="1248" name="Имя " descr="Descr ">
          <a:extLst>
            <a:ext uri="{FF2B5EF4-FFF2-40B4-BE49-F238E27FC236}">
              <a16:creationId xmlns:a16="http://schemas.microsoft.com/office/drawing/2014/main" id="{00000000-0008-0000-0000-0000E0040000}"/>
            </a:ext>
          </a:extLst>
        </xdr:cNvPr>
        <xdr:cNvPicPr>
          <a:picLocks noChangeAspect="1"/>
        </xdr:cNvPicPr>
      </xdr:nvPicPr>
      <xdr:blipFill>
        <a:blip xmlns:r="http://schemas.openxmlformats.org/officeDocument/2006/relationships" r:embed="rId1225"/>
        <a:stretch>
          <a:fillRect/>
        </a:stretch>
      </xdr:blipFill>
      <xdr:spPr>
        <a:prstGeom prst="rect">
          <a:avLst/>
        </a:prstGeom>
        <a:ln w="9525">
          <a:solidFill>
            <a:srgbClr val="000000"/>
          </a:solidFill>
          <a:prstDash val="solid"/>
        </a:ln>
      </xdr:spPr>
    </xdr:pic>
    <xdr:clientData/>
  </xdr:twoCellAnchor>
  <xdr:twoCellAnchor>
    <xdr:from>
      <xdr:col>3</xdr:col>
      <xdr:colOff>114300</xdr:colOff>
      <xdr:row>3211</xdr:row>
      <xdr:rowOff>28575</xdr:rowOff>
    </xdr:from>
    <xdr:to>
      <xdr:col>3</xdr:col>
      <xdr:colOff>1552575</xdr:colOff>
      <xdr:row>3215</xdr:row>
      <xdr:rowOff>333375</xdr:rowOff>
    </xdr:to>
    <xdr:pic>
      <xdr:nvPicPr>
        <xdr:cNvPr id="1249" name="Имя " descr="Descr ">
          <a:extLst>
            <a:ext uri="{FF2B5EF4-FFF2-40B4-BE49-F238E27FC236}">
              <a16:creationId xmlns:a16="http://schemas.microsoft.com/office/drawing/2014/main" id="{00000000-0008-0000-0000-0000E1040000}"/>
            </a:ext>
          </a:extLst>
        </xdr:cNvPr>
        <xdr:cNvPicPr>
          <a:picLocks noChangeAspect="1"/>
        </xdr:cNvPicPr>
      </xdr:nvPicPr>
      <xdr:blipFill>
        <a:blip xmlns:r="http://schemas.openxmlformats.org/officeDocument/2006/relationships" r:embed="rId1226"/>
        <a:stretch>
          <a:fillRect/>
        </a:stretch>
      </xdr:blipFill>
      <xdr:spPr>
        <a:prstGeom prst="rect">
          <a:avLst/>
        </a:prstGeom>
        <a:ln w="9525">
          <a:solidFill>
            <a:srgbClr val="000000"/>
          </a:solidFill>
          <a:prstDash val="solid"/>
        </a:ln>
      </xdr:spPr>
    </xdr:pic>
    <xdr:clientData/>
  </xdr:twoCellAnchor>
  <xdr:twoCellAnchor>
    <xdr:from>
      <xdr:col>3</xdr:col>
      <xdr:colOff>114300</xdr:colOff>
      <xdr:row>3216</xdr:row>
      <xdr:rowOff>28575</xdr:rowOff>
    </xdr:from>
    <xdr:to>
      <xdr:col>3</xdr:col>
      <xdr:colOff>1552575</xdr:colOff>
      <xdr:row>3218</xdr:row>
      <xdr:rowOff>419100</xdr:rowOff>
    </xdr:to>
    <xdr:pic>
      <xdr:nvPicPr>
        <xdr:cNvPr id="1250" name="Имя " descr="Descr ">
          <a:extLst>
            <a:ext uri="{FF2B5EF4-FFF2-40B4-BE49-F238E27FC236}">
              <a16:creationId xmlns:a16="http://schemas.microsoft.com/office/drawing/2014/main" id="{00000000-0008-0000-0000-0000E2040000}"/>
            </a:ext>
          </a:extLst>
        </xdr:cNvPr>
        <xdr:cNvPicPr>
          <a:picLocks noChangeAspect="1"/>
        </xdr:cNvPicPr>
      </xdr:nvPicPr>
      <xdr:blipFill>
        <a:blip xmlns:r="http://schemas.openxmlformats.org/officeDocument/2006/relationships" r:embed="rId1227"/>
        <a:stretch>
          <a:fillRect/>
        </a:stretch>
      </xdr:blipFill>
      <xdr:spPr>
        <a:prstGeom prst="rect">
          <a:avLst/>
        </a:prstGeom>
        <a:ln w="9525">
          <a:solidFill>
            <a:srgbClr val="000000"/>
          </a:solidFill>
          <a:prstDash val="solid"/>
        </a:ln>
      </xdr:spPr>
    </xdr:pic>
    <xdr:clientData/>
  </xdr:twoCellAnchor>
  <xdr:twoCellAnchor>
    <xdr:from>
      <xdr:col>3</xdr:col>
      <xdr:colOff>114300</xdr:colOff>
      <xdr:row>3219</xdr:row>
      <xdr:rowOff>38100</xdr:rowOff>
    </xdr:from>
    <xdr:to>
      <xdr:col>3</xdr:col>
      <xdr:colOff>1552575</xdr:colOff>
      <xdr:row>3220</xdr:row>
      <xdr:rowOff>638175</xdr:rowOff>
    </xdr:to>
    <xdr:pic>
      <xdr:nvPicPr>
        <xdr:cNvPr id="1251" name="Имя " descr="Descr ">
          <a:extLst>
            <a:ext uri="{FF2B5EF4-FFF2-40B4-BE49-F238E27FC236}">
              <a16:creationId xmlns:a16="http://schemas.microsoft.com/office/drawing/2014/main" id="{00000000-0008-0000-0000-0000E3040000}"/>
            </a:ext>
          </a:extLst>
        </xdr:cNvPr>
        <xdr:cNvPicPr>
          <a:picLocks noChangeAspect="1"/>
        </xdr:cNvPicPr>
      </xdr:nvPicPr>
      <xdr:blipFill>
        <a:blip xmlns:r="http://schemas.openxmlformats.org/officeDocument/2006/relationships" r:embed="rId1228"/>
        <a:stretch>
          <a:fillRect/>
        </a:stretch>
      </xdr:blipFill>
      <xdr:spPr>
        <a:prstGeom prst="rect">
          <a:avLst/>
        </a:prstGeom>
        <a:ln w="9525">
          <a:solidFill>
            <a:srgbClr val="000000"/>
          </a:solidFill>
          <a:prstDash val="solid"/>
        </a:ln>
      </xdr:spPr>
    </xdr:pic>
    <xdr:clientData/>
  </xdr:twoCellAnchor>
  <xdr:twoCellAnchor>
    <xdr:from>
      <xdr:col>3</xdr:col>
      <xdr:colOff>114300</xdr:colOff>
      <xdr:row>3221</xdr:row>
      <xdr:rowOff>28575</xdr:rowOff>
    </xdr:from>
    <xdr:to>
      <xdr:col>3</xdr:col>
      <xdr:colOff>1552575</xdr:colOff>
      <xdr:row>3229</xdr:row>
      <xdr:rowOff>133350</xdr:rowOff>
    </xdr:to>
    <xdr:pic>
      <xdr:nvPicPr>
        <xdr:cNvPr id="1252" name="Имя " descr="Descr ">
          <a:extLst>
            <a:ext uri="{FF2B5EF4-FFF2-40B4-BE49-F238E27FC236}">
              <a16:creationId xmlns:a16="http://schemas.microsoft.com/office/drawing/2014/main" id="{00000000-0008-0000-0000-0000E4040000}"/>
            </a:ext>
          </a:extLst>
        </xdr:cNvPr>
        <xdr:cNvPicPr>
          <a:picLocks noChangeAspect="1"/>
        </xdr:cNvPicPr>
      </xdr:nvPicPr>
      <xdr:blipFill>
        <a:blip xmlns:r="http://schemas.openxmlformats.org/officeDocument/2006/relationships" r:embed="rId1229"/>
        <a:stretch>
          <a:fillRect/>
        </a:stretch>
      </xdr:blipFill>
      <xdr:spPr>
        <a:prstGeom prst="rect">
          <a:avLst/>
        </a:prstGeom>
        <a:ln w="9525">
          <a:solidFill>
            <a:srgbClr val="000000"/>
          </a:solidFill>
          <a:prstDash val="solid"/>
        </a:ln>
      </xdr:spPr>
    </xdr:pic>
    <xdr:clientData/>
  </xdr:twoCellAnchor>
  <xdr:twoCellAnchor>
    <xdr:from>
      <xdr:col>3</xdr:col>
      <xdr:colOff>114300</xdr:colOff>
      <xdr:row>3230</xdr:row>
      <xdr:rowOff>38100</xdr:rowOff>
    </xdr:from>
    <xdr:to>
      <xdr:col>3</xdr:col>
      <xdr:colOff>1552575</xdr:colOff>
      <xdr:row>3231</xdr:row>
      <xdr:rowOff>638175</xdr:rowOff>
    </xdr:to>
    <xdr:pic>
      <xdr:nvPicPr>
        <xdr:cNvPr id="1253" name="Имя " descr="Descr ">
          <a:extLst>
            <a:ext uri="{FF2B5EF4-FFF2-40B4-BE49-F238E27FC236}">
              <a16:creationId xmlns:a16="http://schemas.microsoft.com/office/drawing/2014/main" id="{00000000-0008-0000-0000-0000E5040000}"/>
            </a:ext>
          </a:extLst>
        </xdr:cNvPr>
        <xdr:cNvPicPr>
          <a:picLocks noChangeAspect="1"/>
        </xdr:cNvPicPr>
      </xdr:nvPicPr>
      <xdr:blipFill>
        <a:blip xmlns:r="http://schemas.openxmlformats.org/officeDocument/2006/relationships" r:embed="rId1230"/>
        <a:stretch>
          <a:fillRect/>
        </a:stretch>
      </xdr:blipFill>
      <xdr:spPr>
        <a:prstGeom prst="rect">
          <a:avLst/>
        </a:prstGeom>
        <a:ln w="9525">
          <a:solidFill>
            <a:srgbClr val="000000"/>
          </a:solidFill>
          <a:prstDash val="solid"/>
        </a:ln>
      </xdr:spPr>
    </xdr:pic>
    <xdr:clientData/>
  </xdr:twoCellAnchor>
  <xdr:twoCellAnchor>
    <xdr:from>
      <xdr:col>3</xdr:col>
      <xdr:colOff>114300</xdr:colOff>
      <xdr:row>3232</xdr:row>
      <xdr:rowOff>28575</xdr:rowOff>
    </xdr:from>
    <xdr:to>
      <xdr:col>3</xdr:col>
      <xdr:colOff>1552575</xdr:colOff>
      <xdr:row>3234</xdr:row>
      <xdr:rowOff>419100</xdr:rowOff>
    </xdr:to>
    <xdr:pic>
      <xdr:nvPicPr>
        <xdr:cNvPr id="1254" name="Имя " descr="Descr ">
          <a:extLst>
            <a:ext uri="{FF2B5EF4-FFF2-40B4-BE49-F238E27FC236}">
              <a16:creationId xmlns:a16="http://schemas.microsoft.com/office/drawing/2014/main" id="{00000000-0008-0000-0000-0000E6040000}"/>
            </a:ext>
          </a:extLst>
        </xdr:cNvPr>
        <xdr:cNvPicPr>
          <a:picLocks noChangeAspect="1"/>
        </xdr:cNvPicPr>
      </xdr:nvPicPr>
      <xdr:blipFill>
        <a:blip xmlns:r="http://schemas.openxmlformats.org/officeDocument/2006/relationships" r:embed="rId1231"/>
        <a:stretch>
          <a:fillRect/>
        </a:stretch>
      </xdr:blipFill>
      <xdr:spPr>
        <a:prstGeom prst="rect">
          <a:avLst/>
        </a:prstGeom>
        <a:ln w="9525">
          <a:solidFill>
            <a:srgbClr val="000000"/>
          </a:solidFill>
          <a:prstDash val="solid"/>
        </a:ln>
      </xdr:spPr>
    </xdr:pic>
    <xdr:clientData/>
  </xdr:twoCellAnchor>
  <xdr:twoCellAnchor>
    <xdr:from>
      <xdr:col>3</xdr:col>
      <xdr:colOff>114300</xdr:colOff>
      <xdr:row>3235</xdr:row>
      <xdr:rowOff>28575</xdr:rowOff>
    </xdr:from>
    <xdr:to>
      <xdr:col>3</xdr:col>
      <xdr:colOff>1552575</xdr:colOff>
      <xdr:row>3240</xdr:row>
      <xdr:rowOff>209550</xdr:rowOff>
    </xdr:to>
    <xdr:pic>
      <xdr:nvPicPr>
        <xdr:cNvPr id="1255" name="Имя " descr="Descr ">
          <a:extLst>
            <a:ext uri="{FF2B5EF4-FFF2-40B4-BE49-F238E27FC236}">
              <a16:creationId xmlns:a16="http://schemas.microsoft.com/office/drawing/2014/main" id="{00000000-0008-0000-0000-0000E7040000}"/>
            </a:ext>
          </a:extLst>
        </xdr:cNvPr>
        <xdr:cNvPicPr>
          <a:picLocks noChangeAspect="1"/>
        </xdr:cNvPicPr>
      </xdr:nvPicPr>
      <xdr:blipFill>
        <a:blip xmlns:r="http://schemas.openxmlformats.org/officeDocument/2006/relationships" r:embed="rId1232"/>
        <a:stretch>
          <a:fillRect/>
        </a:stretch>
      </xdr:blipFill>
      <xdr:spPr>
        <a:prstGeom prst="rect">
          <a:avLst/>
        </a:prstGeom>
        <a:ln w="9525">
          <a:solidFill>
            <a:srgbClr val="000000"/>
          </a:solidFill>
          <a:prstDash val="solid"/>
        </a:ln>
      </xdr:spPr>
    </xdr:pic>
    <xdr:clientData/>
  </xdr:twoCellAnchor>
  <xdr:twoCellAnchor>
    <xdr:from>
      <xdr:col>3</xdr:col>
      <xdr:colOff>114300</xdr:colOff>
      <xdr:row>3241</xdr:row>
      <xdr:rowOff>38100</xdr:rowOff>
    </xdr:from>
    <xdr:to>
      <xdr:col>3</xdr:col>
      <xdr:colOff>1552575</xdr:colOff>
      <xdr:row>3242</xdr:row>
      <xdr:rowOff>638175</xdr:rowOff>
    </xdr:to>
    <xdr:pic>
      <xdr:nvPicPr>
        <xdr:cNvPr id="1256" name="Имя " descr="Descr ">
          <a:extLst>
            <a:ext uri="{FF2B5EF4-FFF2-40B4-BE49-F238E27FC236}">
              <a16:creationId xmlns:a16="http://schemas.microsoft.com/office/drawing/2014/main" id="{00000000-0008-0000-0000-0000E8040000}"/>
            </a:ext>
          </a:extLst>
        </xdr:cNvPr>
        <xdr:cNvPicPr>
          <a:picLocks noChangeAspect="1"/>
        </xdr:cNvPicPr>
      </xdr:nvPicPr>
      <xdr:blipFill>
        <a:blip xmlns:r="http://schemas.openxmlformats.org/officeDocument/2006/relationships" r:embed="rId1233"/>
        <a:stretch>
          <a:fillRect/>
        </a:stretch>
      </xdr:blipFill>
      <xdr:spPr>
        <a:prstGeom prst="rect">
          <a:avLst/>
        </a:prstGeom>
        <a:ln w="9525">
          <a:solidFill>
            <a:srgbClr val="000000"/>
          </a:solidFill>
          <a:prstDash val="solid"/>
        </a:ln>
      </xdr:spPr>
    </xdr:pic>
    <xdr:clientData/>
  </xdr:twoCellAnchor>
  <xdr:twoCellAnchor>
    <xdr:from>
      <xdr:col>3</xdr:col>
      <xdr:colOff>114300</xdr:colOff>
      <xdr:row>3243</xdr:row>
      <xdr:rowOff>28575</xdr:rowOff>
    </xdr:from>
    <xdr:to>
      <xdr:col>3</xdr:col>
      <xdr:colOff>1552575</xdr:colOff>
      <xdr:row>3245</xdr:row>
      <xdr:rowOff>419100</xdr:rowOff>
    </xdr:to>
    <xdr:pic>
      <xdr:nvPicPr>
        <xdr:cNvPr id="1257" name="Имя " descr="Descr ">
          <a:extLst>
            <a:ext uri="{FF2B5EF4-FFF2-40B4-BE49-F238E27FC236}">
              <a16:creationId xmlns:a16="http://schemas.microsoft.com/office/drawing/2014/main" id="{00000000-0008-0000-0000-0000E9040000}"/>
            </a:ext>
          </a:extLst>
        </xdr:cNvPr>
        <xdr:cNvPicPr>
          <a:picLocks noChangeAspect="1"/>
        </xdr:cNvPicPr>
      </xdr:nvPicPr>
      <xdr:blipFill>
        <a:blip xmlns:r="http://schemas.openxmlformats.org/officeDocument/2006/relationships" r:embed="rId1234"/>
        <a:stretch>
          <a:fillRect/>
        </a:stretch>
      </xdr:blipFill>
      <xdr:spPr>
        <a:prstGeom prst="rect">
          <a:avLst/>
        </a:prstGeom>
        <a:ln w="9525">
          <a:solidFill>
            <a:srgbClr val="000000"/>
          </a:solidFill>
          <a:prstDash val="solid"/>
        </a:ln>
      </xdr:spPr>
    </xdr:pic>
    <xdr:clientData/>
  </xdr:twoCellAnchor>
  <xdr:twoCellAnchor>
    <xdr:from>
      <xdr:col>3</xdr:col>
      <xdr:colOff>114300</xdr:colOff>
      <xdr:row>3246</xdr:row>
      <xdr:rowOff>38100</xdr:rowOff>
    </xdr:from>
    <xdr:to>
      <xdr:col>3</xdr:col>
      <xdr:colOff>1552575</xdr:colOff>
      <xdr:row>3247</xdr:row>
      <xdr:rowOff>638175</xdr:rowOff>
    </xdr:to>
    <xdr:pic>
      <xdr:nvPicPr>
        <xdr:cNvPr id="1258" name="Имя " descr="Descr ">
          <a:extLst>
            <a:ext uri="{FF2B5EF4-FFF2-40B4-BE49-F238E27FC236}">
              <a16:creationId xmlns:a16="http://schemas.microsoft.com/office/drawing/2014/main" id="{00000000-0008-0000-0000-0000EA040000}"/>
            </a:ext>
          </a:extLst>
        </xdr:cNvPr>
        <xdr:cNvPicPr>
          <a:picLocks noChangeAspect="1"/>
        </xdr:cNvPicPr>
      </xdr:nvPicPr>
      <xdr:blipFill>
        <a:blip xmlns:r="http://schemas.openxmlformats.org/officeDocument/2006/relationships" r:embed="rId1235"/>
        <a:stretch>
          <a:fillRect/>
        </a:stretch>
      </xdr:blipFill>
      <xdr:spPr>
        <a:prstGeom prst="rect">
          <a:avLst/>
        </a:prstGeom>
        <a:ln w="9525">
          <a:solidFill>
            <a:srgbClr val="000000"/>
          </a:solidFill>
          <a:prstDash val="solid"/>
        </a:ln>
      </xdr:spPr>
    </xdr:pic>
    <xdr:clientData/>
  </xdr:twoCellAnchor>
  <xdr:twoCellAnchor>
    <xdr:from>
      <xdr:col>3</xdr:col>
      <xdr:colOff>114300</xdr:colOff>
      <xdr:row>3248</xdr:row>
      <xdr:rowOff>38100</xdr:rowOff>
    </xdr:from>
    <xdr:to>
      <xdr:col>3</xdr:col>
      <xdr:colOff>1552575</xdr:colOff>
      <xdr:row>3249</xdr:row>
      <xdr:rowOff>638175</xdr:rowOff>
    </xdr:to>
    <xdr:pic>
      <xdr:nvPicPr>
        <xdr:cNvPr id="1259" name="Имя " descr="Descr ">
          <a:extLst>
            <a:ext uri="{FF2B5EF4-FFF2-40B4-BE49-F238E27FC236}">
              <a16:creationId xmlns:a16="http://schemas.microsoft.com/office/drawing/2014/main" id="{00000000-0008-0000-0000-0000EB040000}"/>
            </a:ext>
          </a:extLst>
        </xdr:cNvPr>
        <xdr:cNvPicPr>
          <a:picLocks noChangeAspect="1"/>
        </xdr:cNvPicPr>
      </xdr:nvPicPr>
      <xdr:blipFill>
        <a:blip xmlns:r="http://schemas.openxmlformats.org/officeDocument/2006/relationships" r:embed="rId1236"/>
        <a:stretch>
          <a:fillRect/>
        </a:stretch>
      </xdr:blipFill>
      <xdr:spPr>
        <a:prstGeom prst="rect">
          <a:avLst/>
        </a:prstGeom>
        <a:ln w="9525">
          <a:solidFill>
            <a:srgbClr val="000000"/>
          </a:solidFill>
          <a:prstDash val="solid"/>
        </a:ln>
      </xdr:spPr>
    </xdr:pic>
    <xdr:clientData/>
  </xdr:twoCellAnchor>
  <xdr:twoCellAnchor>
    <xdr:from>
      <xdr:col>3</xdr:col>
      <xdr:colOff>114300</xdr:colOff>
      <xdr:row>3250</xdr:row>
      <xdr:rowOff>28575</xdr:rowOff>
    </xdr:from>
    <xdr:to>
      <xdr:col>3</xdr:col>
      <xdr:colOff>1552575</xdr:colOff>
      <xdr:row>3256</xdr:row>
      <xdr:rowOff>171450</xdr:rowOff>
    </xdr:to>
    <xdr:pic>
      <xdr:nvPicPr>
        <xdr:cNvPr id="1260" name="Имя " descr="Descr ">
          <a:extLst>
            <a:ext uri="{FF2B5EF4-FFF2-40B4-BE49-F238E27FC236}">
              <a16:creationId xmlns:a16="http://schemas.microsoft.com/office/drawing/2014/main" id="{00000000-0008-0000-0000-0000EC040000}"/>
            </a:ext>
          </a:extLst>
        </xdr:cNvPr>
        <xdr:cNvPicPr>
          <a:picLocks noChangeAspect="1"/>
        </xdr:cNvPicPr>
      </xdr:nvPicPr>
      <xdr:blipFill>
        <a:blip xmlns:r="http://schemas.openxmlformats.org/officeDocument/2006/relationships" r:embed="rId1237"/>
        <a:stretch>
          <a:fillRect/>
        </a:stretch>
      </xdr:blipFill>
      <xdr:spPr>
        <a:prstGeom prst="rect">
          <a:avLst/>
        </a:prstGeom>
        <a:ln w="9525">
          <a:solidFill>
            <a:srgbClr val="000000"/>
          </a:solidFill>
          <a:prstDash val="solid"/>
        </a:ln>
      </xdr:spPr>
    </xdr:pic>
    <xdr:clientData/>
  </xdr:twoCellAnchor>
  <xdr:twoCellAnchor>
    <xdr:from>
      <xdr:col>3</xdr:col>
      <xdr:colOff>114300</xdr:colOff>
      <xdr:row>3257</xdr:row>
      <xdr:rowOff>28575</xdr:rowOff>
    </xdr:from>
    <xdr:to>
      <xdr:col>3</xdr:col>
      <xdr:colOff>1552575</xdr:colOff>
      <xdr:row>3263</xdr:row>
      <xdr:rowOff>171450</xdr:rowOff>
    </xdr:to>
    <xdr:pic>
      <xdr:nvPicPr>
        <xdr:cNvPr id="1261" name="Имя " descr="Descr ">
          <a:extLst>
            <a:ext uri="{FF2B5EF4-FFF2-40B4-BE49-F238E27FC236}">
              <a16:creationId xmlns:a16="http://schemas.microsoft.com/office/drawing/2014/main" id="{00000000-0008-0000-0000-0000ED040000}"/>
            </a:ext>
          </a:extLst>
        </xdr:cNvPr>
        <xdr:cNvPicPr>
          <a:picLocks noChangeAspect="1"/>
        </xdr:cNvPicPr>
      </xdr:nvPicPr>
      <xdr:blipFill>
        <a:blip xmlns:r="http://schemas.openxmlformats.org/officeDocument/2006/relationships" r:embed="rId1238"/>
        <a:stretch>
          <a:fillRect/>
        </a:stretch>
      </xdr:blipFill>
      <xdr:spPr>
        <a:prstGeom prst="rect">
          <a:avLst/>
        </a:prstGeom>
        <a:ln w="9525">
          <a:solidFill>
            <a:srgbClr val="000000"/>
          </a:solidFill>
          <a:prstDash val="solid"/>
        </a:ln>
      </xdr:spPr>
    </xdr:pic>
    <xdr:clientData/>
  </xdr:twoCellAnchor>
  <xdr:twoCellAnchor>
    <xdr:from>
      <xdr:col>3</xdr:col>
      <xdr:colOff>114300</xdr:colOff>
      <xdr:row>3264</xdr:row>
      <xdr:rowOff>28575</xdr:rowOff>
    </xdr:from>
    <xdr:to>
      <xdr:col>3</xdr:col>
      <xdr:colOff>1552575</xdr:colOff>
      <xdr:row>3267</xdr:row>
      <xdr:rowOff>209550</xdr:rowOff>
    </xdr:to>
    <xdr:pic>
      <xdr:nvPicPr>
        <xdr:cNvPr id="1262" name="Имя " descr="Descr ">
          <a:extLst>
            <a:ext uri="{FF2B5EF4-FFF2-40B4-BE49-F238E27FC236}">
              <a16:creationId xmlns:a16="http://schemas.microsoft.com/office/drawing/2014/main" id="{00000000-0008-0000-0000-0000EE040000}"/>
            </a:ext>
          </a:extLst>
        </xdr:cNvPr>
        <xdr:cNvPicPr>
          <a:picLocks noChangeAspect="1"/>
        </xdr:cNvPicPr>
      </xdr:nvPicPr>
      <xdr:blipFill>
        <a:blip xmlns:r="http://schemas.openxmlformats.org/officeDocument/2006/relationships" r:embed="rId1239"/>
        <a:stretch>
          <a:fillRect/>
        </a:stretch>
      </xdr:blipFill>
      <xdr:spPr>
        <a:prstGeom prst="rect">
          <a:avLst/>
        </a:prstGeom>
        <a:ln w="9525">
          <a:solidFill>
            <a:srgbClr val="000000"/>
          </a:solidFill>
          <a:prstDash val="solid"/>
        </a:ln>
      </xdr:spPr>
    </xdr:pic>
    <xdr:clientData/>
  </xdr:twoCellAnchor>
  <xdr:twoCellAnchor>
    <xdr:from>
      <xdr:col>3</xdr:col>
      <xdr:colOff>114300</xdr:colOff>
      <xdr:row>3268</xdr:row>
      <xdr:rowOff>28575</xdr:rowOff>
    </xdr:from>
    <xdr:to>
      <xdr:col>3</xdr:col>
      <xdr:colOff>1552575</xdr:colOff>
      <xdr:row>3273</xdr:row>
      <xdr:rowOff>209550</xdr:rowOff>
    </xdr:to>
    <xdr:pic>
      <xdr:nvPicPr>
        <xdr:cNvPr id="1263" name="Имя " descr="Descr ">
          <a:extLst>
            <a:ext uri="{FF2B5EF4-FFF2-40B4-BE49-F238E27FC236}">
              <a16:creationId xmlns:a16="http://schemas.microsoft.com/office/drawing/2014/main" id="{00000000-0008-0000-0000-0000EF040000}"/>
            </a:ext>
          </a:extLst>
        </xdr:cNvPr>
        <xdr:cNvPicPr>
          <a:picLocks noChangeAspect="1"/>
        </xdr:cNvPicPr>
      </xdr:nvPicPr>
      <xdr:blipFill>
        <a:blip xmlns:r="http://schemas.openxmlformats.org/officeDocument/2006/relationships" r:embed="rId1240"/>
        <a:stretch>
          <a:fillRect/>
        </a:stretch>
      </xdr:blipFill>
      <xdr:spPr>
        <a:prstGeom prst="rect">
          <a:avLst/>
        </a:prstGeom>
        <a:ln w="9525">
          <a:solidFill>
            <a:srgbClr val="000000"/>
          </a:solidFill>
          <a:prstDash val="solid"/>
        </a:ln>
      </xdr:spPr>
    </xdr:pic>
    <xdr:clientData/>
  </xdr:twoCellAnchor>
  <xdr:twoCellAnchor>
    <xdr:from>
      <xdr:col>3</xdr:col>
      <xdr:colOff>114300</xdr:colOff>
      <xdr:row>3274</xdr:row>
      <xdr:rowOff>28575</xdr:rowOff>
    </xdr:from>
    <xdr:to>
      <xdr:col>3</xdr:col>
      <xdr:colOff>1552575</xdr:colOff>
      <xdr:row>3278</xdr:row>
      <xdr:rowOff>333375</xdr:rowOff>
    </xdr:to>
    <xdr:pic>
      <xdr:nvPicPr>
        <xdr:cNvPr id="1264" name="Имя " descr="Descr ">
          <a:extLst>
            <a:ext uri="{FF2B5EF4-FFF2-40B4-BE49-F238E27FC236}">
              <a16:creationId xmlns:a16="http://schemas.microsoft.com/office/drawing/2014/main" id="{00000000-0008-0000-0000-0000F0040000}"/>
            </a:ext>
          </a:extLst>
        </xdr:cNvPr>
        <xdr:cNvPicPr>
          <a:picLocks noChangeAspect="1"/>
        </xdr:cNvPicPr>
      </xdr:nvPicPr>
      <xdr:blipFill>
        <a:blip xmlns:r="http://schemas.openxmlformats.org/officeDocument/2006/relationships" r:embed="rId1241"/>
        <a:stretch>
          <a:fillRect/>
        </a:stretch>
      </xdr:blipFill>
      <xdr:spPr>
        <a:prstGeom prst="rect">
          <a:avLst/>
        </a:prstGeom>
        <a:ln w="9525">
          <a:solidFill>
            <a:srgbClr val="000000"/>
          </a:solidFill>
          <a:prstDash val="solid"/>
        </a:ln>
      </xdr:spPr>
    </xdr:pic>
    <xdr:clientData/>
  </xdr:twoCellAnchor>
  <xdr:twoCellAnchor>
    <xdr:from>
      <xdr:col>3</xdr:col>
      <xdr:colOff>114300</xdr:colOff>
      <xdr:row>3279</xdr:row>
      <xdr:rowOff>28575</xdr:rowOff>
    </xdr:from>
    <xdr:to>
      <xdr:col>3</xdr:col>
      <xdr:colOff>1552575</xdr:colOff>
      <xdr:row>3287</xdr:row>
      <xdr:rowOff>133350</xdr:rowOff>
    </xdr:to>
    <xdr:pic>
      <xdr:nvPicPr>
        <xdr:cNvPr id="1265" name="Имя " descr="Descr ">
          <a:extLst>
            <a:ext uri="{FF2B5EF4-FFF2-40B4-BE49-F238E27FC236}">
              <a16:creationId xmlns:a16="http://schemas.microsoft.com/office/drawing/2014/main" id="{00000000-0008-0000-0000-0000F1040000}"/>
            </a:ext>
          </a:extLst>
        </xdr:cNvPr>
        <xdr:cNvPicPr>
          <a:picLocks noChangeAspect="1"/>
        </xdr:cNvPicPr>
      </xdr:nvPicPr>
      <xdr:blipFill>
        <a:blip xmlns:r="http://schemas.openxmlformats.org/officeDocument/2006/relationships" r:embed="rId1242"/>
        <a:stretch>
          <a:fillRect/>
        </a:stretch>
      </xdr:blipFill>
      <xdr:spPr>
        <a:prstGeom prst="rect">
          <a:avLst/>
        </a:prstGeom>
        <a:ln w="9525">
          <a:solidFill>
            <a:srgbClr val="000000"/>
          </a:solidFill>
          <a:prstDash val="solid"/>
        </a:ln>
      </xdr:spPr>
    </xdr:pic>
    <xdr:clientData/>
  </xdr:twoCellAnchor>
  <xdr:twoCellAnchor>
    <xdr:from>
      <xdr:col>3</xdr:col>
      <xdr:colOff>114300</xdr:colOff>
      <xdr:row>3289</xdr:row>
      <xdr:rowOff>28575</xdr:rowOff>
    </xdr:from>
    <xdr:to>
      <xdr:col>3</xdr:col>
      <xdr:colOff>1552575</xdr:colOff>
      <xdr:row>3296</xdr:row>
      <xdr:rowOff>152400</xdr:rowOff>
    </xdr:to>
    <xdr:pic>
      <xdr:nvPicPr>
        <xdr:cNvPr id="1266" name="Имя " descr="Descr ">
          <a:extLst>
            <a:ext uri="{FF2B5EF4-FFF2-40B4-BE49-F238E27FC236}">
              <a16:creationId xmlns:a16="http://schemas.microsoft.com/office/drawing/2014/main" id="{00000000-0008-0000-0000-0000F2040000}"/>
            </a:ext>
          </a:extLst>
        </xdr:cNvPr>
        <xdr:cNvPicPr>
          <a:picLocks noChangeAspect="1"/>
        </xdr:cNvPicPr>
      </xdr:nvPicPr>
      <xdr:blipFill>
        <a:blip xmlns:r="http://schemas.openxmlformats.org/officeDocument/2006/relationships" r:embed="rId1243"/>
        <a:stretch>
          <a:fillRect/>
        </a:stretch>
      </xdr:blipFill>
      <xdr:spPr>
        <a:prstGeom prst="rect">
          <a:avLst/>
        </a:prstGeom>
        <a:ln w="9525">
          <a:solidFill>
            <a:srgbClr val="000000"/>
          </a:solidFill>
          <a:prstDash val="solid"/>
        </a:ln>
      </xdr:spPr>
    </xdr:pic>
    <xdr:clientData/>
  </xdr:twoCellAnchor>
  <xdr:twoCellAnchor>
    <xdr:from>
      <xdr:col>3</xdr:col>
      <xdr:colOff>114300</xdr:colOff>
      <xdr:row>3297</xdr:row>
      <xdr:rowOff>28575</xdr:rowOff>
    </xdr:from>
    <xdr:to>
      <xdr:col>3</xdr:col>
      <xdr:colOff>1552575</xdr:colOff>
      <xdr:row>3305</xdr:row>
      <xdr:rowOff>133350</xdr:rowOff>
    </xdr:to>
    <xdr:pic>
      <xdr:nvPicPr>
        <xdr:cNvPr id="1267" name="Имя " descr="Descr ">
          <a:extLst>
            <a:ext uri="{FF2B5EF4-FFF2-40B4-BE49-F238E27FC236}">
              <a16:creationId xmlns:a16="http://schemas.microsoft.com/office/drawing/2014/main" id="{00000000-0008-0000-0000-0000F3040000}"/>
            </a:ext>
          </a:extLst>
        </xdr:cNvPr>
        <xdr:cNvPicPr>
          <a:picLocks noChangeAspect="1"/>
        </xdr:cNvPicPr>
      </xdr:nvPicPr>
      <xdr:blipFill>
        <a:blip xmlns:r="http://schemas.openxmlformats.org/officeDocument/2006/relationships" r:embed="rId1244"/>
        <a:stretch>
          <a:fillRect/>
        </a:stretch>
      </xdr:blipFill>
      <xdr:spPr>
        <a:prstGeom prst="rect">
          <a:avLst/>
        </a:prstGeom>
        <a:ln w="9525">
          <a:solidFill>
            <a:srgbClr val="000000"/>
          </a:solidFill>
          <a:prstDash val="solid"/>
        </a:ln>
      </xdr:spPr>
    </xdr:pic>
    <xdr:clientData/>
  </xdr:twoCellAnchor>
  <xdr:twoCellAnchor>
    <xdr:from>
      <xdr:col>3</xdr:col>
      <xdr:colOff>114300</xdr:colOff>
      <xdr:row>3306</xdr:row>
      <xdr:rowOff>28575</xdr:rowOff>
    </xdr:from>
    <xdr:to>
      <xdr:col>3</xdr:col>
      <xdr:colOff>1552575</xdr:colOff>
      <xdr:row>3311</xdr:row>
      <xdr:rowOff>209550</xdr:rowOff>
    </xdr:to>
    <xdr:pic>
      <xdr:nvPicPr>
        <xdr:cNvPr id="1268" name="Имя " descr="Descr ">
          <a:extLst>
            <a:ext uri="{FF2B5EF4-FFF2-40B4-BE49-F238E27FC236}">
              <a16:creationId xmlns:a16="http://schemas.microsoft.com/office/drawing/2014/main" id="{00000000-0008-0000-0000-0000F4040000}"/>
            </a:ext>
          </a:extLst>
        </xdr:cNvPr>
        <xdr:cNvPicPr>
          <a:picLocks noChangeAspect="1"/>
        </xdr:cNvPicPr>
      </xdr:nvPicPr>
      <xdr:blipFill>
        <a:blip xmlns:r="http://schemas.openxmlformats.org/officeDocument/2006/relationships" r:embed="rId1245"/>
        <a:stretch>
          <a:fillRect/>
        </a:stretch>
      </xdr:blipFill>
      <xdr:spPr>
        <a:prstGeom prst="rect">
          <a:avLst/>
        </a:prstGeom>
        <a:ln w="9525">
          <a:solidFill>
            <a:srgbClr val="000000"/>
          </a:solidFill>
          <a:prstDash val="solid"/>
        </a:ln>
      </xdr:spPr>
    </xdr:pic>
    <xdr:clientData/>
  </xdr:twoCellAnchor>
  <xdr:twoCellAnchor>
    <xdr:from>
      <xdr:col>3</xdr:col>
      <xdr:colOff>114300</xdr:colOff>
      <xdr:row>3312</xdr:row>
      <xdr:rowOff>28575</xdr:rowOff>
    </xdr:from>
    <xdr:to>
      <xdr:col>3</xdr:col>
      <xdr:colOff>1552575</xdr:colOff>
      <xdr:row>3318</xdr:row>
      <xdr:rowOff>171450</xdr:rowOff>
    </xdr:to>
    <xdr:pic>
      <xdr:nvPicPr>
        <xdr:cNvPr id="1269" name="Имя " descr="Descr ">
          <a:extLst>
            <a:ext uri="{FF2B5EF4-FFF2-40B4-BE49-F238E27FC236}">
              <a16:creationId xmlns:a16="http://schemas.microsoft.com/office/drawing/2014/main" id="{00000000-0008-0000-0000-0000F5040000}"/>
            </a:ext>
          </a:extLst>
        </xdr:cNvPr>
        <xdr:cNvPicPr>
          <a:picLocks noChangeAspect="1"/>
        </xdr:cNvPicPr>
      </xdr:nvPicPr>
      <xdr:blipFill>
        <a:blip xmlns:r="http://schemas.openxmlformats.org/officeDocument/2006/relationships" r:embed="rId1246"/>
        <a:stretch>
          <a:fillRect/>
        </a:stretch>
      </xdr:blipFill>
      <xdr:spPr>
        <a:prstGeom prst="rect">
          <a:avLst/>
        </a:prstGeom>
        <a:ln w="9525">
          <a:solidFill>
            <a:srgbClr val="000000"/>
          </a:solidFill>
          <a:prstDash val="solid"/>
        </a:ln>
      </xdr:spPr>
    </xdr:pic>
    <xdr:clientData/>
  </xdr:twoCellAnchor>
  <xdr:twoCellAnchor>
    <xdr:from>
      <xdr:col>3</xdr:col>
      <xdr:colOff>114300</xdr:colOff>
      <xdr:row>3319</xdr:row>
      <xdr:rowOff>28575</xdr:rowOff>
    </xdr:from>
    <xdr:to>
      <xdr:col>3</xdr:col>
      <xdr:colOff>1552575</xdr:colOff>
      <xdr:row>3324</xdr:row>
      <xdr:rowOff>209550</xdr:rowOff>
    </xdr:to>
    <xdr:pic>
      <xdr:nvPicPr>
        <xdr:cNvPr id="1270" name="Имя " descr="Descr ">
          <a:extLst>
            <a:ext uri="{FF2B5EF4-FFF2-40B4-BE49-F238E27FC236}">
              <a16:creationId xmlns:a16="http://schemas.microsoft.com/office/drawing/2014/main" id="{00000000-0008-0000-0000-0000F6040000}"/>
            </a:ext>
          </a:extLst>
        </xdr:cNvPr>
        <xdr:cNvPicPr>
          <a:picLocks noChangeAspect="1"/>
        </xdr:cNvPicPr>
      </xdr:nvPicPr>
      <xdr:blipFill>
        <a:blip xmlns:r="http://schemas.openxmlformats.org/officeDocument/2006/relationships" r:embed="rId1247"/>
        <a:stretch>
          <a:fillRect/>
        </a:stretch>
      </xdr:blipFill>
      <xdr:spPr>
        <a:prstGeom prst="rect">
          <a:avLst/>
        </a:prstGeom>
        <a:ln w="9525">
          <a:solidFill>
            <a:srgbClr val="000000"/>
          </a:solidFill>
          <a:prstDash val="solid"/>
        </a:ln>
      </xdr:spPr>
    </xdr:pic>
    <xdr:clientData/>
  </xdr:twoCellAnchor>
  <xdr:twoCellAnchor>
    <xdr:from>
      <xdr:col>3</xdr:col>
      <xdr:colOff>114300</xdr:colOff>
      <xdr:row>3325</xdr:row>
      <xdr:rowOff>28575</xdr:rowOff>
    </xdr:from>
    <xdr:to>
      <xdr:col>3</xdr:col>
      <xdr:colOff>1552575</xdr:colOff>
      <xdr:row>3332</xdr:row>
      <xdr:rowOff>152400</xdr:rowOff>
    </xdr:to>
    <xdr:pic>
      <xdr:nvPicPr>
        <xdr:cNvPr id="1271" name="Имя " descr="Descr ">
          <a:extLst>
            <a:ext uri="{FF2B5EF4-FFF2-40B4-BE49-F238E27FC236}">
              <a16:creationId xmlns:a16="http://schemas.microsoft.com/office/drawing/2014/main" id="{00000000-0008-0000-0000-0000F7040000}"/>
            </a:ext>
          </a:extLst>
        </xdr:cNvPr>
        <xdr:cNvPicPr>
          <a:picLocks noChangeAspect="1"/>
        </xdr:cNvPicPr>
      </xdr:nvPicPr>
      <xdr:blipFill>
        <a:blip xmlns:r="http://schemas.openxmlformats.org/officeDocument/2006/relationships" r:embed="rId1248"/>
        <a:stretch>
          <a:fillRect/>
        </a:stretch>
      </xdr:blipFill>
      <xdr:spPr>
        <a:prstGeom prst="rect">
          <a:avLst/>
        </a:prstGeom>
        <a:ln w="9525">
          <a:solidFill>
            <a:srgbClr val="000000"/>
          </a:solidFill>
          <a:prstDash val="solid"/>
        </a:ln>
      </xdr:spPr>
    </xdr:pic>
    <xdr:clientData/>
  </xdr:twoCellAnchor>
  <xdr:twoCellAnchor>
    <xdr:from>
      <xdr:col>3</xdr:col>
      <xdr:colOff>114300</xdr:colOff>
      <xdr:row>3333</xdr:row>
      <xdr:rowOff>28575</xdr:rowOff>
    </xdr:from>
    <xdr:to>
      <xdr:col>3</xdr:col>
      <xdr:colOff>1552575</xdr:colOff>
      <xdr:row>3340</xdr:row>
      <xdr:rowOff>152400</xdr:rowOff>
    </xdr:to>
    <xdr:pic>
      <xdr:nvPicPr>
        <xdr:cNvPr id="1272" name="Имя " descr="Descr ">
          <a:extLst>
            <a:ext uri="{FF2B5EF4-FFF2-40B4-BE49-F238E27FC236}">
              <a16:creationId xmlns:a16="http://schemas.microsoft.com/office/drawing/2014/main" id="{00000000-0008-0000-0000-0000F8040000}"/>
            </a:ext>
          </a:extLst>
        </xdr:cNvPr>
        <xdr:cNvPicPr>
          <a:picLocks noChangeAspect="1"/>
        </xdr:cNvPicPr>
      </xdr:nvPicPr>
      <xdr:blipFill>
        <a:blip xmlns:r="http://schemas.openxmlformats.org/officeDocument/2006/relationships" r:embed="rId1249"/>
        <a:stretch>
          <a:fillRect/>
        </a:stretch>
      </xdr:blipFill>
      <xdr:spPr>
        <a:prstGeom prst="rect">
          <a:avLst/>
        </a:prstGeom>
        <a:ln w="9525">
          <a:solidFill>
            <a:srgbClr val="000000"/>
          </a:solidFill>
          <a:prstDash val="solid"/>
        </a:ln>
      </xdr:spPr>
    </xdr:pic>
    <xdr:clientData/>
  </xdr:twoCellAnchor>
  <xdr:twoCellAnchor>
    <xdr:from>
      <xdr:col>3</xdr:col>
      <xdr:colOff>114300</xdr:colOff>
      <xdr:row>3341</xdr:row>
      <xdr:rowOff>28575</xdr:rowOff>
    </xdr:from>
    <xdr:to>
      <xdr:col>3</xdr:col>
      <xdr:colOff>1552575</xdr:colOff>
      <xdr:row>3348</xdr:row>
      <xdr:rowOff>152400</xdr:rowOff>
    </xdr:to>
    <xdr:pic>
      <xdr:nvPicPr>
        <xdr:cNvPr id="1273" name="Имя " descr="Descr ">
          <a:extLst>
            <a:ext uri="{FF2B5EF4-FFF2-40B4-BE49-F238E27FC236}">
              <a16:creationId xmlns:a16="http://schemas.microsoft.com/office/drawing/2014/main" id="{00000000-0008-0000-0000-0000F9040000}"/>
            </a:ext>
          </a:extLst>
        </xdr:cNvPr>
        <xdr:cNvPicPr>
          <a:picLocks noChangeAspect="1"/>
        </xdr:cNvPicPr>
      </xdr:nvPicPr>
      <xdr:blipFill>
        <a:blip xmlns:r="http://schemas.openxmlformats.org/officeDocument/2006/relationships" r:embed="rId1250"/>
        <a:stretch>
          <a:fillRect/>
        </a:stretch>
      </xdr:blipFill>
      <xdr:spPr>
        <a:prstGeom prst="rect">
          <a:avLst/>
        </a:prstGeom>
        <a:ln w="9525">
          <a:solidFill>
            <a:srgbClr val="000000"/>
          </a:solidFill>
          <a:prstDash val="solid"/>
        </a:ln>
      </xdr:spPr>
    </xdr:pic>
    <xdr:clientData/>
  </xdr:twoCellAnchor>
  <xdr:twoCellAnchor>
    <xdr:from>
      <xdr:col>3</xdr:col>
      <xdr:colOff>114300</xdr:colOff>
      <xdr:row>3349</xdr:row>
      <xdr:rowOff>28575</xdr:rowOff>
    </xdr:from>
    <xdr:to>
      <xdr:col>3</xdr:col>
      <xdr:colOff>1552575</xdr:colOff>
      <xdr:row>3357</xdr:row>
      <xdr:rowOff>133350</xdr:rowOff>
    </xdr:to>
    <xdr:pic>
      <xdr:nvPicPr>
        <xdr:cNvPr id="1274" name="Имя " descr="Descr ">
          <a:extLst>
            <a:ext uri="{FF2B5EF4-FFF2-40B4-BE49-F238E27FC236}">
              <a16:creationId xmlns:a16="http://schemas.microsoft.com/office/drawing/2014/main" id="{00000000-0008-0000-0000-0000FA040000}"/>
            </a:ext>
          </a:extLst>
        </xdr:cNvPr>
        <xdr:cNvPicPr>
          <a:picLocks noChangeAspect="1"/>
        </xdr:cNvPicPr>
      </xdr:nvPicPr>
      <xdr:blipFill>
        <a:blip xmlns:r="http://schemas.openxmlformats.org/officeDocument/2006/relationships" r:embed="rId1251"/>
        <a:stretch>
          <a:fillRect/>
        </a:stretch>
      </xdr:blipFill>
      <xdr:spPr>
        <a:prstGeom prst="rect">
          <a:avLst/>
        </a:prstGeom>
        <a:ln w="9525">
          <a:solidFill>
            <a:srgbClr val="000000"/>
          </a:solidFill>
          <a:prstDash val="solid"/>
        </a:ln>
      </xdr:spPr>
    </xdr:pic>
    <xdr:clientData/>
  </xdr:twoCellAnchor>
  <xdr:twoCellAnchor>
    <xdr:from>
      <xdr:col>3</xdr:col>
      <xdr:colOff>114300</xdr:colOff>
      <xdr:row>3359</xdr:row>
      <xdr:rowOff>28575</xdr:rowOff>
    </xdr:from>
    <xdr:to>
      <xdr:col>3</xdr:col>
      <xdr:colOff>1552575</xdr:colOff>
      <xdr:row>3366</xdr:row>
      <xdr:rowOff>152400</xdr:rowOff>
    </xdr:to>
    <xdr:pic>
      <xdr:nvPicPr>
        <xdr:cNvPr id="1275" name="Имя " descr="Descr ">
          <a:extLst>
            <a:ext uri="{FF2B5EF4-FFF2-40B4-BE49-F238E27FC236}">
              <a16:creationId xmlns:a16="http://schemas.microsoft.com/office/drawing/2014/main" id="{00000000-0008-0000-0000-0000FB040000}"/>
            </a:ext>
          </a:extLst>
        </xdr:cNvPr>
        <xdr:cNvPicPr>
          <a:picLocks noChangeAspect="1"/>
        </xdr:cNvPicPr>
      </xdr:nvPicPr>
      <xdr:blipFill>
        <a:blip xmlns:r="http://schemas.openxmlformats.org/officeDocument/2006/relationships" r:embed="rId1252"/>
        <a:stretch>
          <a:fillRect/>
        </a:stretch>
      </xdr:blipFill>
      <xdr:spPr>
        <a:prstGeom prst="rect">
          <a:avLst/>
        </a:prstGeom>
        <a:ln w="9525">
          <a:solidFill>
            <a:srgbClr val="000000"/>
          </a:solidFill>
          <a:prstDash val="solid"/>
        </a:ln>
      </xdr:spPr>
    </xdr:pic>
    <xdr:clientData/>
  </xdr:twoCellAnchor>
  <xdr:twoCellAnchor>
    <xdr:from>
      <xdr:col>3</xdr:col>
      <xdr:colOff>114300</xdr:colOff>
      <xdr:row>3367</xdr:row>
      <xdr:rowOff>28575</xdr:rowOff>
    </xdr:from>
    <xdr:to>
      <xdr:col>3</xdr:col>
      <xdr:colOff>1552575</xdr:colOff>
      <xdr:row>3371</xdr:row>
      <xdr:rowOff>333375</xdr:rowOff>
    </xdr:to>
    <xdr:pic>
      <xdr:nvPicPr>
        <xdr:cNvPr id="1276" name="Имя " descr="Descr ">
          <a:extLst>
            <a:ext uri="{FF2B5EF4-FFF2-40B4-BE49-F238E27FC236}">
              <a16:creationId xmlns:a16="http://schemas.microsoft.com/office/drawing/2014/main" id="{00000000-0008-0000-0000-0000FC040000}"/>
            </a:ext>
          </a:extLst>
        </xdr:cNvPr>
        <xdr:cNvPicPr>
          <a:picLocks noChangeAspect="1"/>
        </xdr:cNvPicPr>
      </xdr:nvPicPr>
      <xdr:blipFill>
        <a:blip xmlns:r="http://schemas.openxmlformats.org/officeDocument/2006/relationships" r:embed="rId1253"/>
        <a:stretch>
          <a:fillRect/>
        </a:stretch>
      </xdr:blipFill>
      <xdr:spPr>
        <a:prstGeom prst="rect">
          <a:avLst/>
        </a:prstGeom>
        <a:ln w="9525">
          <a:solidFill>
            <a:srgbClr val="000000"/>
          </a:solidFill>
          <a:prstDash val="solid"/>
        </a:ln>
      </xdr:spPr>
    </xdr:pic>
    <xdr:clientData/>
  </xdr:twoCellAnchor>
  <xdr:twoCellAnchor>
    <xdr:from>
      <xdr:col>3</xdr:col>
      <xdr:colOff>114300</xdr:colOff>
      <xdr:row>3372</xdr:row>
      <xdr:rowOff>28575</xdr:rowOff>
    </xdr:from>
    <xdr:to>
      <xdr:col>3</xdr:col>
      <xdr:colOff>1552575</xdr:colOff>
      <xdr:row>3377</xdr:row>
      <xdr:rowOff>209550</xdr:rowOff>
    </xdr:to>
    <xdr:pic>
      <xdr:nvPicPr>
        <xdr:cNvPr id="1277" name="Имя " descr="Descr ">
          <a:extLst>
            <a:ext uri="{FF2B5EF4-FFF2-40B4-BE49-F238E27FC236}">
              <a16:creationId xmlns:a16="http://schemas.microsoft.com/office/drawing/2014/main" id="{00000000-0008-0000-0000-0000FD040000}"/>
            </a:ext>
          </a:extLst>
        </xdr:cNvPr>
        <xdr:cNvPicPr>
          <a:picLocks noChangeAspect="1"/>
        </xdr:cNvPicPr>
      </xdr:nvPicPr>
      <xdr:blipFill>
        <a:blip xmlns:r="http://schemas.openxmlformats.org/officeDocument/2006/relationships" r:embed="rId1254"/>
        <a:stretch>
          <a:fillRect/>
        </a:stretch>
      </xdr:blipFill>
      <xdr:spPr>
        <a:prstGeom prst="rect">
          <a:avLst/>
        </a:prstGeom>
        <a:ln w="9525">
          <a:solidFill>
            <a:srgbClr val="000000"/>
          </a:solidFill>
          <a:prstDash val="solid"/>
        </a:ln>
      </xdr:spPr>
    </xdr:pic>
    <xdr:clientData/>
  </xdr:twoCellAnchor>
  <xdr:twoCellAnchor>
    <xdr:from>
      <xdr:col>3</xdr:col>
      <xdr:colOff>114300</xdr:colOff>
      <xdr:row>3378</xdr:row>
      <xdr:rowOff>38100</xdr:rowOff>
    </xdr:from>
    <xdr:to>
      <xdr:col>3</xdr:col>
      <xdr:colOff>1552575</xdr:colOff>
      <xdr:row>3379</xdr:row>
      <xdr:rowOff>638175</xdr:rowOff>
    </xdr:to>
    <xdr:pic>
      <xdr:nvPicPr>
        <xdr:cNvPr id="1278" name="Имя " descr="Descr ">
          <a:extLst>
            <a:ext uri="{FF2B5EF4-FFF2-40B4-BE49-F238E27FC236}">
              <a16:creationId xmlns:a16="http://schemas.microsoft.com/office/drawing/2014/main" id="{00000000-0008-0000-0000-0000FE040000}"/>
            </a:ext>
          </a:extLst>
        </xdr:cNvPr>
        <xdr:cNvPicPr>
          <a:picLocks noChangeAspect="1"/>
        </xdr:cNvPicPr>
      </xdr:nvPicPr>
      <xdr:blipFill>
        <a:blip xmlns:r="http://schemas.openxmlformats.org/officeDocument/2006/relationships" r:embed="rId1255"/>
        <a:stretch>
          <a:fillRect/>
        </a:stretch>
      </xdr:blipFill>
      <xdr:spPr>
        <a:prstGeom prst="rect">
          <a:avLst/>
        </a:prstGeom>
        <a:ln w="9525">
          <a:solidFill>
            <a:srgbClr val="000000"/>
          </a:solidFill>
          <a:prstDash val="solid"/>
        </a:ln>
      </xdr:spPr>
    </xdr:pic>
    <xdr:clientData/>
  </xdr:twoCellAnchor>
  <xdr:twoCellAnchor>
    <xdr:from>
      <xdr:col>3</xdr:col>
      <xdr:colOff>114300</xdr:colOff>
      <xdr:row>3380</xdr:row>
      <xdr:rowOff>28575</xdr:rowOff>
    </xdr:from>
    <xdr:to>
      <xdr:col>3</xdr:col>
      <xdr:colOff>1552575</xdr:colOff>
      <xdr:row>3386</xdr:row>
      <xdr:rowOff>171450</xdr:rowOff>
    </xdr:to>
    <xdr:pic>
      <xdr:nvPicPr>
        <xdr:cNvPr id="1279" name="Имя " descr="Descr ">
          <a:extLst>
            <a:ext uri="{FF2B5EF4-FFF2-40B4-BE49-F238E27FC236}">
              <a16:creationId xmlns:a16="http://schemas.microsoft.com/office/drawing/2014/main" id="{00000000-0008-0000-0000-0000FF040000}"/>
            </a:ext>
          </a:extLst>
        </xdr:cNvPr>
        <xdr:cNvPicPr>
          <a:picLocks noChangeAspect="1"/>
        </xdr:cNvPicPr>
      </xdr:nvPicPr>
      <xdr:blipFill>
        <a:blip xmlns:r="http://schemas.openxmlformats.org/officeDocument/2006/relationships" r:embed="rId1256"/>
        <a:stretch>
          <a:fillRect/>
        </a:stretch>
      </xdr:blipFill>
      <xdr:spPr>
        <a:prstGeom prst="rect">
          <a:avLst/>
        </a:prstGeom>
        <a:ln w="9525">
          <a:solidFill>
            <a:srgbClr val="000000"/>
          </a:solidFill>
          <a:prstDash val="solid"/>
        </a:ln>
      </xdr:spPr>
    </xdr:pic>
    <xdr:clientData/>
  </xdr:twoCellAnchor>
  <xdr:twoCellAnchor>
    <xdr:from>
      <xdr:col>3</xdr:col>
      <xdr:colOff>114300</xdr:colOff>
      <xdr:row>3387</xdr:row>
      <xdr:rowOff>28575</xdr:rowOff>
    </xdr:from>
    <xdr:to>
      <xdr:col>3</xdr:col>
      <xdr:colOff>1552575</xdr:colOff>
      <xdr:row>3395</xdr:row>
      <xdr:rowOff>133350</xdr:rowOff>
    </xdr:to>
    <xdr:pic>
      <xdr:nvPicPr>
        <xdr:cNvPr id="1280" name="Имя " descr="Descr ">
          <a:extLst>
            <a:ext uri="{FF2B5EF4-FFF2-40B4-BE49-F238E27FC236}">
              <a16:creationId xmlns:a16="http://schemas.microsoft.com/office/drawing/2014/main" id="{00000000-0008-0000-0000-000000050000}"/>
            </a:ext>
          </a:extLst>
        </xdr:cNvPr>
        <xdr:cNvPicPr>
          <a:picLocks noChangeAspect="1"/>
        </xdr:cNvPicPr>
      </xdr:nvPicPr>
      <xdr:blipFill>
        <a:blip xmlns:r="http://schemas.openxmlformats.org/officeDocument/2006/relationships" r:embed="rId1257"/>
        <a:stretch>
          <a:fillRect/>
        </a:stretch>
      </xdr:blipFill>
      <xdr:spPr>
        <a:prstGeom prst="rect">
          <a:avLst/>
        </a:prstGeom>
        <a:ln w="9525">
          <a:solidFill>
            <a:srgbClr val="000000"/>
          </a:solidFill>
          <a:prstDash val="solid"/>
        </a:ln>
      </xdr:spPr>
    </xdr:pic>
    <xdr:clientData/>
  </xdr:twoCellAnchor>
  <xdr:twoCellAnchor>
    <xdr:from>
      <xdr:col>3</xdr:col>
      <xdr:colOff>114300</xdr:colOff>
      <xdr:row>3396</xdr:row>
      <xdr:rowOff>28575</xdr:rowOff>
    </xdr:from>
    <xdr:to>
      <xdr:col>3</xdr:col>
      <xdr:colOff>1552575</xdr:colOff>
      <xdr:row>3403</xdr:row>
      <xdr:rowOff>152400</xdr:rowOff>
    </xdr:to>
    <xdr:pic>
      <xdr:nvPicPr>
        <xdr:cNvPr id="1281" name="Имя " descr="Descr ">
          <a:extLst>
            <a:ext uri="{FF2B5EF4-FFF2-40B4-BE49-F238E27FC236}">
              <a16:creationId xmlns:a16="http://schemas.microsoft.com/office/drawing/2014/main" id="{00000000-0008-0000-0000-000001050000}"/>
            </a:ext>
          </a:extLst>
        </xdr:cNvPr>
        <xdr:cNvPicPr>
          <a:picLocks noChangeAspect="1"/>
        </xdr:cNvPicPr>
      </xdr:nvPicPr>
      <xdr:blipFill>
        <a:blip xmlns:r="http://schemas.openxmlformats.org/officeDocument/2006/relationships" r:embed="rId1258"/>
        <a:stretch>
          <a:fillRect/>
        </a:stretch>
      </xdr:blipFill>
      <xdr:spPr>
        <a:prstGeom prst="rect">
          <a:avLst/>
        </a:prstGeom>
        <a:ln w="9525">
          <a:solidFill>
            <a:srgbClr val="000000"/>
          </a:solidFill>
          <a:prstDash val="solid"/>
        </a:ln>
      </xdr:spPr>
    </xdr:pic>
    <xdr:clientData/>
  </xdr:twoCellAnchor>
  <xdr:twoCellAnchor>
    <xdr:from>
      <xdr:col>3</xdr:col>
      <xdr:colOff>114300</xdr:colOff>
      <xdr:row>3404</xdr:row>
      <xdr:rowOff>28575</xdr:rowOff>
    </xdr:from>
    <xdr:to>
      <xdr:col>3</xdr:col>
      <xdr:colOff>1552575</xdr:colOff>
      <xdr:row>3406</xdr:row>
      <xdr:rowOff>419100</xdr:rowOff>
    </xdr:to>
    <xdr:pic>
      <xdr:nvPicPr>
        <xdr:cNvPr id="1282" name="Имя " descr="Descr ">
          <a:extLst>
            <a:ext uri="{FF2B5EF4-FFF2-40B4-BE49-F238E27FC236}">
              <a16:creationId xmlns:a16="http://schemas.microsoft.com/office/drawing/2014/main" id="{00000000-0008-0000-0000-000002050000}"/>
            </a:ext>
          </a:extLst>
        </xdr:cNvPr>
        <xdr:cNvPicPr>
          <a:picLocks noChangeAspect="1"/>
        </xdr:cNvPicPr>
      </xdr:nvPicPr>
      <xdr:blipFill>
        <a:blip xmlns:r="http://schemas.openxmlformats.org/officeDocument/2006/relationships" r:embed="rId1259"/>
        <a:stretch>
          <a:fillRect/>
        </a:stretch>
      </xdr:blipFill>
      <xdr:spPr>
        <a:prstGeom prst="rect">
          <a:avLst/>
        </a:prstGeom>
        <a:ln w="9525">
          <a:solidFill>
            <a:srgbClr val="000000"/>
          </a:solidFill>
          <a:prstDash val="solid"/>
        </a:ln>
      </xdr:spPr>
    </xdr:pic>
    <xdr:clientData/>
  </xdr:twoCellAnchor>
  <xdr:twoCellAnchor>
    <xdr:from>
      <xdr:col>3</xdr:col>
      <xdr:colOff>114300</xdr:colOff>
      <xdr:row>3407</xdr:row>
      <xdr:rowOff>28575</xdr:rowOff>
    </xdr:from>
    <xdr:to>
      <xdr:col>3</xdr:col>
      <xdr:colOff>1552575</xdr:colOff>
      <xdr:row>3414</xdr:row>
      <xdr:rowOff>152400</xdr:rowOff>
    </xdr:to>
    <xdr:pic>
      <xdr:nvPicPr>
        <xdr:cNvPr id="1283" name="Имя " descr="Descr ">
          <a:extLst>
            <a:ext uri="{FF2B5EF4-FFF2-40B4-BE49-F238E27FC236}">
              <a16:creationId xmlns:a16="http://schemas.microsoft.com/office/drawing/2014/main" id="{00000000-0008-0000-0000-000003050000}"/>
            </a:ext>
          </a:extLst>
        </xdr:cNvPr>
        <xdr:cNvPicPr>
          <a:picLocks noChangeAspect="1"/>
        </xdr:cNvPicPr>
      </xdr:nvPicPr>
      <xdr:blipFill>
        <a:blip xmlns:r="http://schemas.openxmlformats.org/officeDocument/2006/relationships" r:embed="rId1260"/>
        <a:stretch>
          <a:fillRect/>
        </a:stretch>
      </xdr:blipFill>
      <xdr:spPr>
        <a:prstGeom prst="rect">
          <a:avLst/>
        </a:prstGeom>
        <a:ln w="9525">
          <a:solidFill>
            <a:srgbClr val="000000"/>
          </a:solidFill>
          <a:prstDash val="solid"/>
        </a:ln>
      </xdr:spPr>
    </xdr:pic>
    <xdr:clientData/>
  </xdr:twoCellAnchor>
  <xdr:twoCellAnchor>
    <xdr:from>
      <xdr:col>3</xdr:col>
      <xdr:colOff>114300</xdr:colOff>
      <xdr:row>3415</xdr:row>
      <xdr:rowOff>28575</xdr:rowOff>
    </xdr:from>
    <xdr:to>
      <xdr:col>3</xdr:col>
      <xdr:colOff>1552575</xdr:colOff>
      <xdr:row>3422</xdr:row>
      <xdr:rowOff>152400</xdr:rowOff>
    </xdr:to>
    <xdr:pic>
      <xdr:nvPicPr>
        <xdr:cNvPr id="1284" name="Имя " descr="Descr ">
          <a:extLst>
            <a:ext uri="{FF2B5EF4-FFF2-40B4-BE49-F238E27FC236}">
              <a16:creationId xmlns:a16="http://schemas.microsoft.com/office/drawing/2014/main" id="{00000000-0008-0000-0000-000004050000}"/>
            </a:ext>
          </a:extLst>
        </xdr:cNvPr>
        <xdr:cNvPicPr>
          <a:picLocks noChangeAspect="1"/>
        </xdr:cNvPicPr>
      </xdr:nvPicPr>
      <xdr:blipFill>
        <a:blip xmlns:r="http://schemas.openxmlformats.org/officeDocument/2006/relationships" r:embed="rId1261"/>
        <a:stretch>
          <a:fillRect/>
        </a:stretch>
      </xdr:blipFill>
      <xdr:spPr>
        <a:prstGeom prst="rect">
          <a:avLst/>
        </a:prstGeom>
        <a:ln w="9525">
          <a:solidFill>
            <a:srgbClr val="000000"/>
          </a:solidFill>
          <a:prstDash val="solid"/>
        </a:ln>
      </xdr:spPr>
    </xdr:pic>
    <xdr:clientData/>
  </xdr:twoCellAnchor>
  <xdr:twoCellAnchor>
    <xdr:from>
      <xdr:col>3</xdr:col>
      <xdr:colOff>114300</xdr:colOff>
      <xdr:row>3423</xdr:row>
      <xdr:rowOff>28575</xdr:rowOff>
    </xdr:from>
    <xdr:to>
      <xdr:col>3</xdr:col>
      <xdr:colOff>1552575</xdr:colOff>
      <xdr:row>3429</xdr:row>
      <xdr:rowOff>171450</xdr:rowOff>
    </xdr:to>
    <xdr:pic>
      <xdr:nvPicPr>
        <xdr:cNvPr id="1285" name="Имя " descr="Descr ">
          <a:extLst>
            <a:ext uri="{FF2B5EF4-FFF2-40B4-BE49-F238E27FC236}">
              <a16:creationId xmlns:a16="http://schemas.microsoft.com/office/drawing/2014/main" id="{00000000-0008-0000-0000-000005050000}"/>
            </a:ext>
          </a:extLst>
        </xdr:cNvPr>
        <xdr:cNvPicPr>
          <a:picLocks noChangeAspect="1"/>
        </xdr:cNvPicPr>
      </xdr:nvPicPr>
      <xdr:blipFill>
        <a:blip xmlns:r="http://schemas.openxmlformats.org/officeDocument/2006/relationships" r:embed="rId1262"/>
        <a:stretch>
          <a:fillRect/>
        </a:stretch>
      </xdr:blipFill>
      <xdr:spPr>
        <a:prstGeom prst="rect">
          <a:avLst/>
        </a:prstGeom>
        <a:ln w="9525">
          <a:solidFill>
            <a:srgbClr val="000000"/>
          </a:solidFill>
          <a:prstDash val="solid"/>
        </a:ln>
      </xdr:spPr>
    </xdr:pic>
    <xdr:clientData/>
  </xdr:twoCellAnchor>
  <xdr:twoCellAnchor>
    <xdr:from>
      <xdr:col>3</xdr:col>
      <xdr:colOff>114300</xdr:colOff>
      <xdr:row>3430</xdr:row>
      <xdr:rowOff>28575</xdr:rowOff>
    </xdr:from>
    <xdr:to>
      <xdr:col>3</xdr:col>
      <xdr:colOff>1552575</xdr:colOff>
      <xdr:row>3438</xdr:row>
      <xdr:rowOff>133350</xdr:rowOff>
    </xdr:to>
    <xdr:pic>
      <xdr:nvPicPr>
        <xdr:cNvPr id="1286" name="Имя " descr="Descr ">
          <a:extLst>
            <a:ext uri="{FF2B5EF4-FFF2-40B4-BE49-F238E27FC236}">
              <a16:creationId xmlns:a16="http://schemas.microsoft.com/office/drawing/2014/main" id="{00000000-0008-0000-0000-000006050000}"/>
            </a:ext>
          </a:extLst>
        </xdr:cNvPr>
        <xdr:cNvPicPr>
          <a:picLocks noChangeAspect="1"/>
        </xdr:cNvPicPr>
      </xdr:nvPicPr>
      <xdr:blipFill>
        <a:blip xmlns:r="http://schemas.openxmlformats.org/officeDocument/2006/relationships" r:embed="rId1263"/>
        <a:stretch>
          <a:fillRect/>
        </a:stretch>
      </xdr:blipFill>
      <xdr:spPr>
        <a:prstGeom prst="rect">
          <a:avLst/>
        </a:prstGeom>
        <a:ln w="9525">
          <a:solidFill>
            <a:srgbClr val="000000"/>
          </a:solidFill>
          <a:prstDash val="solid"/>
        </a:ln>
      </xdr:spPr>
    </xdr:pic>
    <xdr:clientData/>
  </xdr:twoCellAnchor>
  <xdr:twoCellAnchor>
    <xdr:from>
      <xdr:col>3</xdr:col>
      <xdr:colOff>114300</xdr:colOff>
      <xdr:row>3442</xdr:row>
      <xdr:rowOff>28575</xdr:rowOff>
    </xdr:from>
    <xdr:to>
      <xdr:col>3</xdr:col>
      <xdr:colOff>1552575</xdr:colOff>
      <xdr:row>3442</xdr:row>
      <xdr:rowOff>1266825</xdr:rowOff>
    </xdr:to>
    <xdr:pic>
      <xdr:nvPicPr>
        <xdr:cNvPr id="1287" name="Имя " descr="Descr ">
          <a:extLst>
            <a:ext uri="{FF2B5EF4-FFF2-40B4-BE49-F238E27FC236}">
              <a16:creationId xmlns:a16="http://schemas.microsoft.com/office/drawing/2014/main" id="{00000000-0008-0000-0000-000007050000}"/>
            </a:ext>
          </a:extLst>
        </xdr:cNvPr>
        <xdr:cNvPicPr>
          <a:picLocks noChangeAspect="1"/>
        </xdr:cNvPicPr>
      </xdr:nvPicPr>
      <xdr:blipFill>
        <a:blip xmlns:r="http://schemas.openxmlformats.org/officeDocument/2006/relationships" r:embed="rId1264"/>
        <a:stretch>
          <a:fillRect/>
        </a:stretch>
      </xdr:blipFill>
      <xdr:spPr>
        <a:prstGeom prst="rect">
          <a:avLst/>
        </a:prstGeom>
        <a:ln w="9525">
          <a:solidFill>
            <a:srgbClr val="000000"/>
          </a:solidFill>
          <a:prstDash val="solid"/>
        </a:ln>
      </xdr:spPr>
    </xdr:pic>
    <xdr:clientData/>
  </xdr:twoCellAnchor>
  <xdr:twoCellAnchor>
    <xdr:from>
      <xdr:col>3</xdr:col>
      <xdr:colOff>114300</xdr:colOff>
      <xdr:row>3443</xdr:row>
      <xdr:rowOff>28575</xdr:rowOff>
    </xdr:from>
    <xdr:to>
      <xdr:col>3</xdr:col>
      <xdr:colOff>1552575</xdr:colOff>
      <xdr:row>3451</xdr:row>
      <xdr:rowOff>133350</xdr:rowOff>
    </xdr:to>
    <xdr:pic>
      <xdr:nvPicPr>
        <xdr:cNvPr id="1288" name="Имя " descr="Descr ">
          <a:extLst>
            <a:ext uri="{FF2B5EF4-FFF2-40B4-BE49-F238E27FC236}">
              <a16:creationId xmlns:a16="http://schemas.microsoft.com/office/drawing/2014/main" id="{00000000-0008-0000-0000-000008050000}"/>
            </a:ext>
          </a:extLst>
        </xdr:cNvPr>
        <xdr:cNvPicPr>
          <a:picLocks noChangeAspect="1"/>
        </xdr:cNvPicPr>
      </xdr:nvPicPr>
      <xdr:blipFill>
        <a:blip xmlns:r="http://schemas.openxmlformats.org/officeDocument/2006/relationships" r:embed="rId1265"/>
        <a:stretch>
          <a:fillRect/>
        </a:stretch>
      </xdr:blipFill>
      <xdr:spPr>
        <a:prstGeom prst="rect">
          <a:avLst/>
        </a:prstGeom>
        <a:ln w="9525">
          <a:solidFill>
            <a:srgbClr val="000000"/>
          </a:solidFill>
          <a:prstDash val="solid"/>
        </a:ln>
      </xdr:spPr>
    </xdr:pic>
    <xdr:clientData/>
  </xdr:twoCellAnchor>
  <xdr:twoCellAnchor>
    <xdr:from>
      <xdr:col>3</xdr:col>
      <xdr:colOff>114300</xdr:colOff>
      <xdr:row>3452</xdr:row>
      <xdr:rowOff>28575</xdr:rowOff>
    </xdr:from>
    <xdr:to>
      <xdr:col>3</xdr:col>
      <xdr:colOff>1552575</xdr:colOff>
      <xdr:row>3458</xdr:row>
      <xdr:rowOff>171450</xdr:rowOff>
    </xdr:to>
    <xdr:pic>
      <xdr:nvPicPr>
        <xdr:cNvPr id="1289" name="Имя " descr="Descr ">
          <a:extLst>
            <a:ext uri="{FF2B5EF4-FFF2-40B4-BE49-F238E27FC236}">
              <a16:creationId xmlns:a16="http://schemas.microsoft.com/office/drawing/2014/main" id="{00000000-0008-0000-0000-000009050000}"/>
            </a:ext>
          </a:extLst>
        </xdr:cNvPr>
        <xdr:cNvPicPr>
          <a:picLocks noChangeAspect="1"/>
        </xdr:cNvPicPr>
      </xdr:nvPicPr>
      <xdr:blipFill>
        <a:blip xmlns:r="http://schemas.openxmlformats.org/officeDocument/2006/relationships" r:embed="rId1266"/>
        <a:stretch>
          <a:fillRect/>
        </a:stretch>
      </xdr:blipFill>
      <xdr:spPr>
        <a:prstGeom prst="rect">
          <a:avLst/>
        </a:prstGeom>
        <a:ln w="9525">
          <a:solidFill>
            <a:srgbClr val="000000"/>
          </a:solidFill>
          <a:prstDash val="solid"/>
        </a:ln>
      </xdr:spPr>
    </xdr:pic>
    <xdr:clientData/>
  </xdr:twoCellAnchor>
  <xdr:twoCellAnchor>
    <xdr:from>
      <xdr:col>3</xdr:col>
      <xdr:colOff>114300</xdr:colOff>
      <xdr:row>3459</xdr:row>
      <xdr:rowOff>28575</xdr:rowOff>
    </xdr:from>
    <xdr:to>
      <xdr:col>3</xdr:col>
      <xdr:colOff>1552575</xdr:colOff>
      <xdr:row>3463</xdr:row>
      <xdr:rowOff>333375</xdr:rowOff>
    </xdr:to>
    <xdr:pic>
      <xdr:nvPicPr>
        <xdr:cNvPr id="1290" name="Имя " descr="Descr ">
          <a:extLst>
            <a:ext uri="{FF2B5EF4-FFF2-40B4-BE49-F238E27FC236}">
              <a16:creationId xmlns:a16="http://schemas.microsoft.com/office/drawing/2014/main" id="{00000000-0008-0000-0000-00000A050000}"/>
            </a:ext>
          </a:extLst>
        </xdr:cNvPr>
        <xdr:cNvPicPr>
          <a:picLocks noChangeAspect="1"/>
        </xdr:cNvPicPr>
      </xdr:nvPicPr>
      <xdr:blipFill>
        <a:blip xmlns:r="http://schemas.openxmlformats.org/officeDocument/2006/relationships" r:embed="rId1267"/>
        <a:stretch>
          <a:fillRect/>
        </a:stretch>
      </xdr:blipFill>
      <xdr:spPr>
        <a:prstGeom prst="rect">
          <a:avLst/>
        </a:prstGeom>
        <a:ln w="9525">
          <a:solidFill>
            <a:srgbClr val="000000"/>
          </a:solidFill>
          <a:prstDash val="solid"/>
        </a:ln>
      </xdr:spPr>
    </xdr:pic>
    <xdr:clientData/>
  </xdr:twoCellAnchor>
  <xdr:twoCellAnchor>
    <xdr:from>
      <xdr:col>3</xdr:col>
      <xdr:colOff>114300</xdr:colOff>
      <xdr:row>3464</xdr:row>
      <xdr:rowOff>28575</xdr:rowOff>
    </xdr:from>
    <xdr:to>
      <xdr:col>3</xdr:col>
      <xdr:colOff>1552575</xdr:colOff>
      <xdr:row>3468</xdr:row>
      <xdr:rowOff>333375</xdr:rowOff>
    </xdr:to>
    <xdr:pic>
      <xdr:nvPicPr>
        <xdr:cNvPr id="1291" name="Имя " descr="Descr ">
          <a:extLst>
            <a:ext uri="{FF2B5EF4-FFF2-40B4-BE49-F238E27FC236}">
              <a16:creationId xmlns:a16="http://schemas.microsoft.com/office/drawing/2014/main" id="{00000000-0008-0000-0000-00000B050000}"/>
            </a:ext>
          </a:extLst>
        </xdr:cNvPr>
        <xdr:cNvPicPr>
          <a:picLocks noChangeAspect="1"/>
        </xdr:cNvPicPr>
      </xdr:nvPicPr>
      <xdr:blipFill>
        <a:blip xmlns:r="http://schemas.openxmlformats.org/officeDocument/2006/relationships" r:embed="rId1268"/>
        <a:stretch>
          <a:fillRect/>
        </a:stretch>
      </xdr:blipFill>
      <xdr:spPr>
        <a:prstGeom prst="rect">
          <a:avLst/>
        </a:prstGeom>
        <a:ln w="9525">
          <a:solidFill>
            <a:srgbClr val="000000"/>
          </a:solidFill>
          <a:prstDash val="solid"/>
        </a:ln>
      </xdr:spPr>
    </xdr:pic>
    <xdr:clientData/>
  </xdr:twoCellAnchor>
  <xdr:twoCellAnchor>
    <xdr:from>
      <xdr:col>3</xdr:col>
      <xdr:colOff>114300</xdr:colOff>
      <xdr:row>3469</xdr:row>
      <xdr:rowOff>28575</xdr:rowOff>
    </xdr:from>
    <xdr:to>
      <xdr:col>3</xdr:col>
      <xdr:colOff>1552575</xdr:colOff>
      <xdr:row>3469</xdr:row>
      <xdr:rowOff>1266825</xdr:rowOff>
    </xdr:to>
    <xdr:pic>
      <xdr:nvPicPr>
        <xdr:cNvPr id="1292" name="Имя " descr="Descr ">
          <a:extLst>
            <a:ext uri="{FF2B5EF4-FFF2-40B4-BE49-F238E27FC236}">
              <a16:creationId xmlns:a16="http://schemas.microsoft.com/office/drawing/2014/main" id="{00000000-0008-0000-0000-00000C050000}"/>
            </a:ext>
          </a:extLst>
        </xdr:cNvPr>
        <xdr:cNvPicPr>
          <a:picLocks noChangeAspect="1"/>
        </xdr:cNvPicPr>
      </xdr:nvPicPr>
      <xdr:blipFill>
        <a:blip xmlns:r="http://schemas.openxmlformats.org/officeDocument/2006/relationships" r:embed="rId1269"/>
        <a:stretch>
          <a:fillRect/>
        </a:stretch>
      </xdr:blipFill>
      <xdr:spPr>
        <a:prstGeom prst="rect">
          <a:avLst/>
        </a:prstGeom>
        <a:ln w="9525">
          <a:solidFill>
            <a:srgbClr val="000000"/>
          </a:solidFill>
          <a:prstDash val="solid"/>
        </a:ln>
      </xdr:spPr>
    </xdr:pic>
    <xdr:clientData/>
  </xdr:twoCellAnchor>
  <xdr:twoCellAnchor>
    <xdr:from>
      <xdr:col>3</xdr:col>
      <xdr:colOff>114300</xdr:colOff>
      <xdr:row>3470</xdr:row>
      <xdr:rowOff>28575</xdr:rowOff>
    </xdr:from>
    <xdr:to>
      <xdr:col>3</xdr:col>
      <xdr:colOff>1552575</xdr:colOff>
      <xdr:row>3475</xdr:row>
      <xdr:rowOff>209550</xdr:rowOff>
    </xdr:to>
    <xdr:pic>
      <xdr:nvPicPr>
        <xdr:cNvPr id="1293" name="Имя " descr="Descr ">
          <a:extLst>
            <a:ext uri="{FF2B5EF4-FFF2-40B4-BE49-F238E27FC236}">
              <a16:creationId xmlns:a16="http://schemas.microsoft.com/office/drawing/2014/main" id="{00000000-0008-0000-0000-00000D050000}"/>
            </a:ext>
          </a:extLst>
        </xdr:cNvPr>
        <xdr:cNvPicPr>
          <a:picLocks noChangeAspect="1"/>
        </xdr:cNvPicPr>
      </xdr:nvPicPr>
      <xdr:blipFill>
        <a:blip xmlns:r="http://schemas.openxmlformats.org/officeDocument/2006/relationships" r:embed="rId1270"/>
        <a:stretch>
          <a:fillRect/>
        </a:stretch>
      </xdr:blipFill>
      <xdr:spPr>
        <a:prstGeom prst="rect">
          <a:avLst/>
        </a:prstGeom>
        <a:ln w="9525">
          <a:solidFill>
            <a:srgbClr val="000000"/>
          </a:solidFill>
          <a:prstDash val="solid"/>
        </a:ln>
      </xdr:spPr>
    </xdr:pic>
    <xdr:clientData/>
  </xdr:twoCellAnchor>
  <xdr:twoCellAnchor>
    <xdr:from>
      <xdr:col>3</xdr:col>
      <xdr:colOff>114300</xdr:colOff>
      <xdr:row>3476</xdr:row>
      <xdr:rowOff>28575</xdr:rowOff>
    </xdr:from>
    <xdr:to>
      <xdr:col>3</xdr:col>
      <xdr:colOff>1552575</xdr:colOff>
      <xdr:row>3481</xdr:row>
      <xdr:rowOff>209550</xdr:rowOff>
    </xdr:to>
    <xdr:pic>
      <xdr:nvPicPr>
        <xdr:cNvPr id="1294" name="Имя " descr="Descr ">
          <a:extLst>
            <a:ext uri="{FF2B5EF4-FFF2-40B4-BE49-F238E27FC236}">
              <a16:creationId xmlns:a16="http://schemas.microsoft.com/office/drawing/2014/main" id="{00000000-0008-0000-0000-00000E050000}"/>
            </a:ext>
          </a:extLst>
        </xdr:cNvPr>
        <xdr:cNvPicPr>
          <a:picLocks noChangeAspect="1"/>
        </xdr:cNvPicPr>
      </xdr:nvPicPr>
      <xdr:blipFill>
        <a:blip xmlns:r="http://schemas.openxmlformats.org/officeDocument/2006/relationships" r:embed="rId1271"/>
        <a:stretch>
          <a:fillRect/>
        </a:stretch>
      </xdr:blipFill>
      <xdr:spPr>
        <a:prstGeom prst="rect">
          <a:avLst/>
        </a:prstGeom>
        <a:ln w="9525">
          <a:solidFill>
            <a:srgbClr val="000000"/>
          </a:solidFill>
          <a:prstDash val="solid"/>
        </a:ln>
      </xdr:spPr>
    </xdr:pic>
    <xdr:clientData/>
  </xdr:twoCellAnchor>
  <xdr:twoCellAnchor>
    <xdr:from>
      <xdr:col>3</xdr:col>
      <xdr:colOff>114300</xdr:colOff>
      <xdr:row>3482</xdr:row>
      <xdr:rowOff>28575</xdr:rowOff>
    </xdr:from>
    <xdr:to>
      <xdr:col>3</xdr:col>
      <xdr:colOff>1552575</xdr:colOff>
      <xdr:row>3486</xdr:row>
      <xdr:rowOff>333375</xdr:rowOff>
    </xdr:to>
    <xdr:pic>
      <xdr:nvPicPr>
        <xdr:cNvPr id="1295" name="Имя " descr="Descr ">
          <a:extLst>
            <a:ext uri="{FF2B5EF4-FFF2-40B4-BE49-F238E27FC236}">
              <a16:creationId xmlns:a16="http://schemas.microsoft.com/office/drawing/2014/main" id="{00000000-0008-0000-0000-00000F050000}"/>
            </a:ext>
          </a:extLst>
        </xdr:cNvPr>
        <xdr:cNvPicPr>
          <a:picLocks noChangeAspect="1"/>
        </xdr:cNvPicPr>
      </xdr:nvPicPr>
      <xdr:blipFill>
        <a:blip xmlns:r="http://schemas.openxmlformats.org/officeDocument/2006/relationships" r:embed="rId1272"/>
        <a:stretch>
          <a:fillRect/>
        </a:stretch>
      </xdr:blipFill>
      <xdr:spPr>
        <a:prstGeom prst="rect">
          <a:avLst/>
        </a:prstGeom>
        <a:ln w="9525">
          <a:solidFill>
            <a:srgbClr val="000000"/>
          </a:solidFill>
          <a:prstDash val="solid"/>
        </a:ln>
      </xdr:spPr>
    </xdr:pic>
    <xdr:clientData/>
  </xdr:twoCellAnchor>
  <xdr:twoCellAnchor>
    <xdr:from>
      <xdr:col>3</xdr:col>
      <xdr:colOff>114300</xdr:colOff>
      <xdr:row>3487</xdr:row>
      <xdr:rowOff>28575</xdr:rowOff>
    </xdr:from>
    <xdr:to>
      <xdr:col>3</xdr:col>
      <xdr:colOff>1552575</xdr:colOff>
      <xdr:row>3492</xdr:row>
      <xdr:rowOff>209550</xdr:rowOff>
    </xdr:to>
    <xdr:pic>
      <xdr:nvPicPr>
        <xdr:cNvPr id="1296" name="Имя " descr="Descr ">
          <a:extLst>
            <a:ext uri="{FF2B5EF4-FFF2-40B4-BE49-F238E27FC236}">
              <a16:creationId xmlns:a16="http://schemas.microsoft.com/office/drawing/2014/main" id="{00000000-0008-0000-0000-000010050000}"/>
            </a:ext>
          </a:extLst>
        </xdr:cNvPr>
        <xdr:cNvPicPr>
          <a:picLocks noChangeAspect="1"/>
        </xdr:cNvPicPr>
      </xdr:nvPicPr>
      <xdr:blipFill>
        <a:blip xmlns:r="http://schemas.openxmlformats.org/officeDocument/2006/relationships" r:embed="rId1273"/>
        <a:stretch>
          <a:fillRect/>
        </a:stretch>
      </xdr:blipFill>
      <xdr:spPr>
        <a:prstGeom prst="rect">
          <a:avLst/>
        </a:prstGeom>
        <a:ln w="9525">
          <a:solidFill>
            <a:srgbClr val="000000"/>
          </a:solidFill>
          <a:prstDash val="solid"/>
        </a:ln>
      </xdr:spPr>
    </xdr:pic>
    <xdr:clientData/>
  </xdr:twoCellAnchor>
  <xdr:twoCellAnchor>
    <xdr:from>
      <xdr:col>3</xdr:col>
      <xdr:colOff>114300</xdr:colOff>
      <xdr:row>3493</xdr:row>
      <xdr:rowOff>28575</xdr:rowOff>
    </xdr:from>
    <xdr:to>
      <xdr:col>3</xdr:col>
      <xdr:colOff>1552575</xdr:colOff>
      <xdr:row>3496</xdr:row>
      <xdr:rowOff>209550</xdr:rowOff>
    </xdr:to>
    <xdr:pic>
      <xdr:nvPicPr>
        <xdr:cNvPr id="1297" name="Имя " descr="Descr ">
          <a:extLst>
            <a:ext uri="{FF2B5EF4-FFF2-40B4-BE49-F238E27FC236}">
              <a16:creationId xmlns:a16="http://schemas.microsoft.com/office/drawing/2014/main" id="{00000000-0008-0000-0000-000011050000}"/>
            </a:ext>
          </a:extLst>
        </xdr:cNvPr>
        <xdr:cNvPicPr>
          <a:picLocks noChangeAspect="1"/>
        </xdr:cNvPicPr>
      </xdr:nvPicPr>
      <xdr:blipFill>
        <a:blip xmlns:r="http://schemas.openxmlformats.org/officeDocument/2006/relationships" r:embed="rId1274"/>
        <a:stretch>
          <a:fillRect/>
        </a:stretch>
      </xdr:blipFill>
      <xdr:spPr>
        <a:prstGeom prst="rect">
          <a:avLst/>
        </a:prstGeom>
        <a:ln w="9525">
          <a:solidFill>
            <a:srgbClr val="000000"/>
          </a:solidFill>
          <a:prstDash val="solid"/>
        </a:ln>
      </xdr:spPr>
    </xdr:pic>
    <xdr:clientData/>
  </xdr:twoCellAnchor>
  <xdr:twoCellAnchor>
    <xdr:from>
      <xdr:col>3</xdr:col>
      <xdr:colOff>114300</xdr:colOff>
      <xdr:row>3497</xdr:row>
      <xdr:rowOff>38100</xdr:rowOff>
    </xdr:from>
    <xdr:to>
      <xdr:col>3</xdr:col>
      <xdr:colOff>1552575</xdr:colOff>
      <xdr:row>3498</xdr:row>
      <xdr:rowOff>638175</xdr:rowOff>
    </xdr:to>
    <xdr:pic>
      <xdr:nvPicPr>
        <xdr:cNvPr id="1298" name="Имя " descr="Descr ">
          <a:extLst>
            <a:ext uri="{FF2B5EF4-FFF2-40B4-BE49-F238E27FC236}">
              <a16:creationId xmlns:a16="http://schemas.microsoft.com/office/drawing/2014/main" id="{00000000-0008-0000-0000-000012050000}"/>
            </a:ext>
          </a:extLst>
        </xdr:cNvPr>
        <xdr:cNvPicPr>
          <a:picLocks noChangeAspect="1"/>
        </xdr:cNvPicPr>
      </xdr:nvPicPr>
      <xdr:blipFill>
        <a:blip xmlns:r="http://schemas.openxmlformats.org/officeDocument/2006/relationships" r:embed="rId1275"/>
        <a:stretch>
          <a:fillRect/>
        </a:stretch>
      </xdr:blipFill>
      <xdr:spPr>
        <a:prstGeom prst="rect">
          <a:avLst/>
        </a:prstGeom>
        <a:ln w="9525">
          <a:solidFill>
            <a:srgbClr val="000000"/>
          </a:solidFill>
          <a:prstDash val="solid"/>
        </a:ln>
      </xdr:spPr>
    </xdr:pic>
    <xdr:clientData/>
  </xdr:twoCellAnchor>
  <xdr:twoCellAnchor>
    <xdr:from>
      <xdr:col>3</xdr:col>
      <xdr:colOff>114300</xdr:colOff>
      <xdr:row>3499</xdr:row>
      <xdr:rowOff>28575</xdr:rowOff>
    </xdr:from>
    <xdr:to>
      <xdr:col>3</xdr:col>
      <xdr:colOff>1552575</xdr:colOff>
      <xdr:row>3501</xdr:row>
      <xdr:rowOff>419100</xdr:rowOff>
    </xdr:to>
    <xdr:pic>
      <xdr:nvPicPr>
        <xdr:cNvPr id="1299" name="Имя " descr="Descr ">
          <a:extLst>
            <a:ext uri="{FF2B5EF4-FFF2-40B4-BE49-F238E27FC236}">
              <a16:creationId xmlns:a16="http://schemas.microsoft.com/office/drawing/2014/main" id="{00000000-0008-0000-0000-000013050000}"/>
            </a:ext>
          </a:extLst>
        </xdr:cNvPr>
        <xdr:cNvPicPr>
          <a:picLocks noChangeAspect="1"/>
        </xdr:cNvPicPr>
      </xdr:nvPicPr>
      <xdr:blipFill>
        <a:blip xmlns:r="http://schemas.openxmlformats.org/officeDocument/2006/relationships" r:embed="rId1276"/>
        <a:stretch>
          <a:fillRect/>
        </a:stretch>
      </xdr:blipFill>
      <xdr:spPr>
        <a:prstGeom prst="rect">
          <a:avLst/>
        </a:prstGeom>
        <a:ln w="9525">
          <a:solidFill>
            <a:srgbClr val="000000"/>
          </a:solidFill>
          <a:prstDash val="solid"/>
        </a:ln>
      </xdr:spPr>
    </xdr:pic>
    <xdr:clientData/>
  </xdr:twoCellAnchor>
  <xdr:twoCellAnchor>
    <xdr:from>
      <xdr:col>3</xdr:col>
      <xdr:colOff>114300</xdr:colOff>
      <xdr:row>3502</xdr:row>
      <xdr:rowOff>28575</xdr:rowOff>
    </xdr:from>
    <xdr:to>
      <xdr:col>3</xdr:col>
      <xdr:colOff>1552575</xdr:colOff>
      <xdr:row>3502</xdr:row>
      <xdr:rowOff>1266825</xdr:rowOff>
    </xdr:to>
    <xdr:pic>
      <xdr:nvPicPr>
        <xdr:cNvPr id="1300" name="Имя " descr="Descr ">
          <a:extLst>
            <a:ext uri="{FF2B5EF4-FFF2-40B4-BE49-F238E27FC236}">
              <a16:creationId xmlns:a16="http://schemas.microsoft.com/office/drawing/2014/main" id="{00000000-0008-0000-0000-000014050000}"/>
            </a:ext>
          </a:extLst>
        </xdr:cNvPr>
        <xdr:cNvPicPr>
          <a:picLocks noChangeAspect="1"/>
        </xdr:cNvPicPr>
      </xdr:nvPicPr>
      <xdr:blipFill>
        <a:blip xmlns:r="http://schemas.openxmlformats.org/officeDocument/2006/relationships" r:embed="rId1277"/>
        <a:stretch>
          <a:fillRect/>
        </a:stretch>
      </xdr:blipFill>
      <xdr:spPr>
        <a:prstGeom prst="rect">
          <a:avLst/>
        </a:prstGeom>
        <a:ln w="9525">
          <a:solidFill>
            <a:srgbClr val="000000"/>
          </a:solidFill>
          <a:prstDash val="solid"/>
        </a:ln>
      </xdr:spPr>
    </xdr:pic>
    <xdr:clientData/>
  </xdr:twoCellAnchor>
  <xdr:twoCellAnchor>
    <xdr:from>
      <xdr:col>3</xdr:col>
      <xdr:colOff>114300</xdr:colOff>
      <xdr:row>3503</xdr:row>
      <xdr:rowOff>28575</xdr:rowOff>
    </xdr:from>
    <xdr:to>
      <xdr:col>3</xdr:col>
      <xdr:colOff>1552575</xdr:colOff>
      <xdr:row>3503</xdr:row>
      <xdr:rowOff>1266825</xdr:rowOff>
    </xdr:to>
    <xdr:pic>
      <xdr:nvPicPr>
        <xdr:cNvPr id="1301" name="Имя " descr="Descr ">
          <a:extLst>
            <a:ext uri="{FF2B5EF4-FFF2-40B4-BE49-F238E27FC236}">
              <a16:creationId xmlns:a16="http://schemas.microsoft.com/office/drawing/2014/main" id="{00000000-0008-0000-0000-000015050000}"/>
            </a:ext>
          </a:extLst>
        </xdr:cNvPr>
        <xdr:cNvPicPr>
          <a:picLocks noChangeAspect="1"/>
        </xdr:cNvPicPr>
      </xdr:nvPicPr>
      <xdr:blipFill>
        <a:blip xmlns:r="http://schemas.openxmlformats.org/officeDocument/2006/relationships" r:embed="rId1278"/>
        <a:stretch>
          <a:fillRect/>
        </a:stretch>
      </xdr:blipFill>
      <xdr:spPr>
        <a:prstGeom prst="rect">
          <a:avLst/>
        </a:prstGeom>
        <a:ln w="9525">
          <a:solidFill>
            <a:srgbClr val="000000"/>
          </a:solidFill>
          <a:prstDash val="solid"/>
        </a:ln>
      </xdr:spPr>
    </xdr:pic>
    <xdr:clientData/>
  </xdr:twoCellAnchor>
  <xdr:twoCellAnchor>
    <xdr:from>
      <xdr:col>3</xdr:col>
      <xdr:colOff>114300</xdr:colOff>
      <xdr:row>3504</xdr:row>
      <xdr:rowOff>28575</xdr:rowOff>
    </xdr:from>
    <xdr:to>
      <xdr:col>3</xdr:col>
      <xdr:colOff>1552575</xdr:colOff>
      <xdr:row>3509</xdr:row>
      <xdr:rowOff>209550</xdr:rowOff>
    </xdr:to>
    <xdr:pic>
      <xdr:nvPicPr>
        <xdr:cNvPr id="1302" name="Имя " descr="Descr ">
          <a:extLst>
            <a:ext uri="{FF2B5EF4-FFF2-40B4-BE49-F238E27FC236}">
              <a16:creationId xmlns:a16="http://schemas.microsoft.com/office/drawing/2014/main" id="{00000000-0008-0000-0000-000016050000}"/>
            </a:ext>
          </a:extLst>
        </xdr:cNvPr>
        <xdr:cNvPicPr>
          <a:picLocks noChangeAspect="1"/>
        </xdr:cNvPicPr>
      </xdr:nvPicPr>
      <xdr:blipFill>
        <a:blip xmlns:r="http://schemas.openxmlformats.org/officeDocument/2006/relationships" r:embed="rId1279"/>
        <a:stretch>
          <a:fillRect/>
        </a:stretch>
      </xdr:blipFill>
      <xdr:spPr>
        <a:prstGeom prst="rect">
          <a:avLst/>
        </a:prstGeom>
        <a:ln w="9525">
          <a:solidFill>
            <a:srgbClr val="000000"/>
          </a:solidFill>
          <a:prstDash val="solid"/>
        </a:ln>
      </xdr:spPr>
    </xdr:pic>
    <xdr:clientData/>
  </xdr:twoCellAnchor>
  <xdr:twoCellAnchor>
    <xdr:from>
      <xdr:col>3</xdr:col>
      <xdr:colOff>114300</xdr:colOff>
      <xdr:row>3510</xdr:row>
      <xdr:rowOff>28575</xdr:rowOff>
    </xdr:from>
    <xdr:to>
      <xdr:col>3</xdr:col>
      <xdr:colOff>1552575</xdr:colOff>
      <xdr:row>3512</xdr:row>
      <xdr:rowOff>419100</xdr:rowOff>
    </xdr:to>
    <xdr:pic>
      <xdr:nvPicPr>
        <xdr:cNvPr id="1303" name="Имя " descr="Descr ">
          <a:extLst>
            <a:ext uri="{FF2B5EF4-FFF2-40B4-BE49-F238E27FC236}">
              <a16:creationId xmlns:a16="http://schemas.microsoft.com/office/drawing/2014/main" id="{00000000-0008-0000-0000-000017050000}"/>
            </a:ext>
          </a:extLst>
        </xdr:cNvPr>
        <xdr:cNvPicPr>
          <a:picLocks noChangeAspect="1"/>
        </xdr:cNvPicPr>
      </xdr:nvPicPr>
      <xdr:blipFill>
        <a:blip xmlns:r="http://schemas.openxmlformats.org/officeDocument/2006/relationships" r:embed="rId1280"/>
        <a:stretch>
          <a:fillRect/>
        </a:stretch>
      </xdr:blipFill>
      <xdr:spPr>
        <a:prstGeom prst="rect">
          <a:avLst/>
        </a:prstGeom>
        <a:ln w="9525">
          <a:solidFill>
            <a:srgbClr val="000000"/>
          </a:solidFill>
          <a:prstDash val="solid"/>
        </a:ln>
      </xdr:spPr>
    </xdr:pic>
    <xdr:clientData/>
  </xdr:twoCellAnchor>
  <xdr:twoCellAnchor>
    <xdr:from>
      <xdr:col>3</xdr:col>
      <xdr:colOff>114300</xdr:colOff>
      <xdr:row>3513</xdr:row>
      <xdr:rowOff>28575</xdr:rowOff>
    </xdr:from>
    <xdr:to>
      <xdr:col>3</xdr:col>
      <xdr:colOff>1552575</xdr:colOff>
      <xdr:row>3519</xdr:row>
      <xdr:rowOff>171450</xdr:rowOff>
    </xdr:to>
    <xdr:pic>
      <xdr:nvPicPr>
        <xdr:cNvPr id="1304" name="Имя " descr="Descr ">
          <a:extLst>
            <a:ext uri="{FF2B5EF4-FFF2-40B4-BE49-F238E27FC236}">
              <a16:creationId xmlns:a16="http://schemas.microsoft.com/office/drawing/2014/main" id="{00000000-0008-0000-0000-000018050000}"/>
            </a:ext>
          </a:extLst>
        </xdr:cNvPr>
        <xdr:cNvPicPr>
          <a:picLocks noChangeAspect="1"/>
        </xdr:cNvPicPr>
      </xdr:nvPicPr>
      <xdr:blipFill>
        <a:blip xmlns:r="http://schemas.openxmlformats.org/officeDocument/2006/relationships" r:embed="rId1281"/>
        <a:stretch>
          <a:fillRect/>
        </a:stretch>
      </xdr:blipFill>
      <xdr:spPr>
        <a:prstGeom prst="rect">
          <a:avLst/>
        </a:prstGeom>
        <a:ln w="9525">
          <a:solidFill>
            <a:srgbClr val="000000"/>
          </a:solidFill>
          <a:prstDash val="solid"/>
        </a:ln>
      </xdr:spPr>
    </xdr:pic>
    <xdr:clientData/>
  </xdr:twoCellAnchor>
  <xdr:twoCellAnchor>
    <xdr:from>
      <xdr:col>3</xdr:col>
      <xdr:colOff>114300</xdr:colOff>
      <xdr:row>3520</xdr:row>
      <xdr:rowOff>28575</xdr:rowOff>
    </xdr:from>
    <xdr:to>
      <xdr:col>3</xdr:col>
      <xdr:colOff>1552575</xdr:colOff>
      <xdr:row>3524</xdr:row>
      <xdr:rowOff>333375</xdr:rowOff>
    </xdr:to>
    <xdr:pic>
      <xdr:nvPicPr>
        <xdr:cNvPr id="1305" name="Имя " descr="Descr ">
          <a:extLst>
            <a:ext uri="{FF2B5EF4-FFF2-40B4-BE49-F238E27FC236}">
              <a16:creationId xmlns:a16="http://schemas.microsoft.com/office/drawing/2014/main" id="{00000000-0008-0000-0000-000019050000}"/>
            </a:ext>
          </a:extLst>
        </xdr:cNvPr>
        <xdr:cNvPicPr>
          <a:picLocks noChangeAspect="1"/>
        </xdr:cNvPicPr>
      </xdr:nvPicPr>
      <xdr:blipFill>
        <a:blip xmlns:r="http://schemas.openxmlformats.org/officeDocument/2006/relationships" r:embed="rId1282"/>
        <a:stretch>
          <a:fillRect/>
        </a:stretch>
      </xdr:blipFill>
      <xdr:spPr>
        <a:prstGeom prst="rect">
          <a:avLst/>
        </a:prstGeom>
        <a:ln w="9525">
          <a:solidFill>
            <a:srgbClr val="000000"/>
          </a:solidFill>
          <a:prstDash val="solid"/>
        </a:ln>
      </xdr:spPr>
    </xdr:pic>
    <xdr:clientData/>
  </xdr:twoCellAnchor>
  <xdr:twoCellAnchor>
    <xdr:from>
      <xdr:col>3</xdr:col>
      <xdr:colOff>114300</xdr:colOff>
      <xdr:row>3525</xdr:row>
      <xdr:rowOff>28575</xdr:rowOff>
    </xdr:from>
    <xdr:to>
      <xdr:col>3</xdr:col>
      <xdr:colOff>1552575</xdr:colOff>
      <xdr:row>3529</xdr:row>
      <xdr:rowOff>333375</xdr:rowOff>
    </xdr:to>
    <xdr:pic>
      <xdr:nvPicPr>
        <xdr:cNvPr id="1306" name="Имя " descr="Descr ">
          <a:extLst>
            <a:ext uri="{FF2B5EF4-FFF2-40B4-BE49-F238E27FC236}">
              <a16:creationId xmlns:a16="http://schemas.microsoft.com/office/drawing/2014/main" id="{00000000-0008-0000-0000-00001A050000}"/>
            </a:ext>
          </a:extLst>
        </xdr:cNvPr>
        <xdr:cNvPicPr>
          <a:picLocks noChangeAspect="1"/>
        </xdr:cNvPicPr>
      </xdr:nvPicPr>
      <xdr:blipFill>
        <a:blip xmlns:r="http://schemas.openxmlformats.org/officeDocument/2006/relationships" r:embed="rId1283"/>
        <a:stretch>
          <a:fillRect/>
        </a:stretch>
      </xdr:blipFill>
      <xdr:spPr>
        <a:prstGeom prst="rect">
          <a:avLst/>
        </a:prstGeom>
        <a:ln w="9525">
          <a:solidFill>
            <a:srgbClr val="000000"/>
          </a:solidFill>
          <a:prstDash val="solid"/>
        </a:ln>
      </xdr:spPr>
    </xdr:pic>
    <xdr:clientData/>
  </xdr:twoCellAnchor>
  <xdr:twoCellAnchor>
    <xdr:from>
      <xdr:col>3</xdr:col>
      <xdr:colOff>114300</xdr:colOff>
      <xdr:row>3530</xdr:row>
      <xdr:rowOff>28575</xdr:rowOff>
    </xdr:from>
    <xdr:to>
      <xdr:col>3</xdr:col>
      <xdr:colOff>1552575</xdr:colOff>
      <xdr:row>3533</xdr:row>
      <xdr:rowOff>209550</xdr:rowOff>
    </xdr:to>
    <xdr:pic>
      <xdr:nvPicPr>
        <xdr:cNvPr id="1307" name="Имя " descr="Descr ">
          <a:extLst>
            <a:ext uri="{FF2B5EF4-FFF2-40B4-BE49-F238E27FC236}">
              <a16:creationId xmlns:a16="http://schemas.microsoft.com/office/drawing/2014/main" id="{00000000-0008-0000-0000-00001B050000}"/>
            </a:ext>
          </a:extLst>
        </xdr:cNvPr>
        <xdr:cNvPicPr>
          <a:picLocks noChangeAspect="1"/>
        </xdr:cNvPicPr>
      </xdr:nvPicPr>
      <xdr:blipFill>
        <a:blip xmlns:r="http://schemas.openxmlformats.org/officeDocument/2006/relationships" r:embed="rId1284"/>
        <a:stretch>
          <a:fillRect/>
        </a:stretch>
      </xdr:blipFill>
      <xdr:spPr>
        <a:prstGeom prst="rect">
          <a:avLst/>
        </a:prstGeom>
        <a:ln w="9525">
          <a:solidFill>
            <a:srgbClr val="000000"/>
          </a:solidFill>
          <a:prstDash val="solid"/>
        </a:ln>
      </xdr:spPr>
    </xdr:pic>
    <xdr:clientData/>
  </xdr:twoCellAnchor>
  <xdr:twoCellAnchor>
    <xdr:from>
      <xdr:col>3</xdr:col>
      <xdr:colOff>114300</xdr:colOff>
      <xdr:row>3534</xdr:row>
      <xdr:rowOff>28575</xdr:rowOff>
    </xdr:from>
    <xdr:to>
      <xdr:col>3</xdr:col>
      <xdr:colOff>1552575</xdr:colOff>
      <xdr:row>3534</xdr:row>
      <xdr:rowOff>1266825</xdr:rowOff>
    </xdr:to>
    <xdr:pic>
      <xdr:nvPicPr>
        <xdr:cNvPr id="1308" name="Имя " descr="Descr ">
          <a:extLst>
            <a:ext uri="{FF2B5EF4-FFF2-40B4-BE49-F238E27FC236}">
              <a16:creationId xmlns:a16="http://schemas.microsoft.com/office/drawing/2014/main" id="{00000000-0008-0000-0000-00001C050000}"/>
            </a:ext>
          </a:extLst>
        </xdr:cNvPr>
        <xdr:cNvPicPr>
          <a:picLocks noChangeAspect="1"/>
        </xdr:cNvPicPr>
      </xdr:nvPicPr>
      <xdr:blipFill>
        <a:blip xmlns:r="http://schemas.openxmlformats.org/officeDocument/2006/relationships" r:embed="rId1285"/>
        <a:stretch>
          <a:fillRect/>
        </a:stretch>
      </xdr:blipFill>
      <xdr:spPr>
        <a:prstGeom prst="rect">
          <a:avLst/>
        </a:prstGeom>
        <a:ln w="9525">
          <a:solidFill>
            <a:srgbClr val="000000"/>
          </a:solidFill>
          <a:prstDash val="solid"/>
        </a:ln>
      </xdr:spPr>
    </xdr:pic>
    <xdr:clientData/>
  </xdr:twoCellAnchor>
  <xdr:twoCellAnchor>
    <xdr:from>
      <xdr:col>3</xdr:col>
      <xdr:colOff>114300</xdr:colOff>
      <xdr:row>3535</xdr:row>
      <xdr:rowOff>28575</xdr:rowOff>
    </xdr:from>
    <xdr:to>
      <xdr:col>3</xdr:col>
      <xdr:colOff>1552575</xdr:colOff>
      <xdr:row>3539</xdr:row>
      <xdr:rowOff>333375</xdr:rowOff>
    </xdr:to>
    <xdr:pic>
      <xdr:nvPicPr>
        <xdr:cNvPr id="1309" name="Имя " descr="Descr ">
          <a:extLst>
            <a:ext uri="{FF2B5EF4-FFF2-40B4-BE49-F238E27FC236}">
              <a16:creationId xmlns:a16="http://schemas.microsoft.com/office/drawing/2014/main" id="{00000000-0008-0000-0000-00001D050000}"/>
            </a:ext>
          </a:extLst>
        </xdr:cNvPr>
        <xdr:cNvPicPr>
          <a:picLocks noChangeAspect="1"/>
        </xdr:cNvPicPr>
      </xdr:nvPicPr>
      <xdr:blipFill>
        <a:blip xmlns:r="http://schemas.openxmlformats.org/officeDocument/2006/relationships" r:embed="rId1286"/>
        <a:stretch>
          <a:fillRect/>
        </a:stretch>
      </xdr:blipFill>
      <xdr:spPr>
        <a:prstGeom prst="rect">
          <a:avLst/>
        </a:prstGeom>
        <a:ln w="9525">
          <a:solidFill>
            <a:srgbClr val="000000"/>
          </a:solidFill>
          <a:prstDash val="solid"/>
        </a:ln>
      </xdr:spPr>
    </xdr:pic>
    <xdr:clientData/>
  </xdr:twoCellAnchor>
  <xdr:twoCellAnchor>
    <xdr:from>
      <xdr:col>3</xdr:col>
      <xdr:colOff>114300</xdr:colOff>
      <xdr:row>3540</xdr:row>
      <xdr:rowOff>28575</xdr:rowOff>
    </xdr:from>
    <xdr:to>
      <xdr:col>3</xdr:col>
      <xdr:colOff>1552575</xdr:colOff>
      <xdr:row>3544</xdr:row>
      <xdr:rowOff>333375</xdr:rowOff>
    </xdr:to>
    <xdr:pic>
      <xdr:nvPicPr>
        <xdr:cNvPr id="1310" name="Имя " descr="Descr ">
          <a:extLst>
            <a:ext uri="{FF2B5EF4-FFF2-40B4-BE49-F238E27FC236}">
              <a16:creationId xmlns:a16="http://schemas.microsoft.com/office/drawing/2014/main" id="{00000000-0008-0000-0000-00001E050000}"/>
            </a:ext>
          </a:extLst>
        </xdr:cNvPr>
        <xdr:cNvPicPr>
          <a:picLocks noChangeAspect="1"/>
        </xdr:cNvPicPr>
      </xdr:nvPicPr>
      <xdr:blipFill>
        <a:blip xmlns:r="http://schemas.openxmlformats.org/officeDocument/2006/relationships" r:embed="rId1287"/>
        <a:stretch>
          <a:fillRect/>
        </a:stretch>
      </xdr:blipFill>
      <xdr:spPr>
        <a:prstGeom prst="rect">
          <a:avLst/>
        </a:prstGeom>
        <a:ln w="9525">
          <a:solidFill>
            <a:srgbClr val="000000"/>
          </a:solidFill>
          <a:prstDash val="solid"/>
        </a:ln>
      </xdr:spPr>
    </xdr:pic>
    <xdr:clientData/>
  </xdr:twoCellAnchor>
  <xdr:twoCellAnchor>
    <xdr:from>
      <xdr:col>3</xdr:col>
      <xdr:colOff>114300</xdr:colOff>
      <xdr:row>3545</xdr:row>
      <xdr:rowOff>28575</xdr:rowOff>
    </xdr:from>
    <xdr:to>
      <xdr:col>3</xdr:col>
      <xdr:colOff>1552575</xdr:colOff>
      <xdr:row>3547</xdr:row>
      <xdr:rowOff>419100</xdr:rowOff>
    </xdr:to>
    <xdr:pic>
      <xdr:nvPicPr>
        <xdr:cNvPr id="1311" name="Имя " descr="Descr ">
          <a:extLst>
            <a:ext uri="{FF2B5EF4-FFF2-40B4-BE49-F238E27FC236}">
              <a16:creationId xmlns:a16="http://schemas.microsoft.com/office/drawing/2014/main" id="{00000000-0008-0000-0000-00001F050000}"/>
            </a:ext>
          </a:extLst>
        </xdr:cNvPr>
        <xdr:cNvPicPr>
          <a:picLocks noChangeAspect="1"/>
        </xdr:cNvPicPr>
      </xdr:nvPicPr>
      <xdr:blipFill>
        <a:blip xmlns:r="http://schemas.openxmlformats.org/officeDocument/2006/relationships" r:embed="rId1288"/>
        <a:stretch>
          <a:fillRect/>
        </a:stretch>
      </xdr:blipFill>
      <xdr:spPr>
        <a:prstGeom prst="rect">
          <a:avLst/>
        </a:prstGeom>
        <a:ln w="9525">
          <a:solidFill>
            <a:srgbClr val="000000"/>
          </a:solidFill>
          <a:prstDash val="solid"/>
        </a:ln>
      </xdr:spPr>
    </xdr:pic>
    <xdr:clientData/>
  </xdr:twoCellAnchor>
  <xdr:twoCellAnchor>
    <xdr:from>
      <xdr:col>3</xdr:col>
      <xdr:colOff>114300</xdr:colOff>
      <xdr:row>3548</xdr:row>
      <xdr:rowOff>38100</xdr:rowOff>
    </xdr:from>
    <xdr:to>
      <xdr:col>3</xdr:col>
      <xdr:colOff>1552575</xdr:colOff>
      <xdr:row>3549</xdr:row>
      <xdr:rowOff>638175</xdr:rowOff>
    </xdr:to>
    <xdr:pic>
      <xdr:nvPicPr>
        <xdr:cNvPr id="1312" name="Имя " descr="Descr ">
          <a:extLst>
            <a:ext uri="{FF2B5EF4-FFF2-40B4-BE49-F238E27FC236}">
              <a16:creationId xmlns:a16="http://schemas.microsoft.com/office/drawing/2014/main" id="{00000000-0008-0000-0000-000020050000}"/>
            </a:ext>
          </a:extLst>
        </xdr:cNvPr>
        <xdr:cNvPicPr>
          <a:picLocks noChangeAspect="1"/>
        </xdr:cNvPicPr>
      </xdr:nvPicPr>
      <xdr:blipFill>
        <a:blip xmlns:r="http://schemas.openxmlformats.org/officeDocument/2006/relationships" r:embed="rId1289"/>
        <a:stretch>
          <a:fillRect/>
        </a:stretch>
      </xdr:blipFill>
      <xdr:spPr>
        <a:prstGeom prst="rect">
          <a:avLst/>
        </a:prstGeom>
        <a:ln w="9525">
          <a:solidFill>
            <a:srgbClr val="000000"/>
          </a:solidFill>
          <a:prstDash val="solid"/>
        </a:ln>
      </xdr:spPr>
    </xdr:pic>
    <xdr:clientData/>
  </xdr:twoCellAnchor>
  <xdr:twoCellAnchor>
    <xdr:from>
      <xdr:col>3</xdr:col>
      <xdr:colOff>114300</xdr:colOff>
      <xdr:row>3550</xdr:row>
      <xdr:rowOff>28575</xdr:rowOff>
    </xdr:from>
    <xdr:to>
      <xdr:col>3</xdr:col>
      <xdr:colOff>1552575</xdr:colOff>
      <xdr:row>3555</xdr:row>
      <xdr:rowOff>209550</xdr:rowOff>
    </xdr:to>
    <xdr:pic>
      <xdr:nvPicPr>
        <xdr:cNvPr id="1313" name="Имя " descr="Descr ">
          <a:extLst>
            <a:ext uri="{FF2B5EF4-FFF2-40B4-BE49-F238E27FC236}">
              <a16:creationId xmlns:a16="http://schemas.microsoft.com/office/drawing/2014/main" id="{00000000-0008-0000-0000-000021050000}"/>
            </a:ext>
          </a:extLst>
        </xdr:cNvPr>
        <xdr:cNvPicPr>
          <a:picLocks noChangeAspect="1"/>
        </xdr:cNvPicPr>
      </xdr:nvPicPr>
      <xdr:blipFill>
        <a:blip xmlns:r="http://schemas.openxmlformats.org/officeDocument/2006/relationships" r:embed="rId1290"/>
        <a:stretch>
          <a:fillRect/>
        </a:stretch>
      </xdr:blipFill>
      <xdr:spPr>
        <a:prstGeom prst="rect">
          <a:avLst/>
        </a:prstGeom>
        <a:ln w="9525">
          <a:solidFill>
            <a:srgbClr val="000000"/>
          </a:solidFill>
          <a:prstDash val="solid"/>
        </a:ln>
      </xdr:spPr>
    </xdr:pic>
    <xdr:clientData/>
  </xdr:twoCellAnchor>
  <xdr:twoCellAnchor>
    <xdr:from>
      <xdr:col>3</xdr:col>
      <xdr:colOff>114300</xdr:colOff>
      <xdr:row>3556</xdr:row>
      <xdr:rowOff>28575</xdr:rowOff>
    </xdr:from>
    <xdr:to>
      <xdr:col>3</xdr:col>
      <xdr:colOff>1552575</xdr:colOff>
      <xdr:row>3558</xdr:row>
      <xdr:rowOff>419100</xdr:rowOff>
    </xdr:to>
    <xdr:pic>
      <xdr:nvPicPr>
        <xdr:cNvPr id="1314" name="Имя " descr="Descr ">
          <a:extLst>
            <a:ext uri="{FF2B5EF4-FFF2-40B4-BE49-F238E27FC236}">
              <a16:creationId xmlns:a16="http://schemas.microsoft.com/office/drawing/2014/main" id="{00000000-0008-0000-0000-000022050000}"/>
            </a:ext>
          </a:extLst>
        </xdr:cNvPr>
        <xdr:cNvPicPr>
          <a:picLocks noChangeAspect="1"/>
        </xdr:cNvPicPr>
      </xdr:nvPicPr>
      <xdr:blipFill>
        <a:blip xmlns:r="http://schemas.openxmlformats.org/officeDocument/2006/relationships" r:embed="rId1291"/>
        <a:stretch>
          <a:fillRect/>
        </a:stretch>
      </xdr:blipFill>
      <xdr:spPr>
        <a:prstGeom prst="rect">
          <a:avLst/>
        </a:prstGeom>
        <a:ln w="9525">
          <a:solidFill>
            <a:srgbClr val="000000"/>
          </a:solidFill>
          <a:prstDash val="solid"/>
        </a:ln>
      </xdr:spPr>
    </xdr:pic>
    <xdr:clientData/>
  </xdr:twoCellAnchor>
  <xdr:twoCellAnchor>
    <xdr:from>
      <xdr:col>3</xdr:col>
      <xdr:colOff>114300</xdr:colOff>
      <xdr:row>3559</xdr:row>
      <xdr:rowOff>28575</xdr:rowOff>
    </xdr:from>
    <xdr:to>
      <xdr:col>3</xdr:col>
      <xdr:colOff>1552575</xdr:colOff>
      <xdr:row>3561</xdr:row>
      <xdr:rowOff>419100</xdr:rowOff>
    </xdr:to>
    <xdr:pic>
      <xdr:nvPicPr>
        <xdr:cNvPr id="1315" name="Имя " descr="Descr ">
          <a:extLst>
            <a:ext uri="{FF2B5EF4-FFF2-40B4-BE49-F238E27FC236}">
              <a16:creationId xmlns:a16="http://schemas.microsoft.com/office/drawing/2014/main" id="{00000000-0008-0000-0000-000023050000}"/>
            </a:ext>
          </a:extLst>
        </xdr:cNvPr>
        <xdr:cNvPicPr>
          <a:picLocks noChangeAspect="1"/>
        </xdr:cNvPicPr>
      </xdr:nvPicPr>
      <xdr:blipFill>
        <a:blip xmlns:r="http://schemas.openxmlformats.org/officeDocument/2006/relationships" r:embed="rId1292"/>
        <a:stretch>
          <a:fillRect/>
        </a:stretch>
      </xdr:blipFill>
      <xdr:spPr>
        <a:prstGeom prst="rect">
          <a:avLst/>
        </a:prstGeom>
        <a:ln w="9525">
          <a:solidFill>
            <a:srgbClr val="000000"/>
          </a:solidFill>
          <a:prstDash val="solid"/>
        </a:ln>
      </xdr:spPr>
    </xdr:pic>
    <xdr:clientData/>
  </xdr:twoCellAnchor>
  <xdr:twoCellAnchor>
    <xdr:from>
      <xdr:col>3</xdr:col>
      <xdr:colOff>114300</xdr:colOff>
      <xdr:row>3562</xdr:row>
      <xdr:rowOff>28575</xdr:rowOff>
    </xdr:from>
    <xdr:to>
      <xdr:col>3</xdr:col>
      <xdr:colOff>1552575</xdr:colOff>
      <xdr:row>3566</xdr:row>
      <xdr:rowOff>333375</xdr:rowOff>
    </xdr:to>
    <xdr:pic>
      <xdr:nvPicPr>
        <xdr:cNvPr id="1316" name="Имя " descr="Descr ">
          <a:extLst>
            <a:ext uri="{FF2B5EF4-FFF2-40B4-BE49-F238E27FC236}">
              <a16:creationId xmlns:a16="http://schemas.microsoft.com/office/drawing/2014/main" id="{00000000-0008-0000-0000-000024050000}"/>
            </a:ext>
          </a:extLst>
        </xdr:cNvPr>
        <xdr:cNvPicPr>
          <a:picLocks noChangeAspect="1"/>
        </xdr:cNvPicPr>
      </xdr:nvPicPr>
      <xdr:blipFill>
        <a:blip xmlns:r="http://schemas.openxmlformats.org/officeDocument/2006/relationships" r:embed="rId1293"/>
        <a:stretch>
          <a:fillRect/>
        </a:stretch>
      </xdr:blipFill>
      <xdr:spPr>
        <a:prstGeom prst="rect">
          <a:avLst/>
        </a:prstGeom>
        <a:ln w="9525">
          <a:solidFill>
            <a:srgbClr val="000000"/>
          </a:solidFill>
          <a:prstDash val="solid"/>
        </a:ln>
      </xdr:spPr>
    </xdr:pic>
    <xdr:clientData/>
  </xdr:twoCellAnchor>
  <xdr:twoCellAnchor>
    <xdr:from>
      <xdr:col>3</xdr:col>
      <xdr:colOff>114300</xdr:colOff>
      <xdr:row>3567</xdr:row>
      <xdr:rowOff>28575</xdr:rowOff>
    </xdr:from>
    <xdr:to>
      <xdr:col>3</xdr:col>
      <xdr:colOff>1552575</xdr:colOff>
      <xdr:row>3573</xdr:row>
      <xdr:rowOff>171450</xdr:rowOff>
    </xdr:to>
    <xdr:pic>
      <xdr:nvPicPr>
        <xdr:cNvPr id="1317" name="Имя " descr="Descr ">
          <a:extLst>
            <a:ext uri="{FF2B5EF4-FFF2-40B4-BE49-F238E27FC236}">
              <a16:creationId xmlns:a16="http://schemas.microsoft.com/office/drawing/2014/main" id="{00000000-0008-0000-0000-000025050000}"/>
            </a:ext>
          </a:extLst>
        </xdr:cNvPr>
        <xdr:cNvPicPr>
          <a:picLocks noChangeAspect="1"/>
        </xdr:cNvPicPr>
      </xdr:nvPicPr>
      <xdr:blipFill>
        <a:blip xmlns:r="http://schemas.openxmlformats.org/officeDocument/2006/relationships" r:embed="rId1294"/>
        <a:stretch>
          <a:fillRect/>
        </a:stretch>
      </xdr:blipFill>
      <xdr:spPr>
        <a:prstGeom prst="rect">
          <a:avLst/>
        </a:prstGeom>
        <a:ln w="9525">
          <a:solidFill>
            <a:srgbClr val="000000"/>
          </a:solidFill>
          <a:prstDash val="solid"/>
        </a:ln>
      </xdr:spPr>
    </xdr:pic>
    <xdr:clientData/>
  </xdr:twoCellAnchor>
  <xdr:twoCellAnchor>
    <xdr:from>
      <xdr:col>3</xdr:col>
      <xdr:colOff>114300</xdr:colOff>
      <xdr:row>3574</xdr:row>
      <xdr:rowOff>28575</xdr:rowOff>
    </xdr:from>
    <xdr:to>
      <xdr:col>3</xdr:col>
      <xdr:colOff>1552575</xdr:colOff>
      <xdr:row>3577</xdr:row>
      <xdr:rowOff>209550</xdr:rowOff>
    </xdr:to>
    <xdr:pic>
      <xdr:nvPicPr>
        <xdr:cNvPr id="1318" name="Имя " descr="Descr ">
          <a:extLst>
            <a:ext uri="{FF2B5EF4-FFF2-40B4-BE49-F238E27FC236}">
              <a16:creationId xmlns:a16="http://schemas.microsoft.com/office/drawing/2014/main" id="{00000000-0008-0000-0000-000026050000}"/>
            </a:ext>
          </a:extLst>
        </xdr:cNvPr>
        <xdr:cNvPicPr>
          <a:picLocks noChangeAspect="1"/>
        </xdr:cNvPicPr>
      </xdr:nvPicPr>
      <xdr:blipFill>
        <a:blip xmlns:r="http://schemas.openxmlformats.org/officeDocument/2006/relationships" r:embed="rId1295"/>
        <a:stretch>
          <a:fillRect/>
        </a:stretch>
      </xdr:blipFill>
      <xdr:spPr>
        <a:prstGeom prst="rect">
          <a:avLst/>
        </a:prstGeom>
        <a:ln w="9525">
          <a:solidFill>
            <a:srgbClr val="000000"/>
          </a:solidFill>
          <a:prstDash val="solid"/>
        </a:ln>
      </xdr:spPr>
    </xdr:pic>
    <xdr:clientData/>
  </xdr:twoCellAnchor>
  <xdr:twoCellAnchor>
    <xdr:from>
      <xdr:col>3</xdr:col>
      <xdr:colOff>114300</xdr:colOff>
      <xdr:row>3578</xdr:row>
      <xdr:rowOff>28575</xdr:rowOff>
    </xdr:from>
    <xdr:to>
      <xdr:col>3</xdr:col>
      <xdr:colOff>1552575</xdr:colOff>
      <xdr:row>3582</xdr:row>
      <xdr:rowOff>333375</xdr:rowOff>
    </xdr:to>
    <xdr:pic>
      <xdr:nvPicPr>
        <xdr:cNvPr id="1319" name="Имя " descr="Descr ">
          <a:extLst>
            <a:ext uri="{FF2B5EF4-FFF2-40B4-BE49-F238E27FC236}">
              <a16:creationId xmlns:a16="http://schemas.microsoft.com/office/drawing/2014/main" id="{00000000-0008-0000-0000-000027050000}"/>
            </a:ext>
          </a:extLst>
        </xdr:cNvPr>
        <xdr:cNvPicPr>
          <a:picLocks noChangeAspect="1"/>
        </xdr:cNvPicPr>
      </xdr:nvPicPr>
      <xdr:blipFill>
        <a:blip xmlns:r="http://schemas.openxmlformats.org/officeDocument/2006/relationships" r:embed="rId1296"/>
        <a:stretch>
          <a:fillRect/>
        </a:stretch>
      </xdr:blipFill>
      <xdr:spPr>
        <a:prstGeom prst="rect">
          <a:avLst/>
        </a:prstGeom>
        <a:ln w="9525">
          <a:solidFill>
            <a:srgbClr val="000000"/>
          </a:solidFill>
          <a:prstDash val="solid"/>
        </a:ln>
      </xdr:spPr>
    </xdr:pic>
    <xdr:clientData/>
  </xdr:twoCellAnchor>
  <xdr:twoCellAnchor>
    <xdr:from>
      <xdr:col>3</xdr:col>
      <xdr:colOff>114300</xdr:colOff>
      <xdr:row>3583</xdr:row>
      <xdr:rowOff>28575</xdr:rowOff>
    </xdr:from>
    <xdr:to>
      <xdr:col>3</xdr:col>
      <xdr:colOff>1552575</xdr:colOff>
      <xdr:row>3588</xdr:row>
      <xdr:rowOff>209550</xdr:rowOff>
    </xdr:to>
    <xdr:pic>
      <xdr:nvPicPr>
        <xdr:cNvPr id="1320" name="Имя " descr="Descr ">
          <a:extLst>
            <a:ext uri="{FF2B5EF4-FFF2-40B4-BE49-F238E27FC236}">
              <a16:creationId xmlns:a16="http://schemas.microsoft.com/office/drawing/2014/main" id="{00000000-0008-0000-0000-000028050000}"/>
            </a:ext>
          </a:extLst>
        </xdr:cNvPr>
        <xdr:cNvPicPr>
          <a:picLocks noChangeAspect="1"/>
        </xdr:cNvPicPr>
      </xdr:nvPicPr>
      <xdr:blipFill>
        <a:blip xmlns:r="http://schemas.openxmlformats.org/officeDocument/2006/relationships" r:embed="rId1297"/>
        <a:stretch>
          <a:fillRect/>
        </a:stretch>
      </xdr:blipFill>
      <xdr:spPr>
        <a:prstGeom prst="rect">
          <a:avLst/>
        </a:prstGeom>
        <a:ln w="9525">
          <a:solidFill>
            <a:srgbClr val="000000"/>
          </a:solidFill>
          <a:prstDash val="solid"/>
        </a:ln>
      </xdr:spPr>
    </xdr:pic>
    <xdr:clientData/>
  </xdr:twoCellAnchor>
  <xdr:twoCellAnchor>
    <xdr:from>
      <xdr:col>3</xdr:col>
      <xdr:colOff>114300</xdr:colOff>
      <xdr:row>3589</xdr:row>
      <xdr:rowOff>28575</xdr:rowOff>
    </xdr:from>
    <xdr:to>
      <xdr:col>3</xdr:col>
      <xdr:colOff>1552575</xdr:colOff>
      <xdr:row>3592</xdr:row>
      <xdr:rowOff>209550</xdr:rowOff>
    </xdr:to>
    <xdr:pic>
      <xdr:nvPicPr>
        <xdr:cNvPr id="1321" name="Имя " descr="Descr ">
          <a:extLst>
            <a:ext uri="{FF2B5EF4-FFF2-40B4-BE49-F238E27FC236}">
              <a16:creationId xmlns:a16="http://schemas.microsoft.com/office/drawing/2014/main" id="{00000000-0008-0000-0000-000029050000}"/>
            </a:ext>
          </a:extLst>
        </xdr:cNvPr>
        <xdr:cNvPicPr>
          <a:picLocks noChangeAspect="1"/>
        </xdr:cNvPicPr>
      </xdr:nvPicPr>
      <xdr:blipFill>
        <a:blip xmlns:r="http://schemas.openxmlformats.org/officeDocument/2006/relationships" r:embed="rId1298"/>
        <a:stretch>
          <a:fillRect/>
        </a:stretch>
      </xdr:blipFill>
      <xdr:spPr>
        <a:prstGeom prst="rect">
          <a:avLst/>
        </a:prstGeom>
        <a:ln w="9525">
          <a:solidFill>
            <a:srgbClr val="000000"/>
          </a:solidFill>
          <a:prstDash val="solid"/>
        </a:ln>
      </xdr:spPr>
    </xdr:pic>
    <xdr:clientData/>
  </xdr:twoCellAnchor>
  <xdr:twoCellAnchor>
    <xdr:from>
      <xdr:col>3</xdr:col>
      <xdr:colOff>114300</xdr:colOff>
      <xdr:row>3593</xdr:row>
      <xdr:rowOff>28575</xdr:rowOff>
    </xdr:from>
    <xdr:to>
      <xdr:col>3</xdr:col>
      <xdr:colOff>1552575</xdr:colOff>
      <xdr:row>3597</xdr:row>
      <xdr:rowOff>333375</xdr:rowOff>
    </xdr:to>
    <xdr:pic>
      <xdr:nvPicPr>
        <xdr:cNvPr id="1322" name="Имя " descr="Descr ">
          <a:extLst>
            <a:ext uri="{FF2B5EF4-FFF2-40B4-BE49-F238E27FC236}">
              <a16:creationId xmlns:a16="http://schemas.microsoft.com/office/drawing/2014/main" id="{00000000-0008-0000-0000-00002A050000}"/>
            </a:ext>
          </a:extLst>
        </xdr:cNvPr>
        <xdr:cNvPicPr>
          <a:picLocks noChangeAspect="1"/>
        </xdr:cNvPicPr>
      </xdr:nvPicPr>
      <xdr:blipFill>
        <a:blip xmlns:r="http://schemas.openxmlformats.org/officeDocument/2006/relationships" r:embed="rId1299"/>
        <a:stretch>
          <a:fillRect/>
        </a:stretch>
      </xdr:blipFill>
      <xdr:spPr>
        <a:prstGeom prst="rect">
          <a:avLst/>
        </a:prstGeom>
        <a:ln w="9525">
          <a:solidFill>
            <a:srgbClr val="000000"/>
          </a:solidFill>
          <a:prstDash val="solid"/>
        </a:ln>
      </xdr:spPr>
    </xdr:pic>
    <xdr:clientData/>
  </xdr:twoCellAnchor>
  <xdr:twoCellAnchor>
    <xdr:from>
      <xdr:col>3</xdr:col>
      <xdr:colOff>114300</xdr:colOff>
      <xdr:row>3598</xdr:row>
      <xdr:rowOff>28575</xdr:rowOff>
    </xdr:from>
    <xdr:to>
      <xdr:col>3</xdr:col>
      <xdr:colOff>1552575</xdr:colOff>
      <xdr:row>3604</xdr:row>
      <xdr:rowOff>171450</xdr:rowOff>
    </xdr:to>
    <xdr:pic>
      <xdr:nvPicPr>
        <xdr:cNvPr id="1323" name="Имя " descr="Descr ">
          <a:extLst>
            <a:ext uri="{FF2B5EF4-FFF2-40B4-BE49-F238E27FC236}">
              <a16:creationId xmlns:a16="http://schemas.microsoft.com/office/drawing/2014/main" id="{00000000-0008-0000-0000-00002B050000}"/>
            </a:ext>
          </a:extLst>
        </xdr:cNvPr>
        <xdr:cNvPicPr>
          <a:picLocks noChangeAspect="1"/>
        </xdr:cNvPicPr>
      </xdr:nvPicPr>
      <xdr:blipFill>
        <a:blip xmlns:r="http://schemas.openxmlformats.org/officeDocument/2006/relationships" r:embed="rId1300"/>
        <a:stretch>
          <a:fillRect/>
        </a:stretch>
      </xdr:blipFill>
      <xdr:spPr>
        <a:prstGeom prst="rect">
          <a:avLst/>
        </a:prstGeom>
        <a:ln w="9525">
          <a:solidFill>
            <a:srgbClr val="000000"/>
          </a:solidFill>
          <a:prstDash val="solid"/>
        </a:ln>
      </xdr:spPr>
    </xdr:pic>
    <xdr:clientData/>
  </xdr:twoCellAnchor>
  <xdr:twoCellAnchor>
    <xdr:from>
      <xdr:col>3</xdr:col>
      <xdr:colOff>114300</xdr:colOff>
      <xdr:row>3605</xdr:row>
      <xdr:rowOff>38100</xdr:rowOff>
    </xdr:from>
    <xdr:to>
      <xdr:col>3</xdr:col>
      <xdr:colOff>1552575</xdr:colOff>
      <xdr:row>3606</xdr:row>
      <xdr:rowOff>638175</xdr:rowOff>
    </xdr:to>
    <xdr:pic>
      <xdr:nvPicPr>
        <xdr:cNvPr id="1324" name="Имя " descr="Descr ">
          <a:extLst>
            <a:ext uri="{FF2B5EF4-FFF2-40B4-BE49-F238E27FC236}">
              <a16:creationId xmlns:a16="http://schemas.microsoft.com/office/drawing/2014/main" id="{00000000-0008-0000-0000-00002C050000}"/>
            </a:ext>
          </a:extLst>
        </xdr:cNvPr>
        <xdr:cNvPicPr>
          <a:picLocks noChangeAspect="1"/>
        </xdr:cNvPicPr>
      </xdr:nvPicPr>
      <xdr:blipFill>
        <a:blip xmlns:r="http://schemas.openxmlformats.org/officeDocument/2006/relationships" r:embed="rId1301"/>
        <a:stretch>
          <a:fillRect/>
        </a:stretch>
      </xdr:blipFill>
      <xdr:spPr>
        <a:prstGeom prst="rect">
          <a:avLst/>
        </a:prstGeom>
        <a:ln w="9525">
          <a:solidFill>
            <a:srgbClr val="000000"/>
          </a:solidFill>
          <a:prstDash val="solid"/>
        </a:ln>
      </xdr:spPr>
    </xdr:pic>
    <xdr:clientData/>
  </xdr:twoCellAnchor>
  <xdr:twoCellAnchor>
    <xdr:from>
      <xdr:col>3</xdr:col>
      <xdr:colOff>114300</xdr:colOff>
      <xdr:row>3607</xdr:row>
      <xdr:rowOff>28575</xdr:rowOff>
    </xdr:from>
    <xdr:to>
      <xdr:col>3</xdr:col>
      <xdr:colOff>1552575</xdr:colOff>
      <xdr:row>3611</xdr:row>
      <xdr:rowOff>333375</xdr:rowOff>
    </xdr:to>
    <xdr:pic>
      <xdr:nvPicPr>
        <xdr:cNvPr id="1325" name="Имя " descr="Descr ">
          <a:extLst>
            <a:ext uri="{FF2B5EF4-FFF2-40B4-BE49-F238E27FC236}">
              <a16:creationId xmlns:a16="http://schemas.microsoft.com/office/drawing/2014/main" id="{00000000-0008-0000-0000-00002D050000}"/>
            </a:ext>
          </a:extLst>
        </xdr:cNvPr>
        <xdr:cNvPicPr>
          <a:picLocks noChangeAspect="1"/>
        </xdr:cNvPicPr>
      </xdr:nvPicPr>
      <xdr:blipFill>
        <a:blip xmlns:r="http://schemas.openxmlformats.org/officeDocument/2006/relationships" r:embed="rId1302"/>
        <a:stretch>
          <a:fillRect/>
        </a:stretch>
      </xdr:blipFill>
      <xdr:spPr>
        <a:prstGeom prst="rect">
          <a:avLst/>
        </a:prstGeom>
        <a:ln w="9525">
          <a:solidFill>
            <a:srgbClr val="000000"/>
          </a:solidFill>
          <a:prstDash val="solid"/>
        </a:ln>
      </xdr:spPr>
    </xdr:pic>
    <xdr:clientData/>
  </xdr:twoCellAnchor>
  <xdr:twoCellAnchor>
    <xdr:from>
      <xdr:col>3</xdr:col>
      <xdr:colOff>114300</xdr:colOff>
      <xdr:row>3612</xdr:row>
      <xdr:rowOff>38100</xdr:rowOff>
    </xdr:from>
    <xdr:to>
      <xdr:col>3</xdr:col>
      <xdr:colOff>1552575</xdr:colOff>
      <xdr:row>3613</xdr:row>
      <xdr:rowOff>638175</xdr:rowOff>
    </xdr:to>
    <xdr:pic>
      <xdr:nvPicPr>
        <xdr:cNvPr id="1326" name="Имя " descr="Descr ">
          <a:extLst>
            <a:ext uri="{FF2B5EF4-FFF2-40B4-BE49-F238E27FC236}">
              <a16:creationId xmlns:a16="http://schemas.microsoft.com/office/drawing/2014/main" id="{00000000-0008-0000-0000-00002E050000}"/>
            </a:ext>
          </a:extLst>
        </xdr:cNvPr>
        <xdr:cNvPicPr>
          <a:picLocks noChangeAspect="1"/>
        </xdr:cNvPicPr>
      </xdr:nvPicPr>
      <xdr:blipFill>
        <a:blip xmlns:r="http://schemas.openxmlformats.org/officeDocument/2006/relationships" r:embed="rId1303"/>
        <a:stretch>
          <a:fillRect/>
        </a:stretch>
      </xdr:blipFill>
      <xdr:spPr>
        <a:prstGeom prst="rect">
          <a:avLst/>
        </a:prstGeom>
        <a:ln w="9525">
          <a:solidFill>
            <a:srgbClr val="000000"/>
          </a:solidFill>
          <a:prstDash val="solid"/>
        </a:ln>
      </xdr:spPr>
    </xdr:pic>
    <xdr:clientData/>
  </xdr:twoCellAnchor>
  <xdr:twoCellAnchor>
    <xdr:from>
      <xdr:col>3</xdr:col>
      <xdr:colOff>114300</xdr:colOff>
      <xdr:row>3614</xdr:row>
      <xdr:rowOff>38100</xdr:rowOff>
    </xdr:from>
    <xdr:to>
      <xdr:col>3</xdr:col>
      <xdr:colOff>1552575</xdr:colOff>
      <xdr:row>3615</xdr:row>
      <xdr:rowOff>638175</xdr:rowOff>
    </xdr:to>
    <xdr:pic>
      <xdr:nvPicPr>
        <xdr:cNvPr id="1327" name="Имя " descr="Descr ">
          <a:extLst>
            <a:ext uri="{FF2B5EF4-FFF2-40B4-BE49-F238E27FC236}">
              <a16:creationId xmlns:a16="http://schemas.microsoft.com/office/drawing/2014/main" id="{00000000-0008-0000-0000-00002F050000}"/>
            </a:ext>
          </a:extLst>
        </xdr:cNvPr>
        <xdr:cNvPicPr>
          <a:picLocks noChangeAspect="1"/>
        </xdr:cNvPicPr>
      </xdr:nvPicPr>
      <xdr:blipFill>
        <a:blip xmlns:r="http://schemas.openxmlformats.org/officeDocument/2006/relationships" r:embed="rId1304"/>
        <a:stretch>
          <a:fillRect/>
        </a:stretch>
      </xdr:blipFill>
      <xdr:spPr>
        <a:prstGeom prst="rect">
          <a:avLst/>
        </a:prstGeom>
        <a:ln w="9525">
          <a:solidFill>
            <a:srgbClr val="000000"/>
          </a:solidFill>
          <a:prstDash val="solid"/>
        </a:ln>
      </xdr:spPr>
    </xdr:pic>
    <xdr:clientData/>
  </xdr:twoCellAnchor>
  <xdr:twoCellAnchor>
    <xdr:from>
      <xdr:col>3</xdr:col>
      <xdr:colOff>114300</xdr:colOff>
      <xdr:row>3616</xdr:row>
      <xdr:rowOff>28575</xdr:rowOff>
    </xdr:from>
    <xdr:to>
      <xdr:col>3</xdr:col>
      <xdr:colOff>1552575</xdr:colOff>
      <xdr:row>3620</xdr:row>
      <xdr:rowOff>333375</xdr:rowOff>
    </xdr:to>
    <xdr:pic>
      <xdr:nvPicPr>
        <xdr:cNvPr id="1328" name="Имя " descr="Descr ">
          <a:extLst>
            <a:ext uri="{FF2B5EF4-FFF2-40B4-BE49-F238E27FC236}">
              <a16:creationId xmlns:a16="http://schemas.microsoft.com/office/drawing/2014/main" id="{00000000-0008-0000-0000-000030050000}"/>
            </a:ext>
          </a:extLst>
        </xdr:cNvPr>
        <xdr:cNvPicPr>
          <a:picLocks noChangeAspect="1"/>
        </xdr:cNvPicPr>
      </xdr:nvPicPr>
      <xdr:blipFill>
        <a:blip xmlns:r="http://schemas.openxmlformats.org/officeDocument/2006/relationships" r:embed="rId1305"/>
        <a:stretch>
          <a:fillRect/>
        </a:stretch>
      </xdr:blipFill>
      <xdr:spPr>
        <a:prstGeom prst="rect">
          <a:avLst/>
        </a:prstGeom>
        <a:ln w="9525">
          <a:solidFill>
            <a:srgbClr val="000000"/>
          </a:solidFill>
          <a:prstDash val="solid"/>
        </a:ln>
      </xdr:spPr>
    </xdr:pic>
    <xdr:clientData/>
  </xdr:twoCellAnchor>
  <xdr:twoCellAnchor>
    <xdr:from>
      <xdr:col>3</xdr:col>
      <xdr:colOff>114300</xdr:colOff>
      <xdr:row>3621</xdr:row>
      <xdr:rowOff>28575</xdr:rowOff>
    </xdr:from>
    <xdr:to>
      <xdr:col>3</xdr:col>
      <xdr:colOff>1552575</xdr:colOff>
      <xdr:row>3625</xdr:row>
      <xdr:rowOff>333375</xdr:rowOff>
    </xdr:to>
    <xdr:pic>
      <xdr:nvPicPr>
        <xdr:cNvPr id="1329" name="Имя " descr="Descr ">
          <a:extLst>
            <a:ext uri="{FF2B5EF4-FFF2-40B4-BE49-F238E27FC236}">
              <a16:creationId xmlns:a16="http://schemas.microsoft.com/office/drawing/2014/main" id="{00000000-0008-0000-0000-000031050000}"/>
            </a:ext>
          </a:extLst>
        </xdr:cNvPr>
        <xdr:cNvPicPr>
          <a:picLocks noChangeAspect="1"/>
        </xdr:cNvPicPr>
      </xdr:nvPicPr>
      <xdr:blipFill>
        <a:blip xmlns:r="http://schemas.openxmlformats.org/officeDocument/2006/relationships" r:embed="rId1306"/>
        <a:stretch>
          <a:fillRect/>
        </a:stretch>
      </xdr:blipFill>
      <xdr:spPr>
        <a:prstGeom prst="rect">
          <a:avLst/>
        </a:prstGeom>
        <a:ln w="9525">
          <a:solidFill>
            <a:srgbClr val="000000"/>
          </a:solidFill>
          <a:prstDash val="solid"/>
        </a:ln>
      </xdr:spPr>
    </xdr:pic>
    <xdr:clientData/>
  </xdr:twoCellAnchor>
  <xdr:twoCellAnchor>
    <xdr:from>
      <xdr:col>3</xdr:col>
      <xdr:colOff>114300</xdr:colOff>
      <xdr:row>3626</xdr:row>
      <xdr:rowOff>28575</xdr:rowOff>
    </xdr:from>
    <xdr:to>
      <xdr:col>3</xdr:col>
      <xdr:colOff>1552575</xdr:colOff>
      <xdr:row>3628</xdr:row>
      <xdr:rowOff>419100</xdr:rowOff>
    </xdr:to>
    <xdr:pic>
      <xdr:nvPicPr>
        <xdr:cNvPr id="1330" name="Имя " descr="Descr ">
          <a:extLst>
            <a:ext uri="{FF2B5EF4-FFF2-40B4-BE49-F238E27FC236}">
              <a16:creationId xmlns:a16="http://schemas.microsoft.com/office/drawing/2014/main" id="{00000000-0008-0000-0000-000032050000}"/>
            </a:ext>
          </a:extLst>
        </xdr:cNvPr>
        <xdr:cNvPicPr>
          <a:picLocks noChangeAspect="1"/>
        </xdr:cNvPicPr>
      </xdr:nvPicPr>
      <xdr:blipFill>
        <a:blip xmlns:r="http://schemas.openxmlformats.org/officeDocument/2006/relationships" r:embed="rId1307"/>
        <a:stretch>
          <a:fillRect/>
        </a:stretch>
      </xdr:blipFill>
      <xdr:spPr>
        <a:prstGeom prst="rect">
          <a:avLst/>
        </a:prstGeom>
        <a:ln w="9525">
          <a:solidFill>
            <a:srgbClr val="000000"/>
          </a:solidFill>
          <a:prstDash val="solid"/>
        </a:ln>
      </xdr:spPr>
    </xdr:pic>
    <xdr:clientData/>
  </xdr:twoCellAnchor>
  <xdr:twoCellAnchor>
    <xdr:from>
      <xdr:col>3</xdr:col>
      <xdr:colOff>114300</xdr:colOff>
      <xdr:row>3629</xdr:row>
      <xdr:rowOff>28575</xdr:rowOff>
    </xdr:from>
    <xdr:to>
      <xdr:col>3</xdr:col>
      <xdr:colOff>1552575</xdr:colOff>
      <xdr:row>3632</xdr:row>
      <xdr:rowOff>209550</xdr:rowOff>
    </xdr:to>
    <xdr:pic>
      <xdr:nvPicPr>
        <xdr:cNvPr id="1331" name="Имя " descr="Descr ">
          <a:extLst>
            <a:ext uri="{FF2B5EF4-FFF2-40B4-BE49-F238E27FC236}">
              <a16:creationId xmlns:a16="http://schemas.microsoft.com/office/drawing/2014/main" id="{00000000-0008-0000-0000-000033050000}"/>
            </a:ext>
          </a:extLst>
        </xdr:cNvPr>
        <xdr:cNvPicPr>
          <a:picLocks noChangeAspect="1"/>
        </xdr:cNvPicPr>
      </xdr:nvPicPr>
      <xdr:blipFill>
        <a:blip xmlns:r="http://schemas.openxmlformats.org/officeDocument/2006/relationships" r:embed="rId1308"/>
        <a:stretch>
          <a:fillRect/>
        </a:stretch>
      </xdr:blipFill>
      <xdr:spPr>
        <a:prstGeom prst="rect">
          <a:avLst/>
        </a:prstGeom>
        <a:ln w="9525">
          <a:solidFill>
            <a:srgbClr val="000000"/>
          </a:solidFill>
          <a:prstDash val="solid"/>
        </a:ln>
      </xdr:spPr>
    </xdr:pic>
    <xdr:clientData/>
  </xdr:twoCellAnchor>
  <xdr:twoCellAnchor>
    <xdr:from>
      <xdr:col>3</xdr:col>
      <xdr:colOff>114300</xdr:colOff>
      <xdr:row>3633</xdr:row>
      <xdr:rowOff>28575</xdr:rowOff>
    </xdr:from>
    <xdr:to>
      <xdr:col>3</xdr:col>
      <xdr:colOff>1552575</xdr:colOff>
      <xdr:row>3633</xdr:row>
      <xdr:rowOff>1266825</xdr:rowOff>
    </xdr:to>
    <xdr:pic>
      <xdr:nvPicPr>
        <xdr:cNvPr id="1332" name="Имя " descr="Descr ">
          <a:extLst>
            <a:ext uri="{FF2B5EF4-FFF2-40B4-BE49-F238E27FC236}">
              <a16:creationId xmlns:a16="http://schemas.microsoft.com/office/drawing/2014/main" id="{00000000-0008-0000-0000-000034050000}"/>
            </a:ext>
          </a:extLst>
        </xdr:cNvPr>
        <xdr:cNvPicPr>
          <a:picLocks noChangeAspect="1"/>
        </xdr:cNvPicPr>
      </xdr:nvPicPr>
      <xdr:blipFill>
        <a:blip xmlns:r="http://schemas.openxmlformats.org/officeDocument/2006/relationships" r:embed="rId1309"/>
        <a:stretch>
          <a:fillRect/>
        </a:stretch>
      </xdr:blipFill>
      <xdr:spPr>
        <a:prstGeom prst="rect">
          <a:avLst/>
        </a:prstGeom>
        <a:ln w="9525">
          <a:solidFill>
            <a:srgbClr val="000000"/>
          </a:solidFill>
          <a:prstDash val="solid"/>
        </a:ln>
      </xdr:spPr>
    </xdr:pic>
    <xdr:clientData/>
  </xdr:twoCellAnchor>
  <xdr:twoCellAnchor>
    <xdr:from>
      <xdr:col>3</xdr:col>
      <xdr:colOff>114300</xdr:colOff>
      <xdr:row>3634</xdr:row>
      <xdr:rowOff>28575</xdr:rowOff>
    </xdr:from>
    <xdr:to>
      <xdr:col>3</xdr:col>
      <xdr:colOff>1552575</xdr:colOff>
      <xdr:row>3634</xdr:row>
      <xdr:rowOff>1266825</xdr:rowOff>
    </xdr:to>
    <xdr:pic>
      <xdr:nvPicPr>
        <xdr:cNvPr id="1333" name="Имя " descr="Descr ">
          <a:extLst>
            <a:ext uri="{FF2B5EF4-FFF2-40B4-BE49-F238E27FC236}">
              <a16:creationId xmlns:a16="http://schemas.microsoft.com/office/drawing/2014/main" id="{00000000-0008-0000-0000-000035050000}"/>
            </a:ext>
          </a:extLst>
        </xdr:cNvPr>
        <xdr:cNvPicPr>
          <a:picLocks noChangeAspect="1"/>
        </xdr:cNvPicPr>
      </xdr:nvPicPr>
      <xdr:blipFill>
        <a:blip xmlns:r="http://schemas.openxmlformats.org/officeDocument/2006/relationships" r:embed="rId1310"/>
        <a:stretch>
          <a:fillRect/>
        </a:stretch>
      </xdr:blipFill>
      <xdr:spPr>
        <a:prstGeom prst="rect">
          <a:avLst/>
        </a:prstGeom>
        <a:ln w="9525">
          <a:solidFill>
            <a:srgbClr val="000000"/>
          </a:solidFill>
          <a:prstDash val="solid"/>
        </a:ln>
      </xdr:spPr>
    </xdr:pic>
    <xdr:clientData/>
  </xdr:twoCellAnchor>
  <xdr:twoCellAnchor>
    <xdr:from>
      <xdr:col>3</xdr:col>
      <xdr:colOff>114300</xdr:colOff>
      <xdr:row>3635</xdr:row>
      <xdr:rowOff>28575</xdr:rowOff>
    </xdr:from>
    <xdr:to>
      <xdr:col>3</xdr:col>
      <xdr:colOff>1552575</xdr:colOff>
      <xdr:row>3635</xdr:row>
      <xdr:rowOff>1266825</xdr:rowOff>
    </xdr:to>
    <xdr:pic>
      <xdr:nvPicPr>
        <xdr:cNvPr id="1334" name="Имя " descr="Descr ">
          <a:extLst>
            <a:ext uri="{FF2B5EF4-FFF2-40B4-BE49-F238E27FC236}">
              <a16:creationId xmlns:a16="http://schemas.microsoft.com/office/drawing/2014/main" id="{00000000-0008-0000-0000-000036050000}"/>
            </a:ext>
          </a:extLst>
        </xdr:cNvPr>
        <xdr:cNvPicPr>
          <a:picLocks noChangeAspect="1"/>
        </xdr:cNvPicPr>
      </xdr:nvPicPr>
      <xdr:blipFill>
        <a:blip xmlns:r="http://schemas.openxmlformats.org/officeDocument/2006/relationships" r:embed="rId1311"/>
        <a:stretch>
          <a:fillRect/>
        </a:stretch>
      </xdr:blipFill>
      <xdr:spPr>
        <a:prstGeom prst="rect">
          <a:avLst/>
        </a:prstGeom>
        <a:ln w="9525">
          <a:solidFill>
            <a:srgbClr val="000000"/>
          </a:solidFill>
          <a:prstDash val="solid"/>
        </a:ln>
      </xdr:spPr>
    </xdr:pic>
    <xdr:clientData/>
  </xdr:twoCellAnchor>
  <xdr:twoCellAnchor>
    <xdr:from>
      <xdr:col>3</xdr:col>
      <xdr:colOff>114300</xdr:colOff>
      <xdr:row>3636</xdr:row>
      <xdr:rowOff>28575</xdr:rowOff>
    </xdr:from>
    <xdr:to>
      <xdr:col>3</xdr:col>
      <xdr:colOff>1552575</xdr:colOff>
      <xdr:row>3636</xdr:row>
      <xdr:rowOff>1266825</xdr:rowOff>
    </xdr:to>
    <xdr:pic>
      <xdr:nvPicPr>
        <xdr:cNvPr id="1335" name="Имя " descr="Descr ">
          <a:extLst>
            <a:ext uri="{FF2B5EF4-FFF2-40B4-BE49-F238E27FC236}">
              <a16:creationId xmlns:a16="http://schemas.microsoft.com/office/drawing/2014/main" id="{00000000-0008-0000-0000-000037050000}"/>
            </a:ext>
          </a:extLst>
        </xdr:cNvPr>
        <xdr:cNvPicPr>
          <a:picLocks noChangeAspect="1"/>
        </xdr:cNvPicPr>
      </xdr:nvPicPr>
      <xdr:blipFill>
        <a:blip xmlns:r="http://schemas.openxmlformats.org/officeDocument/2006/relationships" r:embed="rId1312"/>
        <a:stretch>
          <a:fillRect/>
        </a:stretch>
      </xdr:blipFill>
      <xdr:spPr>
        <a:prstGeom prst="rect">
          <a:avLst/>
        </a:prstGeom>
        <a:ln w="9525">
          <a:solidFill>
            <a:srgbClr val="000000"/>
          </a:solidFill>
          <a:prstDash val="solid"/>
        </a:ln>
      </xdr:spPr>
    </xdr:pic>
    <xdr:clientData/>
  </xdr:twoCellAnchor>
  <xdr:twoCellAnchor>
    <xdr:from>
      <xdr:col>3</xdr:col>
      <xdr:colOff>114300</xdr:colOff>
      <xdr:row>3637</xdr:row>
      <xdr:rowOff>38100</xdr:rowOff>
    </xdr:from>
    <xdr:to>
      <xdr:col>3</xdr:col>
      <xdr:colOff>1552575</xdr:colOff>
      <xdr:row>3638</xdr:row>
      <xdr:rowOff>638175</xdr:rowOff>
    </xdr:to>
    <xdr:pic>
      <xdr:nvPicPr>
        <xdr:cNvPr id="1336" name="Имя " descr="Descr ">
          <a:extLst>
            <a:ext uri="{FF2B5EF4-FFF2-40B4-BE49-F238E27FC236}">
              <a16:creationId xmlns:a16="http://schemas.microsoft.com/office/drawing/2014/main" id="{00000000-0008-0000-0000-000038050000}"/>
            </a:ext>
          </a:extLst>
        </xdr:cNvPr>
        <xdr:cNvPicPr>
          <a:picLocks noChangeAspect="1"/>
        </xdr:cNvPicPr>
      </xdr:nvPicPr>
      <xdr:blipFill>
        <a:blip xmlns:r="http://schemas.openxmlformats.org/officeDocument/2006/relationships" r:embed="rId1313"/>
        <a:stretch>
          <a:fillRect/>
        </a:stretch>
      </xdr:blipFill>
      <xdr:spPr>
        <a:prstGeom prst="rect">
          <a:avLst/>
        </a:prstGeom>
        <a:ln w="9525">
          <a:solidFill>
            <a:srgbClr val="000000"/>
          </a:solidFill>
          <a:prstDash val="solid"/>
        </a:ln>
      </xdr:spPr>
    </xdr:pic>
    <xdr:clientData/>
  </xdr:twoCellAnchor>
  <xdr:twoCellAnchor>
    <xdr:from>
      <xdr:col>3</xdr:col>
      <xdr:colOff>114300</xdr:colOff>
      <xdr:row>3639</xdr:row>
      <xdr:rowOff>28575</xdr:rowOff>
    </xdr:from>
    <xdr:to>
      <xdr:col>3</xdr:col>
      <xdr:colOff>1552575</xdr:colOff>
      <xdr:row>3639</xdr:row>
      <xdr:rowOff>1266825</xdr:rowOff>
    </xdr:to>
    <xdr:pic>
      <xdr:nvPicPr>
        <xdr:cNvPr id="1337" name="Имя " descr="Descr ">
          <a:extLst>
            <a:ext uri="{FF2B5EF4-FFF2-40B4-BE49-F238E27FC236}">
              <a16:creationId xmlns:a16="http://schemas.microsoft.com/office/drawing/2014/main" id="{00000000-0008-0000-0000-000039050000}"/>
            </a:ext>
          </a:extLst>
        </xdr:cNvPr>
        <xdr:cNvPicPr>
          <a:picLocks noChangeAspect="1"/>
        </xdr:cNvPicPr>
      </xdr:nvPicPr>
      <xdr:blipFill>
        <a:blip xmlns:r="http://schemas.openxmlformats.org/officeDocument/2006/relationships" r:embed="rId1314"/>
        <a:stretch>
          <a:fillRect/>
        </a:stretch>
      </xdr:blipFill>
      <xdr:spPr>
        <a:prstGeom prst="rect">
          <a:avLst/>
        </a:prstGeom>
        <a:ln w="9525">
          <a:solidFill>
            <a:srgbClr val="000000"/>
          </a:solidFill>
          <a:prstDash val="solid"/>
        </a:ln>
      </xdr:spPr>
    </xdr:pic>
    <xdr:clientData/>
  </xdr:twoCellAnchor>
  <xdr:twoCellAnchor>
    <xdr:from>
      <xdr:col>3</xdr:col>
      <xdr:colOff>114300</xdr:colOff>
      <xdr:row>3640</xdr:row>
      <xdr:rowOff>28575</xdr:rowOff>
    </xdr:from>
    <xdr:to>
      <xdr:col>3</xdr:col>
      <xdr:colOff>1552575</xdr:colOff>
      <xdr:row>3640</xdr:row>
      <xdr:rowOff>1266825</xdr:rowOff>
    </xdr:to>
    <xdr:pic>
      <xdr:nvPicPr>
        <xdr:cNvPr id="1338" name="Имя " descr="Descr ">
          <a:extLst>
            <a:ext uri="{FF2B5EF4-FFF2-40B4-BE49-F238E27FC236}">
              <a16:creationId xmlns:a16="http://schemas.microsoft.com/office/drawing/2014/main" id="{00000000-0008-0000-0000-00003A050000}"/>
            </a:ext>
          </a:extLst>
        </xdr:cNvPr>
        <xdr:cNvPicPr>
          <a:picLocks noChangeAspect="1"/>
        </xdr:cNvPicPr>
      </xdr:nvPicPr>
      <xdr:blipFill>
        <a:blip xmlns:r="http://schemas.openxmlformats.org/officeDocument/2006/relationships" r:embed="rId1315"/>
        <a:stretch>
          <a:fillRect/>
        </a:stretch>
      </xdr:blipFill>
      <xdr:spPr>
        <a:prstGeom prst="rect">
          <a:avLst/>
        </a:prstGeom>
        <a:ln w="9525">
          <a:solidFill>
            <a:srgbClr val="000000"/>
          </a:solidFill>
          <a:prstDash val="solid"/>
        </a:ln>
      </xdr:spPr>
    </xdr:pic>
    <xdr:clientData/>
  </xdr:twoCellAnchor>
  <xdr:twoCellAnchor>
    <xdr:from>
      <xdr:col>3</xdr:col>
      <xdr:colOff>114300</xdr:colOff>
      <xdr:row>3641</xdr:row>
      <xdr:rowOff>38100</xdr:rowOff>
    </xdr:from>
    <xdr:to>
      <xdr:col>3</xdr:col>
      <xdr:colOff>1552575</xdr:colOff>
      <xdr:row>3642</xdr:row>
      <xdr:rowOff>638175</xdr:rowOff>
    </xdr:to>
    <xdr:pic>
      <xdr:nvPicPr>
        <xdr:cNvPr id="1339" name="Имя " descr="Descr ">
          <a:extLst>
            <a:ext uri="{FF2B5EF4-FFF2-40B4-BE49-F238E27FC236}">
              <a16:creationId xmlns:a16="http://schemas.microsoft.com/office/drawing/2014/main" id="{00000000-0008-0000-0000-00003B050000}"/>
            </a:ext>
          </a:extLst>
        </xdr:cNvPr>
        <xdr:cNvPicPr>
          <a:picLocks noChangeAspect="1"/>
        </xdr:cNvPicPr>
      </xdr:nvPicPr>
      <xdr:blipFill>
        <a:blip xmlns:r="http://schemas.openxmlformats.org/officeDocument/2006/relationships" r:embed="rId1316"/>
        <a:stretch>
          <a:fillRect/>
        </a:stretch>
      </xdr:blipFill>
      <xdr:spPr>
        <a:prstGeom prst="rect">
          <a:avLst/>
        </a:prstGeom>
        <a:ln w="9525">
          <a:solidFill>
            <a:srgbClr val="000000"/>
          </a:solidFill>
          <a:prstDash val="solid"/>
        </a:ln>
      </xdr:spPr>
    </xdr:pic>
    <xdr:clientData/>
  </xdr:twoCellAnchor>
  <xdr:twoCellAnchor>
    <xdr:from>
      <xdr:col>3</xdr:col>
      <xdr:colOff>114300</xdr:colOff>
      <xdr:row>3643</xdr:row>
      <xdr:rowOff>38100</xdr:rowOff>
    </xdr:from>
    <xdr:to>
      <xdr:col>3</xdr:col>
      <xdr:colOff>1552575</xdr:colOff>
      <xdr:row>3644</xdr:row>
      <xdr:rowOff>638175</xdr:rowOff>
    </xdr:to>
    <xdr:pic>
      <xdr:nvPicPr>
        <xdr:cNvPr id="1340" name="Имя " descr="Descr ">
          <a:extLst>
            <a:ext uri="{FF2B5EF4-FFF2-40B4-BE49-F238E27FC236}">
              <a16:creationId xmlns:a16="http://schemas.microsoft.com/office/drawing/2014/main" id="{00000000-0008-0000-0000-00003C050000}"/>
            </a:ext>
          </a:extLst>
        </xdr:cNvPr>
        <xdr:cNvPicPr>
          <a:picLocks noChangeAspect="1"/>
        </xdr:cNvPicPr>
      </xdr:nvPicPr>
      <xdr:blipFill>
        <a:blip xmlns:r="http://schemas.openxmlformats.org/officeDocument/2006/relationships" r:embed="rId1317"/>
        <a:stretch>
          <a:fillRect/>
        </a:stretch>
      </xdr:blipFill>
      <xdr:spPr>
        <a:prstGeom prst="rect">
          <a:avLst/>
        </a:prstGeom>
        <a:ln w="9525">
          <a:solidFill>
            <a:srgbClr val="000000"/>
          </a:solidFill>
          <a:prstDash val="solid"/>
        </a:ln>
      </xdr:spPr>
    </xdr:pic>
    <xdr:clientData/>
  </xdr:twoCellAnchor>
  <xdr:twoCellAnchor>
    <xdr:from>
      <xdr:col>3</xdr:col>
      <xdr:colOff>114300</xdr:colOff>
      <xdr:row>3645</xdr:row>
      <xdr:rowOff>38100</xdr:rowOff>
    </xdr:from>
    <xdr:to>
      <xdr:col>3</xdr:col>
      <xdr:colOff>1552575</xdr:colOff>
      <xdr:row>3646</xdr:row>
      <xdr:rowOff>638175</xdr:rowOff>
    </xdr:to>
    <xdr:pic>
      <xdr:nvPicPr>
        <xdr:cNvPr id="1341" name="Имя " descr="Descr ">
          <a:extLst>
            <a:ext uri="{FF2B5EF4-FFF2-40B4-BE49-F238E27FC236}">
              <a16:creationId xmlns:a16="http://schemas.microsoft.com/office/drawing/2014/main" id="{00000000-0008-0000-0000-00003D050000}"/>
            </a:ext>
          </a:extLst>
        </xdr:cNvPr>
        <xdr:cNvPicPr>
          <a:picLocks noChangeAspect="1"/>
        </xdr:cNvPicPr>
      </xdr:nvPicPr>
      <xdr:blipFill>
        <a:blip xmlns:r="http://schemas.openxmlformats.org/officeDocument/2006/relationships" r:embed="rId1318"/>
        <a:stretch>
          <a:fillRect/>
        </a:stretch>
      </xdr:blipFill>
      <xdr:spPr>
        <a:prstGeom prst="rect">
          <a:avLst/>
        </a:prstGeom>
        <a:ln w="9525">
          <a:solidFill>
            <a:srgbClr val="000000"/>
          </a:solidFill>
          <a:prstDash val="solid"/>
        </a:ln>
      </xdr:spPr>
    </xdr:pic>
    <xdr:clientData/>
  </xdr:twoCellAnchor>
  <xdr:twoCellAnchor>
    <xdr:from>
      <xdr:col>3</xdr:col>
      <xdr:colOff>114300</xdr:colOff>
      <xdr:row>3647</xdr:row>
      <xdr:rowOff>28575</xdr:rowOff>
    </xdr:from>
    <xdr:to>
      <xdr:col>3</xdr:col>
      <xdr:colOff>1552575</xdr:colOff>
      <xdr:row>3650</xdr:row>
      <xdr:rowOff>209550</xdr:rowOff>
    </xdr:to>
    <xdr:pic>
      <xdr:nvPicPr>
        <xdr:cNvPr id="1342" name="Имя " descr="Descr ">
          <a:extLst>
            <a:ext uri="{FF2B5EF4-FFF2-40B4-BE49-F238E27FC236}">
              <a16:creationId xmlns:a16="http://schemas.microsoft.com/office/drawing/2014/main" id="{00000000-0008-0000-0000-00003E050000}"/>
            </a:ext>
          </a:extLst>
        </xdr:cNvPr>
        <xdr:cNvPicPr>
          <a:picLocks noChangeAspect="1"/>
        </xdr:cNvPicPr>
      </xdr:nvPicPr>
      <xdr:blipFill>
        <a:blip xmlns:r="http://schemas.openxmlformats.org/officeDocument/2006/relationships" r:embed="rId1319"/>
        <a:stretch>
          <a:fillRect/>
        </a:stretch>
      </xdr:blipFill>
      <xdr:spPr>
        <a:prstGeom prst="rect">
          <a:avLst/>
        </a:prstGeom>
        <a:ln w="9525">
          <a:solidFill>
            <a:srgbClr val="000000"/>
          </a:solidFill>
          <a:prstDash val="solid"/>
        </a:ln>
      </xdr:spPr>
    </xdr:pic>
    <xdr:clientData/>
  </xdr:twoCellAnchor>
  <xdr:twoCellAnchor>
    <xdr:from>
      <xdr:col>3</xdr:col>
      <xdr:colOff>114300</xdr:colOff>
      <xdr:row>3651</xdr:row>
      <xdr:rowOff>28575</xdr:rowOff>
    </xdr:from>
    <xdr:to>
      <xdr:col>3</xdr:col>
      <xdr:colOff>1552575</xdr:colOff>
      <xdr:row>3653</xdr:row>
      <xdr:rowOff>419100</xdr:rowOff>
    </xdr:to>
    <xdr:pic>
      <xdr:nvPicPr>
        <xdr:cNvPr id="1343" name="Имя " descr="Descr ">
          <a:extLst>
            <a:ext uri="{FF2B5EF4-FFF2-40B4-BE49-F238E27FC236}">
              <a16:creationId xmlns:a16="http://schemas.microsoft.com/office/drawing/2014/main" id="{00000000-0008-0000-0000-00003F050000}"/>
            </a:ext>
          </a:extLst>
        </xdr:cNvPr>
        <xdr:cNvPicPr>
          <a:picLocks noChangeAspect="1"/>
        </xdr:cNvPicPr>
      </xdr:nvPicPr>
      <xdr:blipFill>
        <a:blip xmlns:r="http://schemas.openxmlformats.org/officeDocument/2006/relationships" r:embed="rId1320"/>
        <a:stretch>
          <a:fillRect/>
        </a:stretch>
      </xdr:blipFill>
      <xdr:spPr>
        <a:prstGeom prst="rect">
          <a:avLst/>
        </a:prstGeom>
        <a:ln w="9525">
          <a:solidFill>
            <a:srgbClr val="000000"/>
          </a:solidFill>
          <a:prstDash val="solid"/>
        </a:ln>
      </xdr:spPr>
    </xdr:pic>
    <xdr:clientData/>
  </xdr:twoCellAnchor>
  <xdr:twoCellAnchor>
    <xdr:from>
      <xdr:col>3</xdr:col>
      <xdr:colOff>114300</xdr:colOff>
      <xdr:row>3654</xdr:row>
      <xdr:rowOff>38100</xdr:rowOff>
    </xdr:from>
    <xdr:to>
      <xdr:col>3</xdr:col>
      <xdr:colOff>1552575</xdr:colOff>
      <xdr:row>3655</xdr:row>
      <xdr:rowOff>638175</xdr:rowOff>
    </xdr:to>
    <xdr:pic>
      <xdr:nvPicPr>
        <xdr:cNvPr id="1344" name="Имя " descr="Descr ">
          <a:extLst>
            <a:ext uri="{FF2B5EF4-FFF2-40B4-BE49-F238E27FC236}">
              <a16:creationId xmlns:a16="http://schemas.microsoft.com/office/drawing/2014/main" id="{00000000-0008-0000-0000-000040050000}"/>
            </a:ext>
          </a:extLst>
        </xdr:cNvPr>
        <xdr:cNvPicPr>
          <a:picLocks noChangeAspect="1"/>
        </xdr:cNvPicPr>
      </xdr:nvPicPr>
      <xdr:blipFill>
        <a:blip xmlns:r="http://schemas.openxmlformats.org/officeDocument/2006/relationships" r:embed="rId1321"/>
        <a:stretch>
          <a:fillRect/>
        </a:stretch>
      </xdr:blipFill>
      <xdr:spPr>
        <a:prstGeom prst="rect">
          <a:avLst/>
        </a:prstGeom>
        <a:ln w="9525">
          <a:solidFill>
            <a:srgbClr val="000000"/>
          </a:solidFill>
          <a:prstDash val="solid"/>
        </a:ln>
      </xdr:spPr>
    </xdr:pic>
    <xdr:clientData/>
  </xdr:twoCellAnchor>
  <xdr:twoCellAnchor>
    <xdr:from>
      <xdr:col>3</xdr:col>
      <xdr:colOff>114300</xdr:colOff>
      <xdr:row>3656</xdr:row>
      <xdr:rowOff>28575</xdr:rowOff>
    </xdr:from>
    <xdr:to>
      <xdr:col>3</xdr:col>
      <xdr:colOff>1552575</xdr:colOff>
      <xdr:row>3656</xdr:row>
      <xdr:rowOff>1266825</xdr:rowOff>
    </xdr:to>
    <xdr:pic>
      <xdr:nvPicPr>
        <xdr:cNvPr id="1345" name="Имя " descr="Descr ">
          <a:extLst>
            <a:ext uri="{FF2B5EF4-FFF2-40B4-BE49-F238E27FC236}">
              <a16:creationId xmlns:a16="http://schemas.microsoft.com/office/drawing/2014/main" id="{00000000-0008-0000-0000-000041050000}"/>
            </a:ext>
          </a:extLst>
        </xdr:cNvPr>
        <xdr:cNvPicPr>
          <a:picLocks noChangeAspect="1"/>
        </xdr:cNvPicPr>
      </xdr:nvPicPr>
      <xdr:blipFill>
        <a:blip xmlns:r="http://schemas.openxmlformats.org/officeDocument/2006/relationships" r:embed="rId1322"/>
        <a:stretch>
          <a:fillRect/>
        </a:stretch>
      </xdr:blipFill>
      <xdr:spPr>
        <a:prstGeom prst="rect">
          <a:avLst/>
        </a:prstGeom>
        <a:ln w="9525">
          <a:solidFill>
            <a:srgbClr val="000000"/>
          </a:solidFill>
          <a:prstDash val="solid"/>
        </a:ln>
      </xdr:spPr>
    </xdr:pic>
    <xdr:clientData/>
  </xdr:twoCellAnchor>
  <xdr:twoCellAnchor>
    <xdr:from>
      <xdr:col>3</xdr:col>
      <xdr:colOff>114300</xdr:colOff>
      <xdr:row>3657</xdr:row>
      <xdr:rowOff>28575</xdr:rowOff>
    </xdr:from>
    <xdr:to>
      <xdr:col>3</xdr:col>
      <xdr:colOff>1552575</xdr:colOff>
      <xdr:row>3659</xdr:row>
      <xdr:rowOff>419100</xdr:rowOff>
    </xdr:to>
    <xdr:pic>
      <xdr:nvPicPr>
        <xdr:cNvPr id="1346" name="Имя " descr="Descr ">
          <a:extLst>
            <a:ext uri="{FF2B5EF4-FFF2-40B4-BE49-F238E27FC236}">
              <a16:creationId xmlns:a16="http://schemas.microsoft.com/office/drawing/2014/main" id="{00000000-0008-0000-0000-000042050000}"/>
            </a:ext>
          </a:extLst>
        </xdr:cNvPr>
        <xdr:cNvPicPr>
          <a:picLocks noChangeAspect="1"/>
        </xdr:cNvPicPr>
      </xdr:nvPicPr>
      <xdr:blipFill>
        <a:blip xmlns:r="http://schemas.openxmlformats.org/officeDocument/2006/relationships" r:embed="rId1323"/>
        <a:stretch>
          <a:fillRect/>
        </a:stretch>
      </xdr:blipFill>
      <xdr:spPr>
        <a:prstGeom prst="rect">
          <a:avLst/>
        </a:prstGeom>
        <a:ln w="9525">
          <a:solidFill>
            <a:srgbClr val="000000"/>
          </a:solidFill>
          <a:prstDash val="solid"/>
        </a:ln>
      </xdr:spPr>
    </xdr:pic>
    <xdr:clientData/>
  </xdr:twoCellAnchor>
  <xdr:twoCellAnchor>
    <xdr:from>
      <xdr:col>3</xdr:col>
      <xdr:colOff>114300</xdr:colOff>
      <xdr:row>3660</xdr:row>
      <xdr:rowOff>28575</xdr:rowOff>
    </xdr:from>
    <xdr:to>
      <xdr:col>3</xdr:col>
      <xdr:colOff>1552575</xdr:colOff>
      <xdr:row>3662</xdr:row>
      <xdr:rowOff>419100</xdr:rowOff>
    </xdr:to>
    <xdr:pic>
      <xdr:nvPicPr>
        <xdr:cNvPr id="1347" name="Имя " descr="Descr ">
          <a:extLst>
            <a:ext uri="{FF2B5EF4-FFF2-40B4-BE49-F238E27FC236}">
              <a16:creationId xmlns:a16="http://schemas.microsoft.com/office/drawing/2014/main" id="{00000000-0008-0000-0000-000043050000}"/>
            </a:ext>
          </a:extLst>
        </xdr:cNvPr>
        <xdr:cNvPicPr>
          <a:picLocks noChangeAspect="1"/>
        </xdr:cNvPicPr>
      </xdr:nvPicPr>
      <xdr:blipFill>
        <a:blip xmlns:r="http://schemas.openxmlformats.org/officeDocument/2006/relationships" r:embed="rId1324"/>
        <a:stretch>
          <a:fillRect/>
        </a:stretch>
      </xdr:blipFill>
      <xdr:spPr>
        <a:prstGeom prst="rect">
          <a:avLst/>
        </a:prstGeom>
        <a:ln w="9525">
          <a:solidFill>
            <a:srgbClr val="000000"/>
          </a:solidFill>
          <a:prstDash val="solid"/>
        </a:ln>
      </xdr:spPr>
    </xdr:pic>
    <xdr:clientData/>
  </xdr:twoCellAnchor>
  <xdr:twoCellAnchor>
    <xdr:from>
      <xdr:col>3</xdr:col>
      <xdr:colOff>114300</xdr:colOff>
      <xdr:row>3663</xdr:row>
      <xdr:rowOff>28575</xdr:rowOff>
    </xdr:from>
    <xdr:to>
      <xdr:col>3</xdr:col>
      <xdr:colOff>1552575</xdr:colOff>
      <xdr:row>3663</xdr:row>
      <xdr:rowOff>1266825</xdr:rowOff>
    </xdr:to>
    <xdr:pic>
      <xdr:nvPicPr>
        <xdr:cNvPr id="1348" name="Имя " descr="Descr ">
          <a:extLst>
            <a:ext uri="{FF2B5EF4-FFF2-40B4-BE49-F238E27FC236}">
              <a16:creationId xmlns:a16="http://schemas.microsoft.com/office/drawing/2014/main" id="{00000000-0008-0000-0000-000044050000}"/>
            </a:ext>
          </a:extLst>
        </xdr:cNvPr>
        <xdr:cNvPicPr>
          <a:picLocks noChangeAspect="1"/>
        </xdr:cNvPicPr>
      </xdr:nvPicPr>
      <xdr:blipFill>
        <a:blip xmlns:r="http://schemas.openxmlformats.org/officeDocument/2006/relationships" r:embed="rId1325"/>
        <a:stretch>
          <a:fillRect/>
        </a:stretch>
      </xdr:blipFill>
      <xdr:spPr>
        <a:prstGeom prst="rect">
          <a:avLst/>
        </a:prstGeom>
        <a:ln w="9525">
          <a:solidFill>
            <a:srgbClr val="000000"/>
          </a:solidFill>
          <a:prstDash val="solid"/>
        </a:ln>
      </xdr:spPr>
    </xdr:pic>
    <xdr:clientData/>
  </xdr:twoCellAnchor>
  <xdr:twoCellAnchor>
    <xdr:from>
      <xdr:col>3</xdr:col>
      <xdr:colOff>114300</xdr:colOff>
      <xdr:row>3664</xdr:row>
      <xdr:rowOff>38100</xdr:rowOff>
    </xdr:from>
    <xdr:to>
      <xdr:col>3</xdr:col>
      <xdr:colOff>1552575</xdr:colOff>
      <xdr:row>3665</xdr:row>
      <xdr:rowOff>638175</xdr:rowOff>
    </xdr:to>
    <xdr:pic>
      <xdr:nvPicPr>
        <xdr:cNvPr id="1349" name="Имя " descr="Descr ">
          <a:extLst>
            <a:ext uri="{FF2B5EF4-FFF2-40B4-BE49-F238E27FC236}">
              <a16:creationId xmlns:a16="http://schemas.microsoft.com/office/drawing/2014/main" id="{00000000-0008-0000-0000-000045050000}"/>
            </a:ext>
          </a:extLst>
        </xdr:cNvPr>
        <xdr:cNvPicPr>
          <a:picLocks noChangeAspect="1"/>
        </xdr:cNvPicPr>
      </xdr:nvPicPr>
      <xdr:blipFill>
        <a:blip xmlns:r="http://schemas.openxmlformats.org/officeDocument/2006/relationships" r:embed="rId1326"/>
        <a:stretch>
          <a:fillRect/>
        </a:stretch>
      </xdr:blipFill>
      <xdr:spPr>
        <a:prstGeom prst="rect">
          <a:avLst/>
        </a:prstGeom>
        <a:ln w="9525">
          <a:solidFill>
            <a:srgbClr val="000000"/>
          </a:solidFill>
          <a:prstDash val="solid"/>
        </a:ln>
      </xdr:spPr>
    </xdr:pic>
    <xdr:clientData/>
  </xdr:twoCellAnchor>
  <xdr:twoCellAnchor>
    <xdr:from>
      <xdr:col>3</xdr:col>
      <xdr:colOff>114300</xdr:colOff>
      <xdr:row>3666</xdr:row>
      <xdr:rowOff>38100</xdr:rowOff>
    </xdr:from>
    <xdr:to>
      <xdr:col>3</xdr:col>
      <xdr:colOff>1552575</xdr:colOff>
      <xdr:row>3667</xdr:row>
      <xdr:rowOff>638175</xdr:rowOff>
    </xdr:to>
    <xdr:pic>
      <xdr:nvPicPr>
        <xdr:cNvPr id="1350" name="Имя " descr="Descr ">
          <a:extLst>
            <a:ext uri="{FF2B5EF4-FFF2-40B4-BE49-F238E27FC236}">
              <a16:creationId xmlns:a16="http://schemas.microsoft.com/office/drawing/2014/main" id="{00000000-0008-0000-0000-000046050000}"/>
            </a:ext>
          </a:extLst>
        </xdr:cNvPr>
        <xdr:cNvPicPr>
          <a:picLocks noChangeAspect="1"/>
        </xdr:cNvPicPr>
      </xdr:nvPicPr>
      <xdr:blipFill>
        <a:blip xmlns:r="http://schemas.openxmlformats.org/officeDocument/2006/relationships" r:embed="rId1327"/>
        <a:stretch>
          <a:fillRect/>
        </a:stretch>
      </xdr:blipFill>
      <xdr:spPr>
        <a:prstGeom prst="rect">
          <a:avLst/>
        </a:prstGeom>
        <a:ln w="9525">
          <a:solidFill>
            <a:srgbClr val="000000"/>
          </a:solidFill>
          <a:prstDash val="solid"/>
        </a:ln>
      </xdr:spPr>
    </xdr:pic>
    <xdr:clientData/>
  </xdr:twoCellAnchor>
  <xdr:twoCellAnchor>
    <xdr:from>
      <xdr:col>3</xdr:col>
      <xdr:colOff>114300</xdr:colOff>
      <xdr:row>3668</xdr:row>
      <xdr:rowOff>28575</xdr:rowOff>
    </xdr:from>
    <xdr:to>
      <xdr:col>3</xdr:col>
      <xdr:colOff>1552575</xdr:colOff>
      <xdr:row>3671</xdr:row>
      <xdr:rowOff>209550</xdr:rowOff>
    </xdr:to>
    <xdr:pic>
      <xdr:nvPicPr>
        <xdr:cNvPr id="1351" name="Имя " descr="Descr ">
          <a:extLst>
            <a:ext uri="{FF2B5EF4-FFF2-40B4-BE49-F238E27FC236}">
              <a16:creationId xmlns:a16="http://schemas.microsoft.com/office/drawing/2014/main" id="{00000000-0008-0000-0000-000047050000}"/>
            </a:ext>
          </a:extLst>
        </xdr:cNvPr>
        <xdr:cNvPicPr>
          <a:picLocks noChangeAspect="1"/>
        </xdr:cNvPicPr>
      </xdr:nvPicPr>
      <xdr:blipFill>
        <a:blip xmlns:r="http://schemas.openxmlformats.org/officeDocument/2006/relationships" r:embed="rId1328"/>
        <a:stretch>
          <a:fillRect/>
        </a:stretch>
      </xdr:blipFill>
      <xdr:spPr>
        <a:prstGeom prst="rect">
          <a:avLst/>
        </a:prstGeom>
        <a:ln w="9525">
          <a:solidFill>
            <a:srgbClr val="000000"/>
          </a:solidFill>
          <a:prstDash val="solid"/>
        </a:ln>
      </xdr:spPr>
    </xdr:pic>
    <xdr:clientData/>
  </xdr:twoCellAnchor>
  <xdr:twoCellAnchor>
    <xdr:from>
      <xdr:col>3</xdr:col>
      <xdr:colOff>114300</xdr:colOff>
      <xdr:row>3672</xdr:row>
      <xdr:rowOff>38100</xdr:rowOff>
    </xdr:from>
    <xdr:to>
      <xdr:col>3</xdr:col>
      <xdr:colOff>1552575</xdr:colOff>
      <xdr:row>3673</xdr:row>
      <xdr:rowOff>638175</xdr:rowOff>
    </xdr:to>
    <xdr:pic>
      <xdr:nvPicPr>
        <xdr:cNvPr id="1352" name="Имя " descr="Descr ">
          <a:extLst>
            <a:ext uri="{FF2B5EF4-FFF2-40B4-BE49-F238E27FC236}">
              <a16:creationId xmlns:a16="http://schemas.microsoft.com/office/drawing/2014/main" id="{00000000-0008-0000-0000-000048050000}"/>
            </a:ext>
          </a:extLst>
        </xdr:cNvPr>
        <xdr:cNvPicPr>
          <a:picLocks noChangeAspect="1"/>
        </xdr:cNvPicPr>
      </xdr:nvPicPr>
      <xdr:blipFill>
        <a:blip xmlns:r="http://schemas.openxmlformats.org/officeDocument/2006/relationships" r:embed="rId1329"/>
        <a:stretch>
          <a:fillRect/>
        </a:stretch>
      </xdr:blipFill>
      <xdr:spPr>
        <a:prstGeom prst="rect">
          <a:avLst/>
        </a:prstGeom>
        <a:ln w="9525">
          <a:solidFill>
            <a:srgbClr val="000000"/>
          </a:solidFill>
          <a:prstDash val="solid"/>
        </a:ln>
      </xdr:spPr>
    </xdr:pic>
    <xdr:clientData/>
  </xdr:twoCellAnchor>
  <xdr:twoCellAnchor>
    <xdr:from>
      <xdr:col>3</xdr:col>
      <xdr:colOff>114300</xdr:colOff>
      <xdr:row>3674</xdr:row>
      <xdr:rowOff>28575</xdr:rowOff>
    </xdr:from>
    <xdr:to>
      <xdr:col>3</xdr:col>
      <xdr:colOff>1552575</xdr:colOff>
      <xdr:row>3678</xdr:row>
      <xdr:rowOff>333375</xdr:rowOff>
    </xdr:to>
    <xdr:pic>
      <xdr:nvPicPr>
        <xdr:cNvPr id="1353" name="Имя " descr="Descr ">
          <a:extLst>
            <a:ext uri="{FF2B5EF4-FFF2-40B4-BE49-F238E27FC236}">
              <a16:creationId xmlns:a16="http://schemas.microsoft.com/office/drawing/2014/main" id="{00000000-0008-0000-0000-000049050000}"/>
            </a:ext>
          </a:extLst>
        </xdr:cNvPr>
        <xdr:cNvPicPr>
          <a:picLocks noChangeAspect="1"/>
        </xdr:cNvPicPr>
      </xdr:nvPicPr>
      <xdr:blipFill>
        <a:blip xmlns:r="http://schemas.openxmlformats.org/officeDocument/2006/relationships" r:embed="rId1330"/>
        <a:stretch>
          <a:fillRect/>
        </a:stretch>
      </xdr:blipFill>
      <xdr:spPr>
        <a:prstGeom prst="rect">
          <a:avLst/>
        </a:prstGeom>
        <a:ln w="9525">
          <a:solidFill>
            <a:srgbClr val="000000"/>
          </a:solidFill>
          <a:prstDash val="solid"/>
        </a:ln>
      </xdr:spPr>
    </xdr:pic>
    <xdr:clientData/>
  </xdr:twoCellAnchor>
  <xdr:twoCellAnchor>
    <xdr:from>
      <xdr:col>3</xdr:col>
      <xdr:colOff>114300</xdr:colOff>
      <xdr:row>3679</xdr:row>
      <xdr:rowOff>28575</xdr:rowOff>
    </xdr:from>
    <xdr:to>
      <xdr:col>3</xdr:col>
      <xdr:colOff>1552575</xdr:colOff>
      <xdr:row>3684</xdr:row>
      <xdr:rowOff>209550</xdr:rowOff>
    </xdr:to>
    <xdr:pic>
      <xdr:nvPicPr>
        <xdr:cNvPr id="1354" name="Имя " descr="Descr ">
          <a:extLst>
            <a:ext uri="{FF2B5EF4-FFF2-40B4-BE49-F238E27FC236}">
              <a16:creationId xmlns:a16="http://schemas.microsoft.com/office/drawing/2014/main" id="{00000000-0008-0000-0000-00004A050000}"/>
            </a:ext>
          </a:extLst>
        </xdr:cNvPr>
        <xdr:cNvPicPr>
          <a:picLocks noChangeAspect="1"/>
        </xdr:cNvPicPr>
      </xdr:nvPicPr>
      <xdr:blipFill>
        <a:blip xmlns:r="http://schemas.openxmlformats.org/officeDocument/2006/relationships" r:embed="rId1331"/>
        <a:stretch>
          <a:fillRect/>
        </a:stretch>
      </xdr:blipFill>
      <xdr:spPr>
        <a:prstGeom prst="rect">
          <a:avLst/>
        </a:prstGeom>
        <a:ln w="9525">
          <a:solidFill>
            <a:srgbClr val="000000"/>
          </a:solidFill>
          <a:prstDash val="solid"/>
        </a:ln>
      </xdr:spPr>
    </xdr:pic>
    <xdr:clientData/>
  </xdr:twoCellAnchor>
  <xdr:twoCellAnchor>
    <xdr:from>
      <xdr:col>3</xdr:col>
      <xdr:colOff>114300</xdr:colOff>
      <xdr:row>3685</xdr:row>
      <xdr:rowOff>38100</xdr:rowOff>
    </xdr:from>
    <xdr:to>
      <xdr:col>3</xdr:col>
      <xdr:colOff>1552575</xdr:colOff>
      <xdr:row>3686</xdr:row>
      <xdr:rowOff>638175</xdr:rowOff>
    </xdr:to>
    <xdr:pic>
      <xdr:nvPicPr>
        <xdr:cNvPr id="1355" name="Имя " descr="Descr ">
          <a:extLst>
            <a:ext uri="{FF2B5EF4-FFF2-40B4-BE49-F238E27FC236}">
              <a16:creationId xmlns:a16="http://schemas.microsoft.com/office/drawing/2014/main" id="{00000000-0008-0000-0000-00004B050000}"/>
            </a:ext>
          </a:extLst>
        </xdr:cNvPr>
        <xdr:cNvPicPr>
          <a:picLocks noChangeAspect="1"/>
        </xdr:cNvPicPr>
      </xdr:nvPicPr>
      <xdr:blipFill>
        <a:blip xmlns:r="http://schemas.openxmlformats.org/officeDocument/2006/relationships" r:embed="rId1332"/>
        <a:stretch>
          <a:fillRect/>
        </a:stretch>
      </xdr:blipFill>
      <xdr:spPr>
        <a:prstGeom prst="rect">
          <a:avLst/>
        </a:prstGeom>
        <a:ln w="9525">
          <a:solidFill>
            <a:srgbClr val="000000"/>
          </a:solidFill>
          <a:prstDash val="solid"/>
        </a:ln>
      </xdr:spPr>
    </xdr:pic>
    <xdr:clientData/>
  </xdr:twoCellAnchor>
  <xdr:twoCellAnchor>
    <xdr:from>
      <xdr:col>3</xdr:col>
      <xdr:colOff>114300</xdr:colOff>
      <xdr:row>3687</xdr:row>
      <xdr:rowOff>38100</xdr:rowOff>
    </xdr:from>
    <xdr:to>
      <xdr:col>3</xdr:col>
      <xdr:colOff>1552575</xdr:colOff>
      <xdr:row>3688</xdr:row>
      <xdr:rowOff>638175</xdr:rowOff>
    </xdr:to>
    <xdr:pic>
      <xdr:nvPicPr>
        <xdr:cNvPr id="1356" name="Имя " descr="Descr ">
          <a:extLst>
            <a:ext uri="{FF2B5EF4-FFF2-40B4-BE49-F238E27FC236}">
              <a16:creationId xmlns:a16="http://schemas.microsoft.com/office/drawing/2014/main" id="{00000000-0008-0000-0000-00004C050000}"/>
            </a:ext>
          </a:extLst>
        </xdr:cNvPr>
        <xdr:cNvPicPr>
          <a:picLocks noChangeAspect="1"/>
        </xdr:cNvPicPr>
      </xdr:nvPicPr>
      <xdr:blipFill>
        <a:blip xmlns:r="http://schemas.openxmlformats.org/officeDocument/2006/relationships" r:embed="rId1333"/>
        <a:stretch>
          <a:fillRect/>
        </a:stretch>
      </xdr:blipFill>
      <xdr:spPr>
        <a:prstGeom prst="rect">
          <a:avLst/>
        </a:prstGeom>
        <a:ln w="9525">
          <a:solidFill>
            <a:srgbClr val="000000"/>
          </a:solidFill>
          <a:prstDash val="solid"/>
        </a:ln>
      </xdr:spPr>
    </xdr:pic>
    <xdr:clientData/>
  </xdr:twoCellAnchor>
  <xdr:twoCellAnchor>
    <xdr:from>
      <xdr:col>3</xdr:col>
      <xdr:colOff>114300</xdr:colOff>
      <xdr:row>3689</xdr:row>
      <xdr:rowOff>28575</xdr:rowOff>
    </xdr:from>
    <xdr:to>
      <xdr:col>3</xdr:col>
      <xdr:colOff>1552575</xdr:colOff>
      <xdr:row>3697</xdr:row>
      <xdr:rowOff>133350</xdr:rowOff>
    </xdr:to>
    <xdr:pic>
      <xdr:nvPicPr>
        <xdr:cNvPr id="1357" name="Имя " descr="Descr ">
          <a:extLst>
            <a:ext uri="{FF2B5EF4-FFF2-40B4-BE49-F238E27FC236}">
              <a16:creationId xmlns:a16="http://schemas.microsoft.com/office/drawing/2014/main" id="{00000000-0008-0000-0000-00004D050000}"/>
            </a:ext>
          </a:extLst>
        </xdr:cNvPr>
        <xdr:cNvPicPr>
          <a:picLocks noChangeAspect="1"/>
        </xdr:cNvPicPr>
      </xdr:nvPicPr>
      <xdr:blipFill>
        <a:blip xmlns:r="http://schemas.openxmlformats.org/officeDocument/2006/relationships" r:embed="rId1334"/>
        <a:stretch>
          <a:fillRect/>
        </a:stretch>
      </xdr:blipFill>
      <xdr:spPr>
        <a:prstGeom prst="rect">
          <a:avLst/>
        </a:prstGeom>
        <a:ln w="9525">
          <a:solidFill>
            <a:srgbClr val="000000"/>
          </a:solidFill>
          <a:prstDash val="solid"/>
        </a:ln>
      </xdr:spPr>
    </xdr:pic>
    <xdr:clientData/>
  </xdr:twoCellAnchor>
  <xdr:twoCellAnchor>
    <xdr:from>
      <xdr:col>3</xdr:col>
      <xdr:colOff>114300</xdr:colOff>
      <xdr:row>3700</xdr:row>
      <xdr:rowOff>28575</xdr:rowOff>
    </xdr:from>
    <xdr:to>
      <xdr:col>3</xdr:col>
      <xdr:colOff>1552575</xdr:colOff>
      <xdr:row>3704</xdr:row>
      <xdr:rowOff>333375</xdr:rowOff>
    </xdr:to>
    <xdr:pic>
      <xdr:nvPicPr>
        <xdr:cNvPr id="1358" name="Имя " descr="Descr ">
          <a:extLst>
            <a:ext uri="{FF2B5EF4-FFF2-40B4-BE49-F238E27FC236}">
              <a16:creationId xmlns:a16="http://schemas.microsoft.com/office/drawing/2014/main" id="{00000000-0008-0000-0000-00004E050000}"/>
            </a:ext>
          </a:extLst>
        </xdr:cNvPr>
        <xdr:cNvPicPr>
          <a:picLocks noChangeAspect="1"/>
        </xdr:cNvPicPr>
      </xdr:nvPicPr>
      <xdr:blipFill>
        <a:blip xmlns:r="http://schemas.openxmlformats.org/officeDocument/2006/relationships" r:embed="rId1335"/>
        <a:stretch>
          <a:fillRect/>
        </a:stretch>
      </xdr:blipFill>
      <xdr:spPr>
        <a:prstGeom prst="rect">
          <a:avLst/>
        </a:prstGeom>
        <a:ln w="9525">
          <a:solidFill>
            <a:srgbClr val="000000"/>
          </a:solidFill>
          <a:prstDash val="solid"/>
        </a:ln>
      </xdr:spPr>
    </xdr:pic>
    <xdr:clientData/>
  </xdr:twoCellAnchor>
  <xdr:twoCellAnchor>
    <xdr:from>
      <xdr:col>3</xdr:col>
      <xdr:colOff>114300</xdr:colOff>
      <xdr:row>3705</xdr:row>
      <xdr:rowOff>28575</xdr:rowOff>
    </xdr:from>
    <xdr:to>
      <xdr:col>3</xdr:col>
      <xdr:colOff>1552575</xdr:colOff>
      <xdr:row>3705</xdr:row>
      <xdr:rowOff>1266825</xdr:rowOff>
    </xdr:to>
    <xdr:pic>
      <xdr:nvPicPr>
        <xdr:cNvPr id="1359" name="Имя " descr="Descr ">
          <a:extLst>
            <a:ext uri="{FF2B5EF4-FFF2-40B4-BE49-F238E27FC236}">
              <a16:creationId xmlns:a16="http://schemas.microsoft.com/office/drawing/2014/main" id="{00000000-0008-0000-0000-00004F050000}"/>
            </a:ext>
          </a:extLst>
        </xdr:cNvPr>
        <xdr:cNvPicPr>
          <a:picLocks noChangeAspect="1"/>
        </xdr:cNvPicPr>
      </xdr:nvPicPr>
      <xdr:blipFill>
        <a:blip xmlns:r="http://schemas.openxmlformats.org/officeDocument/2006/relationships" r:embed="rId1336"/>
        <a:stretch>
          <a:fillRect/>
        </a:stretch>
      </xdr:blipFill>
      <xdr:spPr>
        <a:prstGeom prst="rect">
          <a:avLst/>
        </a:prstGeom>
        <a:ln w="9525">
          <a:solidFill>
            <a:srgbClr val="000000"/>
          </a:solidFill>
          <a:prstDash val="solid"/>
        </a:ln>
      </xdr:spPr>
    </xdr:pic>
    <xdr:clientData/>
  </xdr:twoCellAnchor>
  <xdr:twoCellAnchor>
    <xdr:from>
      <xdr:col>3</xdr:col>
      <xdr:colOff>114300</xdr:colOff>
      <xdr:row>3706</xdr:row>
      <xdr:rowOff>28575</xdr:rowOff>
    </xdr:from>
    <xdr:to>
      <xdr:col>3</xdr:col>
      <xdr:colOff>1552575</xdr:colOff>
      <xdr:row>3706</xdr:row>
      <xdr:rowOff>1266825</xdr:rowOff>
    </xdr:to>
    <xdr:pic>
      <xdr:nvPicPr>
        <xdr:cNvPr id="1360" name="Имя " descr="Descr ">
          <a:extLst>
            <a:ext uri="{FF2B5EF4-FFF2-40B4-BE49-F238E27FC236}">
              <a16:creationId xmlns:a16="http://schemas.microsoft.com/office/drawing/2014/main" id="{00000000-0008-0000-0000-000050050000}"/>
            </a:ext>
          </a:extLst>
        </xdr:cNvPr>
        <xdr:cNvPicPr>
          <a:picLocks noChangeAspect="1"/>
        </xdr:cNvPicPr>
      </xdr:nvPicPr>
      <xdr:blipFill>
        <a:blip xmlns:r="http://schemas.openxmlformats.org/officeDocument/2006/relationships" r:embed="rId1337"/>
        <a:stretch>
          <a:fillRect/>
        </a:stretch>
      </xdr:blipFill>
      <xdr:spPr>
        <a:prstGeom prst="rect">
          <a:avLst/>
        </a:prstGeom>
        <a:ln w="9525">
          <a:solidFill>
            <a:srgbClr val="000000"/>
          </a:solidFill>
          <a:prstDash val="solid"/>
        </a:ln>
      </xdr:spPr>
    </xdr:pic>
    <xdr:clientData/>
  </xdr:twoCellAnchor>
  <xdr:twoCellAnchor>
    <xdr:from>
      <xdr:col>3</xdr:col>
      <xdr:colOff>114300</xdr:colOff>
      <xdr:row>3707</xdr:row>
      <xdr:rowOff>28575</xdr:rowOff>
    </xdr:from>
    <xdr:to>
      <xdr:col>3</xdr:col>
      <xdr:colOff>1552575</xdr:colOff>
      <xdr:row>3713</xdr:row>
      <xdr:rowOff>171450</xdr:rowOff>
    </xdr:to>
    <xdr:pic>
      <xdr:nvPicPr>
        <xdr:cNvPr id="1361" name="Имя " descr="Descr ">
          <a:extLst>
            <a:ext uri="{FF2B5EF4-FFF2-40B4-BE49-F238E27FC236}">
              <a16:creationId xmlns:a16="http://schemas.microsoft.com/office/drawing/2014/main" id="{00000000-0008-0000-0000-000051050000}"/>
            </a:ext>
          </a:extLst>
        </xdr:cNvPr>
        <xdr:cNvPicPr>
          <a:picLocks noChangeAspect="1"/>
        </xdr:cNvPicPr>
      </xdr:nvPicPr>
      <xdr:blipFill>
        <a:blip xmlns:r="http://schemas.openxmlformats.org/officeDocument/2006/relationships" r:embed="rId1338"/>
        <a:stretch>
          <a:fillRect/>
        </a:stretch>
      </xdr:blipFill>
      <xdr:spPr>
        <a:prstGeom prst="rect">
          <a:avLst/>
        </a:prstGeom>
        <a:ln w="9525">
          <a:solidFill>
            <a:srgbClr val="000000"/>
          </a:solidFill>
          <a:prstDash val="solid"/>
        </a:ln>
      </xdr:spPr>
    </xdr:pic>
    <xdr:clientData/>
  </xdr:twoCellAnchor>
  <xdr:twoCellAnchor>
    <xdr:from>
      <xdr:col>3</xdr:col>
      <xdr:colOff>114300</xdr:colOff>
      <xdr:row>3714</xdr:row>
      <xdr:rowOff>28575</xdr:rowOff>
    </xdr:from>
    <xdr:to>
      <xdr:col>3</xdr:col>
      <xdr:colOff>1552575</xdr:colOff>
      <xdr:row>3717</xdr:row>
      <xdr:rowOff>209550</xdr:rowOff>
    </xdr:to>
    <xdr:pic>
      <xdr:nvPicPr>
        <xdr:cNvPr id="1362" name="Имя " descr="Descr ">
          <a:extLst>
            <a:ext uri="{FF2B5EF4-FFF2-40B4-BE49-F238E27FC236}">
              <a16:creationId xmlns:a16="http://schemas.microsoft.com/office/drawing/2014/main" id="{00000000-0008-0000-0000-000052050000}"/>
            </a:ext>
          </a:extLst>
        </xdr:cNvPr>
        <xdr:cNvPicPr>
          <a:picLocks noChangeAspect="1"/>
        </xdr:cNvPicPr>
      </xdr:nvPicPr>
      <xdr:blipFill>
        <a:blip xmlns:r="http://schemas.openxmlformats.org/officeDocument/2006/relationships" r:embed="rId1339"/>
        <a:stretch>
          <a:fillRect/>
        </a:stretch>
      </xdr:blipFill>
      <xdr:spPr>
        <a:prstGeom prst="rect">
          <a:avLst/>
        </a:prstGeom>
        <a:ln w="9525">
          <a:solidFill>
            <a:srgbClr val="000000"/>
          </a:solidFill>
          <a:prstDash val="solid"/>
        </a:ln>
      </xdr:spPr>
    </xdr:pic>
    <xdr:clientData/>
  </xdr:twoCellAnchor>
  <xdr:twoCellAnchor>
    <xdr:from>
      <xdr:col>3</xdr:col>
      <xdr:colOff>114300</xdr:colOff>
      <xdr:row>3718</xdr:row>
      <xdr:rowOff>28575</xdr:rowOff>
    </xdr:from>
    <xdr:to>
      <xdr:col>3</xdr:col>
      <xdr:colOff>1552575</xdr:colOff>
      <xdr:row>3718</xdr:row>
      <xdr:rowOff>1266825</xdr:rowOff>
    </xdr:to>
    <xdr:pic>
      <xdr:nvPicPr>
        <xdr:cNvPr id="1363" name="Имя " descr="Descr ">
          <a:extLst>
            <a:ext uri="{FF2B5EF4-FFF2-40B4-BE49-F238E27FC236}">
              <a16:creationId xmlns:a16="http://schemas.microsoft.com/office/drawing/2014/main" id="{00000000-0008-0000-0000-000053050000}"/>
            </a:ext>
          </a:extLst>
        </xdr:cNvPr>
        <xdr:cNvPicPr>
          <a:picLocks noChangeAspect="1"/>
        </xdr:cNvPicPr>
      </xdr:nvPicPr>
      <xdr:blipFill>
        <a:blip xmlns:r="http://schemas.openxmlformats.org/officeDocument/2006/relationships" r:embed="rId1340"/>
        <a:stretch>
          <a:fillRect/>
        </a:stretch>
      </xdr:blipFill>
      <xdr:spPr>
        <a:prstGeom prst="rect">
          <a:avLst/>
        </a:prstGeom>
        <a:ln w="9525">
          <a:solidFill>
            <a:srgbClr val="000000"/>
          </a:solidFill>
          <a:prstDash val="solid"/>
        </a:ln>
      </xdr:spPr>
    </xdr:pic>
    <xdr:clientData/>
  </xdr:twoCellAnchor>
  <xdr:twoCellAnchor>
    <xdr:from>
      <xdr:col>3</xdr:col>
      <xdr:colOff>114300</xdr:colOff>
      <xdr:row>3719</xdr:row>
      <xdr:rowOff>38100</xdr:rowOff>
    </xdr:from>
    <xdr:to>
      <xdr:col>3</xdr:col>
      <xdr:colOff>1552575</xdr:colOff>
      <xdr:row>3720</xdr:row>
      <xdr:rowOff>638175</xdr:rowOff>
    </xdr:to>
    <xdr:pic>
      <xdr:nvPicPr>
        <xdr:cNvPr id="1364" name="Имя " descr="Descr ">
          <a:extLst>
            <a:ext uri="{FF2B5EF4-FFF2-40B4-BE49-F238E27FC236}">
              <a16:creationId xmlns:a16="http://schemas.microsoft.com/office/drawing/2014/main" id="{00000000-0008-0000-0000-000054050000}"/>
            </a:ext>
          </a:extLst>
        </xdr:cNvPr>
        <xdr:cNvPicPr>
          <a:picLocks noChangeAspect="1"/>
        </xdr:cNvPicPr>
      </xdr:nvPicPr>
      <xdr:blipFill>
        <a:blip xmlns:r="http://schemas.openxmlformats.org/officeDocument/2006/relationships" r:embed="rId1341"/>
        <a:stretch>
          <a:fillRect/>
        </a:stretch>
      </xdr:blipFill>
      <xdr:spPr>
        <a:prstGeom prst="rect">
          <a:avLst/>
        </a:prstGeom>
        <a:ln w="9525">
          <a:solidFill>
            <a:srgbClr val="000000"/>
          </a:solidFill>
          <a:prstDash val="solid"/>
        </a:ln>
      </xdr:spPr>
    </xdr:pic>
    <xdr:clientData/>
  </xdr:twoCellAnchor>
  <xdr:twoCellAnchor>
    <xdr:from>
      <xdr:col>3</xdr:col>
      <xdr:colOff>114300</xdr:colOff>
      <xdr:row>3721</xdr:row>
      <xdr:rowOff>28575</xdr:rowOff>
    </xdr:from>
    <xdr:to>
      <xdr:col>3</xdr:col>
      <xdr:colOff>1552575</xdr:colOff>
      <xdr:row>3723</xdr:row>
      <xdr:rowOff>419100</xdr:rowOff>
    </xdr:to>
    <xdr:pic>
      <xdr:nvPicPr>
        <xdr:cNvPr id="1365" name="Имя " descr="Descr ">
          <a:extLst>
            <a:ext uri="{FF2B5EF4-FFF2-40B4-BE49-F238E27FC236}">
              <a16:creationId xmlns:a16="http://schemas.microsoft.com/office/drawing/2014/main" id="{00000000-0008-0000-0000-000055050000}"/>
            </a:ext>
          </a:extLst>
        </xdr:cNvPr>
        <xdr:cNvPicPr>
          <a:picLocks noChangeAspect="1"/>
        </xdr:cNvPicPr>
      </xdr:nvPicPr>
      <xdr:blipFill>
        <a:blip xmlns:r="http://schemas.openxmlformats.org/officeDocument/2006/relationships" r:embed="rId1342"/>
        <a:stretch>
          <a:fillRect/>
        </a:stretch>
      </xdr:blipFill>
      <xdr:spPr>
        <a:prstGeom prst="rect">
          <a:avLst/>
        </a:prstGeom>
        <a:ln w="9525">
          <a:solidFill>
            <a:srgbClr val="000000"/>
          </a:solidFill>
          <a:prstDash val="solid"/>
        </a:ln>
      </xdr:spPr>
    </xdr:pic>
    <xdr:clientData/>
  </xdr:twoCellAnchor>
  <xdr:twoCellAnchor>
    <xdr:from>
      <xdr:col>3</xdr:col>
      <xdr:colOff>114300</xdr:colOff>
      <xdr:row>3724</xdr:row>
      <xdr:rowOff>28575</xdr:rowOff>
    </xdr:from>
    <xdr:to>
      <xdr:col>3</xdr:col>
      <xdr:colOff>1552575</xdr:colOff>
      <xdr:row>3730</xdr:row>
      <xdr:rowOff>171450</xdr:rowOff>
    </xdr:to>
    <xdr:pic>
      <xdr:nvPicPr>
        <xdr:cNvPr id="1366" name="Имя " descr="Descr ">
          <a:extLst>
            <a:ext uri="{FF2B5EF4-FFF2-40B4-BE49-F238E27FC236}">
              <a16:creationId xmlns:a16="http://schemas.microsoft.com/office/drawing/2014/main" id="{00000000-0008-0000-0000-000056050000}"/>
            </a:ext>
          </a:extLst>
        </xdr:cNvPr>
        <xdr:cNvPicPr>
          <a:picLocks noChangeAspect="1"/>
        </xdr:cNvPicPr>
      </xdr:nvPicPr>
      <xdr:blipFill>
        <a:blip xmlns:r="http://schemas.openxmlformats.org/officeDocument/2006/relationships" r:embed="rId1343"/>
        <a:stretch>
          <a:fillRect/>
        </a:stretch>
      </xdr:blipFill>
      <xdr:spPr>
        <a:prstGeom prst="rect">
          <a:avLst/>
        </a:prstGeom>
        <a:ln w="9525">
          <a:solidFill>
            <a:srgbClr val="000000"/>
          </a:solidFill>
          <a:prstDash val="solid"/>
        </a:ln>
      </xdr:spPr>
    </xdr:pic>
    <xdr:clientData/>
  </xdr:twoCellAnchor>
  <xdr:twoCellAnchor>
    <xdr:from>
      <xdr:col>3</xdr:col>
      <xdr:colOff>114300</xdr:colOff>
      <xdr:row>3731</xdr:row>
      <xdr:rowOff>28575</xdr:rowOff>
    </xdr:from>
    <xdr:to>
      <xdr:col>3</xdr:col>
      <xdr:colOff>1552575</xdr:colOff>
      <xdr:row>3734</xdr:row>
      <xdr:rowOff>209550</xdr:rowOff>
    </xdr:to>
    <xdr:pic>
      <xdr:nvPicPr>
        <xdr:cNvPr id="1367" name="Имя " descr="Descr ">
          <a:extLst>
            <a:ext uri="{FF2B5EF4-FFF2-40B4-BE49-F238E27FC236}">
              <a16:creationId xmlns:a16="http://schemas.microsoft.com/office/drawing/2014/main" id="{00000000-0008-0000-0000-000057050000}"/>
            </a:ext>
          </a:extLst>
        </xdr:cNvPr>
        <xdr:cNvPicPr>
          <a:picLocks noChangeAspect="1"/>
        </xdr:cNvPicPr>
      </xdr:nvPicPr>
      <xdr:blipFill>
        <a:blip xmlns:r="http://schemas.openxmlformats.org/officeDocument/2006/relationships" r:embed="rId1344"/>
        <a:stretch>
          <a:fillRect/>
        </a:stretch>
      </xdr:blipFill>
      <xdr:spPr>
        <a:prstGeom prst="rect">
          <a:avLst/>
        </a:prstGeom>
        <a:ln w="9525">
          <a:solidFill>
            <a:srgbClr val="000000"/>
          </a:solidFill>
          <a:prstDash val="solid"/>
        </a:ln>
      </xdr:spPr>
    </xdr:pic>
    <xdr:clientData/>
  </xdr:twoCellAnchor>
  <xdr:twoCellAnchor>
    <xdr:from>
      <xdr:col>3</xdr:col>
      <xdr:colOff>114300</xdr:colOff>
      <xdr:row>3735</xdr:row>
      <xdr:rowOff>28575</xdr:rowOff>
    </xdr:from>
    <xdr:to>
      <xdr:col>3</xdr:col>
      <xdr:colOff>1552575</xdr:colOff>
      <xdr:row>3743</xdr:row>
      <xdr:rowOff>133350</xdr:rowOff>
    </xdr:to>
    <xdr:pic>
      <xdr:nvPicPr>
        <xdr:cNvPr id="1368" name="Имя " descr="Descr ">
          <a:extLst>
            <a:ext uri="{FF2B5EF4-FFF2-40B4-BE49-F238E27FC236}">
              <a16:creationId xmlns:a16="http://schemas.microsoft.com/office/drawing/2014/main" id="{00000000-0008-0000-0000-000058050000}"/>
            </a:ext>
          </a:extLst>
        </xdr:cNvPr>
        <xdr:cNvPicPr>
          <a:picLocks noChangeAspect="1"/>
        </xdr:cNvPicPr>
      </xdr:nvPicPr>
      <xdr:blipFill>
        <a:blip xmlns:r="http://schemas.openxmlformats.org/officeDocument/2006/relationships" r:embed="rId1345"/>
        <a:stretch>
          <a:fillRect/>
        </a:stretch>
      </xdr:blipFill>
      <xdr:spPr>
        <a:prstGeom prst="rect">
          <a:avLst/>
        </a:prstGeom>
        <a:ln w="9525">
          <a:solidFill>
            <a:srgbClr val="000000"/>
          </a:solidFill>
          <a:prstDash val="solid"/>
        </a:ln>
      </xdr:spPr>
    </xdr:pic>
    <xdr:clientData/>
  </xdr:twoCellAnchor>
  <xdr:twoCellAnchor>
    <xdr:from>
      <xdr:col>3</xdr:col>
      <xdr:colOff>114300</xdr:colOff>
      <xdr:row>3745</xdr:row>
      <xdr:rowOff>28575</xdr:rowOff>
    </xdr:from>
    <xdr:to>
      <xdr:col>3</xdr:col>
      <xdr:colOff>1552575</xdr:colOff>
      <xdr:row>3749</xdr:row>
      <xdr:rowOff>333375</xdr:rowOff>
    </xdr:to>
    <xdr:pic>
      <xdr:nvPicPr>
        <xdr:cNvPr id="1369" name="Имя " descr="Descr ">
          <a:extLst>
            <a:ext uri="{FF2B5EF4-FFF2-40B4-BE49-F238E27FC236}">
              <a16:creationId xmlns:a16="http://schemas.microsoft.com/office/drawing/2014/main" id="{00000000-0008-0000-0000-000059050000}"/>
            </a:ext>
          </a:extLst>
        </xdr:cNvPr>
        <xdr:cNvPicPr>
          <a:picLocks noChangeAspect="1"/>
        </xdr:cNvPicPr>
      </xdr:nvPicPr>
      <xdr:blipFill>
        <a:blip xmlns:r="http://schemas.openxmlformats.org/officeDocument/2006/relationships" r:embed="rId1346"/>
        <a:stretch>
          <a:fillRect/>
        </a:stretch>
      </xdr:blipFill>
      <xdr:spPr>
        <a:prstGeom prst="rect">
          <a:avLst/>
        </a:prstGeom>
        <a:ln w="9525">
          <a:solidFill>
            <a:srgbClr val="000000"/>
          </a:solidFill>
          <a:prstDash val="solid"/>
        </a:ln>
      </xdr:spPr>
    </xdr:pic>
    <xdr:clientData/>
  </xdr:twoCellAnchor>
  <xdr:twoCellAnchor>
    <xdr:from>
      <xdr:col>3</xdr:col>
      <xdr:colOff>114300</xdr:colOff>
      <xdr:row>3750</xdr:row>
      <xdr:rowOff>28575</xdr:rowOff>
    </xdr:from>
    <xdr:to>
      <xdr:col>3</xdr:col>
      <xdr:colOff>1552575</xdr:colOff>
      <xdr:row>3750</xdr:row>
      <xdr:rowOff>1266825</xdr:rowOff>
    </xdr:to>
    <xdr:pic>
      <xdr:nvPicPr>
        <xdr:cNvPr id="1370" name="Имя " descr="Descr ">
          <a:extLst>
            <a:ext uri="{FF2B5EF4-FFF2-40B4-BE49-F238E27FC236}">
              <a16:creationId xmlns:a16="http://schemas.microsoft.com/office/drawing/2014/main" id="{00000000-0008-0000-0000-00005A050000}"/>
            </a:ext>
          </a:extLst>
        </xdr:cNvPr>
        <xdr:cNvPicPr>
          <a:picLocks noChangeAspect="1"/>
        </xdr:cNvPicPr>
      </xdr:nvPicPr>
      <xdr:blipFill>
        <a:blip xmlns:r="http://schemas.openxmlformats.org/officeDocument/2006/relationships" r:embed="rId1347"/>
        <a:stretch>
          <a:fillRect/>
        </a:stretch>
      </xdr:blipFill>
      <xdr:spPr>
        <a:prstGeom prst="rect">
          <a:avLst/>
        </a:prstGeom>
        <a:ln w="9525">
          <a:solidFill>
            <a:srgbClr val="000000"/>
          </a:solidFill>
          <a:prstDash val="solid"/>
        </a:ln>
      </xdr:spPr>
    </xdr:pic>
    <xdr:clientData/>
  </xdr:twoCellAnchor>
  <xdr:twoCellAnchor>
    <xdr:from>
      <xdr:col>3</xdr:col>
      <xdr:colOff>114300</xdr:colOff>
      <xdr:row>3751</xdr:row>
      <xdr:rowOff>38100</xdr:rowOff>
    </xdr:from>
    <xdr:to>
      <xdr:col>3</xdr:col>
      <xdr:colOff>1552575</xdr:colOff>
      <xdr:row>3752</xdr:row>
      <xdr:rowOff>638175</xdr:rowOff>
    </xdr:to>
    <xdr:pic>
      <xdr:nvPicPr>
        <xdr:cNvPr id="1371" name="Имя " descr="Descr ">
          <a:extLst>
            <a:ext uri="{FF2B5EF4-FFF2-40B4-BE49-F238E27FC236}">
              <a16:creationId xmlns:a16="http://schemas.microsoft.com/office/drawing/2014/main" id="{00000000-0008-0000-0000-00005B050000}"/>
            </a:ext>
          </a:extLst>
        </xdr:cNvPr>
        <xdr:cNvPicPr>
          <a:picLocks noChangeAspect="1"/>
        </xdr:cNvPicPr>
      </xdr:nvPicPr>
      <xdr:blipFill>
        <a:blip xmlns:r="http://schemas.openxmlformats.org/officeDocument/2006/relationships" r:embed="rId1348"/>
        <a:stretch>
          <a:fillRect/>
        </a:stretch>
      </xdr:blipFill>
      <xdr:spPr>
        <a:prstGeom prst="rect">
          <a:avLst/>
        </a:prstGeom>
        <a:ln w="9525">
          <a:solidFill>
            <a:srgbClr val="000000"/>
          </a:solidFill>
          <a:prstDash val="solid"/>
        </a:ln>
      </xdr:spPr>
    </xdr:pic>
    <xdr:clientData/>
  </xdr:twoCellAnchor>
  <xdr:twoCellAnchor>
    <xdr:from>
      <xdr:col>3</xdr:col>
      <xdr:colOff>114300</xdr:colOff>
      <xdr:row>3753</xdr:row>
      <xdr:rowOff>38100</xdr:rowOff>
    </xdr:from>
    <xdr:to>
      <xdr:col>3</xdr:col>
      <xdr:colOff>1552575</xdr:colOff>
      <xdr:row>3754</xdr:row>
      <xdr:rowOff>638175</xdr:rowOff>
    </xdr:to>
    <xdr:pic>
      <xdr:nvPicPr>
        <xdr:cNvPr id="1372" name="Имя " descr="Descr ">
          <a:extLst>
            <a:ext uri="{FF2B5EF4-FFF2-40B4-BE49-F238E27FC236}">
              <a16:creationId xmlns:a16="http://schemas.microsoft.com/office/drawing/2014/main" id="{00000000-0008-0000-0000-00005C050000}"/>
            </a:ext>
          </a:extLst>
        </xdr:cNvPr>
        <xdr:cNvPicPr>
          <a:picLocks noChangeAspect="1"/>
        </xdr:cNvPicPr>
      </xdr:nvPicPr>
      <xdr:blipFill>
        <a:blip xmlns:r="http://schemas.openxmlformats.org/officeDocument/2006/relationships" r:embed="rId1349"/>
        <a:stretch>
          <a:fillRect/>
        </a:stretch>
      </xdr:blipFill>
      <xdr:spPr>
        <a:prstGeom prst="rect">
          <a:avLst/>
        </a:prstGeom>
        <a:ln w="9525">
          <a:solidFill>
            <a:srgbClr val="000000"/>
          </a:solidFill>
          <a:prstDash val="solid"/>
        </a:ln>
      </xdr:spPr>
    </xdr:pic>
    <xdr:clientData/>
  </xdr:twoCellAnchor>
  <xdr:twoCellAnchor>
    <xdr:from>
      <xdr:col>3</xdr:col>
      <xdr:colOff>114300</xdr:colOff>
      <xdr:row>3755</xdr:row>
      <xdr:rowOff>38100</xdr:rowOff>
    </xdr:from>
    <xdr:to>
      <xdr:col>3</xdr:col>
      <xdr:colOff>1552575</xdr:colOff>
      <xdr:row>3756</xdr:row>
      <xdr:rowOff>638175</xdr:rowOff>
    </xdr:to>
    <xdr:pic>
      <xdr:nvPicPr>
        <xdr:cNvPr id="1373" name="Имя " descr="Descr ">
          <a:extLst>
            <a:ext uri="{FF2B5EF4-FFF2-40B4-BE49-F238E27FC236}">
              <a16:creationId xmlns:a16="http://schemas.microsoft.com/office/drawing/2014/main" id="{00000000-0008-0000-0000-00005D050000}"/>
            </a:ext>
          </a:extLst>
        </xdr:cNvPr>
        <xdr:cNvPicPr>
          <a:picLocks noChangeAspect="1"/>
        </xdr:cNvPicPr>
      </xdr:nvPicPr>
      <xdr:blipFill>
        <a:blip xmlns:r="http://schemas.openxmlformats.org/officeDocument/2006/relationships" r:embed="rId1350"/>
        <a:stretch>
          <a:fillRect/>
        </a:stretch>
      </xdr:blipFill>
      <xdr:spPr>
        <a:prstGeom prst="rect">
          <a:avLst/>
        </a:prstGeom>
        <a:ln w="9525">
          <a:solidFill>
            <a:srgbClr val="000000"/>
          </a:solidFill>
          <a:prstDash val="solid"/>
        </a:ln>
      </xdr:spPr>
    </xdr:pic>
    <xdr:clientData/>
  </xdr:twoCellAnchor>
  <xdr:twoCellAnchor>
    <xdr:from>
      <xdr:col>3</xdr:col>
      <xdr:colOff>114300</xdr:colOff>
      <xdr:row>3757</xdr:row>
      <xdr:rowOff>38100</xdr:rowOff>
    </xdr:from>
    <xdr:to>
      <xdr:col>3</xdr:col>
      <xdr:colOff>1552575</xdr:colOff>
      <xdr:row>3758</xdr:row>
      <xdr:rowOff>638175</xdr:rowOff>
    </xdr:to>
    <xdr:pic>
      <xdr:nvPicPr>
        <xdr:cNvPr id="1374" name="Имя " descr="Descr ">
          <a:extLst>
            <a:ext uri="{FF2B5EF4-FFF2-40B4-BE49-F238E27FC236}">
              <a16:creationId xmlns:a16="http://schemas.microsoft.com/office/drawing/2014/main" id="{00000000-0008-0000-0000-00005E050000}"/>
            </a:ext>
          </a:extLst>
        </xdr:cNvPr>
        <xdr:cNvPicPr>
          <a:picLocks noChangeAspect="1"/>
        </xdr:cNvPicPr>
      </xdr:nvPicPr>
      <xdr:blipFill>
        <a:blip xmlns:r="http://schemas.openxmlformats.org/officeDocument/2006/relationships" r:embed="rId1351"/>
        <a:stretch>
          <a:fillRect/>
        </a:stretch>
      </xdr:blipFill>
      <xdr:spPr>
        <a:prstGeom prst="rect">
          <a:avLst/>
        </a:prstGeom>
        <a:ln w="9525">
          <a:solidFill>
            <a:srgbClr val="000000"/>
          </a:solidFill>
          <a:prstDash val="solid"/>
        </a:ln>
      </xdr:spPr>
    </xdr:pic>
    <xdr:clientData/>
  </xdr:twoCellAnchor>
  <xdr:twoCellAnchor>
    <xdr:from>
      <xdr:col>3</xdr:col>
      <xdr:colOff>114300</xdr:colOff>
      <xdr:row>3759</xdr:row>
      <xdr:rowOff>28575</xdr:rowOff>
    </xdr:from>
    <xdr:to>
      <xdr:col>3</xdr:col>
      <xdr:colOff>1552575</xdr:colOff>
      <xdr:row>3761</xdr:row>
      <xdr:rowOff>419100</xdr:rowOff>
    </xdr:to>
    <xdr:pic>
      <xdr:nvPicPr>
        <xdr:cNvPr id="1375" name="Имя " descr="Descr ">
          <a:extLst>
            <a:ext uri="{FF2B5EF4-FFF2-40B4-BE49-F238E27FC236}">
              <a16:creationId xmlns:a16="http://schemas.microsoft.com/office/drawing/2014/main" id="{00000000-0008-0000-0000-00005F050000}"/>
            </a:ext>
          </a:extLst>
        </xdr:cNvPr>
        <xdr:cNvPicPr>
          <a:picLocks noChangeAspect="1"/>
        </xdr:cNvPicPr>
      </xdr:nvPicPr>
      <xdr:blipFill>
        <a:blip xmlns:r="http://schemas.openxmlformats.org/officeDocument/2006/relationships" r:embed="rId1352"/>
        <a:stretch>
          <a:fillRect/>
        </a:stretch>
      </xdr:blipFill>
      <xdr:spPr>
        <a:prstGeom prst="rect">
          <a:avLst/>
        </a:prstGeom>
        <a:ln w="9525">
          <a:solidFill>
            <a:srgbClr val="000000"/>
          </a:solidFill>
          <a:prstDash val="solid"/>
        </a:ln>
      </xdr:spPr>
    </xdr:pic>
    <xdr:clientData/>
  </xdr:twoCellAnchor>
  <xdr:twoCellAnchor>
    <xdr:from>
      <xdr:col>3</xdr:col>
      <xdr:colOff>114300</xdr:colOff>
      <xdr:row>3762</xdr:row>
      <xdr:rowOff>28575</xdr:rowOff>
    </xdr:from>
    <xdr:to>
      <xdr:col>3</xdr:col>
      <xdr:colOff>1552575</xdr:colOff>
      <xdr:row>3762</xdr:row>
      <xdr:rowOff>1266825</xdr:rowOff>
    </xdr:to>
    <xdr:pic>
      <xdr:nvPicPr>
        <xdr:cNvPr id="1376" name="Имя " descr="Descr ">
          <a:extLst>
            <a:ext uri="{FF2B5EF4-FFF2-40B4-BE49-F238E27FC236}">
              <a16:creationId xmlns:a16="http://schemas.microsoft.com/office/drawing/2014/main" id="{00000000-0008-0000-0000-000060050000}"/>
            </a:ext>
          </a:extLst>
        </xdr:cNvPr>
        <xdr:cNvPicPr>
          <a:picLocks noChangeAspect="1"/>
        </xdr:cNvPicPr>
      </xdr:nvPicPr>
      <xdr:blipFill>
        <a:blip xmlns:r="http://schemas.openxmlformats.org/officeDocument/2006/relationships" r:embed="rId1353"/>
        <a:stretch>
          <a:fillRect/>
        </a:stretch>
      </xdr:blipFill>
      <xdr:spPr>
        <a:prstGeom prst="rect">
          <a:avLst/>
        </a:prstGeom>
        <a:ln w="9525">
          <a:solidFill>
            <a:srgbClr val="000000"/>
          </a:solidFill>
          <a:prstDash val="solid"/>
        </a:ln>
      </xdr:spPr>
    </xdr:pic>
    <xdr:clientData/>
  </xdr:twoCellAnchor>
  <xdr:twoCellAnchor>
    <xdr:from>
      <xdr:col>3</xdr:col>
      <xdr:colOff>114300</xdr:colOff>
      <xdr:row>3763</xdr:row>
      <xdr:rowOff>28575</xdr:rowOff>
    </xdr:from>
    <xdr:to>
      <xdr:col>3</xdr:col>
      <xdr:colOff>1552575</xdr:colOff>
      <xdr:row>3765</xdr:row>
      <xdr:rowOff>419100</xdr:rowOff>
    </xdr:to>
    <xdr:pic>
      <xdr:nvPicPr>
        <xdr:cNvPr id="1377" name="Имя " descr="Descr ">
          <a:extLst>
            <a:ext uri="{FF2B5EF4-FFF2-40B4-BE49-F238E27FC236}">
              <a16:creationId xmlns:a16="http://schemas.microsoft.com/office/drawing/2014/main" id="{00000000-0008-0000-0000-000061050000}"/>
            </a:ext>
          </a:extLst>
        </xdr:cNvPr>
        <xdr:cNvPicPr>
          <a:picLocks noChangeAspect="1"/>
        </xdr:cNvPicPr>
      </xdr:nvPicPr>
      <xdr:blipFill>
        <a:blip xmlns:r="http://schemas.openxmlformats.org/officeDocument/2006/relationships" r:embed="rId1354"/>
        <a:stretch>
          <a:fillRect/>
        </a:stretch>
      </xdr:blipFill>
      <xdr:spPr>
        <a:prstGeom prst="rect">
          <a:avLst/>
        </a:prstGeom>
        <a:ln w="9525">
          <a:solidFill>
            <a:srgbClr val="000000"/>
          </a:solidFill>
          <a:prstDash val="solid"/>
        </a:ln>
      </xdr:spPr>
    </xdr:pic>
    <xdr:clientData/>
  </xdr:twoCellAnchor>
  <xdr:twoCellAnchor>
    <xdr:from>
      <xdr:col>3</xdr:col>
      <xdr:colOff>114300</xdr:colOff>
      <xdr:row>3766</xdr:row>
      <xdr:rowOff>28575</xdr:rowOff>
    </xdr:from>
    <xdr:to>
      <xdr:col>3</xdr:col>
      <xdr:colOff>1552575</xdr:colOff>
      <xdr:row>3768</xdr:row>
      <xdr:rowOff>419100</xdr:rowOff>
    </xdr:to>
    <xdr:pic>
      <xdr:nvPicPr>
        <xdr:cNvPr id="1378" name="Имя " descr="Descr ">
          <a:extLst>
            <a:ext uri="{FF2B5EF4-FFF2-40B4-BE49-F238E27FC236}">
              <a16:creationId xmlns:a16="http://schemas.microsoft.com/office/drawing/2014/main" id="{00000000-0008-0000-0000-000062050000}"/>
            </a:ext>
          </a:extLst>
        </xdr:cNvPr>
        <xdr:cNvPicPr>
          <a:picLocks noChangeAspect="1"/>
        </xdr:cNvPicPr>
      </xdr:nvPicPr>
      <xdr:blipFill>
        <a:blip xmlns:r="http://schemas.openxmlformats.org/officeDocument/2006/relationships" r:embed="rId1355"/>
        <a:stretch>
          <a:fillRect/>
        </a:stretch>
      </xdr:blipFill>
      <xdr:spPr>
        <a:prstGeom prst="rect">
          <a:avLst/>
        </a:prstGeom>
        <a:ln w="9525">
          <a:solidFill>
            <a:srgbClr val="000000"/>
          </a:solidFill>
          <a:prstDash val="solid"/>
        </a:ln>
      </xdr:spPr>
    </xdr:pic>
    <xdr:clientData/>
  </xdr:twoCellAnchor>
  <xdr:twoCellAnchor>
    <xdr:from>
      <xdr:col>3</xdr:col>
      <xdr:colOff>114300</xdr:colOff>
      <xdr:row>3769</xdr:row>
      <xdr:rowOff>38100</xdr:rowOff>
    </xdr:from>
    <xdr:to>
      <xdr:col>3</xdr:col>
      <xdr:colOff>1552575</xdr:colOff>
      <xdr:row>3770</xdr:row>
      <xdr:rowOff>638175</xdr:rowOff>
    </xdr:to>
    <xdr:pic>
      <xdr:nvPicPr>
        <xdr:cNvPr id="1379" name="Имя " descr="Descr ">
          <a:extLst>
            <a:ext uri="{FF2B5EF4-FFF2-40B4-BE49-F238E27FC236}">
              <a16:creationId xmlns:a16="http://schemas.microsoft.com/office/drawing/2014/main" id="{00000000-0008-0000-0000-000063050000}"/>
            </a:ext>
          </a:extLst>
        </xdr:cNvPr>
        <xdr:cNvPicPr>
          <a:picLocks noChangeAspect="1"/>
        </xdr:cNvPicPr>
      </xdr:nvPicPr>
      <xdr:blipFill>
        <a:blip xmlns:r="http://schemas.openxmlformats.org/officeDocument/2006/relationships" r:embed="rId1356"/>
        <a:stretch>
          <a:fillRect/>
        </a:stretch>
      </xdr:blipFill>
      <xdr:spPr>
        <a:prstGeom prst="rect">
          <a:avLst/>
        </a:prstGeom>
        <a:ln w="9525">
          <a:solidFill>
            <a:srgbClr val="000000"/>
          </a:solidFill>
          <a:prstDash val="solid"/>
        </a:ln>
      </xdr:spPr>
    </xdr:pic>
    <xdr:clientData/>
  </xdr:twoCellAnchor>
  <xdr:twoCellAnchor>
    <xdr:from>
      <xdr:col>3</xdr:col>
      <xdr:colOff>114300</xdr:colOff>
      <xdr:row>3771</xdr:row>
      <xdr:rowOff>28575</xdr:rowOff>
    </xdr:from>
    <xdr:to>
      <xdr:col>3</xdr:col>
      <xdr:colOff>1552575</xdr:colOff>
      <xdr:row>3777</xdr:row>
      <xdr:rowOff>171450</xdr:rowOff>
    </xdr:to>
    <xdr:pic>
      <xdr:nvPicPr>
        <xdr:cNvPr id="1380" name="Имя " descr="Descr ">
          <a:extLst>
            <a:ext uri="{FF2B5EF4-FFF2-40B4-BE49-F238E27FC236}">
              <a16:creationId xmlns:a16="http://schemas.microsoft.com/office/drawing/2014/main" id="{00000000-0008-0000-0000-000064050000}"/>
            </a:ext>
          </a:extLst>
        </xdr:cNvPr>
        <xdr:cNvPicPr>
          <a:picLocks noChangeAspect="1"/>
        </xdr:cNvPicPr>
      </xdr:nvPicPr>
      <xdr:blipFill>
        <a:blip xmlns:r="http://schemas.openxmlformats.org/officeDocument/2006/relationships" r:embed="rId1357"/>
        <a:stretch>
          <a:fillRect/>
        </a:stretch>
      </xdr:blipFill>
      <xdr:spPr>
        <a:prstGeom prst="rect">
          <a:avLst/>
        </a:prstGeom>
        <a:ln w="9525">
          <a:solidFill>
            <a:srgbClr val="000000"/>
          </a:solidFill>
          <a:prstDash val="solid"/>
        </a:ln>
      </xdr:spPr>
    </xdr:pic>
    <xdr:clientData/>
  </xdr:twoCellAnchor>
  <xdr:twoCellAnchor>
    <xdr:from>
      <xdr:col>3</xdr:col>
      <xdr:colOff>114300</xdr:colOff>
      <xdr:row>3778</xdr:row>
      <xdr:rowOff>28575</xdr:rowOff>
    </xdr:from>
    <xdr:to>
      <xdr:col>3</xdr:col>
      <xdr:colOff>1552575</xdr:colOff>
      <xdr:row>3780</xdr:row>
      <xdr:rowOff>419100</xdr:rowOff>
    </xdr:to>
    <xdr:pic>
      <xdr:nvPicPr>
        <xdr:cNvPr id="1381" name="Имя " descr="Descr ">
          <a:extLst>
            <a:ext uri="{FF2B5EF4-FFF2-40B4-BE49-F238E27FC236}">
              <a16:creationId xmlns:a16="http://schemas.microsoft.com/office/drawing/2014/main" id="{00000000-0008-0000-0000-000065050000}"/>
            </a:ext>
          </a:extLst>
        </xdr:cNvPr>
        <xdr:cNvPicPr>
          <a:picLocks noChangeAspect="1"/>
        </xdr:cNvPicPr>
      </xdr:nvPicPr>
      <xdr:blipFill>
        <a:blip xmlns:r="http://schemas.openxmlformats.org/officeDocument/2006/relationships" r:embed="rId1358"/>
        <a:stretch>
          <a:fillRect/>
        </a:stretch>
      </xdr:blipFill>
      <xdr:spPr>
        <a:prstGeom prst="rect">
          <a:avLst/>
        </a:prstGeom>
        <a:ln w="9525">
          <a:solidFill>
            <a:srgbClr val="000000"/>
          </a:solidFill>
          <a:prstDash val="solid"/>
        </a:ln>
      </xdr:spPr>
    </xdr:pic>
    <xdr:clientData/>
  </xdr:twoCellAnchor>
  <xdr:twoCellAnchor>
    <xdr:from>
      <xdr:col>3</xdr:col>
      <xdr:colOff>114300</xdr:colOff>
      <xdr:row>3781</xdr:row>
      <xdr:rowOff>38100</xdr:rowOff>
    </xdr:from>
    <xdr:to>
      <xdr:col>3</xdr:col>
      <xdr:colOff>1552575</xdr:colOff>
      <xdr:row>3782</xdr:row>
      <xdr:rowOff>638175</xdr:rowOff>
    </xdr:to>
    <xdr:pic>
      <xdr:nvPicPr>
        <xdr:cNvPr id="1382" name="Имя " descr="Descr ">
          <a:extLst>
            <a:ext uri="{FF2B5EF4-FFF2-40B4-BE49-F238E27FC236}">
              <a16:creationId xmlns:a16="http://schemas.microsoft.com/office/drawing/2014/main" id="{00000000-0008-0000-0000-000066050000}"/>
            </a:ext>
          </a:extLst>
        </xdr:cNvPr>
        <xdr:cNvPicPr>
          <a:picLocks noChangeAspect="1"/>
        </xdr:cNvPicPr>
      </xdr:nvPicPr>
      <xdr:blipFill>
        <a:blip xmlns:r="http://schemas.openxmlformats.org/officeDocument/2006/relationships" r:embed="rId1359"/>
        <a:stretch>
          <a:fillRect/>
        </a:stretch>
      </xdr:blipFill>
      <xdr:spPr>
        <a:prstGeom prst="rect">
          <a:avLst/>
        </a:prstGeom>
        <a:ln w="9525">
          <a:solidFill>
            <a:srgbClr val="000000"/>
          </a:solidFill>
          <a:prstDash val="solid"/>
        </a:ln>
      </xdr:spPr>
    </xdr:pic>
    <xdr:clientData/>
  </xdr:twoCellAnchor>
  <xdr:twoCellAnchor>
    <xdr:from>
      <xdr:col>3</xdr:col>
      <xdr:colOff>114300</xdr:colOff>
      <xdr:row>3783</xdr:row>
      <xdr:rowOff>28575</xdr:rowOff>
    </xdr:from>
    <xdr:to>
      <xdr:col>3</xdr:col>
      <xdr:colOff>1552575</xdr:colOff>
      <xdr:row>3788</xdr:row>
      <xdr:rowOff>209550</xdr:rowOff>
    </xdr:to>
    <xdr:pic>
      <xdr:nvPicPr>
        <xdr:cNvPr id="1383" name="Имя " descr="Descr ">
          <a:extLst>
            <a:ext uri="{FF2B5EF4-FFF2-40B4-BE49-F238E27FC236}">
              <a16:creationId xmlns:a16="http://schemas.microsoft.com/office/drawing/2014/main" id="{00000000-0008-0000-0000-000067050000}"/>
            </a:ext>
          </a:extLst>
        </xdr:cNvPr>
        <xdr:cNvPicPr>
          <a:picLocks noChangeAspect="1"/>
        </xdr:cNvPicPr>
      </xdr:nvPicPr>
      <xdr:blipFill>
        <a:blip xmlns:r="http://schemas.openxmlformats.org/officeDocument/2006/relationships" r:embed="rId1360"/>
        <a:stretch>
          <a:fillRect/>
        </a:stretch>
      </xdr:blipFill>
      <xdr:spPr>
        <a:prstGeom prst="rect">
          <a:avLst/>
        </a:prstGeom>
        <a:ln w="9525">
          <a:solidFill>
            <a:srgbClr val="000000"/>
          </a:solidFill>
          <a:prstDash val="solid"/>
        </a:ln>
      </xdr:spPr>
    </xdr:pic>
    <xdr:clientData/>
  </xdr:twoCellAnchor>
  <xdr:twoCellAnchor>
    <xdr:from>
      <xdr:col>3</xdr:col>
      <xdr:colOff>114300</xdr:colOff>
      <xdr:row>3789</xdr:row>
      <xdr:rowOff>38100</xdr:rowOff>
    </xdr:from>
    <xdr:to>
      <xdr:col>3</xdr:col>
      <xdr:colOff>1552575</xdr:colOff>
      <xdr:row>3790</xdr:row>
      <xdr:rowOff>638175</xdr:rowOff>
    </xdr:to>
    <xdr:pic>
      <xdr:nvPicPr>
        <xdr:cNvPr id="1384" name="Имя " descr="Descr ">
          <a:extLst>
            <a:ext uri="{FF2B5EF4-FFF2-40B4-BE49-F238E27FC236}">
              <a16:creationId xmlns:a16="http://schemas.microsoft.com/office/drawing/2014/main" id="{00000000-0008-0000-0000-000068050000}"/>
            </a:ext>
          </a:extLst>
        </xdr:cNvPr>
        <xdr:cNvPicPr>
          <a:picLocks noChangeAspect="1"/>
        </xdr:cNvPicPr>
      </xdr:nvPicPr>
      <xdr:blipFill>
        <a:blip xmlns:r="http://schemas.openxmlformats.org/officeDocument/2006/relationships" r:embed="rId1361"/>
        <a:stretch>
          <a:fillRect/>
        </a:stretch>
      </xdr:blipFill>
      <xdr:spPr>
        <a:prstGeom prst="rect">
          <a:avLst/>
        </a:prstGeom>
        <a:ln w="9525">
          <a:solidFill>
            <a:srgbClr val="000000"/>
          </a:solidFill>
          <a:prstDash val="solid"/>
        </a:ln>
      </xdr:spPr>
    </xdr:pic>
    <xdr:clientData/>
  </xdr:twoCellAnchor>
  <xdr:twoCellAnchor>
    <xdr:from>
      <xdr:col>3</xdr:col>
      <xdr:colOff>114300</xdr:colOff>
      <xdr:row>3791</xdr:row>
      <xdr:rowOff>28575</xdr:rowOff>
    </xdr:from>
    <xdr:to>
      <xdr:col>3</xdr:col>
      <xdr:colOff>1552575</xdr:colOff>
      <xdr:row>3797</xdr:row>
      <xdr:rowOff>171450</xdr:rowOff>
    </xdr:to>
    <xdr:pic>
      <xdr:nvPicPr>
        <xdr:cNvPr id="1385" name="Имя " descr="Descr ">
          <a:extLst>
            <a:ext uri="{FF2B5EF4-FFF2-40B4-BE49-F238E27FC236}">
              <a16:creationId xmlns:a16="http://schemas.microsoft.com/office/drawing/2014/main" id="{00000000-0008-0000-0000-000069050000}"/>
            </a:ext>
          </a:extLst>
        </xdr:cNvPr>
        <xdr:cNvPicPr>
          <a:picLocks noChangeAspect="1"/>
        </xdr:cNvPicPr>
      </xdr:nvPicPr>
      <xdr:blipFill>
        <a:blip xmlns:r="http://schemas.openxmlformats.org/officeDocument/2006/relationships" r:embed="rId1362"/>
        <a:stretch>
          <a:fillRect/>
        </a:stretch>
      </xdr:blipFill>
      <xdr:spPr>
        <a:prstGeom prst="rect">
          <a:avLst/>
        </a:prstGeom>
        <a:ln w="9525">
          <a:solidFill>
            <a:srgbClr val="000000"/>
          </a:solidFill>
          <a:prstDash val="solid"/>
        </a:ln>
      </xdr:spPr>
    </xdr:pic>
    <xdr:clientData/>
  </xdr:twoCellAnchor>
  <xdr:twoCellAnchor>
    <xdr:from>
      <xdr:col>3</xdr:col>
      <xdr:colOff>114300</xdr:colOff>
      <xdr:row>3798</xdr:row>
      <xdr:rowOff>28575</xdr:rowOff>
    </xdr:from>
    <xdr:to>
      <xdr:col>3</xdr:col>
      <xdr:colOff>1552575</xdr:colOff>
      <xdr:row>3798</xdr:row>
      <xdr:rowOff>1266825</xdr:rowOff>
    </xdr:to>
    <xdr:pic>
      <xdr:nvPicPr>
        <xdr:cNvPr id="1386" name="Имя " descr="Descr ">
          <a:extLst>
            <a:ext uri="{FF2B5EF4-FFF2-40B4-BE49-F238E27FC236}">
              <a16:creationId xmlns:a16="http://schemas.microsoft.com/office/drawing/2014/main" id="{00000000-0008-0000-0000-00006A050000}"/>
            </a:ext>
          </a:extLst>
        </xdr:cNvPr>
        <xdr:cNvPicPr>
          <a:picLocks noChangeAspect="1"/>
        </xdr:cNvPicPr>
      </xdr:nvPicPr>
      <xdr:blipFill>
        <a:blip xmlns:r="http://schemas.openxmlformats.org/officeDocument/2006/relationships" r:embed="rId1363"/>
        <a:stretch>
          <a:fillRect/>
        </a:stretch>
      </xdr:blipFill>
      <xdr:spPr>
        <a:prstGeom prst="rect">
          <a:avLst/>
        </a:prstGeom>
        <a:ln w="9525">
          <a:solidFill>
            <a:srgbClr val="000000"/>
          </a:solidFill>
          <a:prstDash val="solid"/>
        </a:ln>
      </xdr:spPr>
    </xdr:pic>
    <xdr:clientData/>
  </xdr:twoCellAnchor>
  <xdr:twoCellAnchor>
    <xdr:from>
      <xdr:col>3</xdr:col>
      <xdr:colOff>114300</xdr:colOff>
      <xdr:row>3799</xdr:row>
      <xdr:rowOff>28575</xdr:rowOff>
    </xdr:from>
    <xdr:to>
      <xdr:col>3</xdr:col>
      <xdr:colOff>1552575</xdr:colOff>
      <xdr:row>3799</xdr:row>
      <xdr:rowOff>1266825</xdr:rowOff>
    </xdr:to>
    <xdr:pic>
      <xdr:nvPicPr>
        <xdr:cNvPr id="1387" name="Имя " descr="Descr ">
          <a:extLst>
            <a:ext uri="{FF2B5EF4-FFF2-40B4-BE49-F238E27FC236}">
              <a16:creationId xmlns:a16="http://schemas.microsoft.com/office/drawing/2014/main" id="{00000000-0008-0000-0000-00006B050000}"/>
            </a:ext>
          </a:extLst>
        </xdr:cNvPr>
        <xdr:cNvPicPr>
          <a:picLocks noChangeAspect="1"/>
        </xdr:cNvPicPr>
      </xdr:nvPicPr>
      <xdr:blipFill>
        <a:blip xmlns:r="http://schemas.openxmlformats.org/officeDocument/2006/relationships" r:embed="rId1364"/>
        <a:stretch>
          <a:fillRect/>
        </a:stretch>
      </xdr:blipFill>
      <xdr:spPr>
        <a:prstGeom prst="rect">
          <a:avLst/>
        </a:prstGeom>
        <a:ln w="9525">
          <a:solidFill>
            <a:srgbClr val="000000"/>
          </a:solidFill>
          <a:prstDash val="solid"/>
        </a:ln>
      </xdr:spPr>
    </xdr:pic>
    <xdr:clientData/>
  </xdr:twoCellAnchor>
  <xdr:twoCellAnchor>
    <xdr:from>
      <xdr:col>3</xdr:col>
      <xdr:colOff>114300</xdr:colOff>
      <xdr:row>3800</xdr:row>
      <xdr:rowOff>28575</xdr:rowOff>
    </xdr:from>
    <xdr:to>
      <xdr:col>3</xdr:col>
      <xdr:colOff>1552575</xdr:colOff>
      <xdr:row>3800</xdr:row>
      <xdr:rowOff>1266825</xdr:rowOff>
    </xdr:to>
    <xdr:pic>
      <xdr:nvPicPr>
        <xdr:cNvPr id="1388" name="Имя " descr="Descr ">
          <a:extLst>
            <a:ext uri="{FF2B5EF4-FFF2-40B4-BE49-F238E27FC236}">
              <a16:creationId xmlns:a16="http://schemas.microsoft.com/office/drawing/2014/main" id="{00000000-0008-0000-0000-00006C050000}"/>
            </a:ext>
          </a:extLst>
        </xdr:cNvPr>
        <xdr:cNvPicPr>
          <a:picLocks noChangeAspect="1"/>
        </xdr:cNvPicPr>
      </xdr:nvPicPr>
      <xdr:blipFill>
        <a:blip xmlns:r="http://schemas.openxmlformats.org/officeDocument/2006/relationships" r:embed="rId1365"/>
        <a:stretch>
          <a:fillRect/>
        </a:stretch>
      </xdr:blipFill>
      <xdr:spPr>
        <a:prstGeom prst="rect">
          <a:avLst/>
        </a:prstGeom>
        <a:ln w="9525">
          <a:solidFill>
            <a:srgbClr val="000000"/>
          </a:solidFill>
          <a:prstDash val="solid"/>
        </a:ln>
      </xdr:spPr>
    </xdr:pic>
    <xdr:clientData/>
  </xdr:twoCellAnchor>
  <xdr:twoCellAnchor>
    <xdr:from>
      <xdr:col>3</xdr:col>
      <xdr:colOff>114300</xdr:colOff>
      <xdr:row>3801</xdr:row>
      <xdr:rowOff>28575</xdr:rowOff>
    </xdr:from>
    <xdr:to>
      <xdr:col>3</xdr:col>
      <xdr:colOff>1552575</xdr:colOff>
      <xdr:row>3801</xdr:row>
      <xdr:rowOff>1266825</xdr:rowOff>
    </xdr:to>
    <xdr:pic>
      <xdr:nvPicPr>
        <xdr:cNvPr id="1389" name="Имя " descr="Descr ">
          <a:extLst>
            <a:ext uri="{FF2B5EF4-FFF2-40B4-BE49-F238E27FC236}">
              <a16:creationId xmlns:a16="http://schemas.microsoft.com/office/drawing/2014/main" id="{00000000-0008-0000-0000-00006D050000}"/>
            </a:ext>
          </a:extLst>
        </xdr:cNvPr>
        <xdr:cNvPicPr>
          <a:picLocks noChangeAspect="1"/>
        </xdr:cNvPicPr>
      </xdr:nvPicPr>
      <xdr:blipFill>
        <a:blip xmlns:r="http://schemas.openxmlformats.org/officeDocument/2006/relationships" r:embed="rId1366"/>
        <a:stretch>
          <a:fillRect/>
        </a:stretch>
      </xdr:blipFill>
      <xdr:spPr>
        <a:prstGeom prst="rect">
          <a:avLst/>
        </a:prstGeom>
        <a:ln w="9525">
          <a:solidFill>
            <a:srgbClr val="000000"/>
          </a:solidFill>
          <a:prstDash val="solid"/>
        </a:ln>
      </xdr:spPr>
    </xdr:pic>
    <xdr:clientData/>
  </xdr:twoCellAnchor>
  <xdr:twoCellAnchor>
    <xdr:from>
      <xdr:col>3</xdr:col>
      <xdr:colOff>114300</xdr:colOff>
      <xdr:row>3802</xdr:row>
      <xdr:rowOff>28575</xdr:rowOff>
    </xdr:from>
    <xdr:to>
      <xdr:col>3</xdr:col>
      <xdr:colOff>1552575</xdr:colOff>
      <xdr:row>3805</xdr:row>
      <xdr:rowOff>209550</xdr:rowOff>
    </xdr:to>
    <xdr:pic>
      <xdr:nvPicPr>
        <xdr:cNvPr id="1390" name="Имя " descr="Descr ">
          <a:extLst>
            <a:ext uri="{FF2B5EF4-FFF2-40B4-BE49-F238E27FC236}">
              <a16:creationId xmlns:a16="http://schemas.microsoft.com/office/drawing/2014/main" id="{00000000-0008-0000-0000-00006E050000}"/>
            </a:ext>
          </a:extLst>
        </xdr:cNvPr>
        <xdr:cNvPicPr>
          <a:picLocks noChangeAspect="1"/>
        </xdr:cNvPicPr>
      </xdr:nvPicPr>
      <xdr:blipFill>
        <a:blip xmlns:r="http://schemas.openxmlformats.org/officeDocument/2006/relationships" r:embed="rId1367"/>
        <a:stretch>
          <a:fillRect/>
        </a:stretch>
      </xdr:blipFill>
      <xdr:spPr>
        <a:prstGeom prst="rect">
          <a:avLst/>
        </a:prstGeom>
        <a:ln w="9525">
          <a:solidFill>
            <a:srgbClr val="000000"/>
          </a:solidFill>
          <a:prstDash val="solid"/>
        </a:ln>
      </xdr:spPr>
    </xdr:pic>
    <xdr:clientData/>
  </xdr:twoCellAnchor>
  <xdr:twoCellAnchor>
    <xdr:from>
      <xdr:col>3</xdr:col>
      <xdr:colOff>114300</xdr:colOff>
      <xdr:row>3806</xdr:row>
      <xdr:rowOff>28575</xdr:rowOff>
    </xdr:from>
    <xdr:to>
      <xdr:col>3</xdr:col>
      <xdr:colOff>1552575</xdr:colOff>
      <xdr:row>3806</xdr:row>
      <xdr:rowOff>1266825</xdr:rowOff>
    </xdr:to>
    <xdr:pic>
      <xdr:nvPicPr>
        <xdr:cNvPr id="1391" name="Имя " descr="Descr ">
          <a:extLst>
            <a:ext uri="{FF2B5EF4-FFF2-40B4-BE49-F238E27FC236}">
              <a16:creationId xmlns:a16="http://schemas.microsoft.com/office/drawing/2014/main" id="{00000000-0008-0000-0000-00006F050000}"/>
            </a:ext>
          </a:extLst>
        </xdr:cNvPr>
        <xdr:cNvPicPr>
          <a:picLocks noChangeAspect="1"/>
        </xdr:cNvPicPr>
      </xdr:nvPicPr>
      <xdr:blipFill>
        <a:blip xmlns:r="http://schemas.openxmlformats.org/officeDocument/2006/relationships" r:embed="rId1368"/>
        <a:stretch>
          <a:fillRect/>
        </a:stretch>
      </xdr:blipFill>
      <xdr:spPr>
        <a:prstGeom prst="rect">
          <a:avLst/>
        </a:prstGeom>
        <a:ln w="9525">
          <a:solidFill>
            <a:srgbClr val="000000"/>
          </a:solidFill>
          <a:prstDash val="solid"/>
        </a:ln>
      </xdr:spPr>
    </xdr:pic>
    <xdr:clientData/>
  </xdr:twoCellAnchor>
  <xdr:twoCellAnchor>
    <xdr:from>
      <xdr:col>3</xdr:col>
      <xdr:colOff>114300</xdr:colOff>
      <xdr:row>3807</xdr:row>
      <xdr:rowOff>28575</xdr:rowOff>
    </xdr:from>
    <xdr:to>
      <xdr:col>3</xdr:col>
      <xdr:colOff>1552575</xdr:colOff>
      <xdr:row>3807</xdr:row>
      <xdr:rowOff>1266825</xdr:rowOff>
    </xdr:to>
    <xdr:pic>
      <xdr:nvPicPr>
        <xdr:cNvPr id="1392" name="Имя " descr="Descr ">
          <a:extLst>
            <a:ext uri="{FF2B5EF4-FFF2-40B4-BE49-F238E27FC236}">
              <a16:creationId xmlns:a16="http://schemas.microsoft.com/office/drawing/2014/main" id="{00000000-0008-0000-0000-000070050000}"/>
            </a:ext>
          </a:extLst>
        </xdr:cNvPr>
        <xdr:cNvPicPr>
          <a:picLocks noChangeAspect="1"/>
        </xdr:cNvPicPr>
      </xdr:nvPicPr>
      <xdr:blipFill>
        <a:blip xmlns:r="http://schemas.openxmlformats.org/officeDocument/2006/relationships" r:embed="rId1369"/>
        <a:stretch>
          <a:fillRect/>
        </a:stretch>
      </xdr:blipFill>
      <xdr:spPr>
        <a:prstGeom prst="rect">
          <a:avLst/>
        </a:prstGeom>
        <a:ln w="9525">
          <a:solidFill>
            <a:srgbClr val="000000"/>
          </a:solidFill>
          <a:prstDash val="solid"/>
        </a:ln>
      </xdr:spPr>
    </xdr:pic>
    <xdr:clientData/>
  </xdr:twoCellAnchor>
  <xdr:twoCellAnchor>
    <xdr:from>
      <xdr:col>3</xdr:col>
      <xdr:colOff>114300</xdr:colOff>
      <xdr:row>3808</xdr:row>
      <xdr:rowOff>28575</xdr:rowOff>
    </xdr:from>
    <xdr:to>
      <xdr:col>3</xdr:col>
      <xdr:colOff>1552575</xdr:colOff>
      <xdr:row>3808</xdr:row>
      <xdr:rowOff>1266825</xdr:rowOff>
    </xdr:to>
    <xdr:pic>
      <xdr:nvPicPr>
        <xdr:cNvPr id="1393" name="Имя " descr="Descr ">
          <a:extLst>
            <a:ext uri="{FF2B5EF4-FFF2-40B4-BE49-F238E27FC236}">
              <a16:creationId xmlns:a16="http://schemas.microsoft.com/office/drawing/2014/main" id="{00000000-0008-0000-0000-000071050000}"/>
            </a:ext>
          </a:extLst>
        </xdr:cNvPr>
        <xdr:cNvPicPr>
          <a:picLocks noChangeAspect="1"/>
        </xdr:cNvPicPr>
      </xdr:nvPicPr>
      <xdr:blipFill>
        <a:blip xmlns:r="http://schemas.openxmlformats.org/officeDocument/2006/relationships" r:embed="rId1370"/>
        <a:stretch>
          <a:fillRect/>
        </a:stretch>
      </xdr:blipFill>
      <xdr:spPr>
        <a:prstGeom prst="rect">
          <a:avLst/>
        </a:prstGeom>
        <a:ln w="9525">
          <a:solidFill>
            <a:srgbClr val="000000"/>
          </a:solidFill>
          <a:prstDash val="solid"/>
        </a:ln>
      </xdr:spPr>
    </xdr:pic>
    <xdr:clientData/>
  </xdr:twoCellAnchor>
  <xdr:twoCellAnchor>
    <xdr:from>
      <xdr:col>3</xdr:col>
      <xdr:colOff>114300</xdr:colOff>
      <xdr:row>3809</xdr:row>
      <xdr:rowOff>28575</xdr:rowOff>
    </xdr:from>
    <xdr:to>
      <xdr:col>3</xdr:col>
      <xdr:colOff>1552575</xdr:colOff>
      <xdr:row>3812</xdr:row>
      <xdr:rowOff>209550</xdr:rowOff>
    </xdr:to>
    <xdr:pic>
      <xdr:nvPicPr>
        <xdr:cNvPr id="1394" name="Имя " descr="Descr ">
          <a:extLst>
            <a:ext uri="{FF2B5EF4-FFF2-40B4-BE49-F238E27FC236}">
              <a16:creationId xmlns:a16="http://schemas.microsoft.com/office/drawing/2014/main" id="{00000000-0008-0000-0000-000072050000}"/>
            </a:ext>
          </a:extLst>
        </xdr:cNvPr>
        <xdr:cNvPicPr>
          <a:picLocks noChangeAspect="1"/>
        </xdr:cNvPicPr>
      </xdr:nvPicPr>
      <xdr:blipFill>
        <a:blip xmlns:r="http://schemas.openxmlformats.org/officeDocument/2006/relationships" r:embed="rId1371"/>
        <a:stretch>
          <a:fillRect/>
        </a:stretch>
      </xdr:blipFill>
      <xdr:spPr>
        <a:prstGeom prst="rect">
          <a:avLst/>
        </a:prstGeom>
        <a:ln w="9525">
          <a:solidFill>
            <a:srgbClr val="000000"/>
          </a:solidFill>
          <a:prstDash val="solid"/>
        </a:ln>
      </xdr:spPr>
    </xdr:pic>
    <xdr:clientData/>
  </xdr:twoCellAnchor>
  <xdr:twoCellAnchor>
    <xdr:from>
      <xdr:col>3</xdr:col>
      <xdr:colOff>114300</xdr:colOff>
      <xdr:row>3813</xdr:row>
      <xdr:rowOff>28575</xdr:rowOff>
    </xdr:from>
    <xdr:to>
      <xdr:col>3</xdr:col>
      <xdr:colOff>1552575</xdr:colOff>
      <xdr:row>3813</xdr:row>
      <xdr:rowOff>1266825</xdr:rowOff>
    </xdr:to>
    <xdr:pic>
      <xdr:nvPicPr>
        <xdr:cNvPr id="1395" name="Имя " descr="Descr ">
          <a:extLst>
            <a:ext uri="{FF2B5EF4-FFF2-40B4-BE49-F238E27FC236}">
              <a16:creationId xmlns:a16="http://schemas.microsoft.com/office/drawing/2014/main" id="{00000000-0008-0000-0000-000073050000}"/>
            </a:ext>
          </a:extLst>
        </xdr:cNvPr>
        <xdr:cNvPicPr>
          <a:picLocks noChangeAspect="1"/>
        </xdr:cNvPicPr>
      </xdr:nvPicPr>
      <xdr:blipFill>
        <a:blip xmlns:r="http://schemas.openxmlformats.org/officeDocument/2006/relationships" r:embed="rId1372"/>
        <a:stretch>
          <a:fillRect/>
        </a:stretch>
      </xdr:blipFill>
      <xdr:spPr>
        <a:prstGeom prst="rect">
          <a:avLst/>
        </a:prstGeom>
        <a:ln w="9525">
          <a:solidFill>
            <a:srgbClr val="000000"/>
          </a:solidFill>
          <a:prstDash val="solid"/>
        </a:ln>
      </xdr:spPr>
    </xdr:pic>
    <xdr:clientData/>
  </xdr:twoCellAnchor>
  <xdr:twoCellAnchor>
    <xdr:from>
      <xdr:col>3</xdr:col>
      <xdr:colOff>114300</xdr:colOff>
      <xdr:row>3814</xdr:row>
      <xdr:rowOff>38100</xdr:rowOff>
    </xdr:from>
    <xdr:to>
      <xdr:col>3</xdr:col>
      <xdr:colOff>1552575</xdr:colOff>
      <xdr:row>3815</xdr:row>
      <xdr:rowOff>638175</xdr:rowOff>
    </xdr:to>
    <xdr:pic>
      <xdr:nvPicPr>
        <xdr:cNvPr id="1396" name="Имя " descr="Descr ">
          <a:extLst>
            <a:ext uri="{FF2B5EF4-FFF2-40B4-BE49-F238E27FC236}">
              <a16:creationId xmlns:a16="http://schemas.microsoft.com/office/drawing/2014/main" id="{00000000-0008-0000-0000-000074050000}"/>
            </a:ext>
          </a:extLst>
        </xdr:cNvPr>
        <xdr:cNvPicPr>
          <a:picLocks noChangeAspect="1"/>
        </xdr:cNvPicPr>
      </xdr:nvPicPr>
      <xdr:blipFill>
        <a:blip xmlns:r="http://schemas.openxmlformats.org/officeDocument/2006/relationships" r:embed="rId1373"/>
        <a:stretch>
          <a:fillRect/>
        </a:stretch>
      </xdr:blipFill>
      <xdr:spPr>
        <a:prstGeom prst="rect">
          <a:avLst/>
        </a:prstGeom>
        <a:ln w="9525">
          <a:solidFill>
            <a:srgbClr val="000000"/>
          </a:solidFill>
          <a:prstDash val="solid"/>
        </a:ln>
      </xdr:spPr>
    </xdr:pic>
    <xdr:clientData/>
  </xdr:twoCellAnchor>
  <xdr:twoCellAnchor>
    <xdr:from>
      <xdr:col>3</xdr:col>
      <xdr:colOff>114300</xdr:colOff>
      <xdr:row>3816</xdr:row>
      <xdr:rowOff>28575</xdr:rowOff>
    </xdr:from>
    <xdr:to>
      <xdr:col>3</xdr:col>
      <xdr:colOff>1552575</xdr:colOff>
      <xdr:row>3816</xdr:row>
      <xdr:rowOff>1266825</xdr:rowOff>
    </xdr:to>
    <xdr:pic>
      <xdr:nvPicPr>
        <xdr:cNvPr id="1397" name="Имя " descr="Descr ">
          <a:extLst>
            <a:ext uri="{FF2B5EF4-FFF2-40B4-BE49-F238E27FC236}">
              <a16:creationId xmlns:a16="http://schemas.microsoft.com/office/drawing/2014/main" id="{00000000-0008-0000-0000-000075050000}"/>
            </a:ext>
          </a:extLst>
        </xdr:cNvPr>
        <xdr:cNvPicPr>
          <a:picLocks noChangeAspect="1"/>
        </xdr:cNvPicPr>
      </xdr:nvPicPr>
      <xdr:blipFill>
        <a:blip xmlns:r="http://schemas.openxmlformats.org/officeDocument/2006/relationships" r:embed="rId1374"/>
        <a:stretch>
          <a:fillRect/>
        </a:stretch>
      </xdr:blipFill>
      <xdr:spPr>
        <a:prstGeom prst="rect">
          <a:avLst/>
        </a:prstGeom>
        <a:ln w="9525">
          <a:solidFill>
            <a:srgbClr val="000000"/>
          </a:solidFill>
          <a:prstDash val="solid"/>
        </a:ln>
      </xdr:spPr>
    </xdr:pic>
    <xdr:clientData/>
  </xdr:twoCellAnchor>
  <xdr:twoCellAnchor>
    <xdr:from>
      <xdr:col>3</xdr:col>
      <xdr:colOff>114300</xdr:colOff>
      <xdr:row>3817</xdr:row>
      <xdr:rowOff>28575</xdr:rowOff>
    </xdr:from>
    <xdr:to>
      <xdr:col>3</xdr:col>
      <xdr:colOff>1552575</xdr:colOff>
      <xdr:row>3822</xdr:row>
      <xdr:rowOff>209550</xdr:rowOff>
    </xdr:to>
    <xdr:pic>
      <xdr:nvPicPr>
        <xdr:cNvPr id="1398" name="Имя " descr="Descr ">
          <a:extLst>
            <a:ext uri="{FF2B5EF4-FFF2-40B4-BE49-F238E27FC236}">
              <a16:creationId xmlns:a16="http://schemas.microsoft.com/office/drawing/2014/main" id="{00000000-0008-0000-0000-000076050000}"/>
            </a:ext>
          </a:extLst>
        </xdr:cNvPr>
        <xdr:cNvPicPr>
          <a:picLocks noChangeAspect="1"/>
        </xdr:cNvPicPr>
      </xdr:nvPicPr>
      <xdr:blipFill>
        <a:blip xmlns:r="http://schemas.openxmlformats.org/officeDocument/2006/relationships" r:embed="rId1375"/>
        <a:stretch>
          <a:fillRect/>
        </a:stretch>
      </xdr:blipFill>
      <xdr:spPr>
        <a:prstGeom prst="rect">
          <a:avLst/>
        </a:prstGeom>
        <a:ln w="9525">
          <a:solidFill>
            <a:srgbClr val="000000"/>
          </a:solidFill>
          <a:prstDash val="solid"/>
        </a:ln>
      </xdr:spPr>
    </xdr:pic>
    <xdr:clientData/>
  </xdr:twoCellAnchor>
  <xdr:twoCellAnchor>
    <xdr:from>
      <xdr:col>3</xdr:col>
      <xdr:colOff>114300</xdr:colOff>
      <xdr:row>3823</xdr:row>
      <xdr:rowOff>28575</xdr:rowOff>
    </xdr:from>
    <xdr:to>
      <xdr:col>3</xdr:col>
      <xdr:colOff>1552575</xdr:colOff>
      <xdr:row>3828</xdr:row>
      <xdr:rowOff>209550</xdr:rowOff>
    </xdr:to>
    <xdr:pic>
      <xdr:nvPicPr>
        <xdr:cNvPr id="1399" name="Имя " descr="Descr ">
          <a:extLst>
            <a:ext uri="{FF2B5EF4-FFF2-40B4-BE49-F238E27FC236}">
              <a16:creationId xmlns:a16="http://schemas.microsoft.com/office/drawing/2014/main" id="{00000000-0008-0000-0000-000077050000}"/>
            </a:ext>
          </a:extLst>
        </xdr:cNvPr>
        <xdr:cNvPicPr>
          <a:picLocks noChangeAspect="1"/>
        </xdr:cNvPicPr>
      </xdr:nvPicPr>
      <xdr:blipFill>
        <a:blip xmlns:r="http://schemas.openxmlformats.org/officeDocument/2006/relationships" r:embed="rId1376"/>
        <a:stretch>
          <a:fillRect/>
        </a:stretch>
      </xdr:blipFill>
      <xdr:spPr>
        <a:prstGeom prst="rect">
          <a:avLst/>
        </a:prstGeom>
        <a:ln w="9525">
          <a:solidFill>
            <a:srgbClr val="000000"/>
          </a:solidFill>
          <a:prstDash val="solid"/>
        </a:ln>
      </xdr:spPr>
    </xdr:pic>
    <xdr:clientData/>
  </xdr:twoCellAnchor>
  <xdr:twoCellAnchor>
    <xdr:from>
      <xdr:col>3</xdr:col>
      <xdr:colOff>114300</xdr:colOff>
      <xdr:row>3829</xdr:row>
      <xdr:rowOff>28575</xdr:rowOff>
    </xdr:from>
    <xdr:to>
      <xdr:col>3</xdr:col>
      <xdr:colOff>1552575</xdr:colOff>
      <xdr:row>3829</xdr:row>
      <xdr:rowOff>1266825</xdr:rowOff>
    </xdr:to>
    <xdr:pic>
      <xdr:nvPicPr>
        <xdr:cNvPr id="1400" name="Имя " descr="Descr ">
          <a:extLst>
            <a:ext uri="{FF2B5EF4-FFF2-40B4-BE49-F238E27FC236}">
              <a16:creationId xmlns:a16="http://schemas.microsoft.com/office/drawing/2014/main" id="{00000000-0008-0000-0000-000078050000}"/>
            </a:ext>
          </a:extLst>
        </xdr:cNvPr>
        <xdr:cNvPicPr>
          <a:picLocks noChangeAspect="1"/>
        </xdr:cNvPicPr>
      </xdr:nvPicPr>
      <xdr:blipFill>
        <a:blip xmlns:r="http://schemas.openxmlformats.org/officeDocument/2006/relationships" r:embed="rId1377"/>
        <a:stretch>
          <a:fillRect/>
        </a:stretch>
      </xdr:blipFill>
      <xdr:spPr>
        <a:prstGeom prst="rect">
          <a:avLst/>
        </a:prstGeom>
        <a:ln w="9525">
          <a:solidFill>
            <a:srgbClr val="000000"/>
          </a:solidFill>
          <a:prstDash val="solid"/>
        </a:ln>
      </xdr:spPr>
    </xdr:pic>
    <xdr:clientData/>
  </xdr:twoCellAnchor>
  <xdr:twoCellAnchor>
    <xdr:from>
      <xdr:col>3</xdr:col>
      <xdr:colOff>114300</xdr:colOff>
      <xdr:row>3830</xdr:row>
      <xdr:rowOff>28575</xdr:rowOff>
    </xdr:from>
    <xdr:to>
      <xdr:col>3</xdr:col>
      <xdr:colOff>1552575</xdr:colOff>
      <xdr:row>3836</xdr:row>
      <xdr:rowOff>171450</xdr:rowOff>
    </xdr:to>
    <xdr:pic>
      <xdr:nvPicPr>
        <xdr:cNvPr id="1401" name="Имя " descr="Descr ">
          <a:extLst>
            <a:ext uri="{FF2B5EF4-FFF2-40B4-BE49-F238E27FC236}">
              <a16:creationId xmlns:a16="http://schemas.microsoft.com/office/drawing/2014/main" id="{00000000-0008-0000-0000-000079050000}"/>
            </a:ext>
          </a:extLst>
        </xdr:cNvPr>
        <xdr:cNvPicPr>
          <a:picLocks noChangeAspect="1"/>
        </xdr:cNvPicPr>
      </xdr:nvPicPr>
      <xdr:blipFill>
        <a:blip xmlns:r="http://schemas.openxmlformats.org/officeDocument/2006/relationships" r:embed="rId1378"/>
        <a:stretch>
          <a:fillRect/>
        </a:stretch>
      </xdr:blipFill>
      <xdr:spPr>
        <a:prstGeom prst="rect">
          <a:avLst/>
        </a:prstGeom>
        <a:ln w="9525">
          <a:solidFill>
            <a:srgbClr val="000000"/>
          </a:solidFill>
          <a:prstDash val="solid"/>
        </a:ln>
      </xdr:spPr>
    </xdr:pic>
    <xdr:clientData/>
  </xdr:twoCellAnchor>
  <xdr:twoCellAnchor>
    <xdr:from>
      <xdr:col>3</xdr:col>
      <xdr:colOff>114300</xdr:colOff>
      <xdr:row>3837</xdr:row>
      <xdr:rowOff>28575</xdr:rowOff>
    </xdr:from>
    <xdr:to>
      <xdr:col>3</xdr:col>
      <xdr:colOff>1552575</xdr:colOff>
      <xdr:row>3842</xdr:row>
      <xdr:rowOff>209550</xdr:rowOff>
    </xdr:to>
    <xdr:pic>
      <xdr:nvPicPr>
        <xdr:cNvPr id="1402" name="Имя " descr="Descr ">
          <a:extLst>
            <a:ext uri="{FF2B5EF4-FFF2-40B4-BE49-F238E27FC236}">
              <a16:creationId xmlns:a16="http://schemas.microsoft.com/office/drawing/2014/main" id="{00000000-0008-0000-0000-00007A050000}"/>
            </a:ext>
          </a:extLst>
        </xdr:cNvPr>
        <xdr:cNvPicPr>
          <a:picLocks noChangeAspect="1"/>
        </xdr:cNvPicPr>
      </xdr:nvPicPr>
      <xdr:blipFill>
        <a:blip xmlns:r="http://schemas.openxmlformats.org/officeDocument/2006/relationships" r:embed="rId1379"/>
        <a:stretch>
          <a:fillRect/>
        </a:stretch>
      </xdr:blipFill>
      <xdr:spPr>
        <a:prstGeom prst="rect">
          <a:avLst/>
        </a:prstGeom>
        <a:ln w="9525">
          <a:solidFill>
            <a:srgbClr val="000000"/>
          </a:solidFill>
          <a:prstDash val="solid"/>
        </a:ln>
      </xdr:spPr>
    </xdr:pic>
    <xdr:clientData/>
  </xdr:twoCellAnchor>
  <xdr:twoCellAnchor>
    <xdr:from>
      <xdr:col>3</xdr:col>
      <xdr:colOff>114300</xdr:colOff>
      <xdr:row>3843</xdr:row>
      <xdr:rowOff>28575</xdr:rowOff>
    </xdr:from>
    <xdr:to>
      <xdr:col>3</xdr:col>
      <xdr:colOff>1552575</xdr:colOff>
      <xdr:row>3843</xdr:row>
      <xdr:rowOff>1266825</xdr:rowOff>
    </xdr:to>
    <xdr:pic>
      <xdr:nvPicPr>
        <xdr:cNvPr id="1403" name="Имя " descr="Descr ">
          <a:extLst>
            <a:ext uri="{FF2B5EF4-FFF2-40B4-BE49-F238E27FC236}">
              <a16:creationId xmlns:a16="http://schemas.microsoft.com/office/drawing/2014/main" id="{00000000-0008-0000-0000-00007B050000}"/>
            </a:ext>
          </a:extLst>
        </xdr:cNvPr>
        <xdr:cNvPicPr>
          <a:picLocks noChangeAspect="1"/>
        </xdr:cNvPicPr>
      </xdr:nvPicPr>
      <xdr:blipFill>
        <a:blip xmlns:r="http://schemas.openxmlformats.org/officeDocument/2006/relationships" r:embed="rId1380"/>
        <a:stretch>
          <a:fillRect/>
        </a:stretch>
      </xdr:blipFill>
      <xdr:spPr>
        <a:prstGeom prst="rect">
          <a:avLst/>
        </a:prstGeom>
        <a:ln w="9525">
          <a:solidFill>
            <a:srgbClr val="000000"/>
          </a:solidFill>
          <a:prstDash val="solid"/>
        </a:ln>
      </xdr:spPr>
    </xdr:pic>
    <xdr:clientData/>
  </xdr:twoCellAnchor>
  <xdr:twoCellAnchor>
    <xdr:from>
      <xdr:col>3</xdr:col>
      <xdr:colOff>114300</xdr:colOff>
      <xdr:row>3844</xdr:row>
      <xdr:rowOff>28575</xdr:rowOff>
    </xdr:from>
    <xdr:to>
      <xdr:col>3</xdr:col>
      <xdr:colOff>1552575</xdr:colOff>
      <xdr:row>3844</xdr:row>
      <xdr:rowOff>1266825</xdr:rowOff>
    </xdr:to>
    <xdr:pic>
      <xdr:nvPicPr>
        <xdr:cNvPr id="1404" name="Имя " descr="Descr ">
          <a:extLst>
            <a:ext uri="{FF2B5EF4-FFF2-40B4-BE49-F238E27FC236}">
              <a16:creationId xmlns:a16="http://schemas.microsoft.com/office/drawing/2014/main" id="{00000000-0008-0000-0000-00007C050000}"/>
            </a:ext>
          </a:extLst>
        </xdr:cNvPr>
        <xdr:cNvPicPr>
          <a:picLocks noChangeAspect="1"/>
        </xdr:cNvPicPr>
      </xdr:nvPicPr>
      <xdr:blipFill>
        <a:blip xmlns:r="http://schemas.openxmlformats.org/officeDocument/2006/relationships" r:embed="rId1381"/>
        <a:stretch>
          <a:fillRect/>
        </a:stretch>
      </xdr:blipFill>
      <xdr:spPr>
        <a:prstGeom prst="rect">
          <a:avLst/>
        </a:prstGeom>
        <a:ln w="9525">
          <a:solidFill>
            <a:srgbClr val="000000"/>
          </a:solidFill>
          <a:prstDash val="solid"/>
        </a:ln>
      </xdr:spPr>
    </xdr:pic>
    <xdr:clientData/>
  </xdr:twoCellAnchor>
  <xdr:twoCellAnchor>
    <xdr:from>
      <xdr:col>3</xdr:col>
      <xdr:colOff>114300</xdr:colOff>
      <xdr:row>3845</xdr:row>
      <xdr:rowOff>28575</xdr:rowOff>
    </xdr:from>
    <xdr:to>
      <xdr:col>3</xdr:col>
      <xdr:colOff>1552575</xdr:colOff>
      <xdr:row>3849</xdr:row>
      <xdr:rowOff>333375</xdr:rowOff>
    </xdr:to>
    <xdr:pic>
      <xdr:nvPicPr>
        <xdr:cNvPr id="1405" name="Имя " descr="Descr ">
          <a:extLst>
            <a:ext uri="{FF2B5EF4-FFF2-40B4-BE49-F238E27FC236}">
              <a16:creationId xmlns:a16="http://schemas.microsoft.com/office/drawing/2014/main" id="{00000000-0008-0000-0000-00007D050000}"/>
            </a:ext>
          </a:extLst>
        </xdr:cNvPr>
        <xdr:cNvPicPr>
          <a:picLocks noChangeAspect="1"/>
        </xdr:cNvPicPr>
      </xdr:nvPicPr>
      <xdr:blipFill>
        <a:blip xmlns:r="http://schemas.openxmlformats.org/officeDocument/2006/relationships" r:embed="rId1382"/>
        <a:stretch>
          <a:fillRect/>
        </a:stretch>
      </xdr:blipFill>
      <xdr:spPr>
        <a:prstGeom prst="rect">
          <a:avLst/>
        </a:prstGeom>
        <a:ln w="9525">
          <a:solidFill>
            <a:srgbClr val="000000"/>
          </a:solidFill>
          <a:prstDash val="solid"/>
        </a:ln>
      </xdr:spPr>
    </xdr:pic>
    <xdr:clientData/>
  </xdr:twoCellAnchor>
  <xdr:twoCellAnchor>
    <xdr:from>
      <xdr:col>3</xdr:col>
      <xdr:colOff>114300</xdr:colOff>
      <xdr:row>3850</xdr:row>
      <xdr:rowOff>28575</xdr:rowOff>
    </xdr:from>
    <xdr:to>
      <xdr:col>3</xdr:col>
      <xdr:colOff>1552575</xdr:colOff>
      <xdr:row>3853</xdr:row>
      <xdr:rowOff>209550</xdr:rowOff>
    </xdr:to>
    <xdr:pic>
      <xdr:nvPicPr>
        <xdr:cNvPr id="1406" name="Имя " descr="Descr ">
          <a:extLst>
            <a:ext uri="{FF2B5EF4-FFF2-40B4-BE49-F238E27FC236}">
              <a16:creationId xmlns:a16="http://schemas.microsoft.com/office/drawing/2014/main" id="{00000000-0008-0000-0000-00007E050000}"/>
            </a:ext>
          </a:extLst>
        </xdr:cNvPr>
        <xdr:cNvPicPr>
          <a:picLocks noChangeAspect="1"/>
        </xdr:cNvPicPr>
      </xdr:nvPicPr>
      <xdr:blipFill>
        <a:blip xmlns:r="http://schemas.openxmlformats.org/officeDocument/2006/relationships" r:embed="rId1383"/>
        <a:stretch>
          <a:fillRect/>
        </a:stretch>
      </xdr:blipFill>
      <xdr:spPr>
        <a:prstGeom prst="rect">
          <a:avLst/>
        </a:prstGeom>
        <a:ln w="9525">
          <a:solidFill>
            <a:srgbClr val="000000"/>
          </a:solidFill>
          <a:prstDash val="solid"/>
        </a:ln>
      </xdr:spPr>
    </xdr:pic>
    <xdr:clientData/>
  </xdr:twoCellAnchor>
  <xdr:twoCellAnchor>
    <xdr:from>
      <xdr:col>3</xdr:col>
      <xdr:colOff>114300</xdr:colOff>
      <xdr:row>3854</xdr:row>
      <xdr:rowOff>28575</xdr:rowOff>
    </xdr:from>
    <xdr:to>
      <xdr:col>3</xdr:col>
      <xdr:colOff>1552575</xdr:colOff>
      <xdr:row>3856</xdr:row>
      <xdr:rowOff>419100</xdr:rowOff>
    </xdr:to>
    <xdr:pic>
      <xdr:nvPicPr>
        <xdr:cNvPr id="1407" name="Имя " descr="Descr ">
          <a:extLst>
            <a:ext uri="{FF2B5EF4-FFF2-40B4-BE49-F238E27FC236}">
              <a16:creationId xmlns:a16="http://schemas.microsoft.com/office/drawing/2014/main" id="{00000000-0008-0000-0000-00007F050000}"/>
            </a:ext>
          </a:extLst>
        </xdr:cNvPr>
        <xdr:cNvPicPr>
          <a:picLocks noChangeAspect="1"/>
        </xdr:cNvPicPr>
      </xdr:nvPicPr>
      <xdr:blipFill>
        <a:blip xmlns:r="http://schemas.openxmlformats.org/officeDocument/2006/relationships" r:embed="rId1384"/>
        <a:stretch>
          <a:fillRect/>
        </a:stretch>
      </xdr:blipFill>
      <xdr:spPr>
        <a:prstGeom prst="rect">
          <a:avLst/>
        </a:prstGeom>
        <a:ln w="9525">
          <a:solidFill>
            <a:srgbClr val="000000"/>
          </a:solidFill>
          <a:prstDash val="solid"/>
        </a:ln>
      </xdr:spPr>
    </xdr:pic>
    <xdr:clientData/>
  </xdr:twoCellAnchor>
  <xdr:twoCellAnchor>
    <xdr:from>
      <xdr:col>3</xdr:col>
      <xdr:colOff>114300</xdr:colOff>
      <xdr:row>3857</xdr:row>
      <xdr:rowOff>28575</xdr:rowOff>
    </xdr:from>
    <xdr:to>
      <xdr:col>3</xdr:col>
      <xdr:colOff>1552575</xdr:colOff>
      <xdr:row>3859</xdr:row>
      <xdr:rowOff>419100</xdr:rowOff>
    </xdr:to>
    <xdr:pic>
      <xdr:nvPicPr>
        <xdr:cNvPr id="1408" name="Имя " descr="Descr ">
          <a:extLst>
            <a:ext uri="{FF2B5EF4-FFF2-40B4-BE49-F238E27FC236}">
              <a16:creationId xmlns:a16="http://schemas.microsoft.com/office/drawing/2014/main" id="{00000000-0008-0000-0000-000080050000}"/>
            </a:ext>
          </a:extLst>
        </xdr:cNvPr>
        <xdr:cNvPicPr>
          <a:picLocks noChangeAspect="1"/>
        </xdr:cNvPicPr>
      </xdr:nvPicPr>
      <xdr:blipFill>
        <a:blip xmlns:r="http://schemas.openxmlformats.org/officeDocument/2006/relationships" r:embed="rId1385"/>
        <a:stretch>
          <a:fillRect/>
        </a:stretch>
      </xdr:blipFill>
      <xdr:spPr>
        <a:prstGeom prst="rect">
          <a:avLst/>
        </a:prstGeom>
        <a:ln w="9525">
          <a:solidFill>
            <a:srgbClr val="000000"/>
          </a:solidFill>
          <a:prstDash val="solid"/>
        </a:ln>
      </xdr:spPr>
    </xdr:pic>
    <xdr:clientData/>
  </xdr:twoCellAnchor>
  <xdr:twoCellAnchor>
    <xdr:from>
      <xdr:col>3</xdr:col>
      <xdr:colOff>114300</xdr:colOff>
      <xdr:row>3860</xdr:row>
      <xdr:rowOff>28575</xdr:rowOff>
    </xdr:from>
    <xdr:to>
      <xdr:col>3</xdr:col>
      <xdr:colOff>1552575</xdr:colOff>
      <xdr:row>3862</xdr:row>
      <xdr:rowOff>419100</xdr:rowOff>
    </xdr:to>
    <xdr:pic>
      <xdr:nvPicPr>
        <xdr:cNvPr id="1409" name="Имя " descr="Descr ">
          <a:extLst>
            <a:ext uri="{FF2B5EF4-FFF2-40B4-BE49-F238E27FC236}">
              <a16:creationId xmlns:a16="http://schemas.microsoft.com/office/drawing/2014/main" id="{00000000-0008-0000-0000-000081050000}"/>
            </a:ext>
          </a:extLst>
        </xdr:cNvPr>
        <xdr:cNvPicPr>
          <a:picLocks noChangeAspect="1"/>
        </xdr:cNvPicPr>
      </xdr:nvPicPr>
      <xdr:blipFill>
        <a:blip xmlns:r="http://schemas.openxmlformats.org/officeDocument/2006/relationships" r:embed="rId1386"/>
        <a:stretch>
          <a:fillRect/>
        </a:stretch>
      </xdr:blipFill>
      <xdr:spPr>
        <a:prstGeom prst="rect">
          <a:avLst/>
        </a:prstGeom>
        <a:ln w="9525">
          <a:solidFill>
            <a:srgbClr val="000000"/>
          </a:solidFill>
          <a:prstDash val="solid"/>
        </a:ln>
      </xdr:spPr>
    </xdr:pic>
    <xdr:clientData/>
  </xdr:twoCellAnchor>
  <xdr:twoCellAnchor>
    <xdr:from>
      <xdr:col>3</xdr:col>
      <xdr:colOff>114300</xdr:colOff>
      <xdr:row>3863</xdr:row>
      <xdr:rowOff>28575</xdr:rowOff>
    </xdr:from>
    <xdr:to>
      <xdr:col>3</xdr:col>
      <xdr:colOff>1552575</xdr:colOff>
      <xdr:row>3863</xdr:row>
      <xdr:rowOff>1266825</xdr:rowOff>
    </xdr:to>
    <xdr:pic>
      <xdr:nvPicPr>
        <xdr:cNvPr id="1410" name="Имя " descr="Descr ">
          <a:extLst>
            <a:ext uri="{FF2B5EF4-FFF2-40B4-BE49-F238E27FC236}">
              <a16:creationId xmlns:a16="http://schemas.microsoft.com/office/drawing/2014/main" id="{00000000-0008-0000-0000-000082050000}"/>
            </a:ext>
          </a:extLst>
        </xdr:cNvPr>
        <xdr:cNvPicPr>
          <a:picLocks noChangeAspect="1"/>
        </xdr:cNvPicPr>
      </xdr:nvPicPr>
      <xdr:blipFill>
        <a:blip xmlns:r="http://schemas.openxmlformats.org/officeDocument/2006/relationships" r:embed="rId1387"/>
        <a:stretch>
          <a:fillRect/>
        </a:stretch>
      </xdr:blipFill>
      <xdr:spPr>
        <a:prstGeom prst="rect">
          <a:avLst/>
        </a:prstGeom>
        <a:ln w="9525">
          <a:solidFill>
            <a:srgbClr val="000000"/>
          </a:solidFill>
          <a:prstDash val="solid"/>
        </a:ln>
      </xdr:spPr>
    </xdr:pic>
    <xdr:clientData/>
  </xdr:twoCellAnchor>
  <xdr:twoCellAnchor>
    <xdr:from>
      <xdr:col>3</xdr:col>
      <xdr:colOff>114300</xdr:colOff>
      <xdr:row>3864</xdr:row>
      <xdr:rowOff>28575</xdr:rowOff>
    </xdr:from>
    <xdr:to>
      <xdr:col>3</xdr:col>
      <xdr:colOff>1552575</xdr:colOff>
      <xdr:row>3869</xdr:row>
      <xdr:rowOff>209550</xdr:rowOff>
    </xdr:to>
    <xdr:pic>
      <xdr:nvPicPr>
        <xdr:cNvPr id="1411" name="Имя " descr="Descr ">
          <a:extLst>
            <a:ext uri="{FF2B5EF4-FFF2-40B4-BE49-F238E27FC236}">
              <a16:creationId xmlns:a16="http://schemas.microsoft.com/office/drawing/2014/main" id="{00000000-0008-0000-0000-000083050000}"/>
            </a:ext>
          </a:extLst>
        </xdr:cNvPr>
        <xdr:cNvPicPr>
          <a:picLocks noChangeAspect="1"/>
        </xdr:cNvPicPr>
      </xdr:nvPicPr>
      <xdr:blipFill>
        <a:blip xmlns:r="http://schemas.openxmlformats.org/officeDocument/2006/relationships" r:embed="rId1388"/>
        <a:stretch>
          <a:fillRect/>
        </a:stretch>
      </xdr:blipFill>
      <xdr:spPr>
        <a:prstGeom prst="rect">
          <a:avLst/>
        </a:prstGeom>
        <a:ln w="9525">
          <a:solidFill>
            <a:srgbClr val="000000"/>
          </a:solidFill>
          <a:prstDash val="solid"/>
        </a:ln>
      </xdr:spPr>
    </xdr:pic>
    <xdr:clientData/>
  </xdr:twoCellAnchor>
  <xdr:twoCellAnchor>
    <xdr:from>
      <xdr:col>3</xdr:col>
      <xdr:colOff>114300</xdr:colOff>
      <xdr:row>3870</xdr:row>
      <xdr:rowOff>28575</xdr:rowOff>
    </xdr:from>
    <xdr:to>
      <xdr:col>3</xdr:col>
      <xdr:colOff>1552575</xdr:colOff>
      <xdr:row>3875</xdr:row>
      <xdr:rowOff>209550</xdr:rowOff>
    </xdr:to>
    <xdr:pic>
      <xdr:nvPicPr>
        <xdr:cNvPr id="1412" name="Имя " descr="Descr ">
          <a:extLst>
            <a:ext uri="{FF2B5EF4-FFF2-40B4-BE49-F238E27FC236}">
              <a16:creationId xmlns:a16="http://schemas.microsoft.com/office/drawing/2014/main" id="{00000000-0008-0000-0000-000084050000}"/>
            </a:ext>
          </a:extLst>
        </xdr:cNvPr>
        <xdr:cNvPicPr>
          <a:picLocks noChangeAspect="1"/>
        </xdr:cNvPicPr>
      </xdr:nvPicPr>
      <xdr:blipFill>
        <a:blip xmlns:r="http://schemas.openxmlformats.org/officeDocument/2006/relationships" r:embed="rId1389"/>
        <a:stretch>
          <a:fillRect/>
        </a:stretch>
      </xdr:blipFill>
      <xdr:spPr>
        <a:prstGeom prst="rect">
          <a:avLst/>
        </a:prstGeom>
        <a:ln w="9525">
          <a:solidFill>
            <a:srgbClr val="000000"/>
          </a:solidFill>
          <a:prstDash val="solid"/>
        </a:ln>
      </xdr:spPr>
    </xdr:pic>
    <xdr:clientData/>
  </xdr:twoCellAnchor>
  <xdr:twoCellAnchor>
    <xdr:from>
      <xdr:col>3</xdr:col>
      <xdr:colOff>114300</xdr:colOff>
      <xdr:row>3876</xdr:row>
      <xdr:rowOff>28575</xdr:rowOff>
    </xdr:from>
    <xdr:to>
      <xdr:col>3</xdr:col>
      <xdr:colOff>1552575</xdr:colOff>
      <xdr:row>3878</xdr:row>
      <xdr:rowOff>419100</xdr:rowOff>
    </xdr:to>
    <xdr:pic>
      <xdr:nvPicPr>
        <xdr:cNvPr id="1413" name="Имя " descr="Descr ">
          <a:extLst>
            <a:ext uri="{FF2B5EF4-FFF2-40B4-BE49-F238E27FC236}">
              <a16:creationId xmlns:a16="http://schemas.microsoft.com/office/drawing/2014/main" id="{00000000-0008-0000-0000-000085050000}"/>
            </a:ext>
          </a:extLst>
        </xdr:cNvPr>
        <xdr:cNvPicPr>
          <a:picLocks noChangeAspect="1"/>
        </xdr:cNvPicPr>
      </xdr:nvPicPr>
      <xdr:blipFill>
        <a:blip xmlns:r="http://schemas.openxmlformats.org/officeDocument/2006/relationships" r:embed="rId1390"/>
        <a:stretch>
          <a:fillRect/>
        </a:stretch>
      </xdr:blipFill>
      <xdr:spPr>
        <a:prstGeom prst="rect">
          <a:avLst/>
        </a:prstGeom>
        <a:ln w="9525">
          <a:solidFill>
            <a:srgbClr val="000000"/>
          </a:solidFill>
          <a:prstDash val="solid"/>
        </a:ln>
      </xdr:spPr>
    </xdr:pic>
    <xdr:clientData/>
  </xdr:twoCellAnchor>
  <xdr:twoCellAnchor>
    <xdr:from>
      <xdr:col>3</xdr:col>
      <xdr:colOff>114300</xdr:colOff>
      <xdr:row>3879</xdr:row>
      <xdr:rowOff>28575</xdr:rowOff>
    </xdr:from>
    <xdr:to>
      <xdr:col>3</xdr:col>
      <xdr:colOff>1552575</xdr:colOff>
      <xdr:row>3881</xdr:row>
      <xdr:rowOff>419100</xdr:rowOff>
    </xdr:to>
    <xdr:pic>
      <xdr:nvPicPr>
        <xdr:cNvPr id="1414" name="Имя " descr="Descr ">
          <a:extLst>
            <a:ext uri="{FF2B5EF4-FFF2-40B4-BE49-F238E27FC236}">
              <a16:creationId xmlns:a16="http://schemas.microsoft.com/office/drawing/2014/main" id="{00000000-0008-0000-0000-000086050000}"/>
            </a:ext>
          </a:extLst>
        </xdr:cNvPr>
        <xdr:cNvPicPr>
          <a:picLocks noChangeAspect="1"/>
        </xdr:cNvPicPr>
      </xdr:nvPicPr>
      <xdr:blipFill>
        <a:blip xmlns:r="http://schemas.openxmlformats.org/officeDocument/2006/relationships" r:embed="rId1391"/>
        <a:stretch>
          <a:fillRect/>
        </a:stretch>
      </xdr:blipFill>
      <xdr:spPr>
        <a:prstGeom prst="rect">
          <a:avLst/>
        </a:prstGeom>
        <a:ln w="9525">
          <a:solidFill>
            <a:srgbClr val="000000"/>
          </a:solidFill>
          <a:prstDash val="solid"/>
        </a:ln>
      </xdr:spPr>
    </xdr:pic>
    <xdr:clientData/>
  </xdr:twoCellAnchor>
  <xdr:twoCellAnchor>
    <xdr:from>
      <xdr:col>3</xdr:col>
      <xdr:colOff>114300</xdr:colOff>
      <xdr:row>3882</xdr:row>
      <xdr:rowOff>28575</xdr:rowOff>
    </xdr:from>
    <xdr:to>
      <xdr:col>3</xdr:col>
      <xdr:colOff>1552575</xdr:colOff>
      <xdr:row>3886</xdr:row>
      <xdr:rowOff>333375</xdr:rowOff>
    </xdr:to>
    <xdr:pic>
      <xdr:nvPicPr>
        <xdr:cNvPr id="1415" name="Имя " descr="Descr ">
          <a:extLst>
            <a:ext uri="{FF2B5EF4-FFF2-40B4-BE49-F238E27FC236}">
              <a16:creationId xmlns:a16="http://schemas.microsoft.com/office/drawing/2014/main" id="{00000000-0008-0000-0000-000087050000}"/>
            </a:ext>
          </a:extLst>
        </xdr:cNvPr>
        <xdr:cNvPicPr>
          <a:picLocks noChangeAspect="1"/>
        </xdr:cNvPicPr>
      </xdr:nvPicPr>
      <xdr:blipFill>
        <a:blip xmlns:r="http://schemas.openxmlformats.org/officeDocument/2006/relationships" r:embed="rId1392"/>
        <a:stretch>
          <a:fillRect/>
        </a:stretch>
      </xdr:blipFill>
      <xdr:spPr>
        <a:prstGeom prst="rect">
          <a:avLst/>
        </a:prstGeom>
        <a:ln w="9525">
          <a:solidFill>
            <a:srgbClr val="000000"/>
          </a:solidFill>
          <a:prstDash val="solid"/>
        </a:ln>
      </xdr:spPr>
    </xdr:pic>
    <xdr:clientData/>
  </xdr:twoCellAnchor>
  <xdr:twoCellAnchor>
    <xdr:from>
      <xdr:col>3</xdr:col>
      <xdr:colOff>114300</xdr:colOff>
      <xdr:row>3887</xdr:row>
      <xdr:rowOff>28575</xdr:rowOff>
    </xdr:from>
    <xdr:to>
      <xdr:col>3</xdr:col>
      <xdr:colOff>1552575</xdr:colOff>
      <xdr:row>3890</xdr:row>
      <xdr:rowOff>209550</xdr:rowOff>
    </xdr:to>
    <xdr:pic>
      <xdr:nvPicPr>
        <xdr:cNvPr id="1416" name="Имя " descr="Descr ">
          <a:extLst>
            <a:ext uri="{FF2B5EF4-FFF2-40B4-BE49-F238E27FC236}">
              <a16:creationId xmlns:a16="http://schemas.microsoft.com/office/drawing/2014/main" id="{00000000-0008-0000-0000-000088050000}"/>
            </a:ext>
          </a:extLst>
        </xdr:cNvPr>
        <xdr:cNvPicPr>
          <a:picLocks noChangeAspect="1"/>
        </xdr:cNvPicPr>
      </xdr:nvPicPr>
      <xdr:blipFill>
        <a:blip xmlns:r="http://schemas.openxmlformats.org/officeDocument/2006/relationships" r:embed="rId1393"/>
        <a:stretch>
          <a:fillRect/>
        </a:stretch>
      </xdr:blipFill>
      <xdr:spPr>
        <a:prstGeom prst="rect">
          <a:avLst/>
        </a:prstGeom>
        <a:ln w="9525">
          <a:solidFill>
            <a:srgbClr val="000000"/>
          </a:solidFill>
          <a:prstDash val="solid"/>
        </a:ln>
      </xdr:spPr>
    </xdr:pic>
    <xdr:clientData/>
  </xdr:twoCellAnchor>
  <xdr:twoCellAnchor>
    <xdr:from>
      <xdr:col>3</xdr:col>
      <xdr:colOff>114300</xdr:colOff>
      <xdr:row>3891</xdr:row>
      <xdr:rowOff>38100</xdr:rowOff>
    </xdr:from>
    <xdr:to>
      <xdr:col>3</xdr:col>
      <xdr:colOff>1552575</xdr:colOff>
      <xdr:row>3892</xdr:row>
      <xdr:rowOff>638175</xdr:rowOff>
    </xdr:to>
    <xdr:pic>
      <xdr:nvPicPr>
        <xdr:cNvPr id="1417" name="Имя " descr="Descr ">
          <a:extLst>
            <a:ext uri="{FF2B5EF4-FFF2-40B4-BE49-F238E27FC236}">
              <a16:creationId xmlns:a16="http://schemas.microsoft.com/office/drawing/2014/main" id="{00000000-0008-0000-0000-000089050000}"/>
            </a:ext>
          </a:extLst>
        </xdr:cNvPr>
        <xdr:cNvPicPr>
          <a:picLocks noChangeAspect="1"/>
        </xdr:cNvPicPr>
      </xdr:nvPicPr>
      <xdr:blipFill>
        <a:blip xmlns:r="http://schemas.openxmlformats.org/officeDocument/2006/relationships" r:embed="rId1394"/>
        <a:stretch>
          <a:fillRect/>
        </a:stretch>
      </xdr:blipFill>
      <xdr:spPr>
        <a:prstGeom prst="rect">
          <a:avLst/>
        </a:prstGeom>
        <a:ln w="9525">
          <a:solidFill>
            <a:srgbClr val="000000"/>
          </a:solidFill>
          <a:prstDash val="solid"/>
        </a:ln>
      </xdr:spPr>
    </xdr:pic>
    <xdr:clientData/>
  </xdr:twoCellAnchor>
  <xdr:twoCellAnchor>
    <xdr:from>
      <xdr:col>3</xdr:col>
      <xdr:colOff>114300</xdr:colOff>
      <xdr:row>3893</xdr:row>
      <xdr:rowOff>28575</xdr:rowOff>
    </xdr:from>
    <xdr:to>
      <xdr:col>3</xdr:col>
      <xdr:colOff>1552575</xdr:colOff>
      <xdr:row>3893</xdr:row>
      <xdr:rowOff>1266825</xdr:rowOff>
    </xdr:to>
    <xdr:pic>
      <xdr:nvPicPr>
        <xdr:cNvPr id="1418" name="Имя " descr="Descr ">
          <a:extLst>
            <a:ext uri="{FF2B5EF4-FFF2-40B4-BE49-F238E27FC236}">
              <a16:creationId xmlns:a16="http://schemas.microsoft.com/office/drawing/2014/main" id="{00000000-0008-0000-0000-00008A050000}"/>
            </a:ext>
          </a:extLst>
        </xdr:cNvPr>
        <xdr:cNvPicPr>
          <a:picLocks noChangeAspect="1"/>
        </xdr:cNvPicPr>
      </xdr:nvPicPr>
      <xdr:blipFill>
        <a:blip xmlns:r="http://schemas.openxmlformats.org/officeDocument/2006/relationships" r:embed="rId1395"/>
        <a:stretch>
          <a:fillRect/>
        </a:stretch>
      </xdr:blipFill>
      <xdr:spPr>
        <a:prstGeom prst="rect">
          <a:avLst/>
        </a:prstGeom>
        <a:ln w="9525">
          <a:solidFill>
            <a:srgbClr val="000000"/>
          </a:solidFill>
          <a:prstDash val="solid"/>
        </a:ln>
      </xdr:spPr>
    </xdr:pic>
    <xdr:clientData/>
  </xdr:twoCellAnchor>
  <xdr:twoCellAnchor>
    <xdr:from>
      <xdr:col>3</xdr:col>
      <xdr:colOff>114300</xdr:colOff>
      <xdr:row>3894</xdr:row>
      <xdr:rowOff>28575</xdr:rowOff>
    </xdr:from>
    <xdr:to>
      <xdr:col>3</xdr:col>
      <xdr:colOff>1552575</xdr:colOff>
      <xdr:row>3897</xdr:row>
      <xdr:rowOff>209550</xdr:rowOff>
    </xdr:to>
    <xdr:pic>
      <xdr:nvPicPr>
        <xdr:cNvPr id="1419" name="Имя " descr="Descr ">
          <a:extLst>
            <a:ext uri="{FF2B5EF4-FFF2-40B4-BE49-F238E27FC236}">
              <a16:creationId xmlns:a16="http://schemas.microsoft.com/office/drawing/2014/main" id="{00000000-0008-0000-0000-00008B050000}"/>
            </a:ext>
          </a:extLst>
        </xdr:cNvPr>
        <xdr:cNvPicPr>
          <a:picLocks noChangeAspect="1"/>
        </xdr:cNvPicPr>
      </xdr:nvPicPr>
      <xdr:blipFill>
        <a:blip xmlns:r="http://schemas.openxmlformats.org/officeDocument/2006/relationships" r:embed="rId1396"/>
        <a:stretch>
          <a:fillRect/>
        </a:stretch>
      </xdr:blipFill>
      <xdr:spPr>
        <a:prstGeom prst="rect">
          <a:avLst/>
        </a:prstGeom>
        <a:ln w="9525">
          <a:solidFill>
            <a:srgbClr val="000000"/>
          </a:solidFill>
          <a:prstDash val="solid"/>
        </a:ln>
      </xdr:spPr>
    </xdr:pic>
    <xdr:clientData/>
  </xdr:twoCellAnchor>
  <xdr:twoCellAnchor>
    <xdr:from>
      <xdr:col>3</xdr:col>
      <xdr:colOff>114300</xdr:colOff>
      <xdr:row>3898</xdr:row>
      <xdr:rowOff>28575</xdr:rowOff>
    </xdr:from>
    <xdr:to>
      <xdr:col>3</xdr:col>
      <xdr:colOff>1552575</xdr:colOff>
      <xdr:row>3903</xdr:row>
      <xdr:rowOff>209550</xdr:rowOff>
    </xdr:to>
    <xdr:pic>
      <xdr:nvPicPr>
        <xdr:cNvPr id="1420" name="Имя " descr="Descr ">
          <a:extLst>
            <a:ext uri="{FF2B5EF4-FFF2-40B4-BE49-F238E27FC236}">
              <a16:creationId xmlns:a16="http://schemas.microsoft.com/office/drawing/2014/main" id="{00000000-0008-0000-0000-00008C050000}"/>
            </a:ext>
          </a:extLst>
        </xdr:cNvPr>
        <xdr:cNvPicPr>
          <a:picLocks noChangeAspect="1"/>
        </xdr:cNvPicPr>
      </xdr:nvPicPr>
      <xdr:blipFill>
        <a:blip xmlns:r="http://schemas.openxmlformats.org/officeDocument/2006/relationships" r:embed="rId1397"/>
        <a:stretch>
          <a:fillRect/>
        </a:stretch>
      </xdr:blipFill>
      <xdr:spPr>
        <a:prstGeom prst="rect">
          <a:avLst/>
        </a:prstGeom>
        <a:ln w="9525">
          <a:solidFill>
            <a:srgbClr val="000000"/>
          </a:solidFill>
          <a:prstDash val="solid"/>
        </a:ln>
      </xdr:spPr>
    </xdr:pic>
    <xdr:clientData/>
  </xdr:twoCellAnchor>
  <xdr:twoCellAnchor>
    <xdr:from>
      <xdr:col>3</xdr:col>
      <xdr:colOff>114300</xdr:colOff>
      <xdr:row>3904</xdr:row>
      <xdr:rowOff>28575</xdr:rowOff>
    </xdr:from>
    <xdr:to>
      <xdr:col>3</xdr:col>
      <xdr:colOff>1552575</xdr:colOff>
      <xdr:row>3909</xdr:row>
      <xdr:rowOff>209550</xdr:rowOff>
    </xdr:to>
    <xdr:pic>
      <xdr:nvPicPr>
        <xdr:cNvPr id="1421" name="Имя " descr="Descr ">
          <a:extLst>
            <a:ext uri="{FF2B5EF4-FFF2-40B4-BE49-F238E27FC236}">
              <a16:creationId xmlns:a16="http://schemas.microsoft.com/office/drawing/2014/main" id="{00000000-0008-0000-0000-00008D050000}"/>
            </a:ext>
          </a:extLst>
        </xdr:cNvPr>
        <xdr:cNvPicPr>
          <a:picLocks noChangeAspect="1"/>
        </xdr:cNvPicPr>
      </xdr:nvPicPr>
      <xdr:blipFill>
        <a:blip xmlns:r="http://schemas.openxmlformats.org/officeDocument/2006/relationships" r:embed="rId1398"/>
        <a:stretch>
          <a:fillRect/>
        </a:stretch>
      </xdr:blipFill>
      <xdr:spPr>
        <a:prstGeom prst="rect">
          <a:avLst/>
        </a:prstGeom>
        <a:ln w="9525">
          <a:solidFill>
            <a:srgbClr val="000000"/>
          </a:solidFill>
          <a:prstDash val="solid"/>
        </a:ln>
      </xdr:spPr>
    </xdr:pic>
    <xdr:clientData/>
  </xdr:twoCellAnchor>
  <xdr:twoCellAnchor>
    <xdr:from>
      <xdr:col>3</xdr:col>
      <xdr:colOff>114300</xdr:colOff>
      <xdr:row>3910</xdr:row>
      <xdr:rowOff>28575</xdr:rowOff>
    </xdr:from>
    <xdr:to>
      <xdr:col>3</xdr:col>
      <xdr:colOff>1552575</xdr:colOff>
      <xdr:row>3915</xdr:row>
      <xdr:rowOff>209550</xdr:rowOff>
    </xdr:to>
    <xdr:pic>
      <xdr:nvPicPr>
        <xdr:cNvPr id="1422" name="Имя " descr="Descr ">
          <a:extLst>
            <a:ext uri="{FF2B5EF4-FFF2-40B4-BE49-F238E27FC236}">
              <a16:creationId xmlns:a16="http://schemas.microsoft.com/office/drawing/2014/main" id="{00000000-0008-0000-0000-00008E050000}"/>
            </a:ext>
          </a:extLst>
        </xdr:cNvPr>
        <xdr:cNvPicPr>
          <a:picLocks noChangeAspect="1"/>
        </xdr:cNvPicPr>
      </xdr:nvPicPr>
      <xdr:blipFill>
        <a:blip xmlns:r="http://schemas.openxmlformats.org/officeDocument/2006/relationships" r:embed="rId1399"/>
        <a:stretch>
          <a:fillRect/>
        </a:stretch>
      </xdr:blipFill>
      <xdr:spPr>
        <a:prstGeom prst="rect">
          <a:avLst/>
        </a:prstGeom>
        <a:ln w="9525">
          <a:solidFill>
            <a:srgbClr val="000000"/>
          </a:solidFill>
          <a:prstDash val="solid"/>
        </a:ln>
      </xdr:spPr>
    </xdr:pic>
    <xdr:clientData/>
  </xdr:twoCellAnchor>
  <xdr:twoCellAnchor>
    <xdr:from>
      <xdr:col>3</xdr:col>
      <xdr:colOff>114300</xdr:colOff>
      <xdr:row>3916</xdr:row>
      <xdr:rowOff>28575</xdr:rowOff>
    </xdr:from>
    <xdr:to>
      <xdr:col>3</xdr:col>
      <xdr:colOff>1552575</xdr:colOff>
      <xdr:row>3921</xdr:row>
      <xdr:rowOff>209550</xdr:rowOff>
    </xdr:to>
    <xdr:pic>
      <xdr:nvPicPr>
        <xdr:cNvPr id="1423" name="Имя " descr="Descr ">
          <a:extLst>
            <a:ext uri="{FF2B5EF4-FFF2-40B4-BE49-F238E27FC236}">
              <a16:creationId xmlns:a16="http://schemas.microsoft.com/office/drawing/2014/main" id="{00000000-0008-0000-0000-00008F050000}"/>
            </a:ext>
          </a:extLst>
        </xdr:cNvPr>
        <xdr:cNvPicPr>
          <a:picLocks noChangeAspect="1"/>
        </xdr:cNvPicPr>
      </xdr:nvPicPr>
      <xdr:blipFill>
        <a:blip xmlns:r="http://schemas.openxmlformats.org/officeDocument/2006/relationships" r:embed="rId1400"/>
        <a:stretch>
          <a:fillRect/>
        </a:stretch>
      </xdr:blipFill>
      <xdr:spPr>
        <a:prstGeom prst="rect">
          <a:avLst/>
        </a:prstGeom>
        <a:ln w="9525">
          <a:solidFill>
            <a:srgbClr val="000000"/>
          </a:solidFill>
          <a:prstDash val="solid"/>
        </a:ln>
      </xdr:spPr>
    </xdr:pic>
    <xdr:clientData/>
  </xdr:twoCellAnchor>
  <xdr:twoCellAnchor>
    <xdr:from>
      <xdr:col>3</xdr:col>
      <xdr:colOff>114300</xdr:colOff>
      <xdr:row>3922</xdr:row>
      <xdr:rowOff>28575</xdr:rowOff>
    </xdr:from>
    <xdr:to>
      <xdr:col>3</xdr:col>
      <xdr:colOff>1552575</xdr:colOff>
      <xdr:row>3927</xdr:row>
      <xdr:rowOff>209550</xdr:rowOff>
    </xdr:to>
    <xdr:pic>
      <xdr:nvPicPr>
        <xdr:cNvPr id="1424" name="Имя " descr="Descr ">
          <a:extLst>
            <a:ext uri="{FF2B5EF4-FFF2-40B4-BE49-F238E27FC236}">
              <a16:creationId xmlns:a16="http://schemas.microsoft.com/office/drawing/2014/main" id="{00000000-0008-0000-0000-000090050000}"/>
            </a:ext>
          </a:extLst>
        </xdr:cNvPr>
        <xdr:cNvPicPr>
          <a:picLocks noChangeAspect="1"/>
        </xdr:cNvPicPr>
      </xdr:nvPicPr>
      <xdr:blipFill>
        <a:blip xmlns:r="http://schemas.openxmlformats.org/officeDocument/2006/relationships" r:embed="rId1401"/>
        <a:stretch>
          <a:fillRect/>
        </a:stretch>
      </xdr:blipFill>
      <xdr:spPr>
        <a:prstGeom prst="rect">
          <a:avLst/>
        </a:prstGeom>
        <a:ln w="9525">
          <a:solidFill>
            <a:srgbClr val="000000"/>
          </a:solidFill>
          <a:prstDash val="solid"/>
        </a:ln>
      </xdr:spPr>
    </xdr:pic>
    <xdr:clientData/>
  </xdr:twoCellAnchor>
  <xdr:twoCellAnchor>
    <xdr:from>
      <xdr:col>3</xdr:col>
      <xdr:colOff>114300</xdr:colOff>
      <xdr:row>3928</xdr:row>
      <xdr:rowOff>28575</xdr:rowOff>
    </xdr:from>
    <xdr:to>
      <xdr:col>3</xdr:col>
      <xdr:colOff>1552575</xdr:colOff>
      <xdr:row>3931</xdr:row>
      <xdr:rowOff>209550</xdr:rowOff>
    </xdr:to>
    <xdr:pic>
      <xdr:nvPicPr>
        <xdr:cNvPr id="1425" name="Имя " descr="Descr ">
          <a:extLst>
            <a:ext uri="{FF2B5EF4-FFF2-40B4-BE49-F238E27FC236}">
              <a16:creationId xmlns:a16="http://schemas.microsoft.com/office/drawing/2014/main" id="{00000000-0008-0000-0000-000091050000}"/>
            </a:ext>
          </a:extLst>
        </xdr:cNvPr>
        <xdr:cNvPicPr>
          <a:picLocks noChangeAspect="1"/>
        </xdr:cNvPicPr>
      </xdr:nvPicPr>
      <xdr:blipFill>
        <a:blip xmlns:r="http://schemas.openxmlformats.org/officeDocument/2006/relationships" r:embed="rId1402"/>
        <a:stretch>
          <a:fillRect/>
        </a:stretch>
      </xdr:blipFill>
      <xdr:spPr>
        <a:prstGeom prst="rect">
          <a:avLst/>
        </a:prstGeom>
        <a:ln w="9525">
          <a:solidFill>
            <a:srgbClr val="000000"/>
          </a:solidFill>
          <a:prstDash val="solid"/>
        </a:ln>
      </xdr:spPr>
    </xdr:pic>
    <xdr:clientData/>
  </xdr:twoCellAnchor>
  <xdr:twoCellAnchor>
    <xdr:from>
      <xdr:col>3</xdr:col>
      <xdr:colOff>114300</xdr:colOff>
      <xdr:row>3932</xdr:row>
      <xdr:rowOff>28575</xdr:rowOff>
    </xdr:from>
    <xdr:to>
      <xdr:col>3</xdr:col>
      <xdr:colOff>1552575</xdr:colOff>
      <xdr:row>3937</xdr:row>
      <xdr:rowOff>209550</xdr:rowOff>
    </xdr:to>
    <xdr:pic>
      <xdr:nvPicPr>
        <xdr:cNvPr id="1426" name="Имя " descr="Descr ">
          <a:extLst>
            <a:ext uri="{FF2B5EF4-FFF2-40B4-BE49-F238E27FC236}">
              <a16:creationId xmlns:a16="http://schemas.microsoft.com/office/drawing/2014/main" id="{00000000-0008-0000-0000-000092050000}"/>
            </a:ext>
          </a:extLst>
        </xdr:cNvPr>
        <xdr:cNvPicPr>
          <a:picLocks noChangeAspect="1"/>
        </xdr:cNvPicPr>
      </xdr:nvPicPr>
      <xdr:blipFill>
        <a:blip xmlns:r="http://schemas.openxmlformats.org/officeDocument/2006/relationships" r:embed="rId1403"/>
        <a:stretch>
          <a:fillRect/>
        </a:stretch>
      </xdr:blipFill>
      <xdr:spPr>
        <a:prstGeom prst="rect">
          <a:avLst/>
        </a:prstGeom>
        <a:ln w="9525">
          <a:solidFill>
            <a:srgbClr val="000000"/>
          </a:solidFill>
          <a:prstDash val="solid"/>
        </a:ln>
      </xdr:spPr>
    </xdr:pic>
    <xdr:clientData/>
  </xdr:twoCellAnchor>
  <xdr:twoCellAnchor>
    <xdr:from>
      <xdr:col>3</xdr:col>
      <xdr:colOff>114300</xdr:colOff>
      <xdr:row>3938</xdr:row>
      <xdr:rowOff>28575</xdr:rowOff>
    </xdr:from>
    <xdr:to>
      <xdr:col>3</xdr:col>
      <xdr:colOff>1552575</xdr:colOff>
      <xdr:row>3943</xdr:row>
      <xdr:rowOff>209550</xdr:rowOff>
    </xdr:to>
    <xdr:pic>
      <xdr:nvPicPr>
        <xdr:cNvPr id="1427" name="Имя " descr="Descr ">
          <a:extLst>
            <a:ext uri="{FF2B5EF4-FFF2-40B4-BE49-F238E27FC236}">
              <a16:creationId xmlns:a16="http://schemas.microsoft.com/office/drawing/2014/main" id="{00000000-0008-0000-0000-000093050000}"/>
            </a:ext>
          </a:extLst>
        </xdr:cNvPr>
        <xdr:cNvPicPr>
          <a:picLocks noChangeAspect="1"/>
        </xdr:cNvPicPr>
      </xdr:nvPicPr>
      <xdr:blipFill>
        <a:blip xmlns:r="http://schemas.openxmlformats.org/officeDocument/2006/relationships" r:embed="rId1404"/>
        <a:stretch>
          <a:fillRect/>
        </a:stretch>
      </xdr:blipFill>
      <xdr:spPr>
        <a:prstGeom prst="rect">
          <a:avLst/>
        </a:prstGeom>
        <a:ln w="9525">
          <a:solidFill>
            <a:srgbClr val="000000"/>
          </a:solidFill>
          <a:prstDash val="solid"/>
        </a:ln>
      </xdr:spPr>
    </xdr:pic>
    <xdr:clientData/>
  </xdr:twoCellAnchor>
  <xdr:twoCellAnchor>
    <xdr:from>
      <xdr:col>3</xdr:col>
      <xdr:colOff>114300</xdr:colOff>
      <xdr:row>3944</xdr:row>
      <xdr:rowOff>28575</xdr:rowOff>
    </xdr:from>
    <xdr:to>
      <xdr:col>3</xdr:col>
      <xdr:colOff>1552575</xdr:colOff>
      <xdr:row>3948</xdr:row>
      <xdr:rowOff>333375</xdr:rowOff>
    </xdr:to>
    <xdr:pic>
      <xdr:nvPicPr>
        <xdr:cNvPr id="1428" name="Имя " descr="Descr ">
          <a:extLst>
            <a:ext uri="{FF2B5EF4-FFF2-40B4-BE49-F238E27FC236}">
              <a16:creationId xmlns:a16="http://schemas.microsoft.com/office/drawing/2014/main" id="{00000000-0008-0000-0000-000094050000}"/>
            </a:ext>
          </a:extLst>
        </xdr:cNvPr>
        <xdr:cNvPicPr>
          <a:picLocks noChangeAspect="1"/>
        </xdr:cNvPicPr>
      </xdr:nvPicPr>
      <xdr:blipFill>
        <a:blip xmlns:r="http://schemas.openxmlformats.org/officeDocument/2006/relationships" r:embed="rId1405"/>
        <a:stretch>
          <a:fillRect/>
        </a:stretch>
      </xdr:blipFill>
      <xdr:spPr>
        <a:prstGeom prst="rect">
          <a:avLst/>
        </a:prstGeom>
        <a:ln w="9525">
          <a:solidFill>
            <a:srgbClr val="000000"/>
          </a:solidFill>
          <a:prstDash val="solid"/>
        </a:ln>
      </xdr:spPr>
    </xdr:pic>
    <xdr:clientData/>
  </xdr:twoCellAnchor>
  <xdr:twoCellAnchor>
    <xdr:from>
      <xdr:col>3</xdr:col>
      <xdr:colOff>114300</xdr:colOff>
      <xdr:row>3949</xdr:row>
      <xdr:rowOff>28575</xdr:rowOff>
    </xdr:from>
    <xdr:to>
      <xdr:col>3</xdr:col>
      <xdr:colOff>1552575</xdr:colOff>
      <xdr:row>3953</xdr:row>
      <xdr:rowOff>333375</xdr:rowOff>
    </xdr:to>
    <xdr:pic>
      <xdr:nvPicPr>
        <xdr:cNvPr id="1429" name="Имя " descr="Descr ">
          <a:extLst>
            <a:ext uri="{FF2B5EF4-FFF2-40B4-BE49-F238E27FC236}">
              <a16:creationId xmlns:a16="http://schemas.microsoft.com/office/drawing/2014/main" id="{00000000-0008-0000-0000-000095050000}"/>
            </a:ext>
          </a:extLst>
        </xdr:cNvPr>
        <xdr:cNvPicPr>
          <a:picLocks noChangeAspect="1"/>
        </xdr:cNvPicPr>
      </xdr:nvPicPr>
      <xdr:blipFill>
        <a:blip xmlns:r="http://schemas.openxmlformats.org/officeDocument/2006/relationships" r:embed="rId1406"/>
        <a:stretch>
          <a:fillRect/>
        </a:stretch>
      </xdr:blipFill>
      <xdr:spPr>
        <a:prstGeom prst="rect">
          <a:avLst/>
        </a:prstGeom>
        <a:ln w="9525">
          <a:solidFill>
            <a:srgbClr val="000000"/>
          </a:solidFill>
          <a:prstDash val="solid"/>
        </a:ln>
      </xdr:spPr>
    </xdr:pic>
    <xdr:clientData/>
  </xdr:twoCellAnchor>
  <xdr:twoCellAnchor>
    <xdr:from>
      <xdr:col>3</xdr:col>
      <xdr:colOff>114300</xdr:colOff>
      <xdr:row>3954</xdr:row>
      <xdr:rowOff>28575</xdr:rowOff>
    </xdr:from>
    <xdr:to>
      <xdr:col>3</xdr:col>
      <xdr:colOff>1552575</xdr:colOff>
      <xdr:row>3959</xdr:row>
      <xdr:rowOff>209550</xdr:rowOff>
    </xdr:to>
    <xdr:pic>
      <xdr:nvPicPr>
        <xdr:cNvPr id="1430" name="Имя " descr="Descr ">
          <a:extLst>
            <a:ext uri="{FF2B5EF4-FFF2-40B4-BE49-F238E27FC236}">
              <a16:creationId xmlns:a16="http://schemas.microsoft.com/office/drawing/2014/main" id="{00000000-0008-0000-0000-000096050000}"/>
            </a:ext>
          </a:extLst>
        </xdr:cNvPr>
        <xdr:cNvPicPr>
          <a:picLocks noChangeAspect="1"/>
        </xdr:cNvPicPr>
      </xdr:nvPicPr>
      <xdr:blipFill>
        <a:blip xmlns:r="http://schemas.openxmlformats.org/officeDocument/2006/relationships" r:embed="rId1407"/>
        <a:stretch>
          <a:fillRect/>
        </a:stretch>
      </xdr:blipFill>
      <xdr:spPr>
        <a:prstGeom prst="rect">
          <a:avLst/>
        </a:prstGeom>
        <a:ln w="9525">
          <a:solidFill>
            <a:srgbClr val="000000"/>
          </a:solidFill>
          <a:prstDash val="solid"/>
        </a:ln>
      </xdr:spPr>
    </xdr:pic>
    <xdr:clientData/>
  </xdr:twoCellAnchor>
  <xdr:twoCellAnchor>
    <xdr:from>
      <xdr:col>3</xdr:col>
      <xdr:colOff>114300</xdr:colOff>
      <xdr:row>3960</xdr:row>
      <xdr:rowOff>28575</xdr:rowOff>
    </xdr:from>
    <xdr:to>
      <xdr:col>3</xdr:col>
      <xdr:colOff>1552575</xdr:colOff>
      <xdr:row>3965</xdr:row>
      <xdr:rowOff>209550</xdr:rowOff>
    </xdr:to>
    <xdr:pic>
      <xdr:nvPicPr>
        <xdr:cNvPr id="1431" name="Имя " descr="Descr ">
          <a:extLst>
            <a:ext uri="{FF2B5EF4-FFF2-40B4-BE49-F238E27FC236}">
              <a16:creationId xmlns:a16="http://schemas.microsoft.com/office/drawing/2014/main" id="{00000000-0008-0000-0000-000097050000}"/>
            </a:ext>
          </a:extLst>
        </xdr:cNvPr>
        <xdr:cNvPicPr>
          <a:picLocks noChangeAspect="1"/>
        </xdr:cNvPicPr>
      </xdr:nvPicPr>
      <xdr:blipFill>
        <a:blip xmlns:r="http://schemas.openxmlformats.org/officeDocument/2006/relationships" r:embed="rId1408"/>
        <a:stretch>
          <a:fillRect/>
        </a:stretch>
      </xdr:blipFill>
      <xdr:spPr>
        <a:prstGeom prst="rect">
          <a:avLst/>
        </a:prstGeom>
        <a:ln w="9525">
          <a:solidFill>
            <a:srgbClr val="000000"/>
          </a:solidFill>
          <a:prstDash val="solid"/>
        </a:ln>
      </xdr:spPr>
    </xdr:pic>
    <xdr:clientData/>
  </xdr:twoCellAnchor>
  <xdr:twoCellAnchor>
    <xdr:from>
      <xdr:col>3</xdr:col>
      <xdr:colOff>114300</xdr:colOff>
      <xdr:row>3966</xdr:row>
      <xdr:rowOff>28575</xdr:rowOff>
    </xdr:from>
    <xdr:to>
      <xdr:col>3</xdr:col>
      <xdr:colOff>1552575</xdr:colOff>
      <xdr:row>3970</xdr:row>
      <xdr:rowOff>333375</xdr:rowOff>
    </xdr:to>
    <xdr:pic>
      <xdr:nvPicPr>
        <xdr:cNvPr id="1432" name="Имя " descr="Descr ">
          <a:extLst>
            <a:ext uri="{FF2B5EF4-FFF2-40B4-BE49-F238E27FC236}">
              <a16:creationId xmlns:a16="http://schemas.microsoft.com/office/drawing/2014/main" id="{00000000-0008-0000-0000-000098050000}"/>
            </a:ext>
          </a:extLst>
        </xdr:cNvPr>
        <xdr:cNvPicPr>
          <a:picLocks noChangeAspect="1"/>
        </xdr:cNvPicPr>
      </xdr:nvPicPr>
      <xdr:blipFill>
        <a:blip xmlns:r="http://schemas.openxmlformats.org/officeDocument/2006/relationships" r:embed="rId1409"/>
        <a:stretch>
          <a:fillRect/>
        </a:stretch>
      </xdr:blipFill>
      <xdr:spPr>
        <a:prstGeom prst="rect">
          <a:avLst/>
        </a:prstGeom>
        <a:ln w="9525">
          <a:solidFill>
            <a:srgbClr val="000000"/>
          </a:solidFill>
          <a:prstDash val="solid"/>
        </a:ln>
      </xdr:spPr>
    </xdr:pic>
    <xdr:clientData/>
  </xdr:twoCellAnchor>
  <xdr:twoCellAnchor>
    <xdr:from>
      <xdr:col>3</xdr:col>
      <xdr:colOff>114300</xdr:colOff>
      <xdr:row>3971</xdr:row>
      <xdr:rowOff>28575</xdr:rowOff>
    </xdr:from>
    <xdr:to>
      <xdr:col>3</xdr:col>
      <xdr:colOff>1552575</xdr:colOff>
      <xdr:row>3976</xdr:row>
      <xdr:rowOff>209550</xdr:rowOff>
    </xdr:to>
    <xdr:pic>
      <xdr:nvPicPr>
        <xdr:cNvPr id="1433" name="Имя " descr="Descr ">
          <a:extLst>
            <a:ext uri="{FF2B5EF4-FFF2-40B4-BE49-F238E27FC236}">
              <a16:creationId xmlns:a16="http://schemas.microsoft.com/office/drawing/2014/main" id="{00000000-0008-0000-0000-000099050000}"/>
            </a:ext>
          </a:extLst>
        </xdr:cNvPr>
        <xdr:cNvPicPr>
          <a:picLocks noChangeAspect="1"/>
        </xdr:cNvPicPr>
      </xdr:nvPicPr>
      <xdr:blipFill>
        <a:blip xmlns:r="http://schemas.openxmlformats.org/officeDocument/2006/relationships" r:embed="rId1410"/>
        <a:stretch>
          <a:fillRect/>
        </a:stretch>
      </xdr:blipFill>
      <xdr:spPr>
        <a:prstGeom prst="rect">
          <a:avLst/>
        </a:prstGeom>
        <a:ln w="9525">
          <a:solidFill>
            <a:srgbClr val="000000"/>
          </a:solidFill>
          <a:prstDash val="solid"/>
        </a:ln>
      </xdr:spPr>
    </xdr:pic>
    <xdr:clientData/>
  </xdr:twoCellAnchor>
  <xdr:twoCellAnchor>
    <xdr:from>
      <xdr:col>3</xdr:col>
      <xdr:colOff>114300</xdr:colOff>
      <xdr:row>3977</xdr:row>
      <xdr:rowOff>28575</xdr:rowOff>
    </xdr:from>
    <xdr:to>
      <xdr:col>3</xdr:col>
      <xdr:colOff>1552575</xdr:colOff>
      <xdr:row>3979</xdr:row>
      <xdr:rowOff>419100</xdr:rowOff>
    </xdr:to>
    <xdr:pic>
      <xdr:nvPicPr>
        <xdr:cNvPr id="1434" name="Имя " descr="Descr ">
          <a:extLst>
            <a:ext uri="{FF2B5EF4-FFF2-40B4-BE49-F238E27FC236}">
              <a16:creationId xmlns:a16="http://schemas.microsoft.com/office/drawing/2014/main" id="{00000000-0008-0000-0000-00009A050000}"/>
            </a:ext>
          </a:extLst>
        </xdr:cNvPr>
        <xdr:cNvPicPr>
          <a:picLocks noChangeAspect="1"/>
        </xdr:cNvPicPr>
      </xdr:nvPicPr>
      <xdr:blipFill>
        <a:blip xmlns:r="http://schemas.openxmlformats.org/officeDocument/2006/relationships" r:embed="rId1411"/>
        <a:stretch>
          <a:fillRect/>
        </a:stretch>
      </xdr:blipFill>
      <xdr:spPr>
        <a:prstGeom prst="rect">
          <a:avLst/>
        </a:prstGeom>
        <a:ln w="9525">
          <a:solidFill>
            <a:srgbClr val="000000"/>
          </a:solidFill>
          <a:prstDash val="solid"/>
        </a:ln>
      </xdr:spPr>
    </xdr:pic>
    <xdr:clientData/>
  </xdr:twoCellAnchor>
  <xdr:twoCellAnchor>
    <xdr:from>
      <xdr:col>3</xdr:col>
      <xdr:colOff>114300</xdr:colOff>
      <xdr:row>3980</xdr:row>
      <xdr:rowOff>28575</xdr:rowOff>
    </xdr:from>
    <xdr:to>
      <xdr:col>3</xdr:col>
      <xdr:colOff>1552575</xdr:colOff>
      <xdr:row>3983</xdr:row>
      <xdr:rowOff>209550</xdr:rowOff>
    </xdr:to>
    <xdr:pic>
      <xdr:nvPicPr>
        <xdr:cNvPr id="1435" name="Имя " descr="Descr ">
          <a:extLst>
            <a:ext uri="{FF2B5EF4-FFF2-40B4-BE49-F238E27FC236}">
              <a16:creationId xmlns:a16="http://schemas.microsoft.com/office/drawing/2014/main" id="{00000000-0008-0000-0000-00009B050000}"/>
            </a:ext>
          </a:extLst>
        </xdr:cNvPr>
        <xdr:cNvPicPr>
          <a:picLocks noChangeAspect="1"/>
        </xdr:cNvPicPr>
      </xdr:nvPicPr>
      <xdr:blipFill>
        <a:blip xmlns:r="http://schemas.openxmlformats.org/officeDocument/2006/relationships" r:embed="rId1412"/>
        <a:stretch>
          <a:fillRect/>
        </a:stretch>
      </xdr:blipFill>
      <xdr:spPr>
        <a:prstGeom prst="rect">
          <a:avLst/>
        </a:prstGeom>
        <a:ln w="9525">
          <a:solidFill>
            <a:srgbClr val="000000"/>
          </a:solidFill>
          <a:prstDash val="solid"/>
        </a:ln>
      </xdr:spPr>
    </xdr:pic>
    <xdr:clientData/>
  </xdr:twoCellAnchor>
  <xdr:twoCellAnchor>
    <xdr:from>
      <xdr:col>3</xdr:col>
      <xdr:colOff>114300</xdr:colOff>
      <xdr:row>3984</xdr:row>
      <xdr:rowOff>28575</xdr:rowOff>
    </xdr:from>
    <xdr:to>
      <xdr:col>3</xdr:col>
      <xdr:colOff>1552575</xdr:colOff>
      <xdr:row>3984</xdr:row>
      <xdr:rowOff>1266825</xdr:rowOff>
    </xdr:to>
    <xdr:pic>
      <xdr:nvPicPr>
        <xdr:cNvPr id="1436" name="Имя " descr="Descr ">
          <a:extLst>
            <a:ext uri="{FF2B5EF4-FFF2-40B4-BE49-F238E27FC236}">
              <a16:creationId xmlns:a16="http://schemas.microsoft.com/office/drawing/2014/main" id="{00000000-0008-0000-0000-00009C050000}"/>
            </a:ext>
          </a:extLst>
        </xdr:cNvPr>
        <xdr:cNvPicPr>
          <a:picLocks noChangeAspect="1"/>
        </xdr:cNvPicPr>
      </xdr:nvPicPr>
      <xdr:blipFill>
        <a:blip xmlns:r="http://schemas.openxmlformats.org/officeDocument/2006/relationships" r:embed="rId1413"/>
        <a:stretch>
          <a:fillRect/>
        </a:stretch>
      </xdr:blipFill>
      <xdr:spPr>
        <a:prstGeom prst="rect">
          <a:avLst/>
        </a:prstGeom>
        <a:ln w="9525">
          <a:solidFill>
            <a:srgbClr val="000000"/>
          </a:solidFill>
          <a:prstDash val="solid"/>
        </a:ln>
      </xdr:spPr>
    </xdr:pic>
    <xdr:clientData/>
  </xdr:twoCellAnchor>
  <xdr:twoCellAnchor>
    <xdr:from>
      <xdr:col>3</xdr:col>
      <xdr:colOff>114300</xdr:colOff>
      <xdr:row>3985</xdr:row>
      <xdr:rowOff>28575</xdr:rowOff>
    </xdr:from>
    <xdr:to>
      <xdr:col>3</xdr:col>
      <xdr:colOff>1552575</xdr:colOff>
      <xdr:row>3989</xdr:row>
      <xdr:rowOff>333375</xdr:rowOff>
    </xdr:to>
    <xdr:pic>
      <xdr:nvPicPr>
        <xdr:cNvPr id="1437" name="Имя " descr="Descr ">
          <a:extLst>
            <a:ext uri="{FF2B5EF4-FFF2-40B4-BE49-F238E27FC236}">
              <a16:creationId xmlns:a16="http://schemas.microsoft.com/office/drawing/2014/main" id="{00000000-0008-0000-0000-00009D050000}"/>
            </a:ext>
          </a:extLst>
        </xdr:cNvPr>
        <xdr:cNvPicPr>
          <a:picLocks noChangeAspect="1"/>
        </xdr:cNvPicPr>
      </xdr:nvPicPr>
      <xdr:blipFill>
        <a:blip xmlns:r="http://schemas.openxmlformats.org/officeDocument/2006/relationships" r:embed="rId1414"/>
        <a:stretch>
          <a:fillRect/>
        </a:stretch>
      </xdr:blipFill>
      <xdr:spPr>
        <a:prstGeom prst="rect">
          <a:avLst/>
        </a:prstGeom>
        <a:ln w="9525">
          <a:solidFill>
            <a:srgbClr val="000000"/>
          </a:solidFill>
          <a:prstDash val="solid"/>
        </a:ln>
      </xdr:spPr>
    </xdr:pic>
    <xdr:clientData/>
  </xdr:twoCellAnchor>
  <xdr:twoCellAnchor>
    <xdr:from>
      <xdr:col>3</xdr:col>
      <xdr:colOff>114300</xdr:colOff>
      <xdr:row>3990</xdr:row>
      <xdr:rowOff>28575</xdr:rowOff>
    </xdr:from>
    <xdr:to>
      <xdr:col>3</xdr:col>
      <xdr:colOff>1552575</xdr:colOff>
      <xdr:row>3993</xdr:row>
      <xdr:rowOff>209550</xdr:rowOff>
    </xdr:to>
    <xdr:pic>
      <xdr:nvPicPr>
        <xdr:cNvPr id="1438" name="Имя " descr="Descr ">
          <a:extLst>
            <a:ext uri="{FF2B5EF4-FFF2-40B4-BE49-F238E27FC236}">
              <a16:creationId xmlns:a16="http://schemas.microsoft.com/office/drawing/2014/main" id="{00000000-0008-0000-0000-00009E050000}"/>
            </a:ext>
          </a:extLst>
        </xdr:cNvPr>
        <xdr:cNvPicPr>
          <a:picLocks noChangeAspect="1"/>
        </xdr:cNvPicPr>
      </xdr:nvPicPr>
      <xdr:blipFill>
        <a:blip xmlns:r="http://schemas.openxmlformats.org/officeDocument/2006/relationships" r:embed="rId1415"/>
        <a:stretch>
          <a:fillRect/>
        </a:stretch>
      </xdr:blipFill>
      <xdr:spPr>
        <a:prstGeom prst="rect">
          <a:avLst/>
        </a:prstGeom>
        <a:ln w="9525">
          <a:solidFill>
            <a:srgbClr val="000000"/>
          </a:solidFill>
          <a:prstDash val="solid"/>
        </a:ln>
      </xdr:spPr>
    </xdr:pic>
    <xdr:clientData/>
  </xdr:twoCellAnchor>
  <xdr:twoCellAnchor>
    <xdr:from>
      <xdr:col>3</xdr:col>
      <xdr:colOff>114300</xdr:colOff>
      <xdr:row>3994</xdr:row>
      <xdr:rowOff>28575</xdr:rowOff>
    </xdr:from>
    <xdr:to>
      <xdr:col>3</xdr:col>
      <xdr:colOff>1552575</xdr:colOff>
      <xdr:row>3994</xdr:row>
      <xdr:rowOff>1266825</xdr:rowOff>
    </xdr:to>
    <xdr:pic>
      <xdr:nvPicPr>
        <xdr:cNvPr id="1439" name="Имя " descr="Descr ">
          <a:extLst>
            <a:ext uri="{FF2B5EF4-FFF2-40B4-BE49-F238E27FC236}">
              <a16:creationId xmlns:a16="http://schemas.microsoft.com/office/drawing/2014/main" id="{00000000-0008-0000-0000-00009F050000}"/>
            </a:ext>
          </a:extLst>
        </xdr:cNvPr>
        <xdr:cNvPicPr>
          <a:picLocks noChangeAspect="1"/>
        </xdr:cNvPicPr>
      </xdr:nvPicPr>
      <xdr:blipFill>
        <a:blip xmlns:r="http://schemas.openxmlformats.org/officeDocument/2006/relationships" r:embed="rId1416"/>
        <a:stretch>
          <a:fillRect/>
        </a:stretch>
      </xdr:blipFill>
      <xdr:spPr>
        <a:prstGeom prst="rect">
          <a:avLst/>
        </a:prstGeom>
        <a:ln w="9525">
          <a:solidFill>
            <a:srgbClr val="000000"/>
          </a:solidFill>
          <a:prstDash val="solid"/>
        </a:ln>
      </xdr:spPr>
    </xdr:pic>
    <xdr:clientData/>
  </xdr:twoCellAnchor>
  <xdr:twoCellAnchor>
    <xdr:from>
      <xdr:col>3</xdr:col>
      <xdr:colOff>114300</xdr:colOff>
      <xdr:row>3995</xdr:row>
      <xdr:rowOff>28575</xdr:rowOff>
    </xdr:from>
    <xdr:to>
      <xdr:col>3</xdr:col>
      <xdr:colOff>1552575</xdr:colOff>
      <xdr:row>3997</xdr:row>
      <xdr:rowOff>419100</xdr:rowOff>
    </xdr:to>
    <xdr:pic>
      <xdr:nvPicPr>
        <xdr:cNvPr id="1440" name="Имя " descr="Descr ">
          <a:extLst>
            <a:ext uri="{FF2B5EF4-FFF2-40B4-BE49-F238E27FC236}">
              <a16:creationId xmlns:a16="http://schemas.microsoft.com/office/drawing/2014/main" id="{00000000-0008-0000-0000-0000A0050000}"/>
            </a:ext>
          </a:extLst>
        </xdr:cNvPr>
        <xdr:cNvPicPr>
          <a:picLocks noChangeAspect="1"/>
        </xdr:cNvPicPr>
      </xdr:nvPicPr>
      <xdr:blipFill>
        <a:blip xmlns:r="http://schemas.openxmlformats.org/officeDocument/2006/relationships" r:embed="rId1417"/>
        <a:stretch>
          <a:fillRect/>
        </a:stretch>
      </xdr:blipFill>
      <xdr:spPr>
        <a:prstGeom prst="rect">
          <a:avLst/>
        </a:prstGeom>
        <a:ln w="9525">
          <a:solidFill>
            <a:srgbClr val="000000"/>
          </a:solidFill>
          <a:prstDash val="solid"/>
        </a:ln>
      </xdr:spPr>
    </xdr:pic>
    <xdr:clientData/>
  </xdr:twoCellAnchor>
  <xdr:twoCellAnchor>
    <xdr:from>
      <xdr:col>3</xdr:col>
      <xdr:colOff>114300</xdr:colOff>
      <xdr:row>3998</xdr:row>
      <xdr:rowOff>28575</xdr:rowOff>
    </xdr:from>
    <xdr:to>
      <xdr:col>3</xdr:col>
      <xdr:colOff>1552575</xdr:colOff>
      <xdr:row>3998</xdr:row>
      <xdr:rowOff>1266825</xdr:rowOff>
    </xdr:to>
    <xdr:pic>
      <xdr:nvPicPr>
        <xdr:cNvPr id="1441" name="Имя " descr="Descr ">
          <a:extLst>
            <a:ext uri="{FF2B5EF4-FFF2-40B4-BE49-F238E27FC236}">
              <a16:creationId xmlns:a16="http://schemas.microsoft.com/office/drawing/2014/main" id="{00000000-0008-0000-0000-0000A1050000}"/>
            </a:ext>
          </a:extLst>
        </xdr:cNvPr>
        <xdr:cNvPicPr>
          <a:picLocks noChangeAspect="1"/>
        </xdr:cNvPicPr>
      </xdr:nvPicPr>
      <xdr:blipFill>
        <a:blip xmlns:r="http://schemas.openxmlformats.org/officeDocument/2006/relationships" r:embed="rId1418"/>
        <a:stretch>
          <a:fillRect/>
        </a:stretch>
      </xdr:blipFill>
      <xdr:spPr>
        <a:prstGeom prst="rect">
          <a:avLst/>
        </a:prstGeom>
        <a:ln w="9525">
          <a:solidFill>
            <a:srgbClr val="000000"/>
          </a:solidFill>
          <a:prstDash val="solid"/>
        </a:ln>
      </xdr:spPr>
    </xdr:pic>
    <xdr:clientData/>
  </xdr:twoCellAnchor>
  <xdr:twoCellAnchor>
    <xdr:from>
      <xdr:col>3</xdr:col>
      <xdr:colOff>114300</xdr:colOff>
      <xdr:row>3999</xdr:row>
      <xdr:rowOff>28575</xdr:rowOff>
    </xdr:from>
    <xdr:to>
      <xdr:col>3</xdr:col>
      <xdr:colOff>1552575</xdr:colOff>
      <xdr:row>4002</xdr:row>
      <xdr:rowOff>209550</xdr:rowOff>
    </xdr:to>
    <xdr:pic>
      <xdr:nvPicPr>
        <xdr:cNvPr id="1442" name="Имя " descr="Descr ">
          <a:extLst>
            <a:ext uri="{FF2B5EF4-FFF2-40B4-BE49-F238E27FC236}">
              <a16:creationId xmlns:a16="http://schemas.microsoft.com/office/drawing/2014/main" id="{00000000-0008-0000-0000-0000A2050000}"/>
            </a:ext>
          </a:extLst>
        </xdr:cNvPr>
        <xdr:cNvPicPr>
          <a:picLocks noChangeAspect="1"/>
        </xdr:cNvPicPr>
      </xdr:nvPicPr>
      <xdr:blipFill>
        <a:blip xmlns:r="http://schemas.openxmlformats.org/officeDocument/2006/relationships" r:embed="rId1419"/>
        <a:stretch>
          <a:fillRect/>
        </a:stretch>
      </xdr:blipFill>
      <xdr:spPr>
        <a:prstGeom prst="rect">
          <a:avLst/>
        </a:prstGeom>
        <a:ln w="9525">
          <a:solidFill>
            <a:srgbClr val="000000"/>
          </a:solidFill>
          <a:prstDash val="solid"/>
        </a:ln>
      </xdr:spPr>
    </xdr:pic>
    <xdr:clientData/>
  </xdr:twoCellAnchor>
  <xdr:twoCellAnchor>
    <xdr:from>
      <xdr:col>3</xdr:col>
      <xdr:colOff>114300</xdr:colOff>
      <xdr:row>4003</xdr:row>
      <xdr:rowOff>28575</xdr:rowOff>
    </xdr:from>
    <xdr:to>
      <xdr:col>3</xdr:col>
      <xdr:colOff>1552575</xdr:colOff>
      <xdr:row>4003</xdr:row>
      <xdr:rowOff>1266825</xdr:rowOff>
    </xdr:to>
    <xdr:pic>
      <xdr:nvPicPr>
        <xdr:cNvPr id="1443" name="Имя " descr="Descr ">
          <a:extLst>
            <a:ext uri="{FF2B5EF4-FFF2-40B4-BE49-F238E27FC236}">
              <a16:creationId xmlns:a16="http://schemas.microsoft.com/office/drawing/2014/main" id="{00000000-0008-0000-0000-0000A3050000}"/>
            </a:ext>
          </a:extLst>
        </xdr:cNvPr>
        <xdr:cNvPicPr>
          <a:picLocks noChangeAspect="1"/>
        </xdr:cNvPicPr>
      </xdr:nvPicPr>
      <xdr:blipFill>
        <a:blip xmlns:r="http://schemas.openxmlformats.org/officeDocument/2006/relationships" r:embed="rId1420"/>
        <a:stretch>
          <a:fillRect/>
        </a:stretch>
      </xdr:blipFill>
      <xdr:spPr>
        <a:prstGeom prst="rect">
          <a:avLst/>
        </a:prstGeom>
        <a:ln w="9525">
          <a:solidFill>
            <a:srgbClr val="000000"/>
          </a:solidFill>
          <a:prstDash val="solid"/>
        </a:ln>
      </xdr:spPr>
    </xdr:pic>
    <xdr:clientData/>
  </xdr:twoCellAnchor>
  <xdr:twoCellAnchor>
    <xdr:from>
      <xdr:col>3</xdr:col>
      <xdr:colOff>114300</xdr:colOff>
      <xdr:row>4004</xdr:row>
      <xdr:rowOff>28575</xdr:rowOff>
    </xdr:from>
    <xdr:to>
      <xdr:col>3</xdr:col>
      <xdr:colOff>1552575</xdr:colOff>
      <xdr:row>4006</xdr:row>
      <xdr:rowOff>419100</xdr:rowOff>
    </xdr:to>
    <xdr:pic>
      <xdr:nvPicPr>
        <xdr:cNvPr id="1444" name="Имя " descr="Descr ">
          <a:extLst>
            <a:ext uri="{FF2B5EF4-FFF2-40B4-BE49-F238E27FC236}">
              <a16:creationId xmlns:a16="http://schemas.microsoft.com/office/drawing/2014/main" id="{00000000-0008-0000-0000-0000A4050000}"/>
            </a:ext>
          </a:extLst>
        </xdr:cNvPr>
        <xdr:cNvPicPr>
          <a:picLocks noChangeAspect="1"/>
        </xdr:cNvPicPr>
      </xdr:nvPicPr>
      <xdr:blipFill>
        <a:blip xmlns:r="http://schemas.openxmlformats.org/officeDocument/2006/relationships" r:embed="rId1421"/>
        <a:stretch>
          <a:fillRect/>
        </a:stretch>
      </xdr:blipFill>
      <xdr:spPr>
        <a:prstGeom prst="rect">
          <a:avLst/>
        </a:prstGeom>
        <a:ln w="9525">
          <a:solidFill>
            <a:srgbClr val="000000"/>
          </a:solidFill>
          <a:prstDash val="solid"/>
        </a:ln>
      </xdr:spPr>
    </xdr:pic>
    <xdr:clientData/>
  </xdr:twoCellAnchor>
  <xdr:twoCellAnchor>
    <xdr:from>
      <xdr:col>3</xdr:col>
      <xdr:colOff>114300</xdr:colOff>
      <xdr:row>4007</xdr:row>
      <xdr:rowOff>28575</xdr:rowOff>
    </xdr:from>
    <xdr:to>
      <xdr:col>3</xdr:col>
      <xdr:colOff>1552575</xdr:colOff>
      <xdr:row>4013</xdr:row>
      <xdr:rowOff>171450</xdr:rowOff>
    </xdr:to>
    <xdr:pic>
      <xdr:nvPicPr>
        <xdr:cNvPr id="1445" name="Имя " descr="Descr ">
          <a:extLst>
            <a:ext uri="{FF2B5EF4-FFF2-40B4-BE49-F238E27FC236}">
              <a16:creationId xmlns:a16="http://schemas.microsoft.com/office/drawing/2014/main" id="{00000000-0008-0000-0000-0000A5050000}"/>
            </a:ext>
          </a:extLst>
        </xdr:cNvPr>
        <xdr:cNvPicPr>
          <a:picLocks noChangeAspect="1"/>
        </xdr:cNvPicPr>
      </xdr:nvPicPr>
      <xdr:blipFill>
        <a:blip xmlns:r="http://schemas.openxmlformats.org/officeDocument/2006/relationships" r:embed="rId1422"/>
        <a:stretch>
          <a:fillRect/>
        </a:stretch>
      </xdr:blipFill>
      <xdr:spPr>
        <a:prstGeom prst="rect">
          <a:avLst/>
        </a:prstGeom>
        <a:ln w="9525">
          <a:solidFill>
            <a:srgbClr val="000000"/>
          </a:solidFill>
          <a:prstDash val="solid"/>
        </a:ln>
      </xdr:spPr>
    </xdr:pic>
    <xdr:clientData/>
  </xdr:twoCellAnchor>
  <xdr:twoCellAnchor>
    <xdr:from>
      <xdr:col>3</xdr:col>
      <xdr:colOff>114300</xdr:colOff>
      <xdr:row>4014</xdr:row>
      <xdr:rowOff>28575</xdr:rowOff>
    </xdr:from>
    <xdr:to>
      <xdr:col>3</xdr:col>
      <xdr:colOff>1552575</xdr:colOff>
      <xdr:row>4016</xdr:row>
      <xdr:rowOff>419100</xdr:rowOff>
    </xdr:to>
    <xdr:pic>
      <xdr:nvPicPr>
        <xdr:cNvPr id="1446" name="Имя " descr="Descr ">
          <a:extLst>
            <a:ext uri="{FF2B5EF4-FFF2-40B4-BE49-F238E27FC236}">
              <a16:creationId xmlns:a16="http://schemas.microsoft.com/office/drawing/2014/main" id="{00000000-0008-0000-0000-0000A6050000}"/>
            </a:ext>
          </a:extLst>
        </xdr:cNvPr>
        <xdr:cNvPicPr>
          <a:picLocks noChangeAspect="1"/>
        </xdr:cNvPicPr>
      </xdr:nvPicPr>
      <xdr:blipFill>
        <a:blip xmlns:r="http://schemas.openxmlformats.org/officeDocument/2006/relationships" r:embed="rId1423"/>
        <a:stretch>
          <a:fillRect/>
        </a:stretch>
      </xdr:blipFill>
      <xdr:spPr>
        <a:prstGeom prst="rect">
          <a:avLst/>
        </a:prstGeom>
        <a:ln w="9525">
          <a:solidFill>
            <a:srgbClr val="000000"/>
          </a:solidFill>
          <a:prstDash val="solid"/>
        </a:ln>
      </xdr:spPr>
    </xdr:pic>
    <xdr:clientData/>
  </xdr:twoCellAnchor>
  <xdr:twoCellAnchor>
    <xdr:from>
      <xdr:col>3</xdr:col>
      <xdr:colOff>114300</xdr:colOff>
      <xdr:row>4017</xdr:row>
      <xdr:rowOff>38100</xdr:rowOff>
    </xdr:from>
    <xdr:to>
      <xdr:col>3</xdr:col>
      <xdr:colOff>1552575</xdr:colOff>
      <xdr:row>4018</xdr:row>
      <xdr:rowOff>638175</xdr:rowOff>
    </xdr:to>
    <xdr:pic>
      <xdr:nvPicPr>
        <xdr:cNvPr id="1447" name="Имя " descr="Descr ">
          <a:extLst>
            <a:ext uri="{FF2B5EF4-FFF2-40B4-BE49-F238E27FC236}">
              <a16:creationId xmlns:a16="http://schemas.microsoft.com/office/drawing/2014/main" id="{00000000-0008-0000-0000-0000A7050000}"/>
            </a:ext>
          </a:extLst>
        </xdr:cNvPr>
        <xdr:cNvPicPr>
          <a:picLocks noChangeAspect="1"/>
        </xdr:cNvPicPr>
      </xdr:nvPicPr>
      <xdr:blipFill>
        <a:blip xmlns:r="http://schemas.openxmlformats.org/officeDocument/2006/relationships" r:embed="rId1424"/>
        <a:stretch>
          <a:fillRect/>
        </a:stretch>
      </xdr:blipFill>
      <xdr:spPr>
        <a:prstGeom prst="rect">
          <a:avLst/>
        </a:prstGeom>
        <a:ln w="9525">
          <a:solidFill>
            <a:srgbClr val="000000"/>
          </a:solidFill>
          <a:prstDash val="solid"/>
        </a:ln>
      </xdr:spPr>
    </xdr:pic>
    <xdr:clientData/>
  </xdr:twoCellAnchor>
  <xdr:twoCellAnchor>
    <xdr:from>
      <xdr:col>3</xdr:col>
      <xdr:colOff>114300</xdr:colOff>
      <xdr:row>4019</xdr:row>
      <xdr:rowOff>28575</xdr:rowOff>
    </xdr:from>
    <xdr:to>
      <xdr:col>3</xdr:col>
      <xdr:colOff>1552575</xdr:colOff>
      <xdr:row>4021</xdr:row>
      <xdr:rowOff>419100</xdr:rowOff>
    </xdr:to>
    <xdr:pic>
      <xdr:nvPicPr>
        <xdr:cNvPr id="1448" name="Имя " descr="Descr ">
          <a:extLst>
            <a:ext uri="{FF2B5EF4-FFF2-40B4-BE49-F238E27FC236}">
              <a16:creationId xmlns:a16="http://schemas.microsoft.com/office/drawing/2014/main" id="{00000000-0008-0000-0000-0000A8050000}"/>
            </a:ext>
          </a:extLst>
        </xdr:cNvPr>
        <xdr:cNvPicPr>
          <a:picLocks noChangeAspect="1"/>
        </xdr:cNvPicPr>
      </xdr:nvPicPr>
      <xdr:blipFill>
        <a:blip xmlns:r="http://schemas.openxmlformats.org/officeDocument/2006/relationships" r:embed="rId1425"/>
        <a:stretch>
          <a:fillRect/>
        </a:stretch>
      </xdr:blipFill>
      <xdr:spPr>
        <a:prstGeom prst="rect">
          <a:avLst/>
        </a:prstGeom>
        <a:ln w="9525">
          <a:solidFill>
            <a:srgbClr val="000000"/>
          </a:solidFill>
          <a:prstDash val="solid"/>
        </a:ln>
      </xdr:spPr>
    </xdr:pic>
    <xdr:clientData/>
  </xdr:twoCellAnchor>
  <xdr:twoCellAnchor>
    <xdr:from>
      <xdr:col>3</xdr:col>
      <xdr:colOff>114300</xdr:colOff>
      <xdr:row>4022</xdr:row>
      <xdr:rowOff>28575</xdr:rowOff>
    </xdr:from>
    <xdr:to>
      <xdr:col>3</xdr:col>
      <xdr:colOff>1552575</xdr:colOff>
      <xdr:row>4025</xdr:row>
      <xdr:rowOff>209550</xdr:rowOff>
    </xdr:to>
    <xdr:pic>
      <xdr:nvPicPr>
        <xdr:cNvPr id="1449" name="Имя " descr="Descr ">
          <a:extLst>
            <a:ext uri="{FF2B5EF4-FFF2-40B4-BE49-F238E27FC236}">
              <a16:creationId xmlns:a16="http://schemas.microsoft.com/office/drawing/2014/main" id="{00000000-0008-0000-0000-0000A9050000}"/>
            </a:ext>
          </a:extLst>
        </xdr:cNvPr>
        <xdr:cNvPicPr>
          <a:picLocks noChangeAspect="1"/>
        </xdr:cNvPicPr>
      </xdr:nvPicPr>
      <xdr:blipFill>
        <a:blip xmlns:r="http://schemas.openxmlformats.org/officeDocument/2006/relationships" r:embed="rId1426"/>
        <a:stretch>
          <a:fillRect/>
        </a:stretch>
      </xdr:blipFill>
      <xdr:spPr>
        <a:prstGeom prst="rect">
          <a:avLst/>
        </a:prstGeom>
        <a:ln w="9525">
          <a:solidFill>
            <a:srgbClr val="000000"/>
          </a:solidFill>
          <a:prstDash val="solid"/>
        </a:ln>
      </xdr:spPr>
    </xdr:pic>
    <xdr:clientData/>
  </xdr:twoCellAnchor>
  <xdr:twoCellAnchor>
    <xdr:from>
      <xdr:col>3</xdr:col>
      <xdr:colOff>114300</xdr:colOff>
      <xdr:row>4026</xdr:row>
      <xdr:rowOff>28575</xdr:rowOff>
    </xdr:from>
    <xdr:to>
      <xdr:col>3</xdr:col>
      <xdr:colOff>1552575</xdr:colOff>
      <xdr:row>4029</xdr:row>
      <xdr:rowOff>209550</xdr:rowOff>
    </xdr:to>
    <xdr:pic>
      <xdr:nvPicPr>
        <xdr:cNvPr id="1450" name="Имя " descr="Descr ">
          <a:extLst>
            <a:ext uri="{FF2B5EF4-FFF2-40B4-BE49-F238E27FC236}">
              <a16:creationId xmlns:a16="http://schemas.microsoft.com/office/drawing/2014/main" id="{00000000-0008-0000-0000-0000AA050000}"/>
            </a:ext>
          </a:extLst>
        </xdr:cNvPr>
        <xdr:cNvPicPr>
          <a:picLocks noChangeAspect="1"/>
        </xdr:cNvPicPr>
      </xdr:nvPicPr>
      <xdr:blipFill>
        <a:blip xmlns:r="http://schemas.openxmlformats.org/officeDocument/2006/relationships" r:embed="rId1427"/>
        <a:stretch>
          <a:fillRect/>
        </a:stretch>
      </xdr:blipFill>
      <xdr:spPr>
        <a:prstGeom prst="rect">
          <a:avLst/>
        </a:prstGeom>
        <a:ln w="9525">
          <a:solidFill>
            <a:srgbClr val="000000"/>
          </a:solidFill>
          <a:prstDash val="solid"/>
        </a:ln>
      </xdr:spPr>
    </xdr:pic>
    <xdr:clientData/>
  </xdr:twoCellAnchor>
  <xdr:twoCellAnchor>
    <xdr:from>
      <xdr:col>3</xdr:col>
      <xdr:colOff>114300</xdr:colOff>
      <xdr:row>4030</xdr:row>
      <xdr:rowOff>28575</xdr:rowOff>
    </xdr:from>
    <xdr:to>
      <xdr:col>3</xdr:col>
      <xdr:colOff>1552575</xdr:colOff>
      <xdr:row>4037</xdr:row>
      <xdr:rowOff>152400</xdr:rowOff>
    </xdr:to>
    <xdr:pic>
      <xdr:nvPicPr>
        <xdr:cNvPr id="1451" name="Имя " descr="Descr ">
          <a:extLst>
            <a:ext uri="{FF2B5EF4-FFF2-40B4-BE49-F238E27FC236}">
              <a16:creationId xmlns:a16="http://schemas.microsoft.com/office/drawing/2014/main" id="{00000000-0008-0000-0000-0000AB050000}"/>
            </a:ext>
          </a:extLst>
        </xdr:cNvPr>
        <xdr:cNvPicPr>
          <a:picLocks noChangeAspect="1"/>
        </xdr:cNvPicPr>
      </xdr:nvPicPr>
      <xdr:blipFill>
        <a:blip xmlns:r="http://schemas.openxmlformats.org/officeDocument/2006/relationships" r:embed="rId1428"/>
        <a:stretch>
          <a:fillRect/>
        </a:stretch>
      </xdr:blipFill>
      <xdr:spPr>
        <a:prstGeom prst="rect">
          <a:avLst/>
        </a:prstGeom>
        <a:ln w="9525">
          <a:solidFill>
            <a:srgbClr val="000000"/>
          </a:solidFill>
          <a:prstDash val="solid"/>
        </a:ln>
      </xdr:spPr>
    </xdr:pic>
    <xdr:clientData/>
  </xdr:twoCellAnchor>
  <xdr:twoCellAnchor>
    <xdr:from>
      <xdr:col>3</xdr:col>
      <xdr:colOff>114300</xdr:colOff>
      <xdr:row>4038</xdr:row>
      <xdr:rowOff>28575</xdr:rowOff>
    </xdr:from>
    <xdr:to>
      <xdr:col>3</xdr:col>
      <xdr:colOff>1552575</xdr:colOff>
      <xdr:row>4043</xdr:row>
      <xdr:rowOff>209550</xdr:rowOff>
    </xdr:to>
    <xdr:pic>
      <xdr:nvPicPr>
        <xdr:cNvPr id="1452" name="Имя " descr="Descr ">
          <a:extLst>
            <a:ext uri="{FF2B5EF4-FFF2-40B4-BE49-F238E27FC236}">
              <a16:creationId xmlns:a16="http://schemas.microsoft.com/office/drawing/2014/main" id="{00000000-0008-0000-0000-0000AC050000}"/>
            </a:ext>
          </a:extLst>
        </xdr:cNvPr>
        <xdr:cNvPicPr>
          <a:picLocks noChangeAspect="1"/>
        </xdr:cNvPicPr>
      </xdr:nvPicPr>
      <xdr:blipFill>
        <a:blip xmlns:r="http://schemas.openxmlformats.org/officeDocument/2006/relationships" r:embed="rId1429"/>
        <a:stretch>
          <a:fillRect/>
        </a:stretch>
      </xdr:blipFill>
      <xdr:spPr>
        <a:prstGeom prst="rect">
          <a:avLst/>
        </a:prstGeom>
        <a:ln w="9525">
          <a:solidFill>
            <a:srgbClr val="000000"/>
          </a:solidFill>
          <a:prstDash val="solid"/>
        </a:ln>
      </xdr:spPr>
    </xdr:pic>
    <xdr:clientData/>
  </xdr:twoCellAnchor>
  <xdr:twoCellAnchor>
    <xdr:from>
      <xdr:col>3</xdr:col>
      <xdr:colOff>114300</xdr:colOff>
      <xdr:row>4044</xdr:row>
      <xdr:rowOff>28575</xdr:rowOff>
    </xdr:from>
    <xdr:to>
      <xdr:col>3</xdr:col>
      <xdr:colOff>1552575</xdr:colOff>
      <xdr:row>4044</xdr:row>
      <xdr:rowOff>1266825</xdr:rowOff>
    </xdr:to>
    <xdr:pic>
      <xdr:nvPicPr>
        <xdr:cNvPr id="1453" name="Имя " descr="Descr ">
          <a:extLst>
            <a:ext uri="{FF2B5EF4-FFF2-40B4-BE49-F238E27FC236}">
              <a16:creationId xmlns:a16="http://schemas.microsoft.com/office/drawing/2014/main" id="{00000000-0008-0000-0000-0000AD050000}"/>
            </a:ext>
          </a:extLst>
        </xdr:cNvPr>
        <xdr:cNvPicPr>
          <a:picLocks noChangeAspect="1"/>
        </xdr:cNvPicPr>
      </xdr:nvPicPr>
      <xdr:blipFill>
        <a:blip xmlns:r="http://schemas.openxmlformats.org/officeDocument/2006/relationships" r:embed="rId1430"/>
        <a:stretch>
          <a:fillRect/>
        </a:stretch>
      </xdr:blipFill>
      <xdr:spPr>
        <a:prstGeom prst="rect">
          <a:avLst/>
        </a:prstGeom>
        <a:ln w="9525">
          <a:solidFill>
            <a:srgbClr val="000000"/>
          </a:solidFill>
          <a:prstDash val="solid"/>
        </a:ln>
      </xdr:spPr>
    </xdr:pic>
    <xdr:clientData/>
  </xdr:twoCellAnchor>
  <xdr:twoCellAnchor>
    <xdr:from>
      <xdr:col>3</xdr:col>
      <xdr:colOff>114300</xdr:colOff>
      <xdr:row>4045</xdr:row>
      <xdr:rowOff>28575</xdr:rowOff>
    </xdr:from>
    <xdr:to>
      <xdr:col>3</xdr:col>
      <xdr:colOff>1552575</xdr:colOff>
      <xdr:row>4048</xdr:row>
      <xdr:rowOff>209550</xdr:rowOff>
    </xdr:to>
    <xdr:pic>
      <xdr:nvPicPr>
        <xdr:cNvPr id="1454" name="Имя " descr="Descr ">
          <a:extLst>
            <a:ext uri="{FF2B5EF4-FFF2-40B4-BE49-F238E27FC236}">
              <a16:creationId xmlns:a16="http://schemas.microsoft.com/office/drawing/2014/main" id="{00000000-0008-0000-0000-0000AE050000}"/>
            </a:ext>
          </a:extLst>
        </xdr:cNvPr>
        <xdr:cNvPicPr>
          <a:picLocks noChangeAspect="1"/>
        </xdr:cNvPicPr>
      </xdr:nvPicPr>
      <xdr:blipFill>
        <a:blip xmlns:r="http://schemas.openxmlformats.org/officeDocument/2006/relationships" r:embed="rId1431"/>
        <a:stretch>
          <a:fillRect/>
        </a:stretch>
      </xdr:blipFill>
      <xdr:spPr>
        <a:prstGeom prst="rect">
          <a:avLst/>
        </a:prstGeom>
        <a:ln w="9525">
          <a:solidFill>
            <a:srgbClr val="000000"/>
          </a:solidFill>
          <a:prstDash val="solid"/>
        </a:ln>
      </xdr:spPr>
    </xdr:pic>
    <xdr:clientData/>
  </xdr:twoCellAnchor>
  <xdr:twoCellAnchor>
    <xdr:from>
      <xdr:col>3</xdr:col>
      <xdr:colOff>114300</xdr:colOff>
      <xdr:row>4049</xdr:row>
      <xdr:rowOff>28575</xdr:rowOff>
    </xdr:from>
    <xdr:to>
      <xdr:col>3</xdr:col>
      <xdr:colOff>1552575</xdr:colOff>
      <xdr:row>4049</xdr:row>
      <xdr:rowOff>1266825</xdr:rowOff>
    </xdr:to>
    <xdr:pic>
      <xdr:nvPicPr>
        <xdr:cNvPr id="1455" name="Имя " descr="Descr ">
          <a:extLst>
            <a:ext uri="{FF2B5EF4-FFF2-40B4-BE49-F238E27FC236}">
              <a16:creationId xmlns:a16="http://schemas.microsoft.com/office/drawing/2014/main" id="{00000000-0008-0000-0000-0000AF050000}"/>
            </a:ext>
          </a:extLst>
        </xdr:cNvPr>
        <xdr:cNvPicPr>
          <a:picLocks noChangeAspect="1"/>
        </xdr:cNvPicPr>
      </xdr:nvPicPr>
      <xdr:blipFill>
        <a:blip xmlns:r="http://schemas.openxmlformats.org/officeDocument/2006/relationships" r:embed="rId1432"/>
        <a:stretch>
          <a:fillRect/>
        </a:stretch>
      </xdr:blipFill>
      <xdr:spPr>
        <a:prstGeom prst="rect">
          <a:avLst/>
        </a:prstGeom>
        <a:ln w="9525">
          <a:solidFill>
            <a:srgbClr val="000000"/>
          </a:solidFill>
          <a:prstDash val="solid"/>
        </a:ln>
      </xdr:spPr>
    </xdr:pic>
    <xdr:clientData/>
  </xdr:twoCellAnchor>
  <xdr:twoCellAnchor>
    <xdr:from>
      <xdr:col>3</xdr:col>
      <xdr:colOff>114300</xdr:colOff>
      <xdr:row>4050</xdr:row>
      <xdr:rowOff>28575</xdr:rowOff>
    </xdr:from>
    <xdr:to>
      <xdr:col>3</xdr:col>
      <xdr:colOff>1552575</xdr:colOff>
      <xdr:row>4053</xdr:row>
      <xdr:rowOff>209550</xdr:rowOff>
    </xdr:to>
    <xdr:pic>
      <xdr:nvPicPr>
        <xdr:cNvPr id="1456" name="Имя " descr="Descr ">
          <a:extLst>
            <a:ext uri="{FF2B5EF4-FFF2-40B4-BE49-F238E27FC236}">
              <a16:creationId xmlns:a16="http://schemas.microsoft.com/office/drawing/2014/main" id="{00000000-0008-0000-0000-0000B0050000}"/>
            </a:ext>
          </a:extLst>
        </xdr:cNvPr>
        <xdr:cNvPicPr>
          <a:picLocks noChangeAspect="1"/>
        </xdr:cNvPicPr>
      </xdr:nvPicPr>
      <xdr:blipFill>
        <a:blip xmlns:r="http://schemas.openxmlformats.org/officeDocument/2006/relationships" r:embed="rId1433"/>
        <a:stretch>
          <a:fillRect/>
        </a:stretch>
      </xdr:blipFill>
      <xdr:spPr>
        <a:prstGeom prst="rect">
          <a:avLst/>
        </a:prstGeom>
        <a:ln w="9525">
          <a:solidFill>
            <a:srgbClr val="000000"/>
          </a:solidFill>
          <a:prstDash val="solid"/>
        </a:ln>
      </xdr:spPr>
    </xdr:pic>
    <xdr:clientData/>
  </xdr:twoCellAnchor>
  <xdr:twoCellAnchor>
    <xdr:from>
      <xdr:col>3</xdr:col>
      <xdr:colOff>114300</xdr:colOff>
      <xdr:row>4054</xdr:row>
      <xdr:rowOff>28575</xdr:rowOff>
    </xdr:from>
    <xdr:to>
      <xdr:col>3</xdr:col>
      <xdr:colOff>1552575</xdr:colOff>
      <xdr:row>4059</xdr:row>
      <xdr:rowOff>209550</xdr:rowOff>
    </xdr:to>
    <xdr:pic>
      <xdr:nvPicPr>
        <xdr:cNvPr id="1457" name="Имя " descr="Descr ">
          <a:extLst>
            <a:ext uri="{FF2B5EF4-FFF2-40B4-BE49-F238E27FC236}">
              <a16:creationId xmlns:a16="http://schemas.microsoft.com/office/drawing/2014/main" id="{00000000-0008-0000-0000-0000B1050000}"/>
            </a:ext>
          </a:extLst>
        </xdr:cNvPr>
        <xdr:cNvPicPr>
          <a:picLocks noChangeAspect="1"/>
        </xdr:cNvPicPr>
      </xdr:nvPicPr>
      <xdr:blipFill>
        <a:blip xmlns:r="http://schemas.openxmlformats.org/officeDocument/2006/relationships" r:embed="rId1434"/>
        <a:stretch>
          <a:fillRect/>
        </a:stretch>
      </xdr:blipFill>
      <xdr:spPr>
        <a:prstGeom prst="rect">
          <a:avLst/>
        </a:prstGeom>
        <a:ln w="9525">
          <a:solidFill>
            <a:srgbClr val="000000"/>
          </a:solidFill>
          <a:prstDash val="solid"/>
        </a:ln>
      </xdr:spPr>
    </xdr:pic>
    <xdr:clientData/>
  </xdr:twoCellAnchor>
  <xdr:twoCellAnchor>
    <xdr:from>
      <xdr:col>3</xdr:col>
      <xdr:colOff>114300</xdr:colOff>
      <xdr:row>4060</xdr:row>
      <xdr:rowOff>28575</xdr:rowOff>
    </xdr:from>
    <xdr:to>
      <xdr:col>3</xdr:col>
      <xdr:colOff>1552575</xdr:colOff>
      <xdr:row>4060</xdr:row>
      <xdr:rowOff>1266825</xdr:rowOff>
    </xdr:to>
    <xdr:pic>
      <xdr:nvPicPr>
        <xdr:cNvPr id="1458" name="Имя " descr="Descr ">
          <a:extLst>
            <a:ext uri="{FF2B5EF4-FFF2-40B4-BE49-F238E27FC236}">
              <a16:creationId xmlns:a16="http://schemas.microsoft.com/office/drawing/2014/main" id="{00000000-0008-0000-0000-0000B2050000}"/>
            </a:ext>
          </a:extLst>
        </xdr:cNvPr>
        <xdr:cNvPicPr>
          <a:picLocks noChangeAspect="1"/>
        </xdr:cNvPicPr>
      </xdr:nvPicPr>
      <xdr:blipFill>
        <a:blip xmlns:r="http://schemas.openxmlformats.org/officeDocument/2006/relationships" r:embed="rId1435"/>
        <a:stretch>
          <a:fillRect/>
        </a:stretch>
      </xdr:blipFill>
      <xdr:spPr>
        <a:prstGeom prst="rect">
          <a:avLst/>
        </a:prstGeom>
        <a:ln w="9525">
          <a:solidFill>
            <a:srgbClr val="000000"/>
          </a:solidFill>
          <a:prstDash val="solid"/>
        </a:ln>
      </xdr:spPr>
    </xdr:pic>
    <xdr:clientData/>
  </xdr:twoCellAnchor>
  <xdr:twoCellAnchor>
    <xdr:from>
      <xdr:col>3</xdr:col>
      <xdr:colOff>114300</xdr:colOff>
      <xdr:row>4061</xdr:row>
      <xdr:rowOff>28575</xdr:rowOff>
    </xdr:from>
    <xdr:to>
      <xdr:col>3</xdr:col>
      <xdr:colOff>1552575</xdr:colOff>
      <xdr:row>4068</xdr:row>
      <xdr:rowOff>152400</xdr:rowOff>
    </xdr:to>
    <xdr:pic>
      <xdr:nvPicPr>
        <xdr:cNvPr id="1459" name="Имя " descr="Descr ">
          <a:extLst>
            <a:ext uri="{FF2B5EF4-FFF2-40B4-BE49-F238E27FC236}">
              <a16:creationId xmlns:a16="http://schemas.microsoft.com/office/drawing/2014/main" id="{00000000-0008-0000-0000-0000B3050000}"/>
            </a:ext>
          </a:extLst>
        </xdr:cNvPr>
        <xdr:cNvPicPr>
          <a:picLocks noChangeAspect="1"/>
        </xdr:cNvPicPr>
      </xdr:nvPicPr>
      <xdr:blipFill>
        <a:blip xmlns:r="http://schemas.openxmlformats.org/officeDocument/2006/relationships" r:embed="rId1436"/>
        <a:stretch>
          <a:fillRect/>
        </a:stretch>
      </xdr:blipFill>
      <xdr:spPr>
        <a:prstGeom prst="rect">
          <a:avLst/>
        </a:prstGeom>
        <a:ln w="9525">
          <a:solidFill>
            <a:srgbClr val="000000"/>
          </a:solidFill>
          <a:prstDash val="solid"/>
        </a:ln>
      </xdr:spPr>
    </xdr:pic>
    <xdr:clientData/>
  </xdr:twoCellAnchor>
  <xdr:twoCellAnchor>
    <xdr:from>
      <xdr:col>3</xdr:col>
      <xdr:colOff>114300</xdr:colOff>
      <xdr:row>4069</xdr:row>
      <xdr:rowOff>28575</xdr:rowOff>
    </xdr:from>
    <xdr:to>
      <xdr:col>3</xdr:col>
      <xdr:colOff>1552575</xdr:colOff>
      <xdr:row>4069</xdr:row>
      <xdr:rowOff>1266825</xdr:rowOff>
    </xdr:to>
    <xdr:pic>
      <xdr:nvPicPr>
        <xdr:cNvPr id="1460" name="Имя " descr="Descr ">
          <a:extLst>
            <a:ext uri="{FF2B5EF4-FFF2-40B4-BE49-F238E27FC236}">
              <a16:creationId xmlns:a16="http://schemas.microsoft.com/office/drawing/2014/main" id="{00000000-0008-0000-0000-0000B4050000}"/>
            </a:ext>
          </a:extLst>
        </xdr:cNvPr>
        <xdr:cNvPicPr>
          <a:picLocks noChangeAspect="1"/>
        </xdr:cNvPicPr>
      </xdr:nvPicPr>
      <xdr:blipFill>
        <a:blip xmlns:r="http://schemas.openxmlformats.org/officeDocument/2006/relationships" r:embed="rId1437"/>
        <a:stretch>
          <a:fillRect/>
        </a:stretch>
      </xdr:blipFill>
      <xdr:spPr>
        <a:prstGeom prst="rect">
          <a:avLst/>
        </a:prstGeom>
        <a:ln w="9525">
          <a:solidFill>
            <a:srgbClr val="000000"/>
          </a:solidFill>
          <a:prstDash val="solid"/>
        </a:ln>
      </xdr:spPr>
    </xdr:pic>
    <xdr:clientData/>
  </xdr:twoCellAnchor>
  <xdr:twoCellAnchor>
    <xdr:from>
      <xdr:col>3</xdr:col>
      <xdr:colOff>114300</xdr:colOff>
      <xdr:row>4070</xdr:row>
      <xdr:rowOff>28575</xdr:rowOff>
    </xdr:from>
    <xdr:to>
      <xdr:col>3</xdr:col>
      <xdr:colOff>1552575</xdr:colOff>
      <xdr:row>4070</xdr:row>
      <xdr:rowOff>1266825</xdr:rowOff>
    </xdr:to>
    <xdr:pic>
      <xdr:nvPicPr>
        <xdr:cNvPr id="1461" name="Имя " descr="Descr ">
          <a:extLst>
            <a:ext uri="{FF2B5EF4-FFF2-40B4-BE49-F238E27FC236}">
              <a16:creationId xmlns:a16="http://schemas.microsoft.com/office/drawing/2014/main" id="{00000000-0008-0000-0000-0000B5050000}"/>
            </a:ext>
          </a:extLst>
        </xdr:cNvPr>
        <xdr:cNvPicPr>
          <a:picLocks noChangeAspect="1"/>
        </xdr:cNvPicPr>
      </xdr:nvPicPr>
      <xdr:blipFill>
        <a:blip xmlns:r="http://schemas.openxmlformats.org/officeDocument/2006/relationships" r:embed="rId1438"/>
        <a:stretch>
          <a:fillRect/>
        </a:stretch>
      </xdr:blipFill>
      <xdr:spPr>
        <a:prstGeom prst="rect">
          <a:avLst/>
        </a:prstGeom>
        <a:ln w="9525">
          <a:solidFill>
            <a:srgbClr val="000000"/>
          </a:solidFill>
          <a:prstDash val="solid"/>
        </a:ln>
      </xdr:spPr>
    </xdr:pic>
    <xdr:clientData/>
  </xdr:twoCellAnchor>
  <xdr:twoCellAnchor>
    <xdr:from>
      <xdr:col>3</xdr:col>
      <xdr:colOff>114300</xdr:colOff>
      <xdr:row>4071</xdr:row>
      <xdr:rowOff>28575</xdr:rowOff>
    </xdr:from>
    <xdr:to>
      <xdr:col>3</xdr:col>
      <xdr:colOff>1552575</xdr:colOff>
      <xdr:row>4073</xdr:row>
      <xdr:rowOff>419100</xdr:rowOff>
    </xdr:to>
    <xdr:pic>
      <xdr:nvPicPr>
        <xdr:cNvPr id="1462" name="Имя " descr="Descr ">
          <a:extLst>
            <a:ext uri="{FF2B5EF4-FFF2-40B4-BE49-F238E27FC236}">
              <a16:creationId xmlns:a16="http://schemas.microsoft.com/office/drawing/2014/main" id="{00000000-0008-0000-0000-0000B6050000}"/>
            </a:ext>
          </a:extLst>
        </xdr:cNvPr>
        <xdr:cNvPicPr>
          <a:picLocks noChangeAspect="1"/>
        </xdr:cNvPicPr>
      </xdr:nvPicPr>
      <xdr:blipFill>
        <a:blip xmlns:r="http://schemas.openxmlformats.org/officeDocument/2006/relationships" r:embed="rId1439"/>
        <a:stretch>
          <a:fillRect/>
        </a:stretch>
      </xdr:blipFill>
      <xdr:spPr>
        <a:prstGeom prst="rect">
          <a:avLst/>
        </a:prstGeom>
        <a:ln w="9525">
          <a:solidFill>
            <a:srgbClr val="000000"/>
          </a:solidFill>
          <a:prstDash val="solid"/>
        </a:ln>
      </xdr:spPr>
    </xdr:pic>
    <xdr:clientData/>
  </xdr:twoCellAnchor>
  <xdr:twoCellAnchor>
    <xdr:from>
      <xdr:col>3</xdr:col>
      <xdr:colOff>114300</xdr:colOff>
      <xdr:row>4074</xdr:row>
      <xdr:rowOff>28575</xdr:rowOff>
    </xdr:from>
    <xdr:to>
      <xdr:col>3</xdr:col>
      <xdr:colOff>1552575</xdr:colOff>
      <xdr:row>4077</xdr:row>
      <xdr:rowOff>209550</xdr:rowOff>
    </xdr:to>
    <xdr:pic>
      <xdr:nvPicPr>
        <xdr:cNvPr id="1463" name="Имя " descr="Descr ">
          <a:extLst>
            <a:ext uri="{FF2B5EF4-FFF2-40B4-BE49-F238E27FC236}">
              <a16:creationId xmlns:a16="http://schemas.microsoft.com/office/drawing/2014/main" id="{00000000-0008-0000-0000-0000B7050000}"/>
            </a:ext>
          </a:extLst>
        </xdr:cNvPr>
        <xdr:cNvPicPr>
          <a:picLocks noChangeAspect="1"/>
        </xdr:cNvPicPr>
      </xdr:nvPicPr>
      <xdr:blipFill>
        <a:blip xmlns:r="http://schemas.openxmlformats.org/officeDocument/2006/relationships" r:embed="rId1440"/>
        <a:stretch>
          <a:fillRect/>
        </a:stretch>
      </xdr:blipFill>
      <xdr:spPr>
        <a:prstGeom prst="rect">
          <a:avLst/>
        </a:prstGeom>
        <a:ln w="9525">
          <a:solidFill>
            <a:srgbClr val="000000"/>
          </a:solidFill>
          <a:prstDash val="solid"/>
        </a:ln>
      </xdr:spPr>
    </xdr:pic>
    <xdr:clientData/>
  </xdr:twoCellAnchor>
  <xdr:twoCellAnchor>
    <xdr:from>
      <xdr:col>3</xdr:col>
      <xdr:colOff>114300</xdr:colOff>
      <xdr:row>4078</xdr:row>
      <xdr:rowOff>28575</xdr:rowOff>
    </xdr:from>
    <xdr:to>
      <xdr:col>3</xdr:col>
      <xdr:colOff>1552575</xdr:colOff>
      <xdr:row>4081</xdr:row>
      <xdr:rowOff>209550</xdr:rowOff>
    </xdr:to>
    <xdr:pic>
      <xdr:nvPicPr>
        <xdr:cNvPr id="1464" name="Имя " descr="Descr ">
          <a:extLst>
            <a:ext uri="{FF2B5EF4-FFF2-40B4-BE49-F238E27FC236}">
              <a16:creationId xmlns:a16="http://schemas.microsoft.com/office/drawing/2014/main" id="{00000000-0008-0000-0000-0000B8050000}"/>
            </a:ext>
          </a:extLst>
        </xdr:cNvPr>
        <xdr:cNvPicPr>
          <a:picLocks noChangeAspect="1"/>
        </xdr:cNvPicPr>
      </xdr:nvPicPr>
      <xdr:blipFill>
        <a:blip xmlns:r="http://schemas.openxmlformats.org/officeDocument/2006/relationships" r:embed="rId1441"/>
        <a:stretch>
          <a:fillRect/>
        </a:stretch>
      </xdr:blipFill>
      <xdr:spPr>
        <a:prstGeom prst="rect">
          <a:avLst/>
        </a:prstGeom>
        <a:ln w="9525">
          <a:solidFill>
            <a:srgbClr val="000000"/>
          </a:solidFill>
          <a:prstDash val="solid"/>
        </a:ln>
      </xdr:spPr>
    </xdr:pic>
    <xdr:clientData/>
  </xdr:twoCellAnchor>
  <xdr:twoCellAnchor>
    <xdr:from>
      <xdr:col>3</xdr:col>
      <xdr:colOff>114300</xdr:colOff>
      <xdr:row>4082</xdr:row>
      <xdr:rowOff>28575</xdr:rowOff>
    </xdr:from>
    <xdr:to>
      <xdr:col>3</xdr:col>
      <xdr:colOff>1552575</xdr:colOff>
      <xdr:row>4087</xdr:row>
      <xdr:rowOff>209550</xdr:rowOff>
    </xdr:to>
    <xdr:pic>
      <xdr:nvPicPr>
        <xdr:cNvPr id="1465" name="Имя " descr="Descr ">
          <a:extLst>
            <a:ext uri="{FF2B5EF4-FFF2-40B4-BE49-F238E27FC236}">
              <a16:creationId xmlns:a16="http://schemas.microsoft.com/office/drawing/2014/main" id="{00000000-0008-0000-0000-0000B9050000}"/>
            </a:ext>
          </a:extLst>
        </xdr:cNvPr>
        <xdr:cNvPicPr>
          <a:picLocks noChangeAspect="1"/>
        </xdr:cNvPicPr>
      </xdr:nvPicPr>
      <xdr:blipFill>
        <a:blip xmlns:r="http://schemas.openxmlformats.org/officeDocument/2006/relationships" r:embed="rId1442"/>
        <a:stretch>
          <a:fillRect/>
        </a:stretch>
      </xdr:blipFill>
      <xdr:spPr>
        <a:prstGeom prst="rect">
          <a:avLst/>
        </a:prstGeom>
        <a:ln w="9525">
          <a:solidFill>
            <a:srgbClr val="000000"/>
          </a:solidFill>
          <a:prstDash val="solid"/>
        </a:ln>
      </xdr:spPr>
    </xdr:pic>
    <xdr:clientData/>
  </xdr:twoCellAnchor>
  <xdr:twoCellAnchor>
    <xdr:from>
      <xdr:col>3</xdr:col>
      <xdr:colOff>114300</xdr:colOff>
      <xdr:row>4088</xdr:row>
      <xdr:rowOff>28575</xdr:rowOff>
    </xdr:from>
    <xdr:to>
      <xdr:col>3</xdr:col>
      <xdr:colOff>1552575</xdr:colOff>
      <xdr:row>4092</xdr:row>
      <xdr:rowOff>333375</xdr:rowOff>
    </xdr:to>
    <xdr:pic>
      <xdr:nvPicPr>
        <xdr:cNvPr id="1466" name="Имя " descr="Descr ">
          <a:extLst>
            <a:ext uri="{FF2B5EF4-FFF2-40B4-BE49-F238E27FC236}">
              <a16:creationId xmlns:a16="http://schemas.microsoft.com/office/drawing/2014/main" id="{00000000-0008-0000-0000-0000BA050000}"/>
            </a:ext>
          </a:extLst>
        </xdr:cNvPr>
        <xdr:cNvPicPr>
          <a:picLocks noChangeAspect="1"/>
        </xdr:cNvPicPr>
      </xdr:nvPicPr>
      <xdr:blipFill>
        <a:blip xmlns:r="http://schemas.openxmlformats.org/officeDocument/2006/relationships" r:embed="rId1443"/>
        <a:stretch>
          <a:fillRect/>
        </a:stretch>
      </xdr:blipFill>
      <xdr:spPr>
        <a:prstGeom prst="rect">
          <a:avLst/>
        </a:prstGeom>
        <a:ln w="9525">
          <a:solidFill>
            <a:srgbClr val="000000"/>
          </a:solidFill>
          <a:prstDash val="solid"/>
        </a:ln>
      </xdr:spPr>
    </xdr:pic>
    <xdr:clientData/>
  </xdr:twoCellAnchor>
  <xdr:twoCellAnchor>
    <xdr:from>
      <xdr:col>3</xdr:col>
      <xdr:colOff>114300</xdr:colOff>
      <xdr:row>4093</xdr:row>
      <xdr:rowOff>28575</xdr:rowOff>
    </xdr:from>
    <xdr:to>
      <xdr:col>3</xdr:col>
      <xdr:colOff>1552575</xdr:colOff>
      <xdr:row>4098</xdr:row>
      <xdr:rowOff>209550</xdr:rowOff>
    </xdr:to>
    <xdr:pic>
      <xdr:nvPicPr>
        <xdr:cNvPr id="1467" name="Имя " descr="Descr ">
          <a:extLst>
            <a:ext uri="{FF2B5EF4-FFF2-40B4-BE49-F238E27FC236}">
              <a16:creationId xmlns:a16="http://schemas.microsoft.com/office/drawing/2014/main" id="{00000000-0008-0000-0000-0000BB050000}"/>
            </a:ext>
          </a:extLst>
        </xdr:cNvPr>
        <xdr:cNvPicPr>
          <a:picLocks noChangeAspect="1"/>
        </xdr:cNvPicPr>
      </xdr:nvPicPr>
      <xdr:blipFill>
        <a:blip xmlns:r="http://schemas.openxmlformats.org/officeDocument/2006/relationships" r:embed="rId1444"/>
        <a:stretch>
          <a:fillRect/>
        </a:stretch>
      </xdr:blipFill>
      <xdr:spPr>
        <a:prstGeom prst="rect">
          <a:avLst/>
        </a:prstGeom>
        <a:ln w="9525">
          <a:solidFill>
            <a:srgbClr val="000000"/>
          </a:solidFill>
          <a:prstDash val="solid"/>
        </a:ln>
      </xdr:spPr>
    </xdr:pic>
    <xdr:clientData/>
  </xdr:twoCellAnchor>
  <xdr:twoCellAnchor>
    <xdr:from>
      <xdr:col>3</xdr:col>
      <xdr:colOff>114300</xdr:colOff>
      <xdr:row>4099</xdr:row>
      <xdr:rowOff>28575</xdr:rowOff>
    </xdr:from>
    <xdr:to>
      <xdr:col>3</xdr:col>
      <xdr:colOff>1552575</xdr:colOff>
      <xdr:row>4105</xdr:row>
      <xdr:rowOff>171450</xdr:rowOff>
    </xdr:to>
    <xdr:pic>
      <xdr:nvPicPr>
        <xdr:cNvPr id="1468" name="Имя " descr="Descr ">
          <a:extLst>
            <a:ext uri="{FF2B5EF4-FFF2-40B4-BE49-F238E27FC236}">
              <a16:creationId xmlns:a16="http://schemas.microsoft.com/office/drawing/2014/main" id="{00000000-0008-0000-0000-0000BC050000}"/>
            </a:ext>
          </a:extLst>
        </xdr:cNvPr>
        <xdr:cNvPicPr>
          <a:picLocks noChangeAspect="1"/>
        </xdr:cNvPicPr>
      </xdr:nvPicPr>
      <xdr:blipFill>
        <a:blip xmlns:r="http://schemas.openxmlformats.org/officeDocument/2006/relationships" r:embed="rId1445"/>
        <a:stretch>
          <a:fillRect/>
        </a:stretch>
      </xdr:blipFill>
      <xdr:spPr>
        <a:prstGeom prst="rect">
          <a:avLst/>
        </a:prstGeom>
        <a:ln w="9525">
          <a:solidFill>
            <a:srgbClr val="000000"/>
          </a:solidFill>
          <a:prstDash val="solid"/>
        </a:ln>
      </xdr:spPr>
    </xdr:pic>
    <xdr:clientData/>
  </xdr:twoCellAnchor>
  <xdr:twoCellAnchor>
    <xdr:from>
      <xdr:col>3</xdr:col>
      <xdr:colOff>114300</xdr:colOff>
      <xdr:row>4106</xdr:row>
      <xdr:rowOff>28575</xdr:rowOff>
    </xdr:from>
    <xdr:to>
      <xdr:col>3</xdr:col>
      <xdr:colOff>1552575</xdr:colOff>
      <xdr:row>4110</xdr:row>
      <xdr:rowOff>333375</xdr:rowOff>
    </xdr:to>
    <xdr:pic>
      <xdr:nvPicPr>
        <xdr:cNvPr id="1469" name="Имя " descr="Descr ">
          <a:extLst>
            <a:ext uri="{FF2B5EF4-FFF2-40B4-BE49-F238E27FC236}">
              <a16:creationId xmlns:a16="http://schemas.microsoft.com/office/drawing/2014/main" id="{00000000-0008-0000-0000-0000BD050000}"/>
            </a:ext>
          </a:extLst>
        </xdr:cNvPr>
        <xdr:cNvPicPr>
          <a:picLocks noChangeAspect="1"/>
        </xdr:cNvPicPr>
      </xdr:nvPicPr>
      <xdr:blipFill>
        <a:blip xmlns:r="http://schemas.openxmlformats.org/officeDocument/2006/relationships" r:embed="rId1446"/>
        <a:stretch>
          <a:fillRect/>
        </a:stretch>
      </xdr:blipFill>
      <xdr:spPr>
        <a:prstGeom prst="rect">
          <a:avLst/>
        </a:prstGeom>
        <a:ln w="9525">
          <a:solidFill>
            <a:srgbClr val="000000"/>
          </a:solidFill>
          <a:prstDash val="solid"/>
        </a:ln>
      </xdr:spPr>
    </xdr:pic>
    <xdr:clientData/>
  </xdr:twoCellAnchor>
  <xdr:twoCellAnchor>
    <xdr:from>
      <xdr:col>3</xdr:col>
      <xdr:colOff>114300</xdr:colOff>
      <xdr:row>4111</xdr:row>
      <xdr:rowOff>28575</xdr:rowOff>
    </xdr:from>
    <xdr:to>
      <xdr:col>3</xdr:col>
      <xdr:colOff>1552575</xdr:colOff>
      <xdr:row>4116</xdr:row>
      <xdr:rowOff>209550</xdr:rowOff>
    </xdr:to>
    <xdr:pic>
      <xdr:nvPicPr>
        <xdr:cNvPr id="1470" name="Имя " descr="Descr ">
          <a:extLst>
            <a:ext uri="{FF2B5EF4-FFF2-40B4-BE49-F238E27FC236}">
              <a16:creationId xmlns:a16="http://schemas.microsoft.com/office/drawing/2014/main" id="{00000000-0008-0000-0000-0000BE050000}"/>
            </a:ext>
          </a:extLst>
        </xdr:cNvPr>
        <xdr:cNvPicPr>
          <a:picLocks noChangeAspect="1"/>
        </xdr:cNvPicPr>
      </xdr:nvPicPr>
      <xdr:blipFill>
        <a:blip xmlns:r="http://schemas.openxmlformats.org/officeDocument/2006/relationships" r:embed="rId1447"/>
        <a:stretch>
          <a:fillRect/>
        </a:stretch>
      </xdr:blipFill>
      <xdr:spPr>
        <a:prstGeom prst="rect">
          <a:avLst/>
        </a:prstGeom>
        <a:ln w="9525">
          <a:solidFill>
            <a:srgbClr val="000000"/>
          </a:solidFill>
          <a:prstDash val="solid"/>
        </a:ln>
      </xdr:spPr>
    </xdr:pic>
    <xdr:clientData/>
  </xdr:twoCellAnchor>
  <xdr:twoCellAnchor>
    <xdr:from>
      <xdr:col>3</xdr:col>
      <xdr:colOff>114300</xdr:colOff>
      <xdr:row>4117</xdr:row>
      <xdr:rowOff>28575</xdr:rowOff>
    </xdr:from>
    <xdr:to>
      <xdr:col>3</xdr:col>
      <xdr:colOff>1552575</xdr:colOff>
      <xdr:row>4119</xdr:row>
      <xdr:rowOff>419100</xdr:rowOff>
    </xdr:to>
    <xdr:pic>
      <xdr:nvPicPr>
        <xdr:cNvPr id="1471" name="Имя " descr="Descr ">
          <a:extLst>
            <a:ext uri="{FF2B5EF4-FFF2-40B4-BE49-F238E27FC236}">
              <a16:creationId xmlns:a16="http://schemas.microsoft.com/office/drawing/2014/main" id="{00000000-0008-0000-0000-0000BF050000}"/>
            </a:ext>
          </a:extLst>
        </xdr:cNvPr>
        <xdr:cNvPicPr>
          <a:picLocks noChangeAspect="1"/>
        </xdr:cNvPicPr>
      </xdr:nvPicPr>
      <xdr:blipFill>
        <a:blip xmlns:r="http://schemas.openxmlformats.org/officeDocument/2006/relationships" r:embed="rId1448"/>
        <a:stretch>
          <a:fillRect/>
        </a:stretch>
      </xdr:blipFill>
      <xdr:spPr>
        <a:prstGeom prst="rect">
          <a:avLst/>
        </a:prstGeom>
        <a:ln w="9525">
          <a:solidFill>
            <a:srgbClr val="000000"/>
          </a:solidFill>
          <a:prstDash val="solid"/>
        </a:ln>
      </xdr:spPr>
    </xdr:pic>
    <xdr:clientData/>
  </xdr:twoCellAnchor>
  <xdr:twoCellAnchor>
    <xdr:from>
      <xdr:col>3</xdr:col>
      <xdr:colOff>114300</xdr:colOff>
      <xdr:row>4120</xdr:row>
      <xdr:rowOff>28575</xdr:rowOff>
    </xdr:from>
    <xdr:to>
      <xdr:col>3</xdr:col>
      <xdr:colOff>1552575</xdr:colOff>
      <xdr:row>4124</xdr:row>
      <xdr:rowOff>333375</xdr:rowOff>
    </xdr:to>
    <xdr:pic>
      <xdr:nvPicPr>
        <xdr:cNvPr id="1472" name="Имя " descr="Descr ">
          <a:extLst>
            <a:ext uri="{FF2B5EF4-FFF2-40B4-BE49-F238E27FC236}">
              <a16:creationId xmlns:a16="http://schemas.microsoft.com/office/drawing/2014/main" id="{00000000-0008-0000-0000-0000C0050000}"/>
            </a:ext>
          </a:extLst>
        </xdr:cNvPr>
        <xdr:cNvPicPr>
          <a:picLocks noChangeAspect="1"/>
        </xdr:cNvPicPr>
      </xdr:nvPicPr>
      <xdr:blipFill>
        <a:blip xmlns:r="http://schemas.openxmlformats.org/officeDocument/2006/relationships" r:embed="rId1449"/>
        <a:stretch>
          <a:fillRect/>
        </a:stretch>
      </xdr:blipFill>
      <xdr:spPr>
        <a:prstGeom prst="rect">
          <a:avLst/>
        </a:prstGeom>
        <a:ln w="9525">
          <a:solidFill>
            <a:srgbClr val="000000"/>
          </a:solidFill>
          <a:prstDash val="solid"/>
        </a:ln>
      </xdr:spPr>
    </xdr:pic>
    <xdr:clientData/>
  </xdr:twoCellAnchor>
  <xdr:twoCellAnchor>
    <xdr:from>
      <xdr:col>3</xdr:col>
      <xdr:colOff>114300</xdr:colOff>
      <xdr:row>4125</xdr:row>
      <xdr:rowOff>28575</xdr:rowOff>
    </xdr:from>
    <xdr:to>
      <xdr:col>3</xdr:col>
      <xdr:colOff>1552575</xdr:colOff>
      <xdr:row>4128</xdr:row>
      <xdr:rowOff>209550</xdr:rowOff>
    </xdr:to>
    <xdr:pic>
      <xdr:nvPicPr>
        <xdr:cNvPr id="1473" name="Имя " descr="Descr ">
          <a:extLst>
            <a:ext uri="{FF2B5EF4-FFF2-40B4-BE49-F238E27FC236}">
              <a16:creationId xmlns:a16="http://schemas.microsoft.com/office/drawing/2014/main" id="{00000000-0008-0000-0000-0000C1050000}"/>
            </a:ext>
          </a:extLst>
        </xdr:cNvPr>
        <xdr:cNvPicPr>
          <a:picLocks noChangeAspect="1"/>
        </xdr:cNvPicPr>
      </xdr:nvPicPr>
      <xdr:blipFill>
        <a:blip xmlns:r="http://schemas.openxmlformats.org/officeDocument/2006/relationships" r:embed="rId1450"/>
        <a:stretch>
          <a:fillRect/>
        </a:stretch>
      </xdr:blipFill>
      <xdr:spPr>
        <a:prstGeom prst="rect">
          <a:avLst/>
        </a:prstGeom>
        <a:ln w="9525">
          <a:solidFill>
            <a:srgbClr val="000000"/>
          </a:solidFill>
          <a:prstDash val="solid"/>
        </a:ln>
      </xdr:spPr>
    </xdr:pic>
    <xdr:clientData/>
  </xdr:twoCellAnchor>
  <xdr:twoCellAnchor>
    <xdr:from>
      <xdr:col>3</xdr:col>
      <xdr:colOff>114300</xdr:colOff>
      <xdr:row>4129</xdr:row>
      <xdr:rowOff>28575</xdr:rowOff>
    </xdr:from>
    <xdr:to>
      <xdr:col>3</xdr:col>
      <xdr:colOff>1552575</xdr:colOff>
      <xdr:row>4129</xdr:row>
      <xdr:rowOff>1266825</xdr:rowOff>
    </xdr:to>
    <xdr:pic>
      <xdr:nvPicPr>
        <xdr:cNvPr id="1474" name="Имя " descr="Descr ">
          <a:extLst>
            <a:ext uri="{FF2B5EF4-FFF2-40B4-BE49-F238E27FC236}">
              <a16:creationId xmlns:a16="http://schemas.microsoft.com/office/drawing/2014/main" id="{00000000-0008-0000-0000-0000C2050000}"/>
            </a:ext>
          </a:extLst>
        </xdr:cNvPr>
        <xdr:cNvPicPr>
          <a:picLocks noChangeAspect="1"/>
        </xdr:cNvPicPr>
      </xdr:nvPicPr>
      <xdr:blipFill>
        <a:blip xmlns:r="http://schemas.openxmlformats.org/officeDocument/2006/relationships" r:embed="rId1451"/>
        <a:stretch>
          <a:fillRect/>
        </a:stretch>
      </xdr:blipFill>
      <xdr:spPr>
        <a:prstGeom prst="rect">
          <a:avLst/>
        </a:prstGeom>
        <a:ln w="9525">
          <a:solidFill>
            <a:srgbClr val="000000"/>
          </a:solidFill>
          <a:prstDash val="solid"/>
        </a:ln>
      </xdr:spPr>
    </xdr:pic>
    <xdr:clientData/>
  </xdr:twoCellAnchor>
  <xdr:twoCellAnchor>
    <xdr:from>
      <xdr:col>3</xdr:col>
      <xdr:colOff>114300</xdr:colOff>
      <xdr:row>4130</xdr:row>
      <xdr:rowOff>28575</xdr:rowOff>
    </xdr:from>
    <xdr:to>
      <xdr:col>3</xdr:col>
      <xdr:colOff>1552575</xdr:colOff>
      <xdr:row>4130</xdr:row>
      <xdr:rowOff>1266825</xdr:rowOff>
    </xdr:to>
    <xdr:pic>
      <xdr:nvPicPr>
        <xdr:cNvPr id="1475" name="Имя " descr="Descr ">
          <a:extLst>
            <a:ext uri="{FF2B5EF4-FFF2-40B4-BE49-F238E27FC236}">
              <a16:creationId xmlns:a16="http://schemas.microsoft.com/office/drawing/2014/main" id="{00000000-0008-0000-0000-0000C3050000}"/>
            </a:ext>
          </a:extLst>
        </xdr:cNvPr>
        <xdr:cNvPicPr>
          <a:picLocks noChangeAspect="1"/>
        </xdr:cNvPicPr>
      </xdr:nvPicPr>
      <xdr:blipFill>
        <a:blip xmlns:r="http://schemas.openxmlformats.org/officeDocument/2006/relationships" r:embed="rId1452"/>
        <a:stretch>
          <a:fillRect/>
        </a:stretch>
      </xdr:blipFill>
      <xdr:spPr>
        <a:prstGeom prst="rect">
          <a:avLst/>
        </a:prstGeom>
        <a:ln w="9525">
          <a:solidFill>
            <a:srgbClr val="000000"/>
          </a:solidFill>
          <a:prstDash val="solid"/>
        </a:ln>
      </xdr:spPr>
    </xdr:pic>
    <xdr:clientData/>
  </xdr:twoCellAnchor>
  <xdr:twoCellAnchor>
    <xdr:from>
      <xdr:col>3</xdr:col>
      <xdr:colOff>114300</xdr:colOff>
      <xdr:row>4131</xdr:row>
      <xdr:rowOff>28575</xdr:rowOff>
    </xdr:from>
    <xdr:to>
      <xdr:col>3</xdr:col>
      <xdr:colOff>1552575</xdr:colOff>
      <xdr:row>4131</xdr:row>
      <xdr:rowOff>1266825</xdr:rowOff>
    </xdr:to>
    <xdr:pic>
      <xdr:nvPicPr>
        <xdr:cNvPr id="1476" name="Имя " descr="Descr ">
          <a:extLst>
            <a:ext uri="{FF2B5EF4-FFF2-40B4-BE49-F238E27FC236}">
              <a16:creationId xmlns:a16="http://schemas.microsoft.com/office/drawing/2014/main" id="{00000000-0008-0000-0000-0000C4050000}"/>
            </a:ext>
          </a:extLst>
        </xdr:cNvPr>
        <xdr:cNvPicPr>
          <a:picLocks noChangeAspect="1"/>
        </xdr:cNvPicPr>
      </xdr:nvPicPr>
      <xdr:blipFill>
        <a:blip xmlns:r="http://schemas.openxmlformats.org/officeDocument/2006/relationships" r:embed="rId1453"/>
        <a:stretch>
          <a:fillRect/>
        </a:stretch>
      </xdr:blipFill>
      <xdr:spPr>
        <a:prstGeom prst="rect">
          <a:avLst/>
        </a:prstGeom>
        <a:ln w="9525">
          <a:solidFill>
            <a:srgbClr val="000000"/>
          </a:solidFill>
          <a:prstDash val="solid"/>
        </a:ln>
      </xdr:spPr>
    </xdr:pic>
    <xdr:clientData/>
  </xdr:twoCellAnchor>
  <xdr:twoCellAnchor>
    <xdr:from>
      <xdr:col>3</xdr:col>
      <xdr:colOff>114300</xdr:colOff>
      <xdr:row>4132</xdr:row>
      <xdr:rowOff>38100</xdr:rowOff>
    </xdr:from>
    <xdr:to>
      <xdr:col>3</xdr:col>
      <xdr:colOff>1552575</xdr:colOff>
      <xdr:row>4133</xdr:row>
      <xdr:rowOff>638175</xdr:rowOff>
    </xdr:to>
    <xdr:pic>
      <xdr:nvPicPr>
        <xdr:cNvPr id="1477" name="Имя " descr="Descr ">
          <a:extLst>
            <a:ext uri="{FF2B5EF4-FFF2-40B4-BE49-F238E27FC236}">
              <a16:creationId xmlns:a16="http://schemas.microsoft.com/office/drawing/2014/main" id="{00000000-0008-0000-0000-0000C5050000}"/>
            </a:ext>
          </a:extLst>
        </xdr:cNvPr>
        <xdr:cNvPicPr>
          <a:picLocks noChangeAspect="1"/>
        </xdr:cNvPicPr>
      </xdr:nvPicPr>
      <xdr:blipFill>
        <a:blip xmlns:r="http://schemas.openxmlformats.org/officeDocument/2006/relationships" r:embed="rId1454"/>
        <a:stretch>
          <a:fillRect/>
        </a:stretch>
      </xdr:blipFill>
      <xdr:spPr>
        <a:prstGeom prst="rect">
          <a:avLst/>
        </a:prstGeom>
        <a:ln w="9525">
          <a:solidFill>
            <a:srgbClr val="000000"/>
          </a:solidFill>
          <a:prstDash val="solid"/>
        </a:ln>
      </xdr:spPr>
    </xdr:pic>
    <xdr:clientData/>
  </xdr:twoCellAnchor>
  <xdr:twoCellAnchor>
    <xdr:from>
      <xdr:col>3</xdr:col>
      <xdr:colOff>114300</xdr:colOff>
      <xdr:row>4134</xdr:row>
      <xdr:rowOff>28575</xdr:rowOff>
    </xdr:from>
    <xdr:to>
      <xdr:col>3</xdr:col>
      <xdr:colOff>1552575</xdr:colOff>
      <xdr:row>4137</xdr:row>
      <xdr:rowOff>209550</xdr:rowOff>
    </xdr:to>
    <xdr:pic>
      <xdr:nvPicPr>
        <xdr:cNvPr id="1478" name="Имя " descr="Descr ">
          <a:extLst>
            <a:ext uri="{FF2B5EF4-FFF2-40B4-BE49-F238E27FC236}">
              <a16:creationId xmlns:a16="http://schemas.microsoft.com/office/drawing/2014/main" id="{00000000-0008-0000-0000-0000C6050000}"/>
            </a:ext>
          </a:extLst>
        </xdr:cNvPr>
        <xdr:cNvPicPr>
          <a:picLocks noChangeAspect="1"/>
        </xdr:cNvPicPr>
      </xdr:nvPicPr>
      <xdr:blipFill>
        <a:blip xmlns:r="http://schemas.openxmlformats.org/officeDocument/2006/relationships" r:embed="rId1455"/>
        <a:stretch>
          <a:fillRect/>
        </a:stretch>
      </xdr:blipFill>
      <xdr:spPr>
        <a:prstGeom prst="rect">
          <a:avLst/>
        </a:prstGeom>
        <a:ln w="9525">
          <a:solidFill>
            <a:srgbClr val="000000"/>
          </a:solidFill>
          <a:prstDash val="solid"/>
        </a:ln>
      </xdr:spPr>
    </xdr:pic>
    <xdr:clientData/>
  </xdr:twoCellAnchor>
  <xdr:twoCellAnchor>
    <xdr:from>
      <xdr:col>3</xdr:col>
      <xdr:colOff>114300</xdr:colOff>
      <xdr:row>4138</xdr:row>
      <xdr:rowOff>38100</xdr:rowOff>
    </xdr:from>
    <xdr:to>
      <xdr:col>3</xdr:col>
      <xdr:colOff>1552575</xdr:colOff>
      <xdr:row>4139</xdr:row>
      <xdr:rowOff>638175</xdr:rowOff>
    </xdr:to>
    <xdr:pic>
      <xdr:nvPicPr>
        <xdr:cNvPr id="1479" name="Имя " descr="Descr ">
          <a:extLst>
            <a:ext uri="{FF2B5EF4-FFF2-40B4-BE49-F238E27FC236}">
              <a16:creationId xmlns:a16="http://schemas.microsoft.com/office/drawing/2014/main" id="{00000000-0008-0000-0000-0000C7050000}"/>
            </a:ext>
          </a:extLst>
        </xdr:cNvPr>
        <xdr:cNvPicPr>
          <a:picLocks noChangeAspect="1"/>
        </xdr:cNvPicPr>
      </xdr:nvPicPr>
      <xdr:blipFill>
        <a:blip xmlns:r="http://schemas.openxmlformats.org/officeDocument/2006/relationships" r:embed="rId1456"/>
        <a:stretch>
          <a:fillRect/>
        </a:stretch>
      </xdr:blipFill>
      <xdr:spPr>
        <a:prstGeom prst="rect">
          <a:avLst/>
        </a:prstGeom>
        <a:ln w="9525">
          <a:solidFill>
            <a:srgbClr val="000000"/>
          </a:solidFill>
          <a:prstDash val="solid"/>
        </a:ln>
      </xdr:spPr>
    </xdr:pic>
    <xdr:clientData/>
  </xdr:twoCellAnchor>
  <xdr:twoCellAnchor>
    <xdr:from>
      <xdr:col>3</xdr:col>
      <xdr:colOff>114300</xdr:colOff>
      <xdr:row>4140</xdr:row>
      <xdr:rowOff>28575</xdr:rowOff>
    </xdr:from>
    <xdr:to>
      <xdr:col>3</xdr:col>
      <xdr:colOff>1552575</xdr:colOff>
      <xdr:row>4142</xdr:row>
      <xdr:rowOff>419100</xdr:rowOff>
    </xdr:to>
    <xdr:pic>
      <xdr:nvPicPr>
        <xdr:cNvPr id="1480" name="Имя " descr="Descr ">
          <a:extLst>
            <a:ext uri="{FF2B5EF4-FFF2-40B4-BE49-F238E27FC236}">
              <a16:creationId xmlns:a16="http://schemas.microsoft.com/office/drawing/2014/main" id="{00000000-0008-0000-0000-0000C8050000}"/>
            </a:ext>
          </a:extLst>
        </xdr:cNvPr>
        <xdr:cNvPicPr>
          <a:picLocks noChangeAspect="1"/>
        </xdr:cNvPicPr>
      </xdr:nvPicPr>
      <xdr:blipFill>
        <a:blip xmlns:r="http://schemas.openxmlformats.org/officeDocument/2006/relationships" r:embed="rId1457"/>
        <a:stretch>
          <a:fillRect/>
        </a:stretch>
      </xdr:blipFill>
      <xdr:spPr>
        <a:prstGeom prst="rect">
          <a:avLst/>
        </a:prstGeom>
        <a:ln w="9525">
          <a:solidFill>
            <a:srgbClr val="000000"/>
          </a:solidFill>
          <a:prstDash val="solid"/>
        </a:ln>
      </xdr:spPr>
    </xdr:pic>
    <xdr:clientData/>
  </xdr:twoCellAnchor>
  <xdr:twoCellAnchor>
    <xdr:from>
      <xdr:col>3</xdr:col>
      <xdr:colOff>114300</xdr:colOff>
      <xdr:row>4143</xdr:row>
      <xdr:rowOff>28575</xdr:rowOff>
    </xdr:from>
    <xdr:to>
      <xdr:col>3</xdr:col>
      <xdr:colOff>1552575</xdr:colOff>
      <xdr:row>4145</xdr:row>
      <xdr:rowOff>419100</xdr:rowOff>
    </xdr:to>
    <xdr:pic>
      <xdr:nvPicPr>
        <xdr:cNvPr id="1481" name="Имя " descr="Descr ">
          <a:extLst>
            <a:ext uri="{FF2B5EF4-FFF2-40B4-BE49-F238E27FC236}">
              <a16:creationId xmlns:a16="http://schemas.microsoft.com/office/drawing/2014/main" id="{00000000-0008-0000-0000-0000C9050000}"/>
            </a:ext>
          </a:extLst>
        </xdr:cNvPr>
        <xdr:cNvPicPr>
          <a:picLocks noChangeAspect="1"/>
        </xdr:cNvPicPr>
      </xdr:nvPicPr>
      <xdr:blipFill>
        <a:blip xmlns:r="http://schemas.openxmlformats.org/officeDocument/2006/relationships" r:embed="rId1458"/>
        <a:stretch>
          <a:fillRect/>
        </a:stretch>
      </xdr:blipFill>
      <xdr:spPr>
        <a:prstGeom prst="rect">
          <a:avLst/>
        </a:prstGeom>
        <a:ln w="9525">
          <a:solidFill>
            <a:srgbClr val="000000"/>
          </a:solidFill>
          <a:prstDash val="solid"/>
        </a:ln>
      </xdr:spPr>
    </xdr:pic>
    <xdr:clientData/>
  </xdr:twoCellAnchor>
  <xdr:twoCellAnchor>
    <xdr:from>
      <xdr:col>3</xdr:col>
      <xdr:colOff>114300</xdr:colOff>
      <xdr:row>4146</xdr:row>
      <xdr:rowOff>28575</xdr:rowOff>
    </xdr:from>
    <xdr:to>
      <xdr:col>3</xdr:col>
      <xdr:colOff>1552575</xdr:colOff>
      <xdr:row>4150</xdr:row>
      <xdr:rowOff>333375</xdr:rowOff>
    </xdr:to>
    <xdr:pic>
      <xdr:nvPicPr>
        <xdr:cNvPr id="1482" name="Имя " descr="Descr ">
          <a:extLst>
            <a:ext uri="{FF2B5EF4-FFF2-40B4-BE49-F238E27FC236}">
              <a16:creationId xmlns:a16="http://schemas.microsoft.com/office/drawing/2014/main" id="{00000000-0008-0000-0000-0000CA050000}"/>
            </a:ext>
          </a:extLst>
        </xdr:cNvPr>
        <xdr:cNvPicPr>
          <a:picLocks noChangeAspect="1"/>
        </xdr:cNvPicPr>
      </xdr:nvPicPr>
      <xdr:blipFill>
        <a:blip xmlns:r="http://schemas.openxmlformats.org/officeDocument/2006/relationships" r:embed="rId1459"/>
        <a:stretch>
          <a:fillRect/>
        </a:stretch>
      </xdr:blipFill>
      <xdr:spPr>
        <a:prstGeom prst="rect">
          <a:avLst/>
        </a:prstGeom>
        <a:ln w="9525">
          <a:solidFill>
            <a:srgbClr val="000000"/>
          </a:solidFill>
          <a:prstDash val="solid"/>
        </a:ln>
      </xdr:spPr>
    </xdr:pic>
    <xdr:clientData/>
  </xdr:twoCellAnchor>
  <xdr:twoCellAnchor>
    <xdr:from>
      <xdr:col>3</xdr:col>
      <xdr:colOff>114300</xdr:colOff>
      <xdr:row>4151</xdr:row>
      <xdr:rowOff>28575</xdr:rowOff>
    </xdr:from>
    <xdr:to>
      <xdr:col>3</xdr:col>
      <xdr:colOff>1552575</xdr:colOff>
      <xdr:row>4151</xdr:row>
      <xdr:rowOff>1266825</xdr:rowOff>
    </xdr:to>
    <xdr:pic>
      <xdr:nvPicPr>
        <xdr:cNvPr id="1483" name="Имя " descr="Descr ">
          <a:extLst>
            <a:ext uri="{FF2B5EF4-FFF2-40B4-BE49-F238E27FC236}">
              <a16:creationId xmlns:a16="http://schemas.microsoft.com/office/drawing/2014/main" id="{00000000-0008-0000-0000-0000CB050000}"/>
            </a:ext>
          </a:extLst>
        </xdr:cNvPr>
        <xdr:cNvPicPr>
          <a:picLocks noChangeAspect="1"/>
        </xdr:cNvPicPr>
      </xdr:nvPicPr>
      <xdr:blipFill>
        <a:blip xmlns:r="http://schemas.openxmlformats.org/officeDocument/2006/relationships" r:embed="rId1460"/>
        <a:stretch>
          <a:fillRect/>
        </a:stretch>
      </xdr:blipFill>
      <xdr:spPr>
        <a:prstGeom prst="rect">
          <a:avLst/>
        </a:prstGeom>
        <a:ln w="9525">
          <a:solidFill>
            <a:srgbClr val="000000"/>
          </a:solidFill>
          <a:prstDash val="solid"/>
        </a:ln>
      </xdr:spPr>
    </xdr:pic>
    <xdr:clientData/>
  </xdr:twoCellAnchor>
  <xdr:twoCellAnchor>
    <xdr:from>
      <xdr:col>3</xdr:col>
      <xdr:colOff>114300</xdr:colOff>
      <xdr:row>4152</xdr:row>
      <xdr:rowOff>28575</xdr:rowOff>
    </xdr:from>
    <xdr:to>
      <xdr:col>3</xdr:col>
      <xdr:colOff>1552575</xdr:colOff>
      <xdr:row>4156</xdr:row>
      <xdr:rowOff>333375</xdr:rowOff>
    </xdr:to>
    <xdr:pic>
      <xdr:nvPicPr>
        <xdr:cNvPr id="1484" name="Имя " descr="Descr ">
          <a:extLst>
            <a:ext uri="{FF2B5EF4-FFF2-40B4-BE49-F238E27FC236}">
              <a16:creationId xmlns:a16="http://schemas.microsoft.com/office/drawing/2014/main" id="{00000000-0008-0000-0000-0000CC050000}"/>
            </a:ext>
          </a:extLst>
        </xdr:cNvPr>
        <xdr:cNvPicPr>
          <a:picLocks noChangeAspect="1"/>
        </xdr:cNvPicPr>
      </xdr:nvPicPr>
      <xdr:blipFill>
        <a:blip xmlns:r="http://schemas.openxmlformats.org/officeDocument/2006/relationships" r:embed="rId1461"/>
        <a:stretch>
          <a:fillRect/>
        </a:stretch>
      </xdr:blipFill>
      <xdr:spPr>
        <a:prstGeom prst="rect">
          <a:avLst/>
        </a:prstGeom>
        <a:ln w="9525">
          <a:solidFill>
            <a:srgbClr val="000000"/>
          </a:solidFill>
          <a:prstDash val="solid"/>
        </a:ln>
      </xdr:spPr>
    </xdr:pic>
    <xdr:clientData/>
  </xdr:twoCellAnchor>
  <xdr:twoCellAnchor>
    <xdr:from>
      <xdr:col>3</xdr:col>
      <xdr:colOff>114300</xdr:colOff>
      <xdr:row>4157</xdr:row>
      <xdr:rowOff>28575</xdr:rowOff>
    </xdr:from>
    <xdr:to>
      <xdr:col>3</xdr:col>
      <xdr:colOff>1552575</xdr:colOff>
      <xdr:row>4157</xdr:row>
      <xdr:rowOff>1266825</xdr:rowOff>
    </xdr:to>
    <xdr:pic>
      <xdr:nvPicPr>
        <xdr:cNvPr id="1485" name="Имя " descr="Descr ">
          <a:extLst>
            <a:ext uri="{FF2B5EF4-FFF2-40B4-BE49-F238E27FC236}">
              <a16:creationId xmlns:a16="http://schemas.microsoft.com/office/drawing/2014/main" id="{00000000-0008-0000-0000-0000CD050000}"/>
            </a:ext>
          </a:extLst>
        </xdr:cNvPr>
        <xdr:cNvPicPr>
          <a:picLocks noChangeAspect="1"/>
        </xdr:cNvPicPr>
      </xdr:nvPicPr>
      <xdr:blipFill>
        <a:blip xmlns:r="http://schemas.openxmlformats.org/officeDocument/2006/relationships" r:embed="rId1462"/>
        <a:stretch>
          <a:fillRect/>
        </a:stretch>
      </xdr:blipFill>
      <xdr:spPr>
        <a:prstGeom prst="rect">
          <a:avLst/>
        </a:prstGeom>
        <a:ln w="9525">
          <a:solidFill>
            <a:srgbClr val="000000"/>
          </a:solidFill>
          <a:prstDash val="solid"/>
        </a:ln>
      </xdr:spPr>
    </xdr:pic>
    <xdr:clientData/>
  </xdr:twoCellAnchor>
  <xdr:twoCellAnchor>
    <xdr:from>
      <xdr:col>3</xdr:col>
      <xdr:colOff>114300</xdr:colOff>
      <xdr:row>4158</xdr:row>
      <xdr:rowOff>28575</xdr:rowOff>
    </xdr:from>
    <xdr:to>
      <xdr:col>3</xdr:col>
      <xdr:colOff>1552575</xdr:colOff>
      <xdr:row>4161</xdr:row>
      <xdr:rowOff>209550</xdr:rowOff>
    </xdr:to>
    <xdr:pic>
      <xdr:nvPicPr>
        <xdr:cNvPr id="1486" name="Имя " descr="Descr ">
          <a:extLst>
            <a:ext uri="{FF2B5EF4-FFF2-40B4-BE49-F238E27FC236}">
              <a16:creationId xmlns:a16="http://schemas.microsoft.com/office/drawing/2014/main" id="{00000000-0008-0000-0000-0000CE050000}"/>
            </a:ext>
          </a:extLst>
        </xdr:cNvPr>
        <xdr:cNvPicPr>
          <a:picLocks noChangeAspect="1"/>
        </xdr:cNvPicPr>
      </xdr:nvPicPr>
      <xdr:blipFill>
        <a:blip xmlns:r="http://schemas.openxmlformats.org/officeDocument/2006/relationships" r:embed="rId1463"/>
        <a:stretch>
          <a:fillRect/>
        </a:stretch>
      </xdr:blipFill>
      <xdr:spPr>
        <a:prstGeom prst="rect">
          <a:avLst/>
        </a:prstGeom>
        <a:ln w="9525">
          <a:solidFill>
            <a:srgbClr val="000000"/>
          </a:solidFill>
          <a:prstDash val="solid"/>
        </a:ln>
      </xdr:spPr>
    </xdr:pic>
    <xdr:clientData/>
  </xdr:twoCellAnchor>
  <xdr:twoCellAnchor>
    <xdr:from>
      <xdr:col>3</xdr:col>
      <xdr:colOff>114300</xdr:colOff>
      <xdr:row>4162</xdr:row>
      <xdr:rowOff>28575</xdr:rowOff>
    </xdr:from>
    <xdr:to>
      <xdr:col>3</xdr:col>
      <xdr:colOff>1552575</xdr:colOff>
      <xdr:row>4162</xdr:row>
      <xdr:rowOff>1266825</xdr:rowOff>
    </xdr:to>
    <xdr:pic>
      <xdr:nvPicPr>
        <xdr:cNvPr id="1487" name="Имя " descr="Descr ">
          <a:extLst>
            <a:ext uri="{FF2B5EF4-FFF2-40B4-BE49-F238E27FC236}">
              <a16:creationId xmlns:a16="http://schemas.microsoft.com/office/drawing/2014/main" id="{00000000-0008-0000-0000-0000CF050000}"/>
            </a:ext>
          </a:extLst>
        </xdr:cNvPr>
        <xdr:cNvPicPr>
          <a:picLocks noChangeAspect="1"/>
        </xdr:cNvPicPr>
      </xdr:nvPicPr>
      <xdr:blipFill>
        <a:blip xmlns:r="http://schemas.openxmlformats.org/officeDocument/2006/relationships" r:embed="rId1464"/>
        <a:stretch>
          <a:fillRect/>
        </a:stretch>
      </xdr:blipFill>
      <xdr:spPr>
        <a:prstGeom prst="rect">
          <a:avLst/>
        </a:prstGeom>
        <a:ln w="9525">
          <a:solidFill>
            <a:srgbClr val="000000"/>
          </a:solidFill>
          <a:prstDash val="solid"/>
        </a:ln>
      </xdr:spPr>
    </xdr:pic>
    <xdr:clientData/>
  </xdr:twoCellAnchor>
  <xdr:twoCellAnchor>
    <xdr:from>
      <xdr:col>3</xdr:col>
      <xdr:colOff>114300</xdr:colOff>
      <xdr:row>4163</xdr:row>
      <xdr:rowOff>28575</xdr:rowOff>
    </xdr:from>
    <xdr:to>
      <xdr:col>3</xdr:col>
      <xdr:colOff>1552575</xdr:colOff>
      <xdr:row>4166</xdr:row>
      <xdr:rowOff>209550</xdr:rowOff>
    </xdr:to>
    <xdr:pic>
      <xdr:nvPicPr>
        <xdr:cNvPr id="1488" name="Имя " descr="Descr ">
          <a:extLst>
            <a:ext uri="{FF2B5EF4-FFF2-40B4-BE49-F238E27FC236}">
              <a16:creationId xmlns:a16="http://schemas.microsoft.com/office/drawing/2014/main" id="{00000000-0008-0000-0000-0000D0050000}"/>
            </a:ext>
          </a:extLst>
        </xdr:cNvPr>
        <xdr:cNvPicPr>
          <a:picLocks noChangeAspect="1"/>
        </xdr:cNvPicPr>
      </xdr:nvPicPr>
      <xdr:blipFill>
        <a:blip xmlns:r="http://schemas.openxmlformats.org/officeDocument/2006/relationships" r:embed="rId1465"/>
        <a:stretch>
          <a:fillRect/>
        </a:stretch>
      </xdr:blipFill>
      <xdr:spPr>
        <a:prstGeom prst="rect">
          <a:avLst/>
        </a:prstGeom>
        <a:ln w="9525">
          <a:solidFill>
            <a:srgbClr val="000000"/>
          </a:solidFill>
          <a:prstDash val="solid"/>
        </a:ln>
      </xdr:spPr>
    </xdr:pic>
    <xdr:clientData/>
  </xdr:twoCellAnchor>
  <xdr:twoCellAnchor>
    <xdr:from>
      <xdr:col>3</xdr:col>
      <xdr:colOff>114300</xdr:colOff>
      <xdr:row>4167</xdr:row>
      <xdr:rowOff>28575</xdr:rowOff>
    </xdr:from>
    <xdr:to>
      <xdr:col>3</xdr:col>
      <xdr:colOff>1552575</xdr:colOff>
      <xdr:row>4167</xdr:row>
      <xdr:rowOff>1266825</xdr:rowOff>
    </xdr:to>
    <xdr:pic>
      <xdr:nvPicPr>
        <xdr:cNvPr id="1489" name="Имя " descr="Descr ">
          <a:extLst>
            <a:ext uri="{FF2B5EF4-FFF2-40B4-BE49-F238E27FC236}">
              <a16:creationId xmlns:a16="http://schemas.microsoft.com/office/drawing/2014/main" id="{00000000-0008-0000-0000-0000D1050000}"/>
            </a:ext>
          </a:extLst>
        </xdr:cNvPr>
        <xdr:cNvPicPr>
          <a:picLocks noChangeAspect="1"/>
        </xdr:cNvPicPr>
      </xdr:nvPicPr>
      <xdr:blipFill>
        <a:blip xmlns:r="http://schemas.openxmlformats.org/officeDocument/2006/relationships" r:embed="rId1466"/>
        <a:stretch>
          <a:fillRect/>
        </a:stretch>
      </xdr:blipFill>
      <xdr:spPr>
        <a:prstGeom prst="rect">
          <a:avLst/>
        </a:prstGeom>
        <a:ln w="9525">
          <a:solidFill>
            <a:srgbClr val="000000"/>
          </a:solidFill>
          <a:prstDash val="solid"/>
        </a:ln>
      </xdr:spPr>
    </xdr:pic>
    <xdr:clientData/>
  </xdr:twoCellAnchor>
  <xdr:twoCellAnchor>
    <xdr:from>
      <xdr:col>3</xdr:col>
      <xdr:colOff>114300</xdr:colOff>
      <xdr:row>4168</xdr:row>
      <xdr:rowOff>28575</xdr:rowOff>
    </xdr:from>
    <xdr:to>
      <xdr:col>3</xdr:col>
      <xdr:colOff>1552575</xdr:colOff>
      <xdr:row>4168</xdr:row>
      <xdr:rowOff>1266825</xdr:rowOff>
    </xdr:to>
    <xdr:pic>
      <xdr:nvPicPr>
        <xdr:cNvPr id="1490" name="Имя " descr="Descr ">
          <a:extLst>
            <a:ext uri="{FF2B5EF4-FFF2-40B4-BE49-F238E27FC236}">
              <a16:creationId xmlns:a16="http://schemas.microsoft.com/office/drawing/2014/main" id="{00000000-0008-0000-0000-0000D2050000}"/>
            </a:ext>
          </a:extLst>
        </xdr:cNvPr>
        <xdr:cNvPicPr>
          <a:picLocks noChangeAspect="1"/>
        </xdr:cNvPicPr>
      </xdr:nvPicPr>
      <xdr:blipFill>
        <a:blip xmlns:r="http://schemas.openxmlformats.org/officeDocument/2006/relationships" r:embed="rId1467"/>
        <a:stretch>
          <a:fillRect/>
        </a:stretch>
      </xdr:blipFill>
      <xdr:spPr>
        <a:prstGeom prst="rect">
          <a:avLst/>
        </a:prstGeom>
        <a:ln w="9525">
          <a:solidFill>
            <a:srgbClr val="000000"/>
          </a:solidFill>
          <a:prstDash val="solid"/>
        </a:ln>
      </xdr:spPr>
    </xdr:pic>
    <xdr:clientData/>
  </xdr:twoCellAnchor>
  <xdr:twoCellAnchor>
    <xdr:from>
      <xdr:col>3</xdr:col>
      <xdr:colOff>114300</xdr:colOff>
      <xdr:row>4169</xdr:row>
      <xdr:rowOff>38100</xdr:rowOff>
    </xdr:from>
    <xdr:to>
      <xdr:col>3</xdr:col>
      <xdr:colOff>1552575</xdr:colOff>
      <xdr:row>4170</xdr:row>
      <xdr:rowOff>638175</xdr:rowOff>
    </xdr:to>
    <xdr:pic>
      <xdr:nvPicPr>
        <xdr:cNvPr id="1491" name="Имя " descr="Descr ">
          <a:extLst>
            <a:ext uri="{FF2B5EF4-FFF2-40B4-BE49-F238E27FC236}">
              <a16:creationId xmlns:a16="http://schemas.microsoft.com/office/drawing/2014/main" id="{00000000-0008-0000-0000-0000D3050000}"/>
            </a:ext>
          </a:extLst>
        </xdr:cNvPr>
        <xdr:cNvPicPr>
          <a:picLocks noChangeAspect="1"/>
        </xdr:cNvPicPr>
      </xdr:nvPicPr>
      <xdr:blipFill>
        <a:blip xmlns:r="http://schemas.openxmlformats.org/officeDocument/2006/relationships" r:embed="rId1468"/>
        <a:stretch>
          <a:fillRect/>
        </a:stretch>
      </xdr:blipFill>
      <xdr:spPr>
        <a:prstGeom prst="rect">
          <a:avLst/>
        </a:prstGeom>
        <a:ln w="9525">
          <a:solidFill>
            <a:srgbClr val="000000"/>
          </a:solidFill>
          <a:prstDash val="solid"/>
        </a:ln>
      </xdr:spPr>
    </xdr:pic>
    <xdr:clientData/>
  </xdr:twoCellAnchor>
  <xdr:twoCellAnchor>
    <xdr:from>
      <xdr:col>3</xdr:col>
      <xdr:colOff>114300</xdr:colOff>
      <xdr:row>4171</xdr:row>
      <xdr:rowOff>38100</xdr:rowOff>
    </xdr:from>
    <xdr:to>
      <xdr:col>3</xdr:col>
      <xdr:colOff>1552575</xdr:colOff>
      <xdr:row>4172</xdr:row>
      <xdr:rowOff>638175</xdr:rowOff>
    </xdr:to>
    <xdr:pic>
      <xdr:nvPicPr>
        <xdr:cNvPr id="1492" name="Имя " descr="Descr ">
          <a:extLst>
            <a:ext uri="{FF2B5EF4-FFF2-40B4-BE49-F238E27FC236}">
              <a16:creationId xmlns:a16="http://schemas.microsoft.com/office/drawing/2014/main" id="{00000000-0008-0000-0000-0000D4050000}"/>
            </a:ext>
          </a:extLst>
        </xdr:cNvPr>
        <xdr:cNvPicPr>
          <a:picLocks noChangeAspect="1"/>
        </xdr:cNvPicPr>
      </xdr:nvPicPr>
      <xdr:blipFill>
        <a:blip xmlns:r="http://schemas.openxmlformats.org/officeDocument/2006/relationships" r:embed="rId1469"/>
        <a:stretch>
          <a:fillRect/>
        </a:stretch>
      </xdr:blipFill>
      <xdr:spPr>
        <a:prstGeom prst="rect">
          <a:avLst/>
        </a:prstGeom>
        <a:ln w="9525">
          <a:solidFill>
            <a:srgbClr val="000000"/>
          </a:solidFill>
          <a:prstDash val="solid"/>
        </a:ln>
      </xdr:spPr>
    </xdr:pic>
    <xdr:clientData/>
  </xdr:twoCellAnchor>
  <xdr:twoCellAnchor>
    <xdr:from>
      <xdr:col>3</xdr:col>
      <xdr:colOff>114300</xdr:colOff>
      <xdr:row>4173</xdr:row>
      <xdr:rowOff>38100</xdr:rowOff>
    </xdr:from>
    <xdr:to>
      <xdr:col>3</xdr:col>
      <xdr:colOff>1552575</xdr:colOff>
      <xdr:row>4174</xdr:row>
      <xdr:rowOff>638175</xdr:rowOff>
    </xdr:to>
    <xdr:pic>
      <xdr:nvPicPr>
        <xdr:cNvPr id="1493" name="Имя " descr="Descr ">
          <a:extLst>
            <a:ext uri="{FF2B5EF4-FFF2-40B4-BE49-F238E27FC236}">
              <a16:creationId xmlns:a16="http://schemas.microsoft.com/office/drawing/2014/main" id="{00000000-0008-0000-0000-0000D5050000}"/>
            </a:ext>
          </a:extLst>
        </xdr:cNvPr>
        <xdr:cNvPicPr>
          <a:picLocks noChangeAspect="1"/>
        </xdr:cNvPicPr>
      </xdr:nvPicPr>
      <xdr:blipFill>
        <a:blip xmlns:r="http://schemas.openxmlformats.org/officeDocument/2006/relationships" r:embed="rId1470"/>
        <a:stretch>
          <a:fillRect/>
        </a:stretch>
      </xdr:blipFill>
      <xdr:spPr>
        <a:prstGeom prst="rect">
          <a:avLst/>
        </a:prstGeom>
        <a:ln w="9525">
          <a:solidFill>
            <a:srgbClr val="000000"/>
          </a:solidFill>
          <a:prstDash val="solid"/>
        </a:ln>
      </xdr:spPr>
    </xdr:pic>
    <xdr:clientData/>
  </xdr:twoCellAnchor>
  <xdr:twoCellAnchor>
    <xdr:from>
      <xdr:col>3</xdr:col>
      <xdr:colOff>114300</xdr:colOff>
      <xdr:row>4175</xdr:row>
      <xdr:rowOff>28575</xdr:rowOff>
    </xdr:from>
    <xdr:to>
      <xdr:col>3</xdr:col>
      <xdr:colOff>1552575</xdr:colOff>
      <xdr:row>4177</xdr:row>
      <xdr:rowOff>419100</xdr:rowOff>
    </xdr:to>
    <xdr:pic>
      <xdr:nvPicPr>
        <xdr:cNvPr id="1494" name="Имя " descr="Descr ">
          <a:extLst>
            <a:ext uri="{FF2B5EF4-FFF2-40B4-BE49-F238E27FC236}">
              <a16:creationId xmlns:a16="http://schemas.microsoft.com/office/drawing/2014/main" id="{00000000-0008-0000-0000-0000D6050000}"/>
            </a:ext>
          </a:extLst>
        </xdr:cNvPr>
        <xdr:cNvPicPr>
          <a:picLocks noChangeAspect="1"/>
        </xdr:cNvPicPr>
      </xdr:nvPicPr>
      <xdr:blipFill>
        <a:blip xmlns:r="http://schemas.openxmlformats.org/officeDocument/2006/relationships" r:embed="rId1471"/>
        <a:stretch>
          <a:fillRect/>
        </a:stretch>
      </xdr:blipFill>
      <xdr:spPr>
        <a:prstGeom prst="rect">
          <a:avLst/>
        </a:prstGeom>
        <a:ln w="9525">
          <a:solidFill>
            <a:srgbClr val="000000"/>
          </a:solidFill>
          <a:prstDash val="solid"/>
        </a:ln>
      </xdr:spPr>
    </xdr:pic>
    <xdr:clientData/>
  </xdr:twoCellAnchor>
  <xdr:twoCellAnchor>
    <xdr:from>
      <xdr:col>3</xdr:col>
      <xdr:colOff>114300</xdr:colOff>
      <xdr:row>4178</xdr:row>
      <xdr:rowOff>28575</xdr:rowOff>
    </xdr:from>
    <xdr:to>
      <xdr:col>3</xdr:col>
      <xdr:colOff>1552575</xdr:colOff>
      <xdr:row>4181</xdr:row>
      <xdr:rowOff>209550</xdr:rowOff>
    </xdr:to>
    <xdr:pic>
      <xdr:nvPicPr>
        <xdr:cNvPr id="1495" name="Имя " descr="Descr ">
          <a:extLst>
            <a:ext uri="{FF2B5EF4-FFF2-40B4-BE49-F238E27FC236}">
              <a16:creationId xmlns:a16="http://schemas.microsoft.com/office/drawing/2014/main" id="{00000000-0008-0000-0000-0000D7050000}"/>
            </a:ext>
          </a:extLst>
        </xdr:cNvPr>
        <xdr:cNvPicPr>
          <a:picLocks noChangeAspect="1"/>
        </xdr:cNvPicPr>
      </xdr:nvPicPr>
      <xdr:blipFill>
        <a:blip xmlns:r="http://schemas.openxmlformats.org/officeDocument/2006/relationships" r:embed="rId1472"/>
        <a:stretch>
          <a:fillRect/>
        </a:stretch>
      </xdr:blipFill>
      <xdr:spPr>
        <a:prstGeom prst="rect">
          <a:avLst/>
        </a:prstGeom>
        <a:ln w="9525">
          <a:solidFill>
            <a:srgbClr val="000000"/>
          </a:solidFill>
          <a:prstDash val="solid"/>
        </a:ln>
      </xdr:spPr>
    </xdr:pic>
    <xdr:clientData/>
  </xdr:twoCellAnchor>
  <xdr:twoCellAnchor>
    <xdr:from>
      <xdr:col>3</xdr:col>
      <xdr:colOff>114300</xdr:colOff>
      <xdr:row>4182</xdr:row>
      <xdr:rowOff>28575</xdr:rowOff>
    </xdr:from>
    <xdr:to>
      <xdr:col>3</xdr:col>
      <xdr:colOff>1552575</xdr:colOff>
      <xdr:row>4185</xdr:row>
      <xdr:rowOff>209550</xdr:rowOff>
    </xdr:to>
    <xdr:pic>
      <xdr:nvPicPr>
        <xdr:cNvPr id="1496" name="Имя " descr="Descr ">
          <a:extLst>
            <a:ext uri="{FF2B5EF4-FFF2-40B4-BE49-F238E27FC236}">
              <a16:creationId xmlns:a16="http://schemas.microsoft.com/office/drawing/2014/main" id="{00000000-0008-0000-0000-0000D8050000}"/>
            </a:ext>
          </a:extLst>
        </xdr:cNvPr>
        <xdr:cNvPicPr>
          <a:picLocks noChangeAspect="1"/>
        </xdr:cNvPicPr>
      </xdr:nvPicPr>
      <xdr:blipFill>
        <a:blip xmlns:r="http://schemas.openxmlformats.org/officeDocument/2006/relationships" r:embed="rId1473"/>
        <a:stretch>
          <a:fillRect/>
        </a:stretch>
      </xdr:blipFill>
      <xdr:spPr>
        <a:prstGeom prst="rect">
          <a:avLst/>
        </a:prstGeom>
        <a:ln w="9525">
          <a:solidFill>
            <a:srgbClr val="000000"/>
          </a:solidFill>
          <a:prstDash val="solid"/>
        </a:ln>
      </xdr:spPr>
    </xdr:pic>
    <xdr:clientData/>
  </xdr:twoCellAnchor>
  <xdr:twoCellAnchor>
    <xdr:from>
      <xdr:col>3</xdr:col>
      <xdr:colOff>114300</xdr:colOff>
      <xdr:row>4186</xdr:row>
      <xdr:rowOff>28575</xdr:rowOff>
    </xdr:from>
    <xdr:to>
      <xdr:col>3</xdr:col>
      <xdr:colOff>1552575</xdr:colOff>
      <xdr:row>4189</xdr:row>
      <xdr:rowOff>209550</xdr:rowOff>
    </xdr:to>
    <xdr:pic>
      <xdr:nvPicPr>
        <xdr:cNvPr id="1497" name="Имя " descr="Descr ">
          <a:extLst>
            <a:ext uri="{FF2B5EF4-FFF2-40B4-BE49-F238E27FC236}">
              <a16:creationId xmlns:a16="http://schemas.microsoft.com/office/drawing/2014/main" id="{00000000-0008-0000-0000-0000D9050000}"/>
            </a:ext>
          </a:extLst>
        </xdr:cNvPr>
        <xdr:cNvPicPr>
          <a:picLocks noChangeAspect="1"/>
        </xdr:cNvPicPr>
      </xdr:nvPicPr>
      <xdr:blipFill>
        <a:blip xmlns:r="http://schemas.openxmlformats.org/officeDocument/2006/relationships" r:embed="rId1474"/>
        <a:stretch>
          <a:fillRect/>
        </a:stretch>
      </xdr:blipFill>
      <xdr:spPr>
        <a:prstGeom prst="rect">
          <a:avLst/>
        </a:prstGeom>
        <a:ln w="9525">
          <a:solidFill>
            <a:srgbClr val="000000"/>
          </a:solidFill>
          <a:prstDash val="solid"/>
        </a:ln>
      </xdr:spPr>
    </xdr:pic>
    <xdr:clientData/>
  </xdr:twoCellAnchor>
  <xdr:twoCellAnchor>
    <xdr:from>
      <xdr:col>3</xdr:col>
      <xdr:colOff>114300</xdr:colOff>
      <xdr:row>4190</xdr:row>
      <xdr:rowOff>28575</xdr:rowOff>
    </xdr:from>
    <xdr:to>
      <xdr:col>3</xdr:col>
      <xdr:colOff>1552575</xdr:colOff>
      <xdr:row>4195</xdr:row>
      <xdr:rowOff>209550</xdr:rowOff>
    </xdr:to>
    <xdr:pic>
      <xdr:nvPicPr>
        <xdr:cNvPr id="1498" name="Имя " descr="Descr ">
          <a:extLst>
            <a:ext uri="{FF2B5EF4-FFF2-40B4-BE49-F238E27FC236}">
              <a16:creationId xmlns:a16="http://schemas.microsoft.com/office/drawing/2014/main" id="{00000000-0008-0000-0000-0000DA050000}"/>
            </a:ext>
          </a:extLst>
        </xdr:cNvPr>
        <xdr:cNvPicPr>
          <a:picLocks noChangeAspect="1"/>
        </xdr:cNvPicPr>
      </xdr:nvPicPr>
      <xdr:blipFill>
        <a:blip xmlns:r="http://schemas.openxmlformats.org/officeDocument/2006/relationships" r:embed="rId1475"/>
        <a:stretch>
          <a:fillRect/>
        </a:stretch>
      </xdr:blipFill>
      <xdr:spPr>
        <a:prstGeom prst="rect">
          <a:avLst/>
        </a:prstGeom>
        <a:ln w="9525">
          <a:solidFill>
            <a:srgbClr val="000000"/>
          </a:solidFill>
          <a:prstDash val="solid"/>
        </a:ln>
      </xdr:spPr>
    </xdr:pic>
    <xdr:clientData/>
  </xdr:twoCellAnchor>
  <xdr:twoCellAnchor>
    <xdr:from>
      <xdr:col>3</xdr:col>
      <xdr:colOff>114300</xdr:colOff>
      <xdr:row>4196</xdr:row>
      <xdr:rowOff>28575</xdr:rowOff>
    </xdr:from>
    <xdr:to>
      <xdr:col>3</xdr:col>
      <xdr:colOff>1552575</xdr:colOff>
      <xdr:row>4199</xdr:row>
      <xdr:rowOff>209550</xdr:rowOff>
    </xdr:to>
    <xdr:pic>
      <xdr:nvPicPr>
        <xdr:cNvPr id="1499" name="Имя " descr="Descr ">
          <a:extLst>
            <a:ext uri="{FF2B5EF4-FFF2-40B4-BE49-F238E27FC236}">
              <a16:creationId xmlns:a16="http://schemas.microsoft.com/office/drawing/2014/main" id="{00000000-0008-0000-0000-0000DB050000}"/>
            </a:ext>
          </a:extLst>
        </xdr:cNvPr>
        <xdr:cNvPicPr>
          <a:picLocks noChangeAspect="1"/>
        </xdr:cNvPicPr>
      </xdr:nvPicPr>
      <xdr:blipFill>
        <a:blip xmlns:r="http://schemas.openxmlformats.org/officeDocument/2006/relationships" r:embed="rId1476"/>
        <a:stretch>
          <a:fillRect/>
        </a:stretch>
      </xdr:blipFill>
      <xdr:spPr>
        <a:prstGeom prst="rect">
          <a:avLst/>
        </a:prstGeom>
        <a:ln w="9525">
          <a:solidFill>
            <a:srgbClr val="000000"/>
          </a:solidFill>
          <a:prstDash val="solid"/>
        </a:ln>
      </xdr:spPr>
    </xdr:pic>
    <xdr:clientData/>
  </xdr:twoCellAnchor>
  <xdr:twoCellAnchor>
    <xdr:from>
      <xdr:col>3</xdr:col>
      <xdr:colOff>114300</xdr:colOff>
      <xdr:row>4200</xdr:row>
      <xdr:rowOff>38100</xdr:rowOff>
    </xdr:from>
    <xdr:to>
      <xdr:col>3</xdr:col>
      <xdr:colOff>1552575</xdr:colOff>
      <xdr:row>4201</xdr:row>
      <xdr:rowOff>638175</xdr:rowOff>
    </xdr:to>
    <xdr:pic>
      <xdr:nvPicPr>
        <xdr:cNvPr id="1500" name="Имя " descr="Descr ">
          <a:extLst>
            <a:ext uri="{FF2B5EF4-FFF2-40B4-BE49-F238E27FC236}">
              <a16:creationId xmlns:a16="http://schemas.microsoft.com/office/drawing/2014/main" id="{00000000-0008-0000-0000-0000DC050000}"/>
            </a:ext>
          </a:extLst>
        </xdr:cNvPr>
        <xdr:cNvPicPr>
          <a:picLocks noChangeAspect="1"/>
        </xdr:cNvPicPr>
      </xdr:nvPicPr>
      <xdr:blipFill>
        <a:blip xmlns:r="http://schemas.openxmlformats.org/officeDocument/2006/relationships" r:embed="rId1477"/>
        <a:stretch>
          <a:fillRect/>
        </a:stretch>
      </xdr:blipFill>
      <xdr:spPr>
        <a:prstGeom prst="rect">
          <a:avLst/>
        </a:prstGeom>
        <a:ln w="9525">
          <a:solidFill>
            <a:srgbClr val="000000"/>
          </a:solidFill>
          <a:prstDash val="solid"/>
        </a:ln>
      </xdr:spPr>
    </xdr:pic>
    <xdr:clientData/>
  </xdr:twoCellAnchor>
  <xdr:twoCellAnchor>
    <xdr:from>
      <xdr:col>3</xdr:col>
      <xdr:colOff>114300</xdr:colOff>
      <xdr:row>4202</xdr:row>
      <xdr:rowOff>28575</xdr:rowOff>
    </xdr:from>
    <xdr:to>
      <xdr:col>3</xdr:col>
      <xdr:colOff>1552575</xdr:colOff>
      <xdr:row>4202</xdr:row>
      <xdr:rowOff>1266825</xdr:rowOff>
    </xdr:to>
    <xdr:pic>
      <xdr:nvPicPr>
        <xdr:cNvPr id="1501" name="Имя " descr="Descr ">
          <a:extLst>
            <a:ext uri="{FF2B5EF4-FFF2-40B4-BE49-F238E27FC236}">
              <a16:creationId xmlns:a16="http://schemas.microsoft.com/office/drawing/2014/main" id="{00000000-0008-0000-0000-0000DD050000}"/>
            </a:ext>
          </a:extLst>
        </xdr:cNvPr>
        <xdr:cNvPicPr>
          <a:picLocks noChangeAspect="1"/>
        </xdr:cNvPicPr>
      </xdr:nvPicPr>
      <xdr:blipFill>
        <a:blip xmlns:r="http://schemas.openxmlformats.org/officeDocument/2006/relationships" r:embed="rId1478"/>
        <a:stretch>
          <a:fillRect/>
        </a:stretch>
      </xdr:blipFill>
      <xdr:spPr>
        <a:prstGeom prst="rect">
          <a:avLst/>
        </a:prstGeom>
        <a:ln w="9525">
          <a:solidFill>
            <a:srgbClr val="000000"/>
          </a:solidFill>
          <a:prstDash val="solid"/>
        </a:ln>
      </xdr:spPr>
    </xdr:pic>
    <xdr:clientData/>
  </xdr:twoCellAnchor>
  <xdr:twoCellAnchor>
    <xdr:from>
      <xdr:col>3</xdr:col>
      <xdr:colOff>114300</xdr:colOff>
      <xdr:row>4203</xdr:row>
      <xdr:rowOff>28575</xdr:rowOff>
    </xdr:from>
    <xdr:to>
      <xdr:col>3</xdr:col>
      <xdr:colOff>1552575</xdr:colOff>
      <xdr:row>4208</xdr:row>
      <xdr:rowOff>209550</xdr:rowOff>
    </xdr:to>
    <xdr:pic>
      <xdr:nvPicPr>
        <xdr:cNvPr id="1502" name="Имя " descr="Descr ">
          <a:extLst>
            <a:ext uri="{FF2B5EF4-FFF2-40B4-BE49-F238E27FC236}">
              <a16:creationId xmlns:a16="http://schemas.microsoft.com/office/drawing/2014/main" id="{00000000-0008-0000-0000-0000DE050000}"/>
            </a:ext>
          </a:extLst>
        </xdr:cNvPr>
        <xdr:cNvPicPr>
          <a:picLocks noChangeAspect="1"/>
        </xdr:cNvPicPr>
      </xdr:nvPicPr>
      <xdr:blipFill>
        <a:blip xmlns:r="http://schemas.openxmlformats.org/officeDocument/2006/relationships" r:embed="rId1479"/>
        <a:stretch>
          <a:fillRect/>
        </a:stretch>
      </xdr:blipFill>
      <xdr:spPr>
        <a:prstGeom prst="rect">
          <a:avLst/>
        </a:prstGeom>
        <a:ln w="9525">
          <a:solidFill>
            <a:srgbClr val="000000"/>
          </a:solidFill>
          <a:prstDash val="solid"/>
        </a:ln>
      </xdr:spPr>
    </xdr:pic>
    <xdr:clientData/>
  </xdr:twoCellAnchor>
  <xdr:twoCellAnchor>
    <xdr:from>
      <xdr:col>3</xdr:col>
      <xdr:colOff>114300</xdr:colOff>
      <xdr:row>4209</xdr:row>
      <xdr:rowOff>28575</xdr:rowOff>
    </xdr:from>
    <xdr:to>
      <xdr:col>3</xdr:col>
      <xdr:colOff>1552575</xdr:colOff>
      <xdr:row>4214</xdr:row>
      <xdr:rowOff>209550</xdr:rowOff>
    </xdr:to>
    <xdr:pic>
      <xdr:nvPicPr>
        <xdr:cNvPr id="1503" name="Имя " descr="Descr ">
          <a:extLst>
            <a:ext uri="{FF2B5EF4-FFF2-40B4-BE49-F238E27FC236}">
              <a16:creationId xmlns:a16="http://schemas.microsoft.com/office/drawing/2014/main" id="{00000000-0008-0000-0000-0000DF050000}"/>
            </a:ext>
          </a:extLst>
        </xdr:cNvPr>
        <xdr:cNvPicPr>
          <a:picLocks noChangeAspect="1"/>
        </xdr:cNvPicPr>
      </xdr:nvPicPr>
      <xdr:blipFill>
        <a:blip xmlns:r="http://schemas.openxmlformats.org/officeDocument/2006/relationships" r:embed="rId1480"/>
        <a:stretch>
          <a:fillRect/>
        </a:stretch>
      </xdr:blipFill>
      <xdr:spPr>
        <a:prstGeom prst="rect">
          <a:avLst/>
        </a:prstGeom>
        <a:ln w="9525">
          <a:solidFill>
            <a:srgbClr val="000000"/>
          </a:solidFill>
          <a:prstDash val="solid"/>
        </a:ln>
      </xdr:spPr>
    </xdr:pic>
    <xdr:clientData/>
  </xdr:twoCellAnchor>
  <xdr:twoCellAnchor>
    <xdr:from>
      <xdr:col>3</xdr:col>
      <xdr:colOff>114300</xdr:colOff>
      <xdr:row>4215</xdr:row>
      <xdr:rowOff>28575</xdr:rowOff>
    </xdr:from>
    <xdr:to>
      <xdr:col>3</xdr:col>
      <xdr:colOff>1552575</xdr:colOff>
      <xdr:row>4221</xdr:row>
      <xdr:rowOff>171450</xdr:rowOff>
    </xdr:to>
    <xdr:pic>
      <xdr:nvPicPr>
        <xdr:cNvPr id="1504" name="Имя " descr="Descr ">
          <a:extLst>
            <a:ext uri="{FF2B5EF4-FFF2-40B4-BE49-F238E27FC236}">
              <a16:creationId xmlns:a16="http://schemas.microsoft.com/office/drawing/2014/main" id="{00000000-0008-0000-0000-0000E0050000}"/>
            </a:ext>
          </a:extLst>
        </xdr:cNvPr>
        <xdr:cNvPicPr>
          <a:picLocks noChangeAspect="1"/>
        </xdr:cNvPicPr>
      </xdr:nvPicPr>
      <xdr:blipFill>
        <a:blip xmlns:r="http://schemas.openxmlformats.org/officeDocument/2006/relationships" r:embed="rId1481"/>
        <a:stretch>
          <a:fillRect/>
        </a:stretch>
      </xdr:blipFill>
      <xdr:spPr>
        <a:prstGeom prst="rect">
          <a:avLst/>
        </a:prstGeom>
        <a:ln w="9525">
          <a:solidFill>
            <a:srgbClr val="000000"/>
          </a:solidFill>
          <a:prstDash val="solid"/>
        </a:ln>
      </xdr:spPr>
    </xdr:pic>
    <xdr:clientData/>
  </xdr:twoCellAnchor>
  <xdr:twoCellAnchor>
    <xdr:from>
      <xdr:col>3</xdr:col>
      <xdr:colOff>114300</xdr:colOff>
      <xdr:row>4222</xdr:row>
      <xdr:rowOff>28575</xdr:rowOff>
    </xdr:from>
    <xdr:to>
      <xdr:col>3</xdr:col>
      <xdr:colOff>1552575</xdr:colOff>
      <xdr:row>4224</xdr:row>
      <xdr:rowOff>419100</xdr:rowOff>
    </xdr:to>
    <xdr:pic>
      <xdr:nvPicPr>
        <xdr:cNvPr id="1505" name="Имя " descr="Descr ">
          <a:extLst>
            <a:ext uri="{FF2B5EF4-FFF2-40B4-BE49-F238E27FC236}">
              <a16:creationId xmlns:a16="http://schemas.microsoft.com/office/drawing/2014/main" id="{00000000-0008-0000-0000-0000E1050000}"/>
            </a:ext>
          </a:extLst>
        </xdr:cNvPr>
        <xdr:cNvPicPr>
          <a:picLocks noChangeAspect="1"/>
        </xdr:cNvPicPr>
      </xdr:nvPicPr>
      <xdr:blipFill>
        <a:blip xmlns:r="http://schemas.openxmlformats.org/officeDocument/2006/relationships" r:embed="rId1482"/>
        <a:stretch>
          <a:fillRect/>
        </a:stretch>
      </xdr:blipFill>
      <xdr:spPr>
        <a:prstGeom prst="rect">
          <a:avLst/>
        </a:prstGeom>
        <a:ln w="9525">
          <a:solidFill>
            <a:srgbClr val="000000"/>
          </a:solidFill>
          <a:prstDash val="solid"/>
        </a:ln>
      </xdr:spPr>
    </xdr:pic>
    <xdr:clientData/>
  </xdr:twoCellAnchor>
  <xdr:twoCellAnchor>
    <xdr:from>
      <xdr:col>3</xdr:col>
      <xdr:colOff>114300</xdr:colOff>
      <xdr:row>4225</xdr:row>
      <xdr:rowOff>38100</xdr:rowOff>
    </xdr:from>
    <xdr:to>
      <xdr:col>3</xdr:col>
      <xdr:colOff>1552575</xdr:colOff>
      <xdr:row>4226</xdr:row>
      <xdr:rowOff>638175</xdr:rowOff>
    </xdr:to>
    <xdr:pic>
      <xdr:nvPicPr>
        <xdr:cNvPr id="1506" name="Имя " descr="Descr ">
          <a:extLst>
            <a:ext uri="{FF2B5EF4-FFF2-40B4-BE49-F238E27FC236}">
              <a16:creationId xmlns:a16="http://schemas.microsoft.com/office/drawing/2014/main" id="{00000000-0008-0000-0000-0000E2050000}"/>
            </a:ext>
          </a:extLst>
        </xdr:cNvPr>
        <xdr:cNvPicPr>
          <a:picLocks noChangeAspect="1"/>
        </xdr:cNvPicPr>
      </xdr:nvPicPr>
      <xdr:blipFill>
        <a:blip xmlns:r="http://schemas.openxmlformats.org/officeDocument/2006/relationships" r:embed="rId1483"/>
        <a:stretch>
          <a:fillRect/>
        </a:stretch>
      </xdr:blipFill>
      <xdr:spPr>
        <a:prstGeom prst="rect">
          <a:avLst/>
        </a:prstGeom>
        <a:ln w="9525">
          <a:solidFill>
            <a:srgbClr val="000000"/>
          </a:solidFill>
          <a:prstDash val="solid"/>
        </a:ln>
      </xdr:spPr>
    </xdr:pic>
    <xdr:clientData/>
  </xdr:twoCellAnchor>
  <xdr:twoCellAnchor>
    <xdr:from>
      <xdr:col>3</xdr:col>
      <xdr:colOff>114300</xdr:colOff>
      <xdr:row>4227</xdr:row>
      <xdr:rowOff>28575</xdr:rowOff>
    </xdr:from>
    <xdr:to>
      <xdr:col>3</xdr:col>
      <xdr:colOff>1552575</xdr:colOff>
      <xdr:row>4233</xdr:row>
      <xdr:rowOff>171450</xdr:rowOff>
    </xdr:to>
    <xdr:pic>
      <xdr:nvPicPr>
        <xdr:cNvPr id="1507" name="Имя " descr="Descr ">
          <a:extLst>
            <a:ext uri="{FF2B5EF4-FFF2-40B4-BE49-F238E27FC236}">
              <a16:creationId xmlns:a16="http://schemas.microsoft.com/office/drawing/2014/main" id="{00000000-0008-0000-0000-0000E3050000}"/>
            </a:ext>
          </a:extLst>
        </xdr:cNvPr>
        <xdr:cNvPicPr>
          <a:picLocks noChangeAspect="1"/>
        </xdr:cNvPicPr>
      </xdr:nvPicPr>
      <xdr:blipFill>
        <a:blip xmlns:r="http://schemas.openxmlformats.org/officeDocument/2006/relationships" r:embed="rId1484"/>
        <a:stretch>
          <a:fillRect/>
        </a:stretch>
      </xdr:blipFill>
      <xdr:spPr>
        <a:prstGeom prst="rect">
          <a:avLst/>
        </a:prstGeom>
        <a:ln w="9525">
          <a:solidFill>
            <a:srgbClr val="000000"/>
          </a:solidFill>
          <a:prstDash val="solid"/>
        </a:ln>
      </xdr:spPr>
    </xdr:pic>
    <xdr:clientData/>
  </xdr:twoCellAnchor>
  <xdr:twoCellAnchor>
    <xdr:from>
      <xdr:col>3</xdr:col>
      <xdr:colOff>114300</xdr:colOff>
      <xdr:row>4234</xdr:row>
      <xdr:rowOff>28575</xdr:rowOff>
    </xdr:from>
    <xdr:to>
      <xdr:col>3</xdr:col>
      <xdr:colOff>1552575</xdr:colOff>
      <xdr:row>4234</xdr:row>
      <xdr:rowOff>1266825</xdr:rowOff>
    </xdr:to>
    <xdr:pic>
      <xdr:nvPicPr>
        <xdr:cNvPr id="1508" name="Имя " descr="Descr ">
          <a:extLst>
            <a:ext uri="{FF2B5EF4-FFF2-40B4-BE49-F238E27FC236}">
              <a16:creationId xmlns:a16="http://schemas.microsoft.com/office/drawing/2014/main" id="{00000000-0008-0000-0000-0000E4050000}"/>
            </a:ext>
          </a:extLst>
        </xdr:cNvPr>
        <xdr:cNvPicPr>
          <a:picLocks noChangeAspect="1"/>
        </xdr:cNvPicPr>
      </xdr:nvPicPr>
      <xdr:blipFill>
        <a:blip xmlns:r="http://schemas.openxmlformats.org/officeDocument/2006/relationships" r:embed="rId1485"/>
        <a:stretch>
          <a:fillRect/>
        </a:stretch>
      </xdr:blipFill>
      <xdr:spPr>
        <a:prstGeom prst="rect">
          <a:avLst/>
        </a:prstGeom>
        <a:ln w="9525">
          <a:solidFill>
            <a:srgbClr val="000000"/>
          </a:solidFill>
          <a:prstDash val="solid"/>
        </a:ln>
      </xdr:spPr>
    </xdr:pic>
    <xdr:clientData/>
  </xdr:twoCellAnchor>
  <xdr:twoCellAnchor>
    <xdr:from>
      <xdr:col>3</xdr:col>
      <xdr:colOff>114300</xdr:colOff>
      <xdr:row>4235</xdr:row>
      <xdr:rowOff>28575</xdr:rowOff>
    </xdr:from>
    <xdr:to>
      <xdr:col>3</xdr:col>
      <xdr:colOff>1552575</xdr:colOff>
      <xdr:row>4241</xdr:row>
      <xdr:rowOff>171450</xdr:rowOff>
    </xdr:to>
    <xdr:pic>
      <xdr:nvPicPr>
        <xdr:cNvPr id="1509" name="Имя " descr="Descr ">
          <a:extLst>
            <a:ext uri="{FF2B5EF4-FFF2-40B4-BE49-F238E27FC236}">
              <a16:creationId xmlns:a16="http://schemas.microsoft.com/office/drawing/2014/main" id="{00000000-0008-0000-0000-0000E5050000}"/>
            </a:ext>
          </a:extLst>
        </xdr:cNvPr>
        <xdr:cNvPicPr>
          <a:picLocks noChangeAspect="1"/>
        </xdr:cNvPicPr>
      </xdr:nvPicPr>
      <xdr:blipFill>
        <a:blip xmlns:r="http://schemas.openxmlformats.org/officeDocument/2006/relationships" r:embed="rId1486"/>
        <a:stretch>
          <a:fillRect/>
        </a:stretch>
      </xdr:blipFill>
      <xdr:spPr>
        <a:prstGeom prst="rect">
          <a:avLst/>
        </a:prstGeom>
        <a:ln w="9525">
          <a:solidFill>
            <a:srgbClr val="000000"/>
          </a:solidFill>
          <a:prstDash val="solid"/>
        </a:ln>
      </xdr:spPr>
    </xdr:pic>
    <xdr:clientData/>
  </xdr:twoCellAnchor>
  <xdr:twoCellAnchor>
    <xdr:from>
      <xdr:col>3</xdr:col>
      <xdr:colOff>114300</xdr:colOff>
      <xdr:row>4242</xdr:row>
      <xdr:rowOff>28575</xdr:rowOff>
    </xdr:from>
    <xdr:to>
      <xdr:col>3</xdr:col>
      <xdr:colOff>1552575</xdr:colOff>
      <xdr:row>4248</xdr:row>
      <xdr:rowOff>171450</xdr:rowOff>
    </xdr:to>
    <xdr:pic>
      <xdr:nvPicPr>
        <xdr:cNvPr id="1510" name="Имя " descr="Descr ">
          <a:extLst>
            <a:ext uri="{FF2B5EF4-FFF2-40B4-BE49-F238E27FC236}">
              <a16:creationId xmlns:a16="http://schemas.microsoft.com/office/drawing/2014/main" id="{00000000-0008-0000-0000-0000E6050000}"/>
            </a:ext>
          </a:extLst>
        </xdr:cNvPr>
        <xdr:cNvPicPr>
          <a:picLocks noChangeAspect="1"/>
        </xdr:cNvPicPr>
      </xdr:nvPicPr>
      <xdr:blipFill>
        <a:blip xmlns:r="http://schemas.openxmlformats.org/officeDocument/2006/relationships" r:embed="rId1487"/>
        <a:stretch>
          <a:fillRect/>
        </a:stretch>
      </xdr:blipFill>
      <xdr:spPr>
        <a:prstGeom prst="rect">
          <a:avLst/>
        </a:prstGeom>
        <a:ln w="9525">
          <a:solidFill>
            <a:srgbClr val="000000"/>
          </a:solidFill>
          <a:prstDash val="solid"/>
        </a:ln>
      </xdr:spPr>
    </xdr:pic>
    <xdr:clientData/>
  </xdr:twoCellAnchor>
  <xdr:twoCellAnchor>
    <xdr:from>
      <xdr:col>3</xdr:col>
      <xdr:colOff>114300</xdr:colOff>
      <xdr:row>4249</xdr:row>
      <xdr:rowOff>28575</xdr:rowOff>
    </xdr:from>
    <xdr:to>
      <xdr:col>3</xdr:col>
      <xdr:colOff>1552575</xdr:colOff>
      <xdr:row>4249</xdr:row>
      <xdr:rowOff>1266825</xdr:rowOff>
    </xdr:to>
    <xdr:pic>
      <xdr:nvPicPr>
        <xdr:cNvPr id="1511" name="Имя " descr="Descr ">
          <a:extLst>
            <a:ext uri="{FF2B5EF4-FFF2-40B4-BE49-F238E27FC236}">
              <a16:creationId xmlns:a16="http://schemas.microsoft.com/office/drawing/2014/main" id="{00000000-0008-0000-0000-0000E7050000}"/>
            </a:ext>
          </a:extLst>
        </xdr:cNvPr>
        <xdr:cNvPicPr>
          <a:picLocks noChangeAspect="1"/>
        </xdr:cNvPicPr>
      </xdr:nvPicPr>
      <xdr:blipFill>
        <a:blip xmlns:r="http://schemas.openxmlformats.org/officeDocument/2006/relationships" r:embed="rId1488"/>
        <a:stretch>
          <a:fillRect/>
        </a:stretch>
      </xdr:blipFill>
      <xdr:spPr>
        <a:prstGeom prst="rect">
          <a:avLst/>
        </a:prstGeom>
        <a:ln w="9525">
          <a:solidFill>
            <a:srgbClr val="000000"/>
          </a:solidFill>
          <a:prstDash val="solid"/>
        </a:ln>
      </xdr:spPr>
    </xdr:pic>
    <xdr:clientData/>
  </xdr:twoCellAnchor>
  <xdr:twoCellAnchor>
    <xdr:from>
      <xdr:col>3</xdr:col>
      <xdr:colOff>114300</xdr:colOff>
      <xdr:row>4250</xdr:row>
      <xdr:rowOff>28575</xdr:rowOff>
    </xdr:from>
    <xdr:to>
      <xdr:col>3</xdr:col>
      <xdr:colOff>1552575</xdr:colOff>
      <xdr:row>4253</xdr:row>
      <xdr:rowOff>209550</xdr:rowOff>
    </xdr:to>
    <xdr:pic>
      <xdr:nvPicPr>
        <xdr:cNvPr id="1512" name="Имя " descr="Descr ">
          <a:extLst>
            <a:ext uri="{FF2B5EF4-FFF2-40B4-BE49-F238E27FC236}">
              <a16:creationId xmlns:a16="http://schemas.microsoft.com/office/drawing/2014/main" id="{00000000-0008-0000-0000-0000E8050000}"/>
            </a:ext>
          </a:extLst>
        </xdr:cNvPr>
        <xdr:cNvPicPr>
          <a:picLocks noChangeAspect="1"/>
        </xdr:cNvPicPr>
      </xdr:nvPicPr>
      <xdr:blipFill>
        <a:blip xmlns:r="http://schemas.openxmlformats.org/officeDocument/2006/relationships" r:embed="rId1489"/>
        <a:stretch>
          <a:fillRect/>
        </a:stretch>
      </xdr:blipFill>
      <xdr:spPr>
        <a:prstGeom prst="rect">
          <a:avLst/>
        </a:prstGeom>
        <a:ln w="9525">
          <a:solidFill>
            <a:srgbClr val="000000"/>
          </a:solidFill>
          <a:prstDash val="solid"/>
        </a:ln>
      </xdr:spPr>
    </xdr:pic>
    <xdr:clientData/>
  </xdr:twoCellAnchor>
  <xdr:twoCellAnchor>
    <xdr:from>
      <xdr:col>3</xdr:col>
      <xdr:colOff>114300</xdr:colOff>
      <xdr:row>4254</xdr:row>
      <xdr:rowOff>28575</xdr:rowOff>
    </xdr:from>
    <xdr:to>
      <xdr:col>3</xdr:col>
      <xdr:colOff>1552575</xdr:colOff>
      <xdr:row>4258</xdr:row>
      <xdr:rowOff>333375</xdr:rowOff>
    </xdr:to>
    <xdr:pic>
      <xdr:nvPicPr>
        <xdr:cNvPr id="1513" name="Имя " descr="Descr ">
          <a:extLst>
            <a:ext uri="{FF2B5EF4-FFF2-40B4-BE49-F238E27FC236}">
              <a16:creationId xmlns:a16="http://schemas.microsoft.com/office/drawing/2014/main" id="{00000000-0008-0000-0000-0000E9050000}"/>
            </a:ext>
          </a:extLst>
        </xdr:cNvPr>
        <xdr:cNvPicPr>
          <a:picLocks noChangeAspect="1"/>
        </xdr:cNvPicPr>
      </xdr:nvPicPr>
      <xdr:blipFill>
        <a:blip xmlns:r="http://schemas.openxmlformats.org/officeDocument/2006/relationships" r:embed="rId1490"/>
        <a:stretch>
          <a:fillRect/>
        </a:stretch>
      </xdr:blipFill>
      <xdr:spPr>
        <a:prstGeom prst="rect">
          <a:avLst/>
        </a:prstGeom>
        <a:ln w="9525">
          <a:solidFill>
            <a:srgbClr val="000000"/>
          </a:solidFill>
          <a:prstDash val="solid"/>
        </a:ln>
      </xdr:spPr>
    </xdr:pic>
    <xdr:clientData/>
  </xdr:twoCellAnchor>
  <xdr:twoCellAnchor>
    <xdr:from>
      <xdr:col>3</xdr:col>
      <xdr:colOff>114300</xdr:colOff>
      <xdr:row>4259</xdr:row>
      <xdr:rowOff>28575</xdr:rowOff>
    </xdr:from>
    <xdr:to>
      <xdr:col>3</xdr:col>
      <xdr:colOff>1552575</xdr:colOff>
      <xdr:row>4262</xdr:row>
      <xdr:rowOff>209550</xdr:rowOff>
    </xdr:to>
    <xdr:pic>
      <xdr:nvPicPr>
        <xdr:cNvPr id="1514" name="Имя " descr="Descr ">
          <a:extLst>
            <a:ext uri="{FF2B5EF4-FFF2-40B4-BE49-F238E27FC236}">
              <a16:creationId xmlns:a16="http://schemas.microsoft.com/office/drawing/2014/main" id="{00000000-0008-0000-0000-0000EA050000}"/>
            </a:ext>
          </a:extLst>
        </xdr:cNvPr>
        <xdr:cNvPicPr>
          <a:picLocks noChangeAspect="1"/>
        </xdr:cNvPicPr>
      </xdr:nvPicPr>
      <xdr:blipFill>
        <a:blip xmlns:r="http://schemas.openxmlformats.org/officeDocument/2006/relationships" r:embed="rId1491"/>
        <a:stretch>
          <a:fillRect/>
        </a:stretch>
      </xdr:blipFill>
      <xdr:spPr>
        <a:prstGeom prst="rect">
          <a:avLst/>
        </a:prstGeom>
        <a:ln w="9525">
          <a:solidFill>
            <a:srgbClr val="000000"/>
          </a:solidFill>
          <a:prstDash val="solid"/>
        </a:ln>
      </xdr:spPr>
    </xdr:pic>
    <xdr:clientData/>
  </xdr:twoCellAnchor>
  <xdr:twoCellAnchor>
    <xdr:from>
      <xdr:col>3</xdr:col>
      <xdr:colOff>114300</xdr:colOff>
      <xdr:row>4263</xdr:row>
      <xdr:rowOff>28575</xdr:rowOff>
    </xdr:from>
    <xdr:to>
      <xdr:col>3</xdr:col>
      <xdr:colOff>1552575</xdr:colOff>
      <xdr:row>4271</xdr:row>
      <xdr:rowOff>133350</xdr:rowOff>
    </xdr:to>
    <xdr:pic>
      <xdr:nvPicPr>
        <xdr:cNvPr id="1515" name="Имя " descr="Descr ">
          <a:extLst>
            <a:ext uri="{FF2B5EF4-FFF2-40B4-BE49-F238E27FC236}">
              <a16:creationId xmlns:a16="http://schemas.microsoft.com/office/drawing/2014/main" id="{00000000-0008-0000-0000-0000EB050000}"/>
            </a:ext>
          </a:extLst>
        </xdr:cNvPr>
        <xdr:cNvPicPr>
          <a:picLocks noChangeAspect="1"/>
        </xdr:cNvPicPr>
      </xdr:nvPicPr>
      <xdr:blipFill>
        <a:blip xmlns:r="http://schemas.openxmlformats.org/officeDocument/2006/relationships" r:embed="rId1492"/>
        <a:stretch>
          <a:fillRect/>
        </a:stretch>
      </xdr:blipFill>
      <xdr:spPr>
        <a:prstGeom prst="rect">
          <a:avLst/>
        </a:prstGeom>
        <a:ln w="9525">
          <a:solidFill>
            <a:srgbClr val="000000"/>
          </a:solidFill>
          <a:prstDash val="solid"/>
        </a:ln>
      </xdr:spPr>
    </xdr:pic>
    <xdr:clientData/>
  </xdr:twoCellAnchor>
  <xdr:twoCellAnchor>
    <xdr:from>
      <xdr:col>3</xdr:col>
      <xdr:colOff>114300</xdr:colOff>
      <xdr:row>4272</xdr:row>
      <xdr:rowOff>28575</xdr:rowOff>
    </xdr:from>
    <xdr:to>
      <xdr:col>3</xdr:col>
      <xdr:colOff>1552575</xdr:colOff>
      <xdr:row>4275</xdr:row>
      <xdr:rowOff>209550</xdr:rowOff>
    </xdr:to>
    <xdr:pic>
      <xdr:nvPicPr>
        <xdr:cNvPr id="1516" name="Имя " descr="Descr ">
          <a:extLst>
            <a:ext uri="{FF2B5EF4-FFF2-40B4-BE49-F238E27FC236}">
              <a16:creationId xmlns:a16="http://schemas.microsoft.com/office/drawing/2014/main" id="{00000000-0008-0000-0000-0000EC050000}"/>
            </a:ext>
          </a:extLst>
        </xdr:cNvPr>
        <xdr:cNvPicPr>
          <a:picLocks noChangeAspect="1"/>
        </xdr:cNvPicPr>
      </xdr:nvPicPr>
      <xdr:blipFill>
        <a:blip xmlns:r="http://schemas.openxmlformats.org/officeDocument/2006/relationships" r:embed="rId1493"/>
        <a:stretch>
          <a:fillRect/>
        </a:stretch>
      </xdr:blipFill>
      <xdr:spPr>
        <a:prstGeom prst="rect">
          <a:avLst/>
        </a:prstGeom>
        <a:ln w="9525">
          <a:solidFill>
            <a:srgbClr val="000000"/>
          </a:solidFill>
          <a:prstDash val="solid"/>
        </a:ln>
      </xdr:spPr>
    </xdr:pic>
    <xdr:clientData/>
  </xdr:twoCellAnchor>
  <xdr:twoCellAnchor>
    <xdr:from>
      <xdr:col>3</xdr:col>
      <xdr:colOff>114300</xdr:colOff>
      <xdr:row>4276</xdr:row>
      <xdr:rowOff>28575</xdr:rowOff>
    </xdr:from>
    <xdr:to>
      <xdr:col>3</xdr:col>
      <xdr:colOff>1552575</xdr:colOff>
      <xdr:row>4278</xdr:row>
      <xdr:rowOff>419100</xdr:rowOff>
    </xdr:to>
    <xdr:pic>
      <xdr:nvPicPr>
        <xdr:cNvPr id="1517" name="Имя " descr="Descr ">
          <a:extLst>
            <a:ext uri="{FF2B5EF4-FFF2-40B4-BE49-F238E27FC236}">
              <a16:creationId xmlns:a16="http://schemas.microsoft.com/office/drawing/2014/main" id="{00000000-0008-0000-0000-0000ED050000}"/>
            </a:ext>
          </a:extLst>
        </xdr:cNvPr>
        <xdr:cNvPicPr>
          <a:picLocks noChangeAspect="1"/>
        </xdr:cNvPicPr>
      </xdr:nvPicPr>
      <xdr:blipFill>
        <a:blip xmlns:r="http://schemas.openxmlformats.org/officeDocument/2006/relationships" r:embed="rId1494"/>
        <a:stretch>
          <a:fillRect/>
        </a:stretch>
      </xdr:blipFill>
      <xdr:spPr>
        <a:prstGeom prst="rect">
          <a:avLst/>
        </a:prstGeom>
        <a:ln w="9525">
          <a:solidFill>
            <a:srgbClr val="000000"/>
          </a:solidFill>
          <a:prstDash val="solid"/>
        </a:ln>
      </xdr:spPr>
    </xdr:pic>
    <xdr:clientData/>
  </xdr:twoCellAnchor>
  <xdr:twoCellAnchor>
    <xdr:from>
      <xdr:col>3</xdr:col>
      <xdr:colOff>114300</xdr:colOff>
      <xdr:row>4279</xdr:row>
      <xdr:rowOff>38100</xdr:rowOff>
    </xdr:from>
    <xdr:to>
      <xdr:col>3</xdr:col>
      <xdr:colOff>1552575</xdr:colOff>
      <xdr:row>4280</xdr:row>
      <xdr:rowOff>638175</xdr:rowOff>
    </xdr:to>
    <xdr:pic>
      <xdr:nvPicPr>
        <xdr:cNvPr id="1518" name="Имя " descr="Descr ">
          <a:extLst>
            <a:ext uri="{FF2B5EF4-FFF2-40B4-BE49-F238E27FC236}">
              <a16:creationId xmlns:a16="http://schemas.microsoft.com/office/drawing/2014/main" id="{00000000-0008-0000-0000-0000EE050000}"/>
            </a:ext>
          </a:extLst>
        </xdr:cNvPr>
        <xdr:cNvPicPr>
          <a:picLocks noChangeAspect="1"/>
        </xdr:cNvPicPr>
      </xdr:nvPicPr>
      <xdr:blipFill>
        <a:blip xmlns:r="http://schemas.openxmlformats.org/officeDocument/2006/relationships" r:embed="rId1495"/>
        <a:stretch>
          <a:fillRect/>
        </a:stretch>
      </xdr:blipFill>
      <xdr:spPr>
        <a:prstGeom prst="rect">
          <a:avLst/>
        </a:prstGeom>
        <a:ln w="9525">
          <a:solidFill>
            <a:srgbClr val="000000"/>
          </a:solidFill>
          <a:prstDash val="solid"/>
        </a:ln>
      </xdr:spPr>
    </xdr:pic>
    <xdr:clientData/>
  </xdr:twoCellAnchor>
  <xdr:twoCellAnchor>
    <xdr:from>
      <xdr:col>3</xdr:col>
      <xdr:colOff>114300</xdr:colOff>
      <xdr:row>4281</xdr:row>
      <xdr:rowOff>28575</xdr:rowOff>
    </xdr:from>
    <xdr:to>
      <xdr:col>3</xdr:col>
      <xdr:colOff>1552575</xdr:colOff>
      <xdr:row>4285</xdr:row>
      <xdr:rowOff>333375</xdr:rowOff>
    </xdr:to>
    <xdr:pic>
      <xdr:nvPicPr>
        <xdr:cNvPr id="1519" name="Имя " descr="Descr ">
          <a:extLst>
            <a:ext uri="{FF2B5EF4-FFF2-40B4-BE49-F238E27FC236}">
              <a16:creationId xmlns:a16="http://schemas.microsoft.com/office/drawing/2014/main" id="{00000000-0008-0000-0000-0000EF050000}"/>
            </a:ext>
          </a:extLst>
        </xdr:cNvPr>
        <xdr:cNvPicPr>
          <a:picLocks noChangeAspect="1"/>
        </xdr:cNvPicPr>
      </xdr:nvPicPr>
      <xdr:blipFill>
        <a:blip xmlns:r="http://schemas.openxmlformats.org/officeDocument/2006/relationships" r:embed="rId1496"/>
        <a:stretch>
          <a:fillRect/>
        </a:stretch>
      </xdr:blipFill>
      <xdr:spPr>
        <a:prstGeom prst="rect">
          <a:avLst/>
        </a:prstGeom>
        <a:ln w="9525">
          <a:solidFill>
            <a:srgbClr val="000000"/>
          </a:solidFill>
          <a:prstDash val="solid"/>
        </a:ln>
      </xdr:spPr>
    </xdr:pic>
    <xdr:clientData/>
  </xdr:twoCellAnchor>
  <xdr:twoCellAnchor>
    <xdr:from>
      <xdr:col>3</xdr:col>
      <xdr:colOff>114300</xdr:colOff>
      <xdr:row>4286</xdr:row>
      <xdr:rowOff>28575</xdr:rowOff>
    </xdr:from>
    <xdr:to>
      <xdr:col>3</xdr:col>
      <xdr:colOff>1552575</xdr:colOff>
      <xdr:row>4293</xdr:row>
      <xdr:rowOff>152400</xdr:rowOff>
    </xdr:to>
    <xdr:pic>
      <xdr:nvPicPr>
        <xdr:cNvPr id="1520" name="Имя " descr="Descr ">
          <a:extLst>
            <a:ext uri="{FF2B5EF4-FFF2-40B4-BE49-F238E27FC236}">
              <a16:creationId xmlns:a16="http://schemas.microsoft.com/office/drawing/2014/main" id="{00000000-0008-0000-0000-0000F0050000}"/>
            </a:ext>
          </a:extLst>
        </xdr:cNvPr>
        <xdr:cNvPicPr>
          <a:picLocks noChangeAspect="1"/>
        </xdr:cNvPicPr>
      </xdr:nvPicPr>
      <xdr:blipFill>
        <a:blip xmlns:r="http://schemas.openxmlformats.org/officeDocument/2006/relationships" r:embed="rId1497"/>
        <a:stretch>
          <a:fillRect/>
        </a:stretch>
      </xdr:blipFill>
      <xdr:spPr>
        <a:prstGeom prst="rect">
          <a:avLst/>
        </a:prstGeom>
        <a:ln w="9525">
          <a:solidFill>
            <a:srgbClr val="000000"/>
          </a:solidFill>
          <a:prstDash val="solid"/>
        </a:ln>
      </xdr:spPr>
    </xdr:pic>
    <xdr:clientData/>
  </xdr:twoCellAnchor>
  <xdr:twoCellAnchor>
    <xdr:from>
      <xdr:col>3</xdr:col>
      <xdr:colOff>114300</xdr:colOff>
      <xdr:row>4294</xdr:row>
      <xdr:rowOff>28575</xdr:rowOff>
    </xdr:from>
    <xdr:to>
      <xdr:col>3</xdr:col>
      <xdr:colOff>1552575</xdr:colOff>
      <xdr:row>4301</xdr:row>
      <xdr:rowOff>152400</xdr:rowOff>
    </xdr:to>
    <xdr:pic>
      <xdr:nvPicPr>
        <xdr:cNvPr id="1521" name="Имя " descr="Descr ">
          <a:extLst>
            <a:ext uri="{FF2B5EF4-FFF2-40B4-BE49-F238E27FC236}">
              <a16:creationId xmlns:a16="http://schemas.microsoft.com/office/drawing/2014/main" id="{00000000-0008-0000-0000-0000F1050000}"/>
            </a:ext>
          </a:extLst>
        </xdr:cNvPr>
        <xdr:cNvPicPr>
          <a:picLocks noChangeAspect="1"/>
        </xdr:cNvPicPr>
      </xdr:nvPicPr>
      <xdr:blipFill>
        <a:blip xmlns:r="http://schemas.openxmlformats.org/officeDocument/2006/relationships" r:embed="rId1498"/>
        <a:stretch>
          <a:fillRect/>
        </a:stretch>
      </xdr:blipFill>
      <xdr:spPr>
        <a:prstGeom prst="rect">
          <a:avLst/>
        </a:prstGeom>
        <a:ln w="9525">
          <a:solidFill>
            <a:srgbClr val="000000"/>
          </a:solidFill>
          <a:prstDash val="solid"/>
        </a:ln>
      </xdr:spPr>
    </xdr:pic>
    <xdr:clientData/>
  </xdr:twoCellAnchor>
  <xdr:twoCellAnchor>
    <xdr:from>
      <xdr:col>3</xdr:col>
      <xdr:colOff>114300</xdr:colOff>
      <xdr:row>4302</xdr:row>
      <xdr:rowOff>28575</xdr:rowOff>
    </xdr:from>
    <xdr:to>
      <xdr:col>3</xdr:col>
      <xdr:colOff>1552575</xdr:colOff>
      <xdr:row>4302</xdr:row>
      <xdr:rowOff>1266825</xdr:rowOff>
    </xdr:to>
    <xdr:pic>
      <xdr:nvPicPr>
        <xdr:cNvPr id="1522" name="Имя " descr="Descr ">
          <a:extLst>
            <a:ext uri="{FF2B5EF4-FFF2-40B4-BE49-F238E27FC236}">
              <a16:creationId xmlns:a16="http://schemas.microsoft.com/office/drawing/2014/main" id="{00000000-0008-0000-0000-0000F2050000}"/>
            </a:ext>
          </a:extLst>
        </xdr:cNvPr>
        <xdr:cNvPicPr>
          <a:picLocks noChangeAspect="1"/>
        </xdr:cNvPicPr>
      </xdr:nvPicPr>
      <xdr:blipFill>
        <a:blip xmlns:r="http://schemas.openxmlformats.org/officeDocument/2006/relationships" r:embed="rId1499"/>
        <a:stretch>
          <a:fillRect/>
        </a:stretch>
      </xdr:blipFill>
      <xdr:spPr>
        <a:prstGeom prst="rect">
          <a:avLst/>
        </a:prstGeom>
        <a:ln w="9525">
          <a:solidFill>
            <a:srgbClr val="000000"/>
          </a:solidFill>
          <a:prstDash val="solid"/>
        </a:ln>
      </xdr:spPr>
    </xdr:pic>
    <xdr:clientData/>
  </xdr:twoCellAnchor>
  <xdr:twoCellAnchor>
    <xdr:from>
      <xdr:col>3</xdr:col>
      <xdr:colOff>114300</xdr:colOff>
      <xdr:row>4303</xdr:row>
      <xdr:rowOff>28575</xdr:rowOff>
    </xdr:from>
    <xdr:to>
      <xdr:col>3</xdr:col>
      <xdr:colOff>1552575</xdr:colOff>
      <xdr:row>4309</xdr:row>
      <xdr:rowOff>171450</xdr:rowOff>
    </xdr:to>
    <xdr:pic>
      <xdr:nvPicPr>
        <xdr:cNvPr id="1523" name="Имя " descr="Descr ">
          <a:extLst>
            <a:ext uri="{FF2B5EF4-FFF2-40B4-BE49-F238E27FC236}">
              <a16:creationId xmlns:a16="http://schemas.microsoft.com/office/drawing/2014/main" id="{00000000-0008-0000-0000-0000F3050000}"/>
            </a:ext>
          </a:extLst>
        </xdr:cNvPr>
        <xdr:cNvPicPr>
          <a:picLocks noChangeAspect="1"/>
        </xdr:cNvPicPr>
      </xdr:nvPicPr>
      <xdr:blipFill>
        <a:blip xmlns:r="http://schemas.openxmlformats.org/officeDocument/2006/relationships" r:embed="rId1500"/>
        <a:stretch>
          <a:fillRect/>
        </a:stretch>
      </xdr:blipFill>
      <xdr:spPr>
        <a:prstGeom prst="rect">
          <a:avLst/>
        </a:prstGeom>
        <a:ln w="9525">
          <a:solidFill>
            <a:srgbClr val="000000"/>
          </a:solidFill>
          <a:prstDash val="solid"/>
        </a:ln>
      </xdr:spPr>
    </xdr:pic>
    <xdr:clientData/>
  </xdr:twoCellAnchor>
  <xdr:twoCellAnchor>
    <xdr:from>
      <xdr:col>3</xdr:col>
      <xdr:colOff>114300</xdr:colOff>
      <xdr:row>4310</xdr:row>
      <xdr:rowOff>28575</xdr:rowOff>
    </xdr:from>
    <xdr:to>
      <xdr:col>3</xdr:col>
      <xdr:colOff>1552575</xdr:colOff>
      <xdr:row>4315</xdr:row>
      <xdr:rowOff>209550</xdr:rowOff>
    </xdr:to>
    <xdr:pic>
      <xdr:nvPicPr>
        <xdr:cNvPr id="1524" name="Имя " descr="Descr ">
          <a:extLst>
            <a:ext uri="{FF2B5EF4-FFF2-40B4-BE49-F238E27FC236}">
              <a16:creationId xmlns:a16="http://schemas.microsoft.com/office/drawing/2014/main" id="{00000000-0008-0000-0000-0000F4050000}"/>
            </a:ext>
          </a:extLst>
        </xdr:cNvPr>
        <xdr:cNvPicPr>
          <a:picLocks noChangeAspect="1"/>
        </xdr:cNvPicPr>
      </xdr:nvPicPr>
      <xdr:blipFill>
        <a:blip xmlns:r="http://schemas.openxmlformats.org/officeDocument/2006/relationships" r:embed="rId1501"/>
        <a:stretch>
          <a:fillRect/>
        </a:stretch>
      </xdr:blipFill>
      <xdr:spPr>
        <a:prstGeom prst="rect">
          <a:avLst/>
        </a:prstGeom>
        <a:ln w="9525">
          <a:solidFill>
            <a:srgbClr val="000000"/>
          </a:solidFill>
          <a:prstDash val="solid"/>
        </a:ln>
      </xdr:spPr>
    </xdr:pic>
    <xdr:clientData/>
  </xdr:twoCellAnchor>
  <xdr:twoCellAnchor>
    <xdr:from>
      <xdr:col>3</xdr:col>
      <xdr:colOff>114300</xdr:colOff>
      <xdr:row>4316</xdr:row>
      <xdr:rowOff>28575</xdr:rowOff>
    </xdr:from>
    <xdr:to>
      <xdr:col>3</xdr:col>
      <xdr:colOff>1552575</xdr:colOff>
      <xdr:row>4319</xdr:row>
      <xdr:rowOff>209550</xdr:rowOff>
    </xdr:to>
    <xdr:pic>
      <xdr:nvPicPr>
        <xdr:cNvPr id="1525" name="Имя " descr="Descr ">
          <a:extLst>
            <a:ext uri="{FF2B5EF4-FFF2-40B4-BE49-F238E27FC236}">
              <a16:creationId xmlns:a16="http://schemas.microsoft.com/office/drawing/2014/main" id="{00000000-0008-0000-0000-0000F5050000}"/>
            </a:ext>
          </a:extLst>
        </xdr:cNvPr>
        <xdr:cNvPicPr>
          <a:picLocks noChangeAspect="1"/>
        </xdr:cNvPicPr>
      </xdr:nvPicPr>
      <xdr:blipFill>
        <a:blip xmlns:r="http://schemas.openxmlformats.org/officeDocument/2006/relationships" r:embed="rId1502"/>
        <a:stretch>
          <a:fillRect/>
        </a:stretch>
      </xdr:blipFill>
      <xdr:spPr>
        <a:prstGeom prst="rect">
          <a:avLst/>
        </a:prstGeom>
        <a:ln w="9525">
          <a:solidFill>
            <a:srgbClr val="000000"/>
          </a:solidFill>
          <a:prstDash val="solid"/>
        </a:ln>
      </xdr:spPr>
    </xdr:pic>
    <xdr:clientData/>
  </xdr:twoCellAnchor>
  <xdr:twoCellAnchor>
    <xdr:from>
      <xdr:col>3</xdr:col>
      <xdr:colOff>114300</xdr:colOff>
      <xdr:row>4320</xdr:row>
      <xdr:rowOff>28575</xdr:rowOff>
    </xdr:from>
    <xdr:to>
      <xdr:col>3</xdr:col>
      <xdr:colOff>1552575</xdr:colOff>
      <xdr:row>4323</xdr:row>
      <xdr:rowOff>209550</xdr:rowOff>
    </xdr:to>
    <xdr:pic>
      <xdr:nvPicPr>
        <xdr:cNvPr id="1526" name="Имя " descr="Descr ">
          <a:extLst>
            <a:ext uri="{FF2B5EF4-FFF2-40B4-BE49-F238E27FC236}">
              <a16:creationId xmlns:a16="http://schemas.microsoft.com/office/drawing/2014/main" id="{00000000-0008-0000-0000-0000F6050000}"/>
            </a:ext>
          </a:extLst>
        </xdr:cNvPr>
        <xdr:cNvPicPr>
          <a:picLocks noChangeAspect="1"/>
        </xdr:cNvPicPr>
      </xdr:nvPicPr>
      <xdr:blipFill>
        <a:blip xmlns:r="http://schemas.openxmlformats.org/officeDocument/2006/relationships" r:embed="rId1503"/>
        <a:stretch>
          <a:fillRect/>
        </a:stretch>
      </xdr:blipFill>
      <xdr:spPr>
        <a:prstGeom prst="rect">
          <a:avLst/>
        </a:prstGeom>
        <a:ln w="9525">
          <a:solidFill>
            <a:srgbClr val="000000"/>
          </a:solidFill>
          <a:prstDash val="solid"/>
        </a:ln>
      </xdr:spPr>
    </xdr:pic>
    <xdr:clientData/>
  </xdr:twoCellAnchor>
  <xdr:twoCellAnchor>
    <xdr:from>
      <xdr:col>3</xdr:col>
      <xdr:colOff>114300</xdr:colOff>
      <xdr:row>4324</xdr:row>
      <xdr:rowOff>28575</xdr:rowOff>
    </xdr:from>
    <xdr:to>
      <xdr:col>3</xdr:col>
      <xdr:colOff>1552575</xdr:colOff>
      <xdr:row>4332</xdr:row>
      <xdr:rowOff>133350</xdr:rowOff>
    </xdr:to>
    <xdr:pic>
      <xdr:nvPicPr>
        <xdr:cNvPr id="1527" name="Имя " descr="Descr ">
          <a:extLst>
            <a:ext uri="{FF2B5EF4-FFF2-40B4-BE49-F238E27FC236}">
              <a16:creationId xmlns:a16="http://schemas.microsoft.com/office/drawing/2014/main" id="{00000000-0008-0000-0000-0000F7050000}"/>
            </a:ext>
          </a:extLst>
        </xdr:cNvPr>
        <xdr:cNvPicPr>
          <a:picLocks noChangeAspect="1"/>
        </xdr:cNvPicPr>
      </xdr:nvPicPr>
      <xdr:blipFill>
        <a:blip xmlns:r="http://schemas.openxmlformats.org/officeDocument/2006/relationships" r:embed="rId1504"/>
        <a:stretch>
          <a:fillRect/>
        </a:stretch>
      </xdr:blipFill>
      <xdr:spPr>
        <a:prstGeom prst="rect">
          <a:avLst/>
        </a:prstGeom>
        <a:ln w="9525">
          <a:solidFill>
            <a:srgbClr val="000000"/>
          </a:solidFill>
          <a:prstDash val="solid"/>
        </a:ln>
      </xdr:spPr>
    </xdr:pic>
    <xdr:clientData/>
  </xdr:twoCellAnchor>
  <xdr:twoCellAnchor>
    <xdr:from>
      <xdr:col>3</xdr:col>
      <xdr:colOff>114300</xdr:colOff>
      <xdr:row>4333</xdr:row>
      <xdr:rowOff>28575</xdr:rowOff>
    </xdr:from>
    <xdr:to>
      <xdr:col>3</xdr:col>
      <xdr:colOff>1552575</xdr:colOff>
      <xdr:row>4341</xdr:row>
      <xdr:rowOff>133350</xdr:rowOff>
    </xdr:to>
    <xdr:pic>
      <xdr:nvPicPr>
        <xdr:cNvPr id="1528" name="Имя " descr="Descr ">
          <a:extLst>
            <a:ext uri="{FF2B5EF4-FFF2-40B4-BE49-F238E27FC236}">
              <a16:creationId xmlns:a16="http://schemas.microsoft.com/office/drawing/2014/main" id="{00000000-0008-0000-0000-0000F8050000}"/>
            </a:ext>
          </a:extLst>
        </xdr:cNvPr>
        <xdr:cNvPicPr>
          <a:picLocks noChangeAspect="1"/>
        </xdr:cNvPicPr>
      </xdr:nvPicPr>
      <xdr:blipFill>
        <a:blip xmlns:r="http://schemas.openxmlformats.org/officeDocument/2006/relationships" r:embed="rId1505"/>
        <a:stretch>
          <a:fillRect/>
        </a:stretch>
      </xdr:blipFill>
      <xdr:spPr>
        <a:prstGeom prst="rect">
          <a:avLst/>
        </a:prstGeom>
        <a:ln w="9525">
          <a:solidFill>
            <a:srgbClr val="000000"/>
          </a:solidFill>
          <a:prstDash val="solid"/>
        </a:ln>
      </xdr:spPr>
    </xdr:pic>
    <xdr:clientData/>
  </xdr:twoCellAnchor>
  <xdr:twoCellAnchor>
    <xdr:from>
      <xdr:col>3</xdr:col>
      <xdr:colOff>114300</xdr:colOff>
      <xdr:row>4342</xdr:row>
      <xdr:rowOff>28575</xdr:rowOff>
    </xdr:from>
    <xdr:to>
      <xdr:col>3</xdr:col>
      <xdr:colOff>1552575</xdr:colOff>
      <xdr:row>4345</xdr:row>
      <xdr:rowOff>209550</xdr:rowOff>
    </xdr:to>
    <xdr:pic>
      <xdr:nvPicPr>
        <xdr:cNvPr id="1529" name="Имя " descr="Descr ">
          <a:extLst>
            <a:ext uri="{FF2B5EF4-FFF2-40B4-BE49-F238E27FC236}">
              <a16:creationId xmlns:a16="http://schemas.microsoft.com/office/drawing/2014/main" id="{00000000-0008-0000-0000-0000F9050000}"/>
            </a:ext>
          </a:extLst>
        </xdr:cNvPr>
        <xdr:cNvPicPr>
          <a:picLocks noChangeAspect="1"/>
        </xdr:cNvPicPr>
      </xdr:nvPicPr>
      <xdr:blipFill>
        <a:blip xmlns:r="http://schemas.openxmlformats.org/officeDocument/2006/relationships" r:embed="rId1506"/>
        <a:stretch>
          <a:fillRect/>
        </a:stretch>
      </xdr:blipFill>
      <xdr:spPr>
        <a:prstGeom prst="rect">
          <a:avLst/>
        </a:prstGeom>
        <a:ln w="9525">
          <a:solidFill>
            <a:srgbClr val="000000"/>
          </a:solidFill>
          <a:prstDash val="solid"/>
        </a:ln>
      </xdr:spPr>
    </xdr:pic>
    <xdr:clientData/>
  </xdr:twoCellAnchor>
  <xdr:twoCellAnchor>
    <xdr:from>
      <xdr:col>3</xdr:col>
      <xdr:colOff>114300</xdr:colOff>
      <xdr:row>4346</xdr:row>
      <xdr:rowOff>28575</xdr:rowOff>
    </xdr:from>
    <xdr:to>
      <xdr:col>3</xdr:col>
      <xdr:colOff>1552575</xdr:colOff>
      <xdr:row>4348</xdr:row>
      <xdr:rowOff>419100</xdr:rowOff>
    </xdr:to>
    <xdr:pic>
      <xdr:nvPicPr>
        <xdr:cNvPr id="1530" name="Имя " descr="Descr ">
          <a:extLst>
            <a:ext uri="{FF2B5EF4-FFF2-40B4-BE49-F238E27FC236}">
              <a16:creationId xmlns:a16="http://schemas.microsoft.com/office/drawing/2014/main" id="{00000000-0008-0000-0000-0000FA050000}"/>
            </a:ext>
          </a:extLst>
        </xdr:cNvPr>
        <xdr:cNvPicPr>
          <a:picLocks noChangeAspect="1"/>
        </xdr:cNvPicPr>
      </xdr:nvPicPr>
      <xdr:blipFill>
        <a:blip xmlns:r="http://schemas.openxmlformats.org/officeDocument/2006/relationships" r:embed="rId1507"/>
        <a:stretch>
          <a:fillRect/>
        </a:stretch>
      </xdr:blipFill>
      <xdr:spPr>
        <a:prstGeom prst="rect">
          <a:avLst/>
        </a:prstGeom>
        <a:ln w="9525">
          <a:solidFill>
            <a:srgbClr val="000000"/>
          </a:solidFill>
          <a:prstDash val="solid"/>
        </a:ln>
      </xdr:spPr>
    </xdr:pic>
    <xdr:clientData/>
  </xdr:twoCellAnchor>
  <xdr:twoCellAnchor>
    <xdr:from>
      <xdr:col>3</xdr:col>
      <xdr:colOff>114300</xdr:colOff>
      <xdr:row>4349</xdr:row>
      <xdr:rowOff>28575</xdr:rowOff>
    </xdr:from>
    <xdr:to>
      <xdr:col>3</xdr:col>
      <xdr:colOff>1552575</xdr:colOff>
      <xdr:row>4354</xdr:row>
      <xdr:rowOff>209550</xdr:rowOff>
    </xdr:to>
    <xdr:pic>
      <xdr:nvPicPr>
        <xdr:cNvPr id="1531" name="Имя " descr="Descr ">
          <a:extLst>
            <a:ext uri="{FF2B5EF4-FFF2-40B4-BE49-F238E27FC236}">
              <a16:creationId xmlns:a16="http://schemas.microsoft.com/office/drawing/2014/main" id="{00000000-0008-0000-0000-0000FB050000}"/>
            </a:ext>
          </a:extLst>
        </xdr:cNvPr>
        <xdr:cNvPicPr>
          <a:picLocks noChangeAspect="1"/>
        </xdr:cNvPicPr>
      </xdr:nvPicPr>
      <xdr:blipFill>
        <a:blip xmlns:r="http://schemas.openxmlformats.org/officeDocument/2006/relationships" r:embed="rId1508"/>
        <a:stretch>
          <a:fillRect/>
        </a:stretch>
      </xdr:blipFill>
      <xdr:spPr>
        <a:prstGeom prst="rect">
          <a:avLst/>
        </a:prstGeom>
        <a:ln w="9525">
          <a:solidFill>
            <a:srgbClr val="000000"/>
          </a:solidFill>
          <a:prstDash val="solid"/>
        </a:ln>
      </xdr:spPr>
    </xdr:pic>
    <xdr:clientData/>
  </xdr:twoCellAnchor>
  <xdr:twoCellAnchor>
    <xdr:from>
      <xdr:col>3</xdr:col>
      <xdr:colOff>114300</xdr:colOff>
      <xdr:row>4355</xdr:row>
      <xdr:rowOff>28575</xdr:rowOff>
    </xdr:from>
    <xdr:to>
      <xdr:col>3</xdr:col>
      <xdr:colOff>1552575</xdr:colOff>
      <xdr:row>4362</xdr:row>
      <xdr:rowOff>152400</xdr:rowOff>
    </xdr:to>
    <xdr:pic>
      <xdr:nvPicPr>
        <xdr:cNvPr id="1532" name="Имя " descr="Descr ">
          <a:extLst>
            <a:ext uri="{FF2B5EF4-FFF2-40B4-BE49-F238E27FC236}">
              <a16:creationId xmlns:a16="http://schemas.microsoft.com/office/drawing/2014/main" id="{00000000-0008-0000-0000-0000FC050000}"/>
            </a:ext>
          </a:extLst>
        </xdr:cNvPr>
        <xdr:cNvPicPr>
          <a:picLocks noChangeAspect="1"/>
        </xdr:cNvPicPr>
      </xdr:nvPicPr>
      <xdr:blipFill>
        <a:blip xmlns:r="http://schemas.openxmlformats.org/officeDocument/2006/relationships" r:embed="rId1509"/>
        <a:stretch>
          <a:fillRect/>
        </a:stretch>
      </xdr:blipFill>
      <xdr:spPr>
        <a:prstGeom prst="rect">
          <a:avLst/>
        </a:prstGeom>
        <a:ln w="9525">
          <a:solidFill>
            <a:srgbClr val="000000"/>
          </a:solidFill>
          <a:prstDash val="solid"/>
        </a:ln>
      </xdr:spPr>
    </xdr:pic>
    <xdr:clientData/>
  </xdr:twoCellAnchor>
  <xdr:twoCellAnchor>
    <xdr:from>
      <xdr:col>3</xdr:col>
      <xdr:colOff>114300</xdr:colOff>
      <xdr:row>4363</xdr:row>
      <xdr:rowOff>28575</xdr:rowOff>
    </xdr:from>
    <xdr:to>
      <xdr:col>3</xdr:col>
      <xdr:colOff>1552575</xdr:colOff>
      <xdr:row>4369</xdr:row>
      <xdr:rowOff>171450</xdr:rowOff>
    </xdr:to>
    <xdr:pic>
      <xdr:nvPicPr>
        <xdr:cNvPr id="1533" name="Имя " descr="Descr ">
          <a:extLst>
            <a:ext uri="{FF2B5EF4-FFF2-40B4-BE49-F238E27FC236}">
              <a16:creationId xmlns:a16="http://schemas.microsoft.com/office/drawing/2014/main" id="{00000000-0008-0000-0000-0000FD050000}"/>
            </a:ext>
          </a:extLst>
        </xdr:cNvPr>
        <xdr:cNvPicPr>
          <a:picLocks noChangeAspect="1"/>
        </xdr:cNvPicPr>
      </xdr:nvPicPr>
      <xdr:blipFill>
        <a:blip xmlns:r="http://schemas.openxmlformats.org/officeDocument/2006/relationships" r:embed="rId1510"/>
        <a:stretch>
          <a:fillRect/>
        </a:stretch>
      </xdr:blipFill>
      <xdr:spPr>
        <a:prstGeom prst="rect">
          <a:avLst/>
        </a:prstGeom>
        <a:ln w="9525">
          <a:solidFill>
            <a:srgbClr val="000000"/>
          </a:solidFill>
          <a:prstDash val="solid"/>
        </a:ln>
      </xdr:spPr>
    </xdr:pic>
    <xdr:clientData/>
  </xdr:twoCellAnchor>
  <xdr:twoCellAnchor>
    <xdr:from>
      <xdr:col>3</xdr:col>
      <xdr:colOff>114300</xdr:colOff>
      <xdr:row>4370</xdr:row>
      <xdr:rowOff>28575</xdr:rowOff>
    </xdr:from>
    <xdr:to>
      <xdr:col>3</xdr:col>
      <xdr:colOff>1552575</xdr:colOff>
      <xdr:row>4377</xdr:row>
      <xdr:rowOff>152400</xdr:rowOff>
    </xdr:to>
    <xdr:pic>
      <xdr:nvPicPr>
        <xdr:cNvPr id="1534" name="Имя " descr="Descr ">
          <a:extLst>
            <a:ext uri="{FF2B5EF4-FFF2-40B4-BE49-F238E27FC236}">
              <a16:creationId xmlns:a16="http://schemas.microsoft.com/office/drawing/2014/main" id="{00000000-0008-0000-0000-0000FE050000}"/>
            </a:ext>
          </a:extLst>
        </xdr:cNvPr>
        <xdr:cNvPicPr>
          <a:picLocks noChangeAspect="1"/>
        </xdr:cNvPicPr>
      </xdr:nvPicPr>
      <xdr:blipFill>
        <a:blip xmlns:r="http://schemas.openxmlformats.org/officeDocument/2006/relationships" r:embed="rId1511"/>
        <a:stretch>
          <a:fillRect/>
        </a:stretch>
      </xdr:blipFill>
      <xdr:spPr>
        <a:prstGeom prst="rect">
          <a:avLst/>
        </a:prstGeom>
        <a:ln w="9525">
          <a:solidFill>
            <a:srgbClr val="000000"/>
          </a:solidFill>
          <a:prstDash val="solid"/>
        </a:ln>
      </xdr:spPr>
    </xdr:pic>
    <xdr:clientData/>
  </xdr:twoCellAnchor>
  <xdr:twoCellAnchor>
    <xdr:from>
      <xdr:col>3</xdr:col>
      <xdr:colOff>114300</xdr:colOff>
      <xdr:row>4378</xdr:row>
      <xdr:rowOff>28575</xdr:rowOff>
    </xdr:from>
    <xdr:to>
      <xdr:col>3</xdr:col>
      <xdr:colOff>1552575</xdr:colOff>
      <xdr:row>4385</xdr:row>
      <xdr:rowOff>152400</xdr:rowOff>
    </xdr:to>
    <xdr:pic>
      <xdr:nvPicPr>
        <xdr:cNvPr id="1535" name="Имя " descr="Descr ">
          <a:extLst>
            <a:ext uri="{FF2B5EF4-FFF2-40B4-BE49-F238E27FC236}">
              <a16:creationId xmlns:a16="http://schemas.microsoft.com/office/drawing/2014/main" id="{00000000-0008-0000-0000-0000FF050000}"/>
            </a:ext>
          </a:extLst>
        </xdr:cNvPr>
        <xdr:cNvPicPr>
          <a:picLocks noChangeAspect="1"/>
        </xdr:cNvPicPr>
      </xdr:nvPicPr>
      <xdr:blipFill>
        <a:blip xmlns:r="http://schemas.openxmlformats.org/officeDocument/2006/relationships" r:embed="rId1512"/>
        <a:stretch>
          <a:fillRect/>
        </a:stretch>
      </xdr:blipFill>
      <xdr:spPr>
        <a:prstGeom prst="rect">
          <a:avLst/>
        </a:prstGeom>
        <a:ln w="9525">
          <a:solidFill>
            <a:srgbClr val="000000"/>
          </a:solidFill>
          <a:prstDash val="solid"/>
        </a:ln>
      </xdr:spPr>
    </xdr:pic>
    <xdr:clientData/>
  </xdr:twoCellAnchor>
  <xdr:twoCellAnchor>
    <xdr:from>
      <xdr:col>3</xdr:col>
      <xdr:colOff>114300</xdr:colOff>
      <xdr:row>4386</xdr:row>
      <xdr:rowOff>28575</xdr:rowOff>
    </xdr:from>
    <xdr:to>
      <xdr:col>3</xdr:col>
      <xdr:colOff>1552575</xdr:colOff>
      <xdr:row>4391</xdr:row>
      <xdr:rowOff>209550</xdr:rowOff>
    </xdr:to>
    <xdr:pic>
      <xdr:nvPicPr>
        <xdr:cNvPr id="1536" name="Имя " descr="Descr ">
          <a:extLst>
            <a:ext uri="{FF2B5EF4-FFF2-40B4-BE49-F238E27FC236}">
              <a16:creationId xmlns:a16="http://schemas.microsoft.com/office/drawing/2014/main" id="{00000000-0008-0000-0000-000000060000}"/>
            </a:ext>
          </a:extLst>
        </xdr:cNvPr>
        <xdr:cNvPicPr>
          <a:picLocks noChangeAspect="1"/>
        </xdr:cNvPicPr>
      </xdr:nvPicPr>
      <xdr:blipFill>
        <a:blip xmlns:r="http://schemas.openxmlformats.org/officeDocument/2006/relationships" r:embed="rId1513"/>
        <a:stretch>
          <a:fillRect/>
        </a:stretch>
      </xdr:blipFill>
      <xdr:spPr>
        <a:prstGeom prst="rect">
          <a:avLst/>
        </a:prstGeom>
        <a:ln w="9525">
          <a:solidFill>
            <a:srgbClr val="000000"/>
          </a:solidFill>
          <a:prstDash val="solid"/>
        </a:ln>
      </xdr:spPr>
    </xdr:pic>
    <xdr:clientData/>
  </xdr:twoCellAnchor>
  <xdr:twoCellAnchor>
    <xdr:from>
      <xdr:col>3</xdr:col>
      <xdr:colOff>114300</xdr:colOff>
      <xdr:row>4392</xdr:row>
      <xdr:rowOff>28575</xdr:rowOff>
    </xdr:from>
    <xdr:to>
      <xdr:col>3</xdr:col>
      <xdr:colOff>1552575</xdr:colOff>
      <xdr:row>4395</xdr:row>
      <xdr:rowOff>209550</xdr:rowOff>
    </xdr:to>
    <xdr:pic>
      <xdr:nvPicPr>
        <xdr:cNvPr id="1537" name="Имя " descr="Descr ">
          <a:extLst>
            <a:ext uri="{FF2B5EF4-FFF2-40B4-BE49-F238E27FC236}">
              <a16:creationId xmlns:a16="http://schemas.microsoft.com/office/drawing/2014/main" id="{00000000-0008-0000-0000-000001060000}"/>
            </a:ext>
          </a:extLst>
        </xdr:cNvPr>
        <xdr:cNvPicPr>
          <a:picLocks noChangeAspect="1"/>
        </xdr:cNvPicPr>
      </xdr:nvPicPr>
      <xdr:blipFill>
        <a:blip xmlns:r="http://schemas.openxmlformats.org/officeDocument/2006/relationships" r:embed="rId1514"/>
        <a:stretch>
          <a:fillRect/>
        </a:stretch>
      </xdr:blipFill>
      <xdr:spPr>
        <a:prstGeom prst="rect">
          <a:avLst/>
        </a:prstGeom>
        <a:ln w="9525">
          <a:solidFill>
            <a:srgbClr val="000000"/>
          </a:solidFill>
          <a:prstDash val="solid"/>
        </a:ln>
      </xdr:spPr>
    </xdr:pic>
    <xdr:clientData/>
  </xdr:twoCellAnchor>
  <xdr:twoCellAnchor>
    <xdr:from>
      <xdr:col>3</xdr:col>
      <xdr:colOff>114300</xdr:colOff>
      <xdr:row>4396</xdr:row>
      <xdr:rowOff>28575</xdr:rowOff>
    </xdr:from>
    <xdr:to>
      <xdr:col>3</xdr:col>
      <xdr:colOff>1552575</xdr:colOff>
      <xdr:row>4398</xdr:row>
      <xdr:rowOff>419100</xdr:rowOff>
    </xdr:to>
    <xdr:pic>
      <xdr:nvPicPr>
        <xdr:cNvPr id="1538" name="Имя " descr="Descr ">
          <a:extLst>
            <a:ext uri="{FF2B5EF4-FFF2-40B4-BE49-F238E27FC236}">
              <a16:creationId xmlns:a16="http://schemas.microsoft.com/office/drawing/2014/main" id="{00000000-0008-0000-0000-000002060000}"/>
            </a:ext>
          </a:extLst>
        </xdr:cNvPr>
        <xdr:cNvPicPr>
          <a:picLocks noChangeAspect="1"/>
        </xdr:cNvPicPr>
      </xdr:nvPicPr>
      <xdr:blipFill>
        <a:blip xmlns:r="http://schemas.openxmlformats.org/officeDocument/2006/relationships" r:embed="rId1515"/>
        <a:stretch>
          <a:fillRect/>
        </a:stretch>
      </xdr:blipFill>
      <xdr:spPr>
        <a:prstGeom prst="rect">
          <a:avLst/>
        </a:prstGeom>
        <a:ln w="9525">
          <a:solidFill>
            <a:srgbClr val="000000"/>
          </a:solidFill>
          <a:prstDash val="solid"/>
        </a:ln>
      </xdr:spPr>
    </xdr:pic>
    <xdr:clientData/>
  </xdr:twoCellAnchor>
  <xdr:twoCellAnchor>
    <xdr:from>
      <xdr:col>3</xdr:col>
      <xdr:colOff>114300</xdr:colOff>
      <xdr:row>4399</xdr:row>
      <xdr:rowOff>28575</xdr:rowOff>
    </xdr:from>
    <xdr:to>
      <xdr:col>3</xdr:col>
      <xdr:colOff>1552575</xdr:colOff>
      <xdr:row>4399</xdr:row>
      <xdr:rowOff>1266825</xdr:rowOff>
    </xdr:to>
    <xdr:pic>
      <xdr:nvPicPr>
        <xdr:cNvPr id="1539" name="Имя " descr="Descr ">
          <a:extLst>
            <a:ext uri="{FF2B5EF4-FFF2-40B4-BE49-F238E27FC236}">
              <a16:creationId xmlns:a16="http://schemas.microsoft.com/office/drawing/2014/main" id="{00000000-0008-0000-0000-000003060000}"/>
            </a:ext>
          </a:extLst>
        </xdr:cNvPr>
        <xdr:cNvPicPr>
          <a:picLocks noChangeAspect="1"/>
        </xdr:cNvPicPr>
      </xdr:nvPicPr>
      <xdr:blipFill>
        <a:blip xmlns:r="http://schemas.openxmlformats.org/officeDocument/2006/relationships" r:embed="rId1516"/>
        <a:stretch>
          <a:fillRect/>
        </a:stretch>
      </xdr:blipFill>
      <xdr:spPr>
        <a:prstGeom prst="rect">
          <a:avLst/>
        </a:prstGeom>
        <a:ln w="9525">
          <a:solidFill>
            <a:srgbClr val="000000"/>
          </a:solidFill>
          <a:prstDash val="solid"/>
        </a:ln>
      </xdr:spPr>
    </xdr:pic>
    <xdr:clientData/>
  </xdr:twoCellAnchor>
  <xdr:twoCellAnchor>
    <xdr:from>
      <xdr:col>3</xdr:col>
      <xdr:colOff>114300</xdr:colOff>
      <xdr:row>4400</xdr:row>
      <xdr:rowOff>28575</xdr:rowOff>
    </xdr:from>
    <xdr:to>
      <xdr:col>3</xdr:col>
      <xdr:colOff>1552575</xdr:colOff>
      <xdr:row>4400</xdr:row>
      <xdr:rowOff>1266825</xdr:rowOff>
    </xdr:to>
    <xdr:pic>
      <xdr:nvPicPr>
        <xdr:cNvPr id="1540" name="Имя " descr="Descr ">
          <a:extLst>
            <a:ext uri="{FF2B5EF4-FFF2-40B4-BE49-F238E27FC236}">
              <a16:creationId xmlns:a16="http://schemas.microsoft.com/office/drawing/2014/main" id="{00000000-0008-0000-0000-000004060000}"/>
            </a:ext>
          </a:extLst>
        </xdr:cNvPr>
        <xdr:cNvPicPr>
          <a:picLocks noChangeAspect="1"/>
        </xdr:cNvPicPr>
      </xdr:nvPicPr>
      <xdr:blipFill>
        <a:blip xmlns:r="http://schemas.openxmlformats.org/officeDocument/2006/relationships" r:embed="rId1517"/>
        <a:stretch>
          <a:fillRect/>
        </a:stretch>
      </xdr:blipFill>
      <xdr:spPr>
        <a:prstGeom prst="rect">
          <a:avLst/>
        </a:prstGeom>
        <a:ln w="9525">
          <a:solidFill>
            <a:srgbClr val="000000"/>
          </a:solidFill>
          <a:prstDash val="solid"/>
        </a:ln>
      </xdr:spPr>
    </xdr:pic>
    <xdr:clientData/>
  </xdr:twoCellAnchor>
  <xdr:twoCellAnchor>
    <xdr:from>
      <xdr:col>3</xdr:col>
      <xdr:colOff>114300</xdr:colOff>
      <xdr:row>4401</xdr:row>
      <xdr:rowOff>28575</xdr:rowOff>
    </xdr:from>
    <xdr:to>
      <xdr:col>3</xdr:col>
      <xdr:colOff>1552575</xdr:colOff>
      <xdr:row>4403</xdr:row>
      <xdr:rowOff>419100</xdr:rowOff>
    </xdr:to>
    <xdr:pic>
      <xdr:nvPicPr>
        <xdr:cNvPr id="1541" name="Имя " descr="Descr ">
          <a:extLst>
            <a:ext uri="{FF2B5EF4-FFF2-40B4-BE49-F238E27FC236}">
              <a16:creationId xmlns:a16="http://schemas.microsoft.com/office/drawing/2014/main" id="{00000000-0008-0000-0000-000005060000}"/>
            </a:ext>
          </a:extLst>
        </xdr:cNvPr>
        <xdr:cNvPicPr>
          <a:picLocks noChangeAspect="1"/>
        </xdr:cNvPicPr>
      </xdr:nvPicPr>
      <xdr:blipFill>
        <a:blip xmlns:r="http://schemas.openxmlformats.org/officeDocument/2006/relationships" r:embed="rId1518"/>
        <a:stretch>
          <a:fillRect/>
        </a:stretch>
      </xdr:blipFill>
      <xdr:spPr>
        <a:prstGeom prst="rect">
          <a:avLst/>
        </a:prstGeom>
        <a:ln w="9525">
          <a:solidFill>
            <a:srgbClr val="000000"/>
          </a:solidFill>
          <a:prstDash val="solid"/>
        </a:ln>
      </xdr:spPr>
    </xdr:pic>
    <xdr:clientData/>
  </xdr:twoCellAnchor>
  <xdr:twoCellAnchor>
    <xdr:from>
      <xdr:col>3</xdr:col>
      <xdr:colOff>114300</xdr:colOff>
      <xdr:row>4404</xdr:row>
      <xdr:rowOff>28575</xdr:rowOff>
    </xdr:from>
    <xdr:to>
      <xdr:col>3</xdr:col>
      <xdr:colOff>1552575</xdr:colOff>
      <xdr:row>4404</xdr:row>
      <xdr:rowOff>1266825</xdr:rowOff>
    </xdr:to>
    <xdr:pic>
      <xdr:nvPicPr>
        <xdr:cNvPr id="1542" name="Имя " descr="Descr ">
          <a:extLst>
            <a:ext uri="{FF2B5EF4-FFF2-40B4-BE49-F238E27FC236}">
              <a16:creationId xmlns:a16="http://schemas.microsoft.com/office/drawing/2014/main" id="{00000000-0008-0000-0000-000006060000}"/>
            </a:ext>
          </a:extLst>
        </xdr:cNvPr>
        <xdr:cNvPicPr>
          <a:picLocks noChangeAspect="1"/>
        </xdr:cNvPicPr>
      </xdr:nvPicPr>
      <xdr:blipFill>
        <a:blip xmlns:r="http://schemas.openxmlformats.org/officeDocument/2006/relationships" r:embed="rId1519"/>
        <a:stretch>
          <a:fillRect/>
        </a:stretch>
      </xdr:blipFill>
      <xdr:spPr>
        <a:prstGeom prst="rect">
          <a:avLst/>
        </a:prstGeom>
        <a:ln w="9525">
          <a:solidFill>
            <a:srgbClr val="000000"/>
          </a:solidFill>
          <a:prstDash val="solid"/>
        </a:ln>
      </xdr:spPr>
    </xdr:pic>
    <xdr:clientData/>
  </xdr:twoCellAnchor>
  <xdr:twoCellAnchor>
    <xdr:from>
      <xdr:col>3</xdr:col>
      <xdr:colOff>114300</xdr:colOff>
      <xdr:row>4405</xdr:row>
      <xdr:rowOff>28575</xdr:rowOff>
    </xdr:from>
    <xdr:to>
      <xdr:col>3</xdr:col>
      <xdr:colOff>1552575</xdr:colOff>
      <xdr:row>4411</xdr:row>
      <xdr:rowOff>171450</xdr:rowOff>
    </xdr:to>
    <xdr:pic>
      <xdr:nvPicPr>
        <xdr:cNvPr id="1543" name="Имя " descr="Descr ">
          <a:extLst>
            <a:ext uri="{FF2B5EF4-FFF2-40B4-BE49-F238E27FC236}">
              <a16:creationId xmlns:a16="http://schemas.microsoft.com/office/drawing/2014/main" id="{00000000-0008-0000-0000-000007060000}"/>
            </a:ext>
          </a:extLst>
        </xdr:cNvPr>
        <xdr:cNvPicPr>
          <a:picLocks noChangeAspect="1"/>
        </xdr:cNvPicPr>
      </xdr:nvPicPr>
      <xdr:blipFill>
        <a:blip xmlns:r="http://schemas.openxmlformats.org/officeDocument/2006/relationships" r:embed="rId1520"/>
        <a:stretch>
          <a:fillRect/>
        </a:stretch>
      </xdr:blipFill>
      <xdr:spPr>
        <a:prstGeom prst="rect">
          <a:avLst/>
        </a:prstGeom>
        <a:ln w="9525">
          <a:solidFill>
            <a:srgbClr val="000000"/>
          </a:solidFill>
          <a:prstDash val="solid"/>
        </a:ln>
      </xdr:spPr>
    </xdr:pic>
    <xdr:clientData/>
  </xdr:twoCellAnchor>
  <xdr:twoCellAnchor>
    <xdr:from>
      <xdr:col>3</xdr:col>
      <xdr:colOff>114300</xdr:colOff>
      <xdr:row>4412</xdr:row>
      <xdr:rowOff>28575</xdr:rowOff>
    </xdr:from>
    <xdr:to>
      <xdr:col>3</xdr:col>
      <xdr:colOff>1552575</xdr:colOff>
      <xdr:row>4419</xdr:row>
      <xdr:rowOff>152400</xdr:rowOff>
    </xdr:to>
    <xdr:pic>
      <xdr:nvPicPr>
        <xdr:cNvPr id="1544" name="Имя " descr="Descr ">
          <a:extLst>
            <a:ext uri="{FF2B5EF4-FFF2-40B4-BE49-F238E27FC236}">
              <a16:creationId xmlns:a16="http://schemas.microsoft.com/office/drawing/2014/main" id="{00000000-0008-0000-0000-000008060000}"/>
            </a:ext>
          </a:extLst>
        </xdr:cNvPr>
        <xdr:cNvPicPr>
          <a:picLocks noChangeAspect="1"/>
        </xdr:cNvPicPr>
      </xdr:nvPicPr>
      <xdr:blipFill>
        <a:blip xmlns:r="http://schemas.openxmlformats.org/officeDocument/2006/relationships" r:embed="rId1521"/>
        <a:stretch>
          <a:fillRect/>
        </a:stretch>
      </xdr:blipFill>
      <xdr:spPr>
        <a:prstGeom prst="rect">
          <a:avLst/>
        </a:prstGeom>
        <a:ln w="9525">
          <a:solidFill>
            <a:srgbClr val="000000"/>
          </a:solidFill>
          <a:prstDash val="solid"/>
        </a:ln>
      </xdr:spPr>
    </xdr:pic>
    <xdr:clientData/>
  </xdr:twoCellAnchor>
  <xdr:twoCellAnchor>
    <xdr:from>
      <xdr:col>3</xdr:col>
      <xdr:colOff>114300</xdr:colOff>
      <xdr:row>4420</xdr:row>
      <xdr:rowOff>28575</xdr:rowOff>
    </xdr:from>
    <xdr:to>
      <xdr:col>3</xdr:col>
      <xdr:colOff>1552575</xdr:colOff>
      <xdr:row>4422</xdr:row>
      <xdr:rowOff>419100</xdr:rowOff>
    </xdr:to>
    <xdr:pic>
      <xdr:nvPicPr>
        <xdr:cNvPr id="1545" name="Имя " descr="Descr ">
          <a:extLst>
            <a:ext uri="{FF2B5EF4-FFF2-40B4-BE49-F238E27FC236}">
              <a16:creationId xmlns:a16="http://schemas.microsoft.com/office/drawing/2014/main" id="{00000000-0008-0000-0000-000009060000}"/>
            </a:ext>
          </a:extLst>
        </xdr:cNvPr>
        <xdr:cNvPicPr>
          <a:picLocks noChangeAspect="1"/>
        </xdr:cNvPicPr>
      </xdr:nvPicPr>
      <xdr:blipFill>
        <a:blip xmlns:r="http://schemas.openxmlformats.org/officeDocument/2006/relationships" r:embed="rId1522"/>
        <a:stretch>
          <a:fillRect/>
        </a:stretch>
      </xdr:blipFill>
      <xdr:spPr>
        <a:prstGeom prst="rect">
          <a:avLst/>
        </a:prstGeom>
        <a:ln w="9525">
          <a:solidFill>
            <a:srgbClr val="000000"/>
          </a:solidFill>
          <a:prstDash val="solid"/>
        </a:ln>
      </xdr:spPr>
    </xdr:pic>
    <xdr:clientData/>
  </xdr:twoCellAnchor>
  <xdr:twoCellAnchor>
    <xdr:from>
      <xdr:col>3</xdr:col>
      <xdr:colOff>114300</xdr:colOff>
      <xdr:row>4423</xdr:row>
      <xdr:rowOff>28575</xdr:rowOff>
    </xdr:from>
    <xdr:to>
      <xdr:col>3</xdr:col>
      <xdr:colOff>1552575</xdr:colOff>
      <xdr:row>4430</xdr:row>
      <xdr:rowOff>152400</xdr:rowOff>
    </xdr:to>
    <xdr:pic>
      <xdr:nvPicPr>
        <xdr:cNvPr id="1546" name="Имя " descr="Descr ">
          <a:extLst>
            <a:ext uri="{FF2B5EF4-FFF2-40B4-BE49-F238E27FC236}">
              <a16:creationId xmlns:a16="http://schemas.microsoft.com/office/drawing/2014/main" id="{00000000-0008-0000-0000-00000A060000}"/>
            </a:ext>
          </a:extLst>
        </xdr:cNvPr>
        <xdr:cNvPicPr>
          <a:picLocks noChangeAspect="1"/>
        </xdr:cNvPicPr>
      </xdr:nvPicPr>
      <xdr:blipFill>
        <a:blip xmlns:r="http://schemas.openxmlformats.org/officeDocument/2006/relationships" r:embed="rId1523"/>
        <a:stretch>
          <a:fillRect/>
        </a:stretch>
      </xdr:blipFill>
      <xdr:spPr>
        <a:prstGeom prst="rect">
          <a:avLst/>
        </a:prstGeom>
        <a:ln w="9525">
          <a:solidFill>
            <a:srgbClr val="000000"/>
          </a:solidFill>
          <a:prstDash val="solid"/>
        </a:ln>
      </xdr:spPr>
    </xdr:pic>
    <xdr:clientData/>
  </xdr:twoCellAnchor>
  <xdr:twoCellAnchor>
    <xdr:from>
      <xdr:col>3</xdr:col>
      <xdr:colOff>114300</xdr:colOff>
      <xdr:row>4431</xdr:row>
      <xdr:rowOff>28575</xdr:rowOff>
    </xdr:from>
    <xdr:to>
      <xdr:col>3</xdr:col>
      <xdr:colOff>1552575</xdr:colOff>
      <xdr:row>4434</xdr:row>
      <xdr:rowOff>209550</xdr:rowOff>
    </xdr:to>
    <xdr:pic>
      <xdr:nvPicPr>
        <xdr:cNvPr id="1547" name="Имя " descr="Descr ">
          <a:extLst>
            <a:ext uri="{FF2B5EF4-FFF2-40B4-BE49-F238E27FC236}">
              <a16:creationId xmlns:a16="http://schemas.microsoft.com/office/drawing/2014/main" id="{00000000-0008-0000-0000-00000B060000}"/>
            </a:ext>
          </a:extLst>
        </xdr:cNvPr>
        <xdr:cNvPicPr>
          <a:picLocks noChangeAspect="1"/>
        </xdr:cNvPicPr>
      </xdr:nvPicPr>
      <xdr:blipFill>
        <a:blip xmlns:r="http://schemas.openxmlformats.org/officeDocument/2006/relationships" r:embed="rId1524"/>
        <a:stretch>
          <a:fillRect/>
        </a:stretch>
      </xdr:blipFill>
      <xdr:spPr>
        <a:prstGeom prst="rect">
          <a:avLst/>
        </a:prstGeom>
        <a:ln w="9525">
          <a:solidFill>
            <a:srgbClr val="000000"/>
          </a:solidFill>
          <a:prstDash val="solid"/>
        </a:ln>
      </xdr:spPr>
    </xdr:pic>
    <xdr:clientData/>
  </xdr:twoCellAnchor>
  <xdr:twoCellAnchor>
    <xdr:from>
      <xdr:col>3</xdr:col>
      <xdr:colOff>114300</xdr:colOff>
      <xdr:row>4435</xdr:row>
      <xdr:rowOff>28575</xdr:rowOff>
    </xdr:from>
    <xdr:to>
      <xdr:col>3</xdr:col>
      <xdr:colOff>1552575</xdr:colOff>
      <xdr:row>4438</xdr:row>
      <xdr:rowOff>209550</xdr:rowOff>
    </xdr:to>
    <xdr:pic>
      <xdr:nvPicPr>
        <xdr:cNvPr id="1548" name="Имя " descr="Descr ">
          <a:extLst>
            <a:ext uri="{FF2B5EF4-FFF2-40B4-BE49-F238E27FC236}">
              <a16:creationId xmlns:a16="http://schemas.microsoft.com/office/drawing/2014/main" id="{00000000-0008-0000-0000-00000C060000}"/>
            </a:ext>
          </a:extLst>
        </xdr:cNvPr>
        <xdr:cNvPicPr>
          <a:picLocks noChangeAspect="1"/>
        </xdr:cNvPicPr>
      </xdr:nvPicPr>
      <xdr:blipFill>
        <a:blip xmlns:r="http://schemas.openxmlformats.org/officeDocument/2006/relationships" r:embed="rId1525"/>
        <a:stretch>
          <a:fillRect/>
        </a:stretch>
      </xdr:blipFill>
      <xdr:spPr>
        <a:prstGeom prst="rect">
          <a:avLst/>
        </a:prstGeom>
        <a:ln w="9525">
          <a:solidFill>
            <a:srgbClr val="000000"/>
          </a:solidFill>
          <a:prstDash val="solid"/>
        </a:ln>
      </xdr:spPr>
    </xdr:pic>
    <xdr:clientData/>
  </xdr:twoCellAnchor>
  <xdr:twoCellAnchor>
    <xdr:from>
      <xdr:col>3</xdr:col>
      <xdr:colOff>114300</xdr:colOff>
      <xdr:row>4439</xdr:row>
      <xdr:rowOff>28575</xdr:rowOff>
    </xdr:from>
    <xdr:to>
      <xdr:col>3</xdr:col>
      <xdr:colOff>1552575</xdr:colOff>
      <xdr:row>4446</xdr:row>
      <xdr:rowOff>152400</xdr:rowOff>
    </xdr:to>
    <xdr:pic>
      <xdr:nvPicPr>
        <xdr:cNvPr id="1549" name="Имя " descr="Descr ">
          <a:extLst>
            <a:ext uri="{FF2B5EF4-FFF2-40B4-BE49-F238E27FC236}">
              <a16:creationId xmlns:a16="http://schemas.microsoft.com/office/drawing/2014/main" id="{00000000-0008-0000-0000-00000D060000}"/>
            </a:ext>
          </a:extLst>
        </xdr:cNvPr>
        <xdr:cNvPicPr>
          <a:picLocks noChangeAspect="1"/>
        </xdr:cNvPicPr>
      </xdr:nvPicPr>
      <xdr:blipFill>
        <a:blip xmlns:r="http://schemas.openxmlformats.org/officeDocument/2006/relationships" r:embed="rId1526"/>
        <a:stretch>
          <a:fillRect/>
        </a:stretch>
      </xdr:blipFill>
      <xdr:spPr>
        <a:prstGeom prst="rect">
          <a:avLst/>
        </a:prstGeom>
        <a:ln w="9525">
          <a:solidFill>
            <a:srgbClr val="000000"/>
          </a:solidFill>
          <a:prstDash val="solid"/>
        </a:ln>
      </xdr:spPr>
    </xdr:pic>
    <xdr:clientData/>
  </xdr:twoCellAnchor>
  <xdr:twoCellAnchor>
    <xdr:from>
      <xdr:col>3</xdr:col>
      <xdr:colOff>114300</xdr:colOff>
      <xdr:row>4447</xdr:row>
      <xdr:rowOff>28575</xdr:rowOff>
    </xdr:from>
    <xdr:to>
      <xdr:col>3</xdr:col>
      <xdr:colOff>1552575</xdr:colOff>
      <xdr:row>4450</xdr:row>
      <xdr:rowOff>209550</xdr:rowOff>
    </xdr:to>
    <xdr:pic>
      <xdr:nvPicPr>
        <xdr:cNvPr id="1550" name="Имя " descr="Descr ">
          <a:extLst>
            <a:ext uri="{FF2B5EF4-FFF2-40B4-BE49-F238E27FC236}">
              <a16:creationId xmlns:a16="http://schemas.microsoft.com/office/drawing/2014/main" id="{00000000-0008-0000-0000-00000E060000}"/>
            </a:ext>
          </a:extLst>
        </xdr:cNvPr>
        <xdr:cNvPicPr>
          <a:picLocks noChangeAspect="1"/>
        </xdr:cNvPicPr>
      </xdr:nvPicPr>
      <xdr:blipFill>
        <a:blip xmlns:r="http://schemas.openxmlformats.org/officeDocument/2006/relationships" r:embed="rId1527"/>
        <a:stretch>
          <a:fillRect/>
        </a:stretch>
      </xdr:blipFill>
      <xdr:spPr>
        <a:prstGeom prst="rect">
          <a:avLst/>
        </a:prstGeom>
        <a:ln w="9525">
          <a:solidFill>
            <a:srgbClr val="000000"/>
          </a:solidFill>
          <a:prstDash val="solid"/>
        </a:ln>
      </xdr:spPr>
    </xdr:pic>
    <xdr:clientData/>
  </xdr:twoCellAnchor>
  <xdr:twoCellAnchor>
    <xdr:from>
      <xdr:col>3</xdr:col>
      <xdr:colOff>114300</xdr:colOff>
      <xdr:row>4451</xdr:row>
      <xdr:rowOff>28575</xdr:rowOff>
    </xdr:from>
    <xdr:to>
      <xdr:col>3</xdr:col>
      <xdr:colOff>1552575</xdr:colOff>
      <xdr:row>4456</xdr:row>
      <xdr:rowOff>209550</xdr:rowOff>
    </xdr:to>
    <xdr:pic>
      <xdr:nvPicPr>
        <xdr:cNvPr id="1551" name="Имя " descr="Descr ">
          <a:extLst>
            <a:ext uri="{FF2B5EF4-FFF2-40B4-BE49-F238E27FC236}">
              <a16:creationId xmlns:a16="http://schemas.microsoft.com/office/drawing/2014/main" id="{00000000-0008-0000-0000-00000F060000}"/>
            </a:ext>
          </a:extLst>
        </xdr:cNvPr>
        <xdr:cNvPicPr>
          <a:picLocks noChangeAspect="1"/>
        </xdr:cNvPicPr>
      </xdr:nvPicPr>
      <xdr:blipFill>
        <a:blip xmlns:r="http://schemas.openxmlformats.org/officeDocument/2006/relationships" r:embed="rId1528"/>
        <a:stretch>
          <a:fillRect/>
        </a:stretch>
      </xdr:blipFill>
      <xdr:spPr>
        <a:prstGeom prst="rect">
          <a:avLst/>
        </a:prstGeom>
        <a:ln w="9525">
          <a:solidFill>
            <a:srgbClr val="000000"/>
          </a:solidFill>
          <a:prstDash val="solid"/>
        </a:ln>
      </xdr:spPr>
    </xdr:pic>
    <xdr:clientData/>
  </xdr:twoCellAnchor>
  <xdr:twoCellAnchor>
    <xdr:from>
      <xdr:col>3</xdr:col>
      <xdr:colOff>114300</xdr:colOff>
      <xdr:row>4457</xdr:row>
      <xdr:rowOff>28575</xdr:rowOff>
    </xdr:from>
    <xdr:to>
      <xdr:col>3</xdr:col>
      <xdr:colOff>1552575</xdr:colOff>
      <xdr:row>4462</xdr:row>
      <xdr:rowOff>209550</xdr:rowOff>
    </xdr:to>
    <xdr:pic>
      <xdr:nvPicPr>
        <xdr:cNvPr id="1552" name="Имя " descr="Descr ">
          <a:extLst>
            <a:ext uri="{FF2B5EF4-FFF2-40B4-BE49-F238E27FC236}">
              <a16:creationId xmlns:a16="http://schemas.microsoft.com/office/drawing/2014/main" id="{00000000-0008-0000-0000-000010060000}"/>
            </a:ext>
          </a:extLst>
        </xdr:cNvPr>
        <xdr:cNvPicPr>
          <a:picLocks noChangeAspect="1"/>
        </xdr:cNvPicPr>
      </xdr:nvPicPr>
      <xdr:blipFill>
        <a:blip xmlns:r="http://schemas.openxmlformats.org/officeDocument/2006/relationships" r:embed="rId1529"/>
        <a:stretch>
          <a:fillRect/>
        </a:stretch>
      </xdr:blipFill>
      <xdr:spPr>
        <a:prstGeom prst="rect">
          <a:avLst/>
        </a:prstGeom>
        <a:ln w="9525">
          <a:solidFill>
            <a:srgbClr val="000000"/>
          </a:solidFill>
          <a:prstDash val="solid"/>
        </a:ln>
      </xdr:spPr>
    </xdr:pic>
    <xdr:clientData/>
  </xdr:twoCellAnchor>
  <xdr:twoCellAnchor>
    <xdr:from>
      <xdr:col>3</xdr:col>
      <xdr:colOff>114300</xdr:colOff>
      <xdr:row>4463</xdr:row>
      <xdr:rowOff>28575</xdr:rowOff>
    </xdr:from>
    <xdr:to>
      <xdr:col>3</xdr:col>
      <xdr:colOff>1552575</xdr:colOff>
      <xdr:row>4470</xdr:row>
      <xdr:rowOff>152400</xdr:rowOff>
    </xdr:to>
    <xdr:pic>
      <xdr:nvPicPr>
        <xdr:cNvPr id="1553" name="Имя " descr="Descr ">
          <a:extLst>
            <a:ext uri="{FF2B5EF4-FFF2-40B4-BE49-F238E27FC236}">
              <a16:creationId xmlns:a16="http://schemas.microsoft.com/office/drawing/2014/main" id="{00000000-0008-0000-0000-000011060000}"/>
            </a:ext>
          </a:extLst>
        </xdr:cNvPr>
        <xdr:cNvPicPr>
          <a:picLocks noChangeAspect="1"/>
        </xdr:cNvPicPr>
      </xdr:nvPicPr>
      <xdr:blipFill>
        <a:blip xmlns:r="http://schemas.openxmlformats.org/officeDocument/2006/relationships" r:embed="rId1530"/>
        <a:stretch>
          <a:fillRect/>
        </a:stretch>
      </xdr:blipFill>
      <xdr:spPr>
        <a:prstGeom prst="rect">
          <a:avLst/>
        </a:prstGeom>
        <a:ln w="9525">
          <a:solidFill>
            <a:srgbClr val="000000"/>
          </a:solidFill>
          <a:prstDash val="solid"/>
        </a:ln>
      </xdr:spPr>
    </xdr:pic>
    <xdr:clientData/>
  </xdr:twoCellAnchor>
  <xdr:twoCellAnchor>
    <xdr:from>
      <xdr:col>3</xdr:col>
      <xdr:colOff>114300</xdr:colOff>
      <xdr:row>4471</xdr:row>
      <xdr:rowOff>28575</xdr:rowOff>
    </xdr:from>
    <xdr:to>
      <xdr:col>3</xdr:col>
      <xdr:colOff>1552575</xdr:colOff>
      <xdr:row>4475</xdr:row>
      <xdr:rowOff>333375</xdr:rowOff>
    </xdr:to>
    <xdr:pic>
      <xdr:nvPicPr>
        <xdr:cNvPr id="1554" name="Имя " descr="Descr ">
          <a:extLst>
            <a:ext uri="{FF2B5EF4-FFF2-40B4-BE49-F238E27FC236}">
              <a16:creationId xmlns:a16="http://schemas.microsoft.com/office/drawing/2014/main" id="{00000000-0008-0000-0000-000012060000}"/>
            </a:ext>
          </a:extLst>
        </xdr:cNvPr>
        <xdr:cNvPicPr>
          <a:picLocks noChangeAspect="1"/>
        </xdr:cNvPicPr>
      </xdr:nvPicPr>
      <xdr:blipFill>
        <a:blip xmlns:r="http://schemas.openxmlformats.org/officeDocument/2006/relationships" r:embed="rId1531"/>
        <a:stretch>
          <a:fillRect/>
        </a:stretch>
      </xdr:blipFill>
      <xdr:spPr>
        <a:prstGeom prst="rect">
          <a:avLst/>
        </a:prstGeom>
        <a:ln w="9525">
          <a:solidFill>
            <a:srgbClr val="000000"/>
          </a:solidFill>
          <a:prstDash val="solid"/>
        </a:ln>
      </xdr:spPr>
    </xdr:pic>
    <xdr:clientData/>
  </xdr:twoCellAnchor>
  <xdr:twoCellAnchor>
    <xdr:from>
      <xdr:col>3</xdr:col>
      <xdr:colOff>114300</xdr:colOff>
      <xdr:row>4476</xdr:row>
      <xdr:rowOff>28575</xdr:rowOff>
    </xdr:from>
    <xdr:to>
      <xdr:col>3</xdr:col>
      <xdr:colOff>1552575</xdr:colOff>
      <xdr:row>4481</xdr:row>
      <xdr:rowOff>209550</xdr:rowOff>
    </xdr:to>
    <xdr:pic>
      <xdr:nvPicPr>
        <xdr:cNvPr id="1555" name="Имя " descr="Descr ">
          <a:extLst>
            <a:ext uri="{FF2B5EF4-FFF2-40B4-BE49-F238E27FC236}">
              <a16:creationId xmlns:a16="http://schemas.microsoft.com/office/drawing/2014/main" id="{00000000-0008-0000-0000-000013060000}"/>
            </a:ext>
          </a:extLst>
        </xdr:cNvPr>
        <xdr:cNvPicPr>
          <a:picLocks noChangeAspect="1"/>
        </xdr:cNvPicPr>
      </xdr:nvPicPr>
      <xdr:blipFill>
        <a:blip xmlns:r="http://schemas.openxmlformats.org/officeDocument/2006/relationships" r:embed="rId1532"/>
        <a:stretch>
          <a:fillRect/>
        </a:stretch>
      </xdr:blipFill>
      <xdr:spPr>
        <a:prstGeom prst="rect">
          <a:avLst/>
        </a:prstGeom>
        <a:ln w="9525">
          <a:solidFill>
            <a:srgbClr val="000000"/>
          </a:solidFill>
          <a:prstDash val="solid"/>
        </a:ln>
      </xdr:spPr>
    </xdr:pic>
    <xdr:clientData/>
  </xdr:twoCellAnchor>
  <xdr:twoCellAnchor>
    <xdr:from>
      <xdr:col>3</xdr:col>
      <xdr:colOff>114300</xdr:colOff>
      <xdr:row>4482</xdr:row>
      <xdr:rowOff>28575</xdr:rowOff>
    </xdr:from>
    <xdr:to>
      <xdr:col>3</xdr:col>
      <xdr:colOff>1552575</xdr:colOff>
      <xdr:row>4482</xdr:row>
      <xdr:rowOff>1266825</xdr:rowOff>
    </xdr:to>
    <xdr:pic>
      <xdr:nvPicPr>
        <xdr:cNvPr id="1556" name="Имя " descr="Descr ">
          <a:extLst>
            <a:ext uri="{FF2B5EF4-FFF2-40B4-BE49-F238E27FC236}">
              <a16:creationId xmlns:a16="http://schemas.microsoft.com/office/drawing/2014/main" id="{00000000-0008-0000-0000-000014060000}"/>
            </a:ext>
          </a:extLst>
        </xdr:cNvPr>
        <xdr:cNvPicPr>
          <a:picLocks noChangeAspect="1"/>
        </xdr:cNvPicPr>
      </xdr:nvPicPr>
      <xdr:blipFill>
        <a:blip xmlns:r="http://schemas.openxmlformats.org/officeDocument/2006/relationships" r:embed="rId1533"/>
        <a:stretch>
          <a:fillRect/>
        </a:stretch>
      </xdr:blipFill>
      <xdr:spPr>
        <a:prstGeom prst="rect">
          <a:avLst/>
        </a:prstGeom>
        <a:ln w="9525">
          <a:solidFill>
            <a:srgbClr val="000000"/>
          </a:solidFill>
          <a:prstDash val="solid"/>
        </a:ln>
      </xdr:spPr>
    </xdr:pic>
    <xdr:clientData/>
  </xdr:twoCellAnchor>
  <xdr:twoCellAnchor>
    <xdr:from>
      <xdr:col>3</xdr:col>
      <xdr:colOff>114300</xdr:colOff>
      <xdr:row>4483</xdr:row>
      <xdr:rowOff>28575</xdr:rowOff>
    </xdr:from>
    <xdr:to>
      <xdr:col>3</xdr:col>
      <xdr:colOff>1552575</xdr:colOff>
      <xdr:row>4483</xdr:row>
      <xdr:rowOff>1266825</xdr:rowOff>
    </xdr:to>
    <xdr:pic>
      <xdr:nvPicPr>
        <xdr:cNvPr id="1557" name="Имя " descr="Descr ">
          <a:extLst>
            <a:ext uri="{FF2B5EF4-FFF2-40B4-BE49-F238E27FC236}">
              <a16:creationId xmlns:a16="http://schemas.microsoft.com/office/drawing/2014/main" id="{00000000-0008-0000-0000-000015060000}"/>
            </a:ext>
          </a:extLst>
        </xdr:cNvPr>
        <xdr:cNvPicPr>
          <a:picLocks noChangeAspect="1"/>
        </xdr:cNvPicPr>
      </xdr:nvPicPr>
      <xdr:blipFill>
        <a:blip xmlns:r="http://schemas.openxmlformats.org/officeDocument/2006/relationships" r:embed="rId1534"/>
        <a:stretch>
          <a:fillRect/>
        </a:stretch>
      </xdr:blipFill>
      <xdr:spPr>
        <a:prstGeom prst="rect">
          <a:avLst/>
        </a:prstGeom>
        <a:ln w="9525">
          <a:solidFill>
            <a:srgbClr val="000000"/>
          </a:solidFill>
          <a:prstDash val="solid"/>
        </a:ln>
      </xdr:spPr>
    </xdr:pic>
    <xdr:clientData/>
  </xdr:twoCellAnchor>
  <xdr:twoCellAnchor>
    <xdr:from>
      <xdr:col>3</xdr:col>
      <xdr:colOff>114300</xdr:colOff>
      <xdr:row>4484</xdr:row>
      <xdr:rowOff>28575</xdr:rowOff>
    </xdr:from>
    <xdr:to>
      <xdr:col>3</xdr:col>
      <xdr:colOff>1552575</xdr:colOff>
      <xdr:row>4484</xdr:row>
      <xdr:rowOff>1266825</xdr:rowOff>
    </xdr:to>
    <xdr:pic>
      <xdr:nvPicPr>
        <xdr:cNvPr id="1558" name="Имя " descr="Descr ">
          <a:extLst>
            <a:ext uri="{FF2B5EF4-FFF2-40B4-BE49-F238E27FC236}">
              <a16:creationId xmlns:a16="http://schemas.microsoft.com/office/drawing/2014/main" id="{00000000-0008-0000-0000-000016060000}"/>
            </a:ext>
          </a:extLst>
        </xdr:cNvPr>
        <xdr:cNvPicPr>
          <a:picLocks noChangeAspect="1"/>
        </xdr:cNvPicPr>
      </xdr:nvPicPr>
      <xdr:blipFill>
        <a:blip xmlns:r="http://schemas.openxmlformats.org/officeDocument/2006/relationships" r:embed="rId1535"/>
        <a:stretch>
          <a:fillRect/>
        </a:stretch>
      </xdr:blipFill>
      <xdr:spPr>
        <a:prstGeom prst="rect">
          <a:avLst/>
        </a:prstGeom>
        <a:ln w="9525">
          <a:solidFill>
            <a:srgbClr val="000000"/>
          </a:solidFill>
          <a:prstDash val="solid"/>
        </a:ln>
      </xdr:spPr>
    </xdr:pic>
    <xdr:clientData/>
  </xdr:twoCellAnchor>
  <xdr:twoCellAnchor>
    <xdr:from>
      <xdr:col>3</xdr:col>
      <xdr:colOff>114300</xdr:colOff>
      <xdr:row>4485</xdr:row>
      <xdr:rowOff>28575</xdr:rowOff>
    </xdr:from>
    <xdr:to>
      <xdr:col>3</xdr:col>
      <xdr:colOff>1552575</xdr:colOff>
      <xdr:row>4485</xdr:row>
      <xdr:rowOff>1266825</xdr:rowOff>
    </xdr:to>
    <xdr:pic>
      <xdr:nvPicPr>
        <xdr:cNvPr id="1559" name="Имя " descr="Descr ">
          <a:extLst>
            <a:ext uri="{FF2B5EF4-FFF2-40B4-BE49-F238E27FC236}">
              <a16:creationId xmlns:a16="http://schemas.microsoft.com/office/drawing/2014/main" id="{00000000-0008-0000-0000-000017060000}"/>
            </a:ext>
          </a:extLst>
        </xdr:cNvPr>
        <xdr:cNvPicPr>
          <a:picLocks noChangeAspect="1"/>
        </xdr:cNvPicPr>
      </xdr:nvPicPr>
      <xdr:blipFill>
        <a:blip xmlns:r="http://schemas.openxmlformats.org/officeDocument/2006/relationships" r:embed="rId1536"/>
        <a:stretch>
          <a:fillRect/>
        </a:stretch>
      </xdr:blipFill>
      <xdr:spPr>
        <a:prstGeom prst="rect">
          <a:avLst/>
        </a:prstGeom>
        <a:ln w="9525">
          <a:solidFill>
            <a:srgbClr val="000000"/>
          </a:solidFill>
          <a:prstDash val="solid"/>
        </a:ln>
      </xdr:spPr>
    </xdr:pic>
    <xdr:clientData/>
  </xdr:twoCellAnchor>
  <xdr:twoCellAnchor>
    <xdr:from>
      <xdr:col>3</xdr:col>
      <xdr:colOff>114300</xdr:colOff>
      <xdr:row>4486</xdr:row>
      <xdr:rowOff>38100</xdr:rowOff>
    </xdr:from>
    <xdr:to>
      <xdr:col>3</xdr:col>
      <xdr:colOff>1552575</xdr:colOff>
      <xdr:row>4487</xdr:row>
      <xdr:rowOff>638175</xdr:rowOff>
    </xdr:to>
    <xdr:pic>
      <xdr:nvPicPr>
        <xdr:cNvPr id="1560" name="Имя " descr="Descr ">
          <a:extLst>
            <a:ext uri="{FF2B5EF4-FFF2-40B4-BE49-F238E27FC236}">
              <a16:creationId xmlns:a16="http://schemas.microsoft.com/office/drawing/2014/main" id="{00000000-0008-0000-0000-000018060000}"/>
            </a:ext>
          </a:extLst>
        </xdr:cNvPr>
        <xdr:cNvPicPr>
          <a:picLocks noChangeAspect="1"/>
        </xdr:cNvPicPr>
      </xdr:nvPicPr>
      <xdr:blipFill>
        <a:blip xmlns:r="http://schemas.openxmlformats.org/officeDocument/2006/relationships" r:embed="rId1537"/>
        <a:stretch>
          <a:fillRect/>
        </a:stretch>
      </xdr:blipFill>
      <xdr:spPr>
        <a:prstGeom prst="rect">
          <a:avLst/>
        </a:prstGeom>
        <a:ln w="9525">
          <a:solidFill>
            <a:srgbClr val="000000"/>
          </a:solidFill>
          <a:prstDash val="solid"/>
        </a:ln>
      </xdr:spPr>
    </xdr:pic>
    <xdr:clientData/>
  </xdr:twoCellAnchor>
  <xdr:twoCellAnchor>
    <xdr:from>
      <xdr:col>3</xdr:col>
      <xdr:colOff>114300</xdr:colOff>
      <xdr:row>4488</xdr:row>
      <xdr:rowOff>28575</xdr:rowOff>
    </xdr:from>
    <xdr:to>
      <xdr:col>3</xdr:col>
      <xdr:colOff>1552575</xdr:colOff>
      <xdr:row>4488</xdr:row>
      <xdr:rowOff>1266825</xdr:rowOff>
    </xdr:to>
    <xdr:pic>
      <xdr:nvPicPr>
        <xdr:cNvPr id="1561" name="Имя " descr="Descr ">
          <a:extLst>
            <a:ext uri="{FF2B5EF4-FFF2-40B4-BE49-F238E27FC236}">
              <a16:creationId xmlns:a16="http://schemas.microsoft.com/office/drawing/2014/main" id="{00000000-0008-0000-0000-000019060000}"/>
            </a:ext>
          </a:extLst>
        </xdr:cNvPr>
        <xdr:cNvPicPr>
          <a:picLocks noChangeAspect="1"/>
        </xdr:cNvPicPr>
      </xdr:nvPicPr>
      <xdr:blipFill>
        <a:blip xmlns:r="http://schemas.openxmlformats.org/officeDocument/2006/relationships" r:embed="rId1538"/>
        <a:stretch>
          <a:fillRect/>
        </a:stretch>
      </xdr:blipFill>
      <xdr:spPr>
        <a:prstGeom prst="rect">
          <a:avLst/>
        </a:prstGeom>
        <a:ln w="9525">
          <a:solidFill>
            <a:srgbClr val="000000"/>
          </a:solidFill>
          <a:prstDash val="solid"/>
        </a:ln>
      </xdr:spPr>
    </xdr:pic>
    <xdr:clientData/>
  </xdr:twoCellAnchor>
  <xdr:twoCellAnchor>
    <xdr:from>
      <xdr:col>3</xdr:col>
      <xdr:colOff>114300</xdr:colOff>
      <xdr:row>4489</xdr:row>
      <xdr:rowOff>28575</xdr:rowOff>
    </xdr:from>
    <xdr:to>
      <xdr:col>3</xdr:col>
      <xdr:colOff>1552575</xdr:colOff>
      <xdr:row>4492</xdr:row>
      <xdr:rowOff>209550</xdr:rowOff>
    </xdr:to>
    <xdr:pic>
      <xdr:nvPicPr>
        <xdr:cNvPr id="1562" name="Имя " descr="Descr ">
          <a:extLst>
            <a:ext uri="{FF2B5EF4-FFF2-40B4-BE49-F238E27FC236}">
              <a16:creationId xmlns:a16="http://schemas.microsoft.com/office/drawing/2014/main" id="{00000000-0008-0000-0000-00001A060000}"/>
            </a:ext>
          </a:extLst>
        </xdr:cNvPr>
        <xdr:cNvPicPr>
          <a:picLocks noChangeAspect="1"/>
        </xdr:cNvPicPr>
      </xdr:nvPicPr>
      <xdr:blipFill>
        <a:blip xmlns:r="http://schemas.openxmlformats.org/officeDocument/2006/relationships" r:embed="rId1539"/>
        <a:stretch>
          <a:fillRect/>
        </a:stretch>
      </xdr:blipFill>
      <xdr:spPr>
        <a:prstGeom prst="rect">
          <a:avLst/>
        </a:prstGeom>
        <a:ln w="9525">
          <a:solidFill>
            <a:srgbClr val="000000"/>
          </a:solidFill>
          <a:prstDash val="solid"/>
        </a:ln>
      </xdr:spPr>
    </xdr:pic>
    <xdr:clientData/>
  </xdr:twoCellAnchor>
  <xdr:twoCellAnchor>
    <xdr:from>
      <xdr:col>3</xdr:col>
      <xdr:colOff>114300</xdr:colOff>
      <xdr:row>4493</xdr:row>
      <xdr:rowOff>28575</xdr:rowOff>
    </xdr:from>
    <xdr:to>
      <xdr:col>3</xdr:col>
      <xdr:colOff>1552575</xdr:colOff>
      <xdr:row>4493</xdr:row>
      <xdr:rowOff>1266825</xdr:rowOff>
    </xdr:to>
    <xdr:pic>
      <xdr:nvPicPr>
        <xdr:cNvPr id="1563" name="Имя " descr="Descr ">
          <a:extLst>
            <a:ext uri="{FF2B5EF4-FFF2-40B4-BE49-F238E27FC236}">
              <a16:creationId xmlns:a16="http://schemas.microsoft.com/office/drawing/2014/main" id="{00000000-0008-0000-0000-00001B060000}"/>
            </a:ext>
          </a:extLst>
        </xdr:cNvPr>
        <xdr:cNvPicPr>
          <a:picLocks noChangeAspect="1"/>
        </xdr:cNvPicPr>
      </xdr:nvPicPr>
      <xdr:blipFill>
        <a:blip xmlns:r="http://schemas.openxmlformats.org/officeDocument/2006/relationships" r:embed="rId1540"/>
        <a:stretch>
          <a:fillRect/>
        </a:stretch>
      </xdr:blipFill>
      <xdr:spPr>
        <a:prstGeom prst="rect">
          <a:avLst/>
        </a:prstGeom>
        <a:ln w="9525">
          <a:solidFill>
            <a:srgbClr val="000000"/>
          </a:solidFill>
          <a:prstDash val="solid"/>
        </a:ln>
      </xdr:spPr>
    </xdr:pic>
    <xdr:clientData/>
  </xdr:twoCellAnchor>
  <xdr:twoCellAnchor>
    <xdr:from>
      <xdr:col>3</xdr:col>
      <xdr:colOff>114300</xdr:colOff>
      <xdr:row>4494</xdr:row>
      <xdr:rowOff>28575</xdr:rowOff>
    </xdr:from>
    <xdr:to>
      <xdr:col>3</xdr:col>
      <xdr:colOff>1552575</xdr:colOff>
      <xdr:row>4494</xdr:row>
      <xdr:rowOff>1266825</xdr:rowOff>
    </xdr:to>
    <xdr:pic>
      <xdr:nvPicPr>
        <xdr:cNvPr id="1564" name="Имя " descr="Descr ">
          <a:extLst>
            <a:ext uri="{FF2B5EF4-FFF2-40B4-BE49-F238E27FC236}">
              <a16:creationId xmlns:a16="http://schemas.microsoft.com/office/drawing/2014/main" id="{00000000-0008-0000-0000-00001C060000}"/>
            </a:ext>
          </a:extLst>
        </xdr:cNvPr>
        <xdr:cNvPicPr>
          <a:picLocks noChangeAspect="1"/>
        </xdr:cNvPicPr>
      </xdr:nvPicPr>
      <xdr:blipFill>
        <a:blip xmlns:r="http://schemas.openxmlformats.org/officeDocument/2006/relationships" r:embed="rId1541"/>
        <a:stretch>
          <a:fillRect/>
        </a:stretch>
      </xdr:blipFill>
      <xdr:spPr>
        <a:prstGeom prst="rect">
          <a:avLst/>
        </a:prstGeom>
        <a:ln w="9525">
          <a:solidFill>
            <a:srgbClr val="000000"/>
          </a:solidFill>
          <a:prstDash val="solid"/>
        </a:ln>
      </xdr:spPr>
    </xdr:pic>
    <xdr:clientData/>
  </xdr:twoCellAnchor>
  <xdr:twoCellAnchor>
    <xdr:from>
      <xdr:col>3</xdr:col>
      <xdr:colOff>114300</xdr:colOff>
      <xdr:row>4495</xdr:row>
      <xdr:rowOff>28575</xdr:rowOff>
    </xdr:from>
    <xdr:to>
      <xdr:col>3</xdr:col>
      <xdr:colOff>1552575</xdr:colOff>
      <xdr:row>4495</xdr:row>
      <xdr:rowOff>1266825</xdr:rowOff>
    </xdr:to>
    <xdr:pic>
      <xdr:nvPicPr>
        <xdr:cNvPr id="1565" name="Имя " descr="Descr ">
          <a:extLst>
            <a:ext uri="{FF2B5EF4-FFF2-40B4-BE49-F238E27FC236}">
              <a16:creationId xmlns:a16="http://schemas.microsoft.com/office/drawing/2014/main" id="{00000000-0008-0000-0000-00001D060000}"/>
            </a:ext>
          </a:extLst>
        </xdr:cNvPr>
        <xdr:cNvPicPr>
          <a:picLocks noChangeAspect="1"/>
        </xdr:cNvPicPr>
      </xdr:nvPicPr>
      <xdr:blipFill>
        <a:blip xmlns:r="http://schemas.openxmlformats.org/officeDocument/2006/relationships" r:embed="rId1542"/>
        <a:stretch>
          <a:fillRect/>
        </a:stretch>
      </xdr:blipFill>
      <xdr:spPr>
        <a:prstGeom prst="rect">
          <a:avLst/>
        </a:prstGeom>
        <a:ln w="9525">
          <a:solidFill>
            <a:srgbClr val="000000"/>
          </a:solidFill>
          <a:prstDash val="solid"/>
        </a:ln>
      </xdr:spPr>
    </xdr:pic>
    <xdr:clientData/>
  </xdr:twoCellAnchor>
  <xdr:twoCellAnchor>
    <xdr:from>
      <xdr:col>3</xdr:col>
      <xdr:colOff>114300</xdr:colOff>
      <xdr:row>4496</xdr:row>
      <xdr:rowOff>28575</xdr:rowOff>
    </xdr:from>
    <xdr:to>
      <xdr:col>3</xdr:col>
      <xdr:colOff>1552575</xdr:colOff>
      <xdr:row>4496</xdr:row>
      <xdr:rowOff>1266825</xdr:rowOff>
    </xdr:to>
    <xdr:pic>
      <xdr:nvPicPr>
        <xdr:cNvPr id="1566" name="Имя " descr="Descr ">
          <a:extLst>
            <a:ext uri="{FF2B5EF4-FFF2-40B4-BE49-F238E27FC236}">
              <a16:creationId xmlns:a16="http://schemas.microsoft.com/office/drawing/2014/main" id="{00000000-0008-0000-0000-00001E060000}"/>
            </a:ext>
          </a:extLst>
        </xdr:cNvPr>
        <xdr:cNvPicPr>
          <a:picLocks noChangeAspect="1"/>
        </xdr:cNvPicPr>
      </xdr:nvPicPr>
      <xdr:blipFill>
        <a:blip xmlns:r="http://schemas.openxmlformats.org/officeDocument/2006/relationships" r:embed="rId1543"/>
        <a:stretch>
          <a:fillRect/>
        </a:stretch>
      </xdr:blipFill>
      <xdr:spPr>
        <a:prstGeom prst="rect">
          <a:avLst/>
        </a:prstGeom>
        <a:ln w="9525">
          <a:solidFill>
            <a:srgbClr val="000000"/>
          </a:solidFill>
          <a:prstDash val="solid"/>
        </a:ln>
      </xdr:spPr>
    </xdr:pic>
    <xdr:clientData/>
  </xdr:twoCellAnchor>
  <xdr:twoCellAnchor>
    <xdr:from>
      <xdr:col>3</xdr:col>
      <xdr:colOff>114300</xdr:colOff>
      <xdr:row>4497</xdr:row>
      <xdr:rowOff>28575</xdr:rowOff>
    </xdr:from>
    <xdr:to>
      <xdr:col>3</xdr:col>
      <xdr:colOff>1552575</xdr:colOff>
      <xdr:row>4499</xdr:row>
      <xdr:rowOff>419100</xdr:rowOff>
    </xdr:to>
    <xdr:pic>
      <xdr:nvPicPr>
        <xdr:cNvPr id="1567" name="Имя " descr="Descr ">
          <a:extLst>
            <a:ext uri="{FF2B5EF4-FFF2-40B4-BE49-F238E27FC236}">
              <a16:creationId xmlns:a16="http://schemas.microsoft.com/office/drawing/2014/main" id="{00000000-0008-0000-0000-00001F060000}"/>
            </a:ext>
          </a:extLst>
        </xdr:cNvPr>
        <xdr:cNvPicPr>
          <a:picLocks noChangeAspect="1"/>
        </xdr:cNvPicPr>
      </xdr:nvPicPr>
      <xdr:blipFill>
        <a:blip xmlns:r="http://schemas.openxmlformats.org/officeDocument/2006/relationships" r:embed="rId1544"/>
        <a:stretch>
          <a:fillRect/>
        </a:stretch>
      </xdr:blipFill>
      <xdr:spPr>
        <a:prstGeom prst="rect">
          <a:avLst/>
        </a:prstGeom>
        <a:ln w="9525">
          <a:solidFill>
            <a:srgbClr val="000000"/>
          </a:solidFill>
          <a:prstDash val="solid"/>
        </a:ln>
      </xdr:spPr>
    </xdr:pic>
    <xdr:clientData/>
  </xdr:twoCellAnchor>
  <xdr:twoCellAnchor>
    <xdr:from>
      <xdr:col>3</xdr:col>
      <xdr:colOff>114300</xdr:colOff>
      <xdr:row>4500</xdr:row>
      <xdr:rowOff>28575</xdr:rowOff>
    </xdr:from>
    <xdr:to>
      <xdr:col>3</xdr:col>
      <xdr:colOff>1552575</xdr:colOff>
      <xdr:row>4500</xdr:row>
      <xdr:rowOff>1266825</xdr:rowOff>
    </xdr:to>
    <xdr:pic>
      <xdr:nvPicPr>
        <xdr:cNvPr id="1568" name="Имя " descr="Descr ">
          <a:extLst>
            <a:ext uri="{FF2B5EF4-FFF2-40B4-BE49-F238E27FC236}">
              <a16:creationId xmlns:a16="http://schemas.microsoft.com/office/drawing/2014/main" id="{00000000-0008-0000-0000-000020060000}"/>
            </a:ext>
          </a:extLst>
        </xdr:cNvPr>
        <xdr:cNvPicPr>
          <a:picLocks noChangeAspect="1"/>
        </xdr:cNvPicPr>
      </xdr:nvPicPr>
      <xdr:blipFill>
        <a:blip xmlns:r="http://schemas.openxmlformats.org/officeDocument/2006/relationships" r:embed="rId1545"/>
        <a:stretch>
          <a:fillRect/>
        </a:stretch>
      </xdr:blipFill>
      <xdr:spPr>
        <a:prstGeom prst="rect">
          <a:avLst/>
        </a:prstGeom>
        <a:ln w="9525">
          <a:solidFill>
            <a:srgbClr val="000000"/>
          </a:solidFill>
          <a:prstDash val="solid"/>
        </a:ln>
      </xdr:spPr>
    </xdr:pic>
    <xdr:clientData/>
  </xdr:twoCellAnchor>
  <xdr:twoCellAnchor>
    <xdr:from>
      <xdr:col>3</xdr:col>
      <xdr:colOff>114300</xdr:colOff>
      <xdr:row>4501</xdr:row>
      <xdr:rowOff>28575</xdr:rowOff>
    </xdr:from>
    <xdr:to>
      <xdr:col>3</xdr:col>
      <xdr:colOff>1552575</xdr:colOff>
      <xdr:row>4501</xdr:row>
      <xdr:rowOff>1266825</xdr:rowOff>
    </xdr:to>
    <xdr:pic>
      <xdr:nvPicPr>
        <xdr:cNvPr id="1569" name="Имя " descr="Descr ">
          <a:extLst>
            <a:ext uri="{FF2B5EF4-FFF2-40B4-BE49-F238E27FC236}">
              <a16:creationId xmlns:a16="http://schemas.microsoft.com/office/drawing/2014/main" id="{00000000-0008-0000-0000-000021060000}"/>
            </a:ext>
          </a:extLst>
        </xdr:cNvPr>
        <xdr:cNvPicPr>
          <a:picLocks noChangeAspect="1"/>
        </xdr:cNvPicPr>
      </xdr:nvPicPr>
      <xdr:blipFill>
        <a:blip xmlns:r="http://schemas.openxmlformats.org/officeDocument/2006/relationships" r:embed="rId1546"/>
        <a:stretch>
          <a:fillRect/>
        </a:stretch>
      </xdr:blipFill>
      <xdr:spPr>
        <a:prstGeom prst="rect">
          <a:avLst/>
        </a:prstGeom>
        <a:ln w="9525">
          <a:solidFill>
            <a:srgbClr val="000000"/>
          </a:solidFill>
          <a:prstDash val="solid"/>
        </a:ln>
      </xdr:spPr>
    </xdr:pic>
    <xdr:clientData/>
  </xdr:twoCellAnchor>
  <xdr:twoCellAnchor>
    <xdr:from>
      <xdr:col>3</xdr:col>
      <xdr:colOff>114300</xdr:colOff>
      <xdr:row>4502</xdr:row>
      <xdr:rowOff>28575</xdr:rowOff>
    </xdr:from>
    <xdr:to>
      <xdr:col>3</xdr:col>
      <xdr:colOff>1552575</xdr:colOff>
      <xdr:row>4510</xdr:row>
      <xdr:rowOff>133350</xdr:rowOff>
    </xdr:to>
    <xdr:pic>
      <xdr:nvPicPr>
        <xdr:cNvPr id="1570" name="Имя " descr="Descr ">
          <a:extLst>
            <a:ext uri="{FF2B5EF4-FFF2-40B4-BE49-F238E27FC236}">
              <a16:creationId xmlns:a16="http://schemas.microsoft.com/office/drawing/2014/main" id="{00000000-0008-0000-0000-000022060000}"/>
            </a:ext>
          </a:extLst>
        </xdr:cNvPr>
        <xdr:cNvPicPr>
          <a:picLocks noChangeAspect="1"/>
        </xdr:cNvPicPr>
      </xdr:nvPicPr>
      <xdr:blipFill>
        <a:blip xmlns:r="http://schemas.openxmlformats.org/officeDocument/2006/relationships" r:embed="rId1547"/>
        <a:stretch>
          <a:fillRect/>
        </a:stretch>
      </xdr:blipFill>
      <xdr:spPr>
        <a:prstGeom prst="rect">
          <a:avLst/>
        </a:prstGeom>
        <a:ln w="9525">
          <a:solidFill>
            <a:srgbClr val="000000"/>
          </a:solidFill>
          <a:prstDash val="solid"/>
        </a:ln>
      </xdr:spPr>
    </xdr:pic>
    <xdr:clientData/>
  </xdr:twoCellAnchor>
  <xdr:twoCellAnchor>
    <xdr:from>
      <xdr:col>3</xdr:col>
      <xdr:colOff>114300</xdr:colOff>
      <xdr:row>4511</xdr:row>
      <xdr:rowOff>28575</xdr:rowOff>
    </xdr:from>
    <xdr:to>
      <xdr:col>3</xdr:col>
      <xdr:colOff>1552575</xdr:colOff>
      <xdr:row>4519</xdr:row>
      <xdr:rowOff>133350</xdr:rowOff>
    </xdr:to>
    <xdr:pic>
      <xdr:nvPicPr>
        <xdr:cNvPr id="1571" name="Имя " descr="Descr ">
          <a:extLst>
            <a:ext uri="{FF2B5EF4-FFF2-40B4-BE49-F238E27FC236}">
              <a16:creationId xmlns:a16="http://schemas.microsoft.com/office/drawing/2014/main" id="{00000000-0008-0000-0000-000023060000}"/>
            </a:ext>
          </a:extLst>
        </xdr:cNvPr>
        <xdr:cNvPicPr>
          <a:picLocks noChangeAspect="1"/>
        </xdr:cNvPicPr>
      </xdr:nvPicPr>
      <xdr:blipFill>
        <a:blip xmlns:r="http://schemas.openxmlformats.org/officeDocument/2006/relationships" r:embed="rId1548"/>
        <a:stretch>
          <a:fillRect/>
        </a:stretch>
      </xdr:blipFill>
      <xdr:spPr>
        <a:prstGeom prst="rect">
          <a:avLst/>
        </a:prstGeom>
        <a:ln w="9525">
          <a:solidFill>
            <a:srgbClr val="000000"/>
          </a:solidFill>
          <a:prstDash val="solid"/>
        </a:ln>
      </xdr:spPr>
    </xdr:pic>
    <xdr:clientData/>
  </xdr:twoCellAnchor>
  <xdr:twoCellAnchor>
    <xdr:from>
      <xdr:col>3</xdr:col>
      <xdr:colOff>114300</xdr:colOff>
      <xdr:row>4521</xdr:row>
      <xdr:rowOff>28575</xdr:rowOff>
    </xdr:from>
    <xdr:to>
      <xdr:col>3</xdr:col>
      <xdr:colOff>1552575</xdr:colOff>
      <xdr:row>4527</xdr:row>
      <xdr:rowOff>171450</xdr:rowOff>
    </xdr:to>
    <xdr:pic>
      <xdr:nvPicPr>
        <xdr:cNvPr id="1572" name="Имя " descr="Descr ">
          <a:extLst>
            <a:ext uri="{FF2B5EF4-FFF2-40B4-BE49-F238E27FC236}">
              <a16:creationId xmlns:a16="http://schemas.microsoft.com/office/drawing/2014/main" id="{00000000-0008-0000-0000-000024060000}"/>
            </a:ext>
          </a:extLst>
        </xdr:cNvPr>
        <xdr:cNvPicPr>
          <a:picLocks noChangeAspect="1"/>
        </xdr:cNvPicPr>
      </xdr:nvPicPr>
      <xdr:blipFill>
        <a:blip xmlns:r="http://schemas.openxmlformats.org/officeDocument/2006/relationships" r:embed="rId1549"/>
        <a:stretch>
          <a:fillRect/>
        </a:stretch>
      </xdr:blipFill>
      <xdr:spPr>
        <a:prstGeom prst="rect">
          <a:avLst/>
        </a:prstGeom>
        <a:ln w="9525">
          <a:solidFill>
            <a:srgbClr val="000000"/>
          </a:solidFill>
          <a:prstDash val="solid"/>
        </a:ln>
      </xdr:spPr>
    </xdr:pic>
    <xdr:clientData/>
  </xdr:twoCellAnchor>
  <xdr:twoCellAnchor>
    <xdr:from>
      <xdr:col>3</xdr:col>
      <xdr:colOff>114300</xdr:colOff>
      <xdr:row>4528</xdr:row>
      <xdr:rowOff>28575</xdr:rowOff>
    </xdr:from>
    <xdr:to>
      <xdr:col>3</xdr:col>
      <xdr:colOff>1552575</xdr:colOff>
      <xdr:row>4533</xdr:row>
      <xdr:rowOff>209550</xdr:rowOff>
    </xdr:to>
    <xdr:pic>
      <xdr:nvPicPr>
        <xdr:cNvPr id="1573" name="Имя " descr="Descr ">
          <a:extLst>
            <a:ext uri="{FF2B5EF4-FFF2-40B4-BE49-F238E27FC236}">
              <a16:creationId xmlns:a16="http://schemas.microsoft.com/office/drawing/2014/main" id="{00000000-0008-0000-0000-000025060000}"/>
            </a:ext>
          </a:extLst>
        </xdr:cNvPr>
        <xdr:cNvPicPr>
          <a:picLocks noChangeAspect="1"/>
        </xdr:cNvPicPr>
      </xdr:nvPicPr>
      <xdr:blipFill>
        <a:blip xmlns:r="http://schemas.openxmlformats.org/officeDocument/2006/relationships" r:embed="rId1550"/>
        <a:stretch>
          <a:fillRect/>
        </a:stretch>
      </xdr:blipFill>
      <xdr:spPr>
        <a:prstGeom prst="rect">
          <a:avLst/>
        </a:prstGeom>
        <a:ln w="9525">
          <a:solidFill>
            <a:srgbClr val="000000"/>
          </a:solidFill>
          <a:prstDash val="solid"/>
        </a:ln>
      </xdr:spPr>
    </xdr:pic>
    <xdr:clientData/>
  </xdr:twoCellAnchor>
  <xdr:twoCellAnchor>
    <xdr:from>
      <xdr:col>3</xdr:col>
      <xdr:colOff>114300</xdr:colOff>
      <xdr:row>4534</xdr:row>
      <xdr:rowOff>28575</xdr:rowOff>
    </xdr:from>
    <xdr:to>
      <xdr:col>3</xdr:col>
      <xdr:colOff>1552575</xdr:colOff>
      <xdr:row>4540</xdr:row>
      <xdr:rowOff>171450</xdr:rowOff>
    </xdr:to>
    <xdr:pic>
      <xdr:nvPicPr>
        <xdr:cNvPr id="1574" name="Имя " descr="Descr ">
          <a:extLst>
            <a:ext uri="{FF2B5EF4-FFF2-40B4-BE49-F238E27FC236}">
              <a16:creationId xmlns:a16="http://schemas.microsoft.com/office/drawing/2014/main" id="{00000000-0008-0000-0000-000026060000}"/>
            </a:ext>
          </a:extLst>
        </xdr:cNvPr>
        <xdr:cNvPicPr>
          <a:picLocks noChangeAspect="1"/>
        </xdr:cNvPicPr>
      </xdr:nvPicPr>
      <xdr:blipFill>
        <a:blip xmlns:r="http://schemas.openxmlformats.org/officeDocument/2006/relationships" r:embed="rId1551"/>
        <a:stretch>
          <a:fillRect/>
        </a:stretch>
      </xdr:blipFill>
      <xdr:spPr>
        <a:prstGeom prst="rect">
          <a:avLst/>
        </a:prstGeom>
        <a:ln w="9525">
          <a:solidFill>
            <a:srgbClr val="000000"/>
          </a:solidFill>
          <a:prstDash val="solid"/>
        </a:ln>
      </xdr:spPr>
    </xdr:pic>
    <xdr:clientData/>
  </xdr:twoCellAnchor>
  <xdr:twoCellAnchor>
    <xdr:from>
      <xdr:col>3</xdr:col>
      <xdr:colOff>114300</xdr:colOff>
      <xdr:row>4541</xdr:row>
      <xdr:rowOff>28575</xdr:rowOff>
    </xdr:from>
    <xdr:to>
      <xdr:col>3</xdr:col>
      <xdr:colOff>1552575</xdr:colOff>
      <xdr:row>4545</xdr:row>
      <xdr:rowOff>333375</xdr:rowOff>
    </xdr:to>
    <xdr:pic>
      <xdr:nvPicPr>
        <xdr:cNvPr id="1575" name="Имя " descr="Descr ">
          <a:extLst>
            <a:ext uri="{FF2B5EF4-FFF2-40B4-BE49-F238E27FC236}">
              <a16:creationId xmlns:a16="http://schemas.microsoft.com/office/drawing/2014/main" id="{00000000-0008-0000-0000-000027060000}"/>
            </a:ext>
          </a:extLst>
        </xdr:cNvPr>
        <xdr:cNvPicPr>
          <a:picLocks noChangeAspect="1"/>
        </xdr:cNvPicPr>
      </xdr:nvPicPr>
      <xdr:blipFill>
        <a:blip xmlns:r="http://schemas.openxmlformats.org/officeDocument/2006/relationships" r:embed="rId1552"/>
        <a:stretch>
          <a:fillRect/>
        </a:stretch>
      </xdr:blipFill>
      <xdr:spPr>
        <a:prstGeom prst="rect">
          <a:avLst/>
        </a:prstGeom>
        <a:ln w="9525">
          <a:solidFill>
            <a:srgbClr val="000000"/>
          </a:solidFill>
          <a:prstDash val="solid"/>
        </a:ln>
      </xdr:spPr>
    </xdr:pic>
    <xdr:clientData/>
  </xdr:twoCellAnchor>
  <xdr:twoCellAnchor>
    <xdr:from>
      <xdr:col>3</xdr:col>
      <xdr:colOff>114300</xdr:colOff>
      <xdr:row>4546</xdr:row>
      <xdr:rowOff>28575</xdr:rowOff>
    </xdr:from>
    <xdr:to>
      <xdr:col>3</xdr:col>
      <xdr:colOff>1552575</xdr:colOff>
      <xdr:row>4552</xdr:row>
      <xdr:rowOff>171450</xdr:rowOff>
    </xdr:to>
    <xdr:pic>
      <xdr:nvPicPr>
        <xdr:cNvPr id="1576" name="Имя " descr="Descr ">
          <a:extLst>
            <a:ext uri="{FF2B5EF4-FFF2-40B4-BE49-F238E27FC236}">
              <a16:creationId xmlns:a16="http://schemas.microsoft.com/office/drawing/2014/main" id="{00000000-0008-0000-0000-000028060000}"/>
            </a:ext>
          </a:extLst>
        </xdr:cNvPr>
        <xdr:cNvPicPr>
          <a:picLocks noChangeAspect="1"/>
        </xdr:cNvPicPr>
      </xdr:nvPicPr>
      <xdr:blipFill>
        <a:blip xmlns:r="http://schemas.openxmlformats.org/officeDocument/2006/relationships" r:embed="rId1553"/>
        <a:stretch>
          <a:fillRect/>
        </a:stretch>
      </xdr:blipFill>
      <xdr:spPr>
        <a:prstGeom prst="rect">
          <a:avLst/>
        </a:prstGeom>
        <a:ln w="9525">
          <a:solidFill>
            <a:srgbClr val="000000"/>
          </a:solidFill>
          <a:prstDash val="solid"/>
        </a:ln>
      </xdr:spPr>
    </xdr:pic>
    <xdr:clientData/>
  </xdr:twoCellAnchor>
  <xdr:twoCellAnchor>
    <xdr:from>
      <xdr:col>3</xdr:col>
      <xdr:colOff>114300</xdr:colOff>
      <xdr:row>4553</xdr:row>
      <xdr:rowOff>38100</xdr:rowOff>
    </xdr:from>
    <xdr:to>
      <xdr:col>3</xdr:col>
      <xdr:colOff>1552575</xdr:colOff>
      <xdr:row>4554</xdr:row>
      <xdr:rowOff>638175</xdr:rowOff>
    </xdr:to>
    <xdr:pic>
      <xdr:nvPicPr>
        <xdr:cNvPr id="1577" name="Имя " descr="Descr ">
          <a:extLst>
            <a:ext uri="{FF2B5EF4-FFF2-40B4-BE49-F238E27FC236}">
              <a16:creationId xmlns:a16="http://schemas.microsoft.com/office/drawing/2014/main" id="{00000000-0008-0000-0000-000029060000}"/>
            </a:ext>
          </a:extLst>
        </xdr:cNvPr>
        <xdr:cNvPicPr>
          <a:picLocks noChangeAspect="1"/>
        </xdr:cNvPicPr>
      </xdr:nvPicPr>
      <xdr:blipFill>
        <a:blip xmlns:r="http://schemas.openxmlformats.org/officeDocument/2006/relationships" r:embed="rId1554"/>
        <a:stretch>
          <a:fillRect/>
        </a:stretch>
      </xdr:blipFill>
      <xdr:spPr>
        <a:prstGeom prst="rect">
          <a:avLst/>
        </a:prstGeom>
        <a:ln w="9525">
          <a:solidFill>
            <a:srgbClr val="000000"/>
          </a:solidFill>
          <a:prstDash val="solid"/>
        </a:ln>
      </xdr:spPr>
    </xdr:pic>
    <xdr:clientData/>
  </xdr:twoCellAnchor>
  <xdr:twoCellAnchor>
    <xdr:from>
      <xdr:col>3</xdr:col>
      <xdr:colOff>114300</xdr:colOff>
      <xdr:row>4555</xdr:row>
      <xdr:rowOff>28575</xdr:rowOff>
    </xdr:from>
    <xdr:to>
      <xdr:col>3</xdr:col>
      <xdr:colOff>1552575</xdr:colOff>
      <xdr:row>4559</xdr:row>
      <xdr:rowOff>333375</xdr:rowOff>
    </xdr:to>
    <xdr:pic>
      <xdr:nvPicPr>
        <xdr:cNvPr id="1578" name="Имя " descr="Descr ">
          <a:extLst>
            <a:ext uri="{FF2B5EF4-FFF2-40B4-BE49-F238E27FC236}">
              <a16:creationId xmlns:a16="http://schemas.microsoft.com/office/drawing/2014/main" id="{00000000-0008-0000-0000-00002A060000}"/>
            </a:ext>
          </a:extLst>
        </xdr:cNvPr>
        <xdr:cNvPicPr>
          <a:picLocks noChangeAspect="1"/>
        </xdr:cNvPicPr>
      </xdr:nvPicPr>
      <xdr:blipFill>
        <a:blip xmlns:r="http://schemas.openxmlformats.org/officeDocument/2006/relationships" r:embed="rId1555"/>
        <a:stretch>
          <a:fillRect/>
        </a:stretch>
      </xdr:blipFill>
      <xdr:spPr>
        <a:prstGeom prst="rect">
          <a:avLst/>
        </a:prstGeom>
        <a:ln w="9525">
          <a:solidFill>
            <a:srgbClr val="000000"/>
          </a:solidFill>
          <a:prstDash val="solid"/>
        </a:ln>
      </xdr:spPr>
    </xdr:pic>
    <xdr:clientData/>
  </xdr:twoCellAnchor>
  <xdr:twoCellAnchor>
    <xdr:from>
      <xdr:col>3</xdr:col>
      <xdr:colOff>114300</xdr:colOff>
      <xdr:row>4560</xdr:row>
      <xdr:rowOff>28575</xdr:rowOff>
    </xdr:from>
    <xdr:to>
      <xdr:col>3</xdr:col>
      <xdr:colOff>1552575</xdr:colOff>
      <xdr:row>4568</xdr:row>
      <xdr:rowOff>133350</xdr:rowOff>
    </xdr:to>
    <xdr:pic>
      <xdr:nvPicPr>
        <xdr:cNvPr id="1579" name="Имя " descr="Descr ">
          <a:extLst>
            <a:ext uri="{FF2B5EF4-FFF2-40B4-BE49-F238E27FC236}">
              <a16:creationId xmlns:a16="http://schemas.microsoft.com/office/drawing/2014/main" id="{00000000-0008-0000-0000-00002B060000}"/>
            </a:ext>
          </a:extLst>
        </xdr:cNvPr>
        <xdr:cNvPicPr>
          <a:picLocks noChangeAspect="1"/>
        </xdr:cNvPicPr>
      </xdr:nvPicPr>
      <xdr:blipFill>
        <a:blip xmlns:r="http://schemas.openxmlformats.org/officeDocument/2006/relationships" r:embed="rId1556"/>
        <a:stretch>
          <a:fillRect/>
        </a:stretch>
      </xdr:blipFill>
      <xdr:spPr>
        <a:prstGeom prst="rect">
          <a:avLst/>
        </a:prstGeom>
        <a:ln w="9525">
          <a:solidFill>
            <a:srgbClr val="000000"/>
          </a:solidFill>
          <a:prstDash val="solid"/>
        </a:ln>
      </xdr:spPr>
    </xdr:pic>
    <xdr:clientData/>
  </xdr:twoCellAnchor>
  <xdr:twoCellAnchor>
    <xdr:from>
      <xdr:col>3</xdr:col>
      <xdr:colOff>114300</xdr:colOff>
      <xdr:row>4570</xdr:row>
      <xdr:rowOff>28575</xdr:rowOff>
    </xdr:from>
    <xdr:to>
      <xdr:col>3</xdr:col>
      <xdr:colOff>1552575</xdr:colOff>
      <xdr:row>4572</xdr:row>
      <xdr:rowOff>419100</xdr:rowOff>
    </xdr:to>
    <xdr:pic>
      <xdr:nvPicPr>
        <xdr:cNvPr id="1580" name="Имя " descr="Descr ">
          <a:extLst>
            <a:ext uri="{FF2B5EF4-FFF2-40B4-BE49-F238E27FC236}">
              <a16:creationId xmlns:a16="http://schemas.microsoft.com/office/drawing/2014/main" id="{00000000-0008-0000-0000-00002C060000}"/>
            </a:ext>
          </a:extLst>
        </xdr:cNvPr>
        <xdr:cNvPicPr>
          <a:picLocks noChangeAspect="1"/>
        </xdr:cNvPicPr>
      </xdr:nvPicPr>
      <xdr:blipFill>
        <a:blip xmlns:r="http://schemas.openxmlformats.org/officeDocument/2006/relationships" r:embed="rId1557"/>
        <a:stretch>
          <a:fillRect/>
        </a:stretch>
      </xdr:blipFill>
      <xdr:spPr>
        <a:prstGeom prst="rect">
          <a:avLst/>
        </a:prstGeom>
        <a:ln w="9525">
          <a:solidFill>
            <a:srgbClr val="000000"/>
          </a:solidFill>
          <a:prstDash val="solid"/>
        </a:ln>
      </xdr:spPr>
    </xdr:pic>
    <xdr:clientData/>
  </xdr:twoCellAnchor>
  <xdr:twoCellAnchor>
    <xdr:from>
      <xdr:col>3</xdr:col>
      <xdr:colOff>114300</xdr:colOff>
      <xdr:row>4573</xdr:row>
      <xdr:rowOff>28575</xdr:rowOff>
    </xdr:from>
    <xdr:to>
      <xdr:col>3</xdr:col>
      <xdr:colOff>1552575</xdr:colOff>
      <xdr:row>4575</xdr:row>
      <xdr:rowOff>419100</xdr:rowOff>
    </xdr:to>
    <xdr:pic>
      <xdr:nvPicPr>
        <xdr:cNvPr id="1581" name="Имя " descr="Descr ">
          <a:extLst>
            <a:ext uri="{FF2B5EF4-FFF2-40B4-BE49-F238E27FC236}">
              <a16:creationId xmlns:a16="http://schemas.microsoft.com/office/drawing/2014/main" id="{00000000-0008-0000-0000-00002D060000}"/>
            </a:ext>
          </a:extLst>
        </xdr:cNvPr>
        <xdr:cNvPicPr>
          <a:picLocks noChangeAspect="1"/>
        </xdr:cNvPicPr>
      </xdr:nvPicPr>
      <xdr:blipFill>
        <a:blip xmlns:r="http://schemas.openxmlformats.org/officeDocument/2006/relationships" r:embed="rId1558"/>
        <a:stretch>
          <a:fillRect/>
        </a:stretch>
      </xdr:blipFill>
      <xdr:spPr>
        <a:prstGeom prst="rect">
          <a:avLst/>
        </a:prstGeom>
        <a:ln w="9525">
          <a:solidFill>
            <a:srgbClr val="000000"/>
          </a:solidFill>
          <a:prstDash val="solid"/>
        </a:ln>
      </xdr:spPr>
    </xdr:pic>
    <xdr:clientData/>
  </xdr:twoCellAnchor>
  <xdr:twoCellAnchor>
    <xdr:from>
      <xdr:col>3</xdr:col>
      <xdr:colOff>114300</xdr:colOff>
      <xdr:row>4576</xdr:row>
      <xdr:rowOff>28575</xdr:rowOff>
    </xdr:from>
    <xdr:to>
      <xdr:col>3</xdr:col>
      <xdr:colOff>1552575</xdr:colOff>
      <xdr:row>4576</xdr:row>
      <xdr:rowOff>1266825</xdr:rowOff>
    </xdr:to>
    <xdr:pic>
      <xdr:nvPicPr>
        <xdr:cNvPr id="1582" name="Имя " descr="Descr ">
          <a:extLst>
            <a:ext uri="{FF2B5EF4-FFF2-40B4-BE49-F238E27FC236}">
              <a16:creationId xmlns:a16="http://schemas.microsoft.com/office/drawing/2014/main" id="{00000000-0008-0000-0000-00002E060000}"/>
            </a:ext>
          </a:extLst>
        </xdr:cNvPr>
        <xdr:cNvPicPr>
          <a:picLocks noChangeAspect="1"/>
        </xdr:cNvPicPr>
      </xdr:nvPicPr>
      <xdr:blipFill>
        <a:blip xmlns:r="http://schemas.openxmlformats.org/officeDocument/2006/relationships" r:embed="rId1559"/>
        <a:stretch>
          <a:fillRect/>
        </a:stretch>
      </xdr:blipFill>
      <xdr:spPr>
        <a:prstGeom prst="rect">
          <a:avLst/>
        </a:prstGeom>
        <a:ln w="9525">
          <a:solidFill>
            <a:srgbClr val="000000"/>
          </a:solidFill>
          <a:prstDash val="solid"/>
        </a:ln>
      </xdr:spPr>
    </xdr:pic>
    <xdr:clientData/>
  </xdr:twoCellAnchor>
  <xdr:twoCellAnchor>
    <xdr:from>
      <xdr:col>3</xdr:col>
      <xdr:colOff>114300</xdr:colOff>
      <xdr:row>4577</xdr:row>
      <xdr:rowOff>28575</xdr:rowOff>
    </xdr:from>
    <xdr:to>
      <xdr:col>3</xdr:col>
      <xdr:colOff>1552575</xdr:colOff>
      <xdr:row>4579</xdr:row>
      <xdr:rowOff>419100</xdr:rowOff>
    </xdr:to>
    <xdr:pic>
      <xdr:nvPicPr>
        <xdr:cNvPr id="1583" name="Имя " descr="Descr ">
          <a:extLst>
            <a:ext uri="{FF2B5EF4-FFF2-40B4-BE49-F238E27FC236}">
              <a16:creationId xmlns:a16="http://schemas.microsoft.com/office/drawing/2014/main" id="{00000000-0008-0000-0000-00002F060000}"/>
            </a:ext>
          </a:extLst>
        </xdr:cNvPr>
        <xdr:cNvPicPr>
          <a:picLocks noChangeAspect="1"/>
        </xdr:cNvPicPr>
      </xdr:nvPicPr>
      <xdr:blipFill>
        <a:blip xmlns:r="http://schemas.openxmlformats.org/officeDocument/2006/relationships" r:embed="rId1560"/>
        <a:stretch>
          <a:fillRect/>
        </a:stretch>
      </xdr:blipFill>
      <xdr:spPr>
        <a:prstGeom prst="rect">
          <a:avLst/>
        </a:prstGeom>
        <a:ln w="9525">
          <a:solidFill>
            <a:srgbClr val="000000"/>
          </a:solidFill>
          <a:prstDash val="solid"/>
        </a:ln>
      </xdr:spPr>
    </xdr:pic>
    <xdr:clientData/>
  </xdr:twoCellAnchor>
  <xdr:twoCellAnchor>
    <xdr:from>
      <xdr:col>3</xdr:col>
      <xdr:colOff>114300</xdr:colOff>
      <xdr:row>4580</xdr:row>
      <xdr:rowOff>28575</xdr:rowOff>
    </xdr:from>
    <xdr:to>
      <xdr:col>3</xdr:col>
      <xdr:colOff>1552575</xdr:colOff>
      <xdr:row>4580</xdr:row>
      <xdr:rowOff>1266825</xdr:rowOff>
    </xdr:to>
    <xdr:pic>
      <xdr:nvPicPr>
        <xdr:cNvPr id="1584" name="Имя " descr="Descr ">
          <a:extLst>
            <a:ext uri="{FF2B5EF4-FFF2-40B4-BE49-F238E27FC236}">
              <a16:creationId xmlns:a16="http://schemas.microsoft.com/office/drawing/2014/main" id="{00000000-0008-0000-0000-000030060000}"/>
            </a:ext>
          </a:extLst>
        </xdr:cNvPr>
        <xdr:cNvPicPr>
          <a:picLocks noChangeAspect="1"/>
        </xdr:cNvPicPr>
      </xdr:nvPicPr>
      <xdr:blipFill>
        <a:blip xmlns:r="http://schemas.openxmlformats.org/officeDocument/2006/relationships" r:embed="rId1561"/>
        <a:stretch>
          <a:fillRect/>
        </a:stretch>
      </xdr:blipFill>
      <xdr:spPr>
        <a:prstGeom prst="rect">
          <a:avLst/>
        </a:prstGeom>
        <a:ln w="9525">
          <a:solidFill>
            <a:srgbClr val="000000"/>
          </a:solidFill>
          <a:prstDash val="solid"/>
        </a:ln>
      </xdr:spPr>
    </xdr:pic>
    <xdr:clientData/>
  </xdr:twoCellAnchor>
  <xdr:twoCellAnchor>
    <xdr:from>
      <xdr:col>3</xdr:col>
      <xdr:colOff>114300</xdr:colOff>
      <xdr:row>4581</xdr:row>
      <xdr:rowOff>28575</xdr:rowOff>
    </xdr:from>
    <xdr:to>
      <xdr:col>3</xdr:col>
      <xdr:colOff>1552575</xdr:colOff>
      <xdr:row>4581</xdr:row>
      <xdr:rowOff>1266825</xdr:rowOff>
    </xdr:to>
    <xdr:pic>
      <xdr:nvPicPr>
        <xdr:cNvPr id="1585" name="Имя " descr="Descr ">
          <a:extLst>
            <a:ext uri="{FF2B5EF4-FFF2-40B4-BE49-F238E27FC236}">
              <a16:creationId xmlns:a16="http://schemas.microsoft.com/office/drawing/2014/main" id="{00000000-0008-0000-0000-000031060000}"/>
            </a:ext>
          </a:extLst>
        </xdr:cNvPr>
        <xdr:cNvPicPr>
          <a:picLocks noChangeAspect="1"/>
        </xdr:cNvPicPr>
      </xdr:nvPicPr>
      <xdr:blipFill>
        <a:blip xmlns:r="http://schemas.openxmlformats.org/officeDocument/2006/relationships" r:embed="rId1562"/>
        <a:stretch>
          <a:fillRect/>
        </a:stretch>
      </xdr:blipFill>
      <xdr:spPr>
        <a:prstGeom prst="rect">
          <a:avLst/>
        </a:prstGeom>
        <a:ln w="9525">
          <a:solidFill>
            <a:srgbClr val="000000"/>
          </a:solidFill>
          <a:prstDash val="solid"/>
        </a:ln>
      </xdr:spPr>
    </xdr:pic>
    <xdr:clientData/>
  </xdr:twoCellAnchor>
  <xdr:twoCellAnchor>
    <xdr:from>
      <xdr:col>3</xdr:col>
      <xdr:colOff>114300</xdr:colOff>
      <xdr:row>4582</xdr:row>
      <xdr:rowOff>28575</xdr:rowOff>
    </xdr:from>
    <xdr:to>
      <xdr:col>3</xdr:col>
      <xdr:colOff>1552575</xdr:colOff>
      <xdr:row>4582</xdr:row>
      <xdr:rowOff>1266825</xdr:rowOff>
    </xdr:to>
    <xdr:pic>
      <xdr:nvPicPr>
        <xdr:cNvPr id="1586" name="Имя " descr="Descr ">
          <a:extLst>
            <a:ext uri="{FF2B5EF4-FFF2-40B4-BE49-F238E27FC236}">
              <a16:creationId xmlns:a16="http://schemas.microsoft.com/office/drawing/2014/main" id="{00000000-0008-0000-0000-000032060000}"/>
            </a:ext>
          </a:extLst>
        </xdr:cNvPr>
        <xdr:cNvPicPr>
          <a:picLocks noChangeAspect="1"/>
        </xdr:cNvPicPr>
      </xdr:nvPicPr>
      <xdr:blipFill>
        <a:blip xmlns:r="http://schemas.openxmlformats.org/officeDocument/2006/relationships" r:embed="rId1563"/>
        <a:stretch>
          <a:fillRect/>
        </a:stretch>
      </xdr:blipFill>
      <xdr:spPr>
        <a:prstGeom prst="rect">
          <a:avLst/>
        </a:prstGeom>
        <a:ln w="9525">
          <a:solidFill>
            <a:srgbClr val="000000"/>
          </a:solidFill>
          <a:prstDash val="solid"/>
        </a:ln>
      </xdr:spPr>
    </xdr:pic>
    <xdr:clientData/>
  </xdr:twoCellAnchor>
  <xdr:twoCellAnchor>
    <xdr:from>
      <xdr:col>3</xdr:col>
      <xdr:colOff>114300</xdr:colOff>
      <xdr:row>4583</xdr:row>
      <xdr:rowOff>38100</xdr:rowOff>
    </xdr:from>
    <xdr:to>
      <xdr:col>3</xdr:col>
      <xdr:colOff>1552575</xdr:colOff>
      <xdr:row>4584</xdr:row>
      <xdr:rowOff>638175</xdr:rowOff>
    </xdr:to>
    <xdr:pic>
      <xdr:nvPicPr>
        <xdr:cNvPr id="1587" name="Имя " descr="Descr ">
          <a:extLst>
            <a:ext uri="{FF2B5EF4-FFF2-40B4-BE49-F238E27FC236}">
              <a16:creationId xmlns:a16="http://schemas.microsoft.com/office/drawing/2014/main" id="{00000000-0008-0000-0000-000033060000}"/>
            </a:ext>
          </a:extLst>
        </xdr:cNvPr>
        <xdr:cNvPicPr>
          <a:picLocks noChangeAspect="1"/>
        </xdr:cNvPicPr>
      </xdr:nvPicPr>
      <xdr:blipFill>
        <a:blip xmlns:r="http://schemas.openxmlformats.org/officeDocument/2006/relationships" r:embed="rId1564"/>
        <a:stretch>
          <a:fillRect/>
        </a:stretch>
      </xdr:blipFill>
      <xdr:spPr>
        <a:prstGeom prst="rect">
          <a:avLst/>
        </a:prstGeom>
        <a:ln w="9525">
          <a:solidFill>
            <a:srgbClr val="000000"/>
          </a:solidFill>
          <a:prstDash val="solid"/>
        </a:ln>
      </xdr:spPr>
    </xdr:pic>
    <xdr:clientData/>
  </xdr:twoCellAnchor>
  <xdr:twoCellAnchor>
    <xdr:from>
      <xdr:col>3</xdr:col>
      <xdr:colOff>114300</xdr:colOff>
      <xdr:row>4585</xdr:row>
      <xdr:rowOff>28575</xdr:rowOff>
    </xdr:from>
    <xdr:to>
      <xdr:col>3</xdr:col>
      <xdr:colOff>1552575</xdr:colOff>
      <xdr:row>4585</xdr:row>
      <xdr:rowOff>1266825</xdr:rowOff>
    </xdr:to>
    <xdr:pic>
      <xdr:nvPicPr>
        <xdr:cNvPr id="1588" name="Имя " descr="Descr ">
          <a:extLst>
            <a:ext uri="{FF2B5EF4-FFF2-40B4-BE49-F238E27FC236}">
              <a16:creationId xmlns:a16="http://schemas.microsoft.com/office/drawing/2014/main" id="{00000000-0008-0000-0000-000034060000}"/>
            </a:ext>
          </a:extLst>
        </xdr:cNvPr>
        <xdr:cNvPicPr>
          <a:picLocks noChangeAspect="1"/>
        </xdr:cNvPicPr>
      </xdr:nvPicPr>
      <xdr:blipFill>
        <a:blip xmlns:r="http://schemas.openxmlformats.org/officeDocument/2006/relationships" r:embed="rId1565"/>
        <a:stretch>
          <a:fillRect/>
        </a:stretch>
      </xdr:blipFill>
      <xdr:spPr>
        <a:prstGeom prst="rect">
          <a:avLst/>
        </a:prstGeom>
        <a:ln w="9525">
          <a:solidFill>
            <a:srgbClr val="000000"/>
          </a:solidFill>
          <a:prstDash val="solid"/>
        </a:ln>
      </xdr:spPr>
    </xdr:pic>
    <xdr:clientData/>
  </xdr:twoCellAnchor>
  <xdr:twoCellAnchor>
    <xdr:from>
      <xdr:col>3</xdr:col>
      <xdr:colOff>114300</xdr:colOff>
      <xdr:row>4586</xdr:row>
      <xdr:rowOff>28575</xdr:rowOff>
    </xdr:from>
    <xdr:to>
      <xdr:col>3</xdr:col>
      <xdr:colOff>1552575</xdr:colOff>
      <xdr:row>4591</xdr:row>
      <xdr:rowOff>209550</xdr:rowOff>
    </xdr:to>
    <xdr:pic>
      <xdr:nvPicPr>
        <xdr:cNvPr id="1589" name="Имя " descr="Descr ">
          <a:extLst>
            <a:ext uri="{FF2B5EF4-FFF2-40B4-BE49-F238E27FC236}">
              <a16:creationId xmlns:a16="http://schemas.microsoft.com/office/drawing/2014/main" id="{00000000-0008-0000-0000-000035060000}"/>
            </a:ext>
          </a:extLst>
        </xdr:cNvPr>
        <xdr:cNvPicPr>
          <a:picLocks noChangeAspect="1"/>
        </xdr:cNvPicPr>
      </xdr:nvPicPr>
      <xdr:blipFill>
        <a:blip xmlns:r="http://schemas.openxmlformats.org/officeDocument/2006/relationships" r:embed="rId1566"/>
        <a:stretch>
          <a:fillRect/>
        </a:stretch>
      </xdr:blipFill>
      <xdr:spPr>
        <a:prstGeom prst="rect">
          <a:avLst/>
        </a:prstGeom>
        <a:ln w="9525">
          <a:solidFill>
            <a:srgbClr val="000000"/>
          </a:solidFill>
          <a:prstDash val="solid"/>
        </a:ln>
      </xdr:spPr>
    </xdr:pic>
    <xdr:clientData/>
  </xdr:twoCellAnchor>
  <xdr:twoCellAnchor>
    <xdr:from>
      <xdr:col>3</xdr:col>
      <xdr:colOff>114300</xdr:colOff>
      <xdr:row>4592</xdr:row>
      <xdr:rowOff>28575</xdr:rowOff>
    </xdr:from>
    <xdr:to>
      <xdr:col>3</xdr:col>
      <xdr:colOff>1552575</xdr:colOff>
      <xdr:row>4595</xdr:row>
      <xdr:rowOff>209550</xdr:rowOff>
    </xdr:to>
    <xdr:pic>
      <xdr:nvPicPr>
        <xdr:cNvPr id="1590" name="Имя " descr="Descr ">
          <a:extLst>
            <a:ext uri="{FF2B5EF4-FFF2-40B4-BE49-F238E27FC236}">
              <a16:creationId xmlns:a16="http://schemas.microsoft.com/office/drawing/2014/main" id="{00000000-0008-0000-0000-000036060000}"/>
            </a:ext>
          </a:extLst>
        </xdr:cNvPr>
        <xdr:cNvPicPr>
          <a:picLocks noChangeAspect="1"/>
        </xdr:cNvPicPr>
      </xdr:nvPicPr>
      <xdr:blipFill>
        <a:blip xmlns:r="http://schemas.openxmlformats.org/officeDocument/2006/relationships" r:embed="rId1567"/>
        <a:stretch>
          <a:fillRect/>
        </a:stretch>
      </xdr:blipFill>
      <xdr:spPr>
        <a:prstGeom prst="rect">
          <a:avLst/>
        </a:prstGeom>
        <a:ln w="9525">
          <a:solidFill>
            <a:srgbClr val="000000"/>
          </a:solidFill>
          <a:prstDash val="solid"/>
        </a:ln>
      </xdr:spPr>
    </xdr:pic>
    <xdr:clientData/>
  </xdr:twoCellAnchor>
  <xdr:twoCellAnchor>
    <xdr:from>
      <xdr:col>3</xdr:col>
      <xdr:colOff>114300</xdr:colOff>
      <xdr:row>4596</xdr:row>
      <xdr:rowOff>28575</xdr:rowOff>
    </xdr:from>
    <xdr:to>
      <xdr:col>3</xdr:col>
      <xdr:colOff>1552575</xdr:colOff>
      <xdr:row>4599</xdr:row>
      <xdr:rowOff>209550</xdr:rowOff>
    </xdr:to>
    <xdr:pic>
      <xdr:nvPicPr>
        <xdr:cNvPr id="1591" name="Имя " descr="Descr ">
          <a:extLst>
            <a:ext uri="{FF2B5EF4-FFF2-40B4-BE49-F238E27FC236}">
              <a16:creationId xmlns:a16="http://schemas.microsoft.com/office/drawing/2014/main" id="{00000000-0008-0000-0000-000037060000}"/>
            </a:ext>
          </a:extLst>
        </xdr:cNvPr>
        <xdr:cNvPicPr>
          <a:picLocks noChangeAspect="1"/>
        </xdr:cNvPicPr>
      </xdr:nvPicPr>
      <xdr:blipFill>
        <a:blip xmlns:r="http://schemas.openxmlformats.org/officeDocument/2006/relationships" r:embed="rId1568"/>
        <a:stretch>
          <a:fillRect/>
        </a:stretch>
      </xdr:blipFill>
      <xdr:spPr>
        <a:prstGeom prst="rect">
          <a:avLst/>
        </a:prstGeom>
        <a:ln w="9525">
          <a:solidFill>
            <a:srgbClr val="000000"/>
          </a:solidFill>
          <a:prstDash val="solid"/>
        </a:ln>
      </xdr:spPr>
    </xdr:pic>
    <xdr:clientData/>
  </xdr:twoCellAnchor>
  <xdr:twoCellAnchor>
    <xdr:from>
      <xdr:col>3</xdr:col>
      <xdr:colOff>114300</xdr:colOff>
      <xdr:row>4600</xdr:row>
      <xdr:rowOff>28575</xdr:rowOff>
    </xdr:from>
    <xdr:to>
      <xdr:col>3</xdr:col>
      <xdr:colOff>1552575</xdr:colOff>
      <xdr:row>4608</xdr:row>
      <xdr:rowOff>133350</xdr:rowOff>
    </xdr:to>
    <xdr:pic>
      <xdr:nvPicPr>
        <xdr:cNvPr id="1592" name="Имя " descr="Descr ">
          <a:extLst>
            <a:ext uri="{FF2B5EF4-FFF2-40B4-BE49-F238E27FC236}">
              <a16:creationId xmlns:a16="http://schemas.microsoft.com/office/drawing/2014/main" id="{00000000-0008-0000-0000-000038060000}"/>
            </a:ext>
          </a:extLst>
        </xdr:cNvPr>
        <xdr:cNvPicPr>
          <a:picLocks noChangeAspect="1"/>
        </xdr:cNvPicPr>
      </xdr:nvPicPr>
      <xdr:blipFill>
        <a:blip xmlns:r="http://schemas.openxmlformats.org/officeDocument/2006/relationships" r:embed="rId1569"/>
        <a:stretch>
          <a:fillRect/>
        </a:stretch>
      </xdr:blipFill>
      <xdr:spPr>
        <a:prstGeom prst="rect">
          <a:avLst/>
        </a:prstGeom>
        <a:ln w="9525">
          <a:solidFill>
            <a:srgbClr val="000000"/>
          </a:solidFill>
          <a:prstDash val="solid"/>
        </a:ln>
      </xdr:spPr>
    </xdr:pic>
    <xdr:clientData/>
  </xdr:twoCellAnchor>
  <xdr:twoCellAnchor>
    <xdr:from>
      <xdr:col>3</xdr:col>
      <xdr:colOff>114300</xdr:colOff>
      <xdr:row>4611</xdr:row>
      <xdr:rowOff>28575</xdr:rowOff>
    </xdr:from>
    <xdr:to>
      <xdr:col>3</xdr:col>
      <xdr:colOff>1552575</xdr:colOff>
      <xdr:row>4619</xdr:row>
      <xdr:rowOff>133350</xdr:rowOff>
    </xdr:to>
    <xdr:pic>
      <xdr:nvPicPr>
        <xdr:cNvPr id="1593" name="Имя " descr="Descr ">
          <a:extLst>
            <a:ext uri="{FF2B5EF4-FFF2-40B4-BE49-F238E27FC236}">
              <a16:creationId xmlns:a16="http://schemas.microsoft.com/office/drawing/2014/main" id="{00000000-0008-0000-0000-000039060000}"/>
            </a:ext>
          </a:extLst>
        </xdr:cNvPr>
        <xdr:cNvPicPr>
          <a:picLocks noChangeAspect="1"/>
        </xdr:cNvPicPr>
      </xdr:nvPicPr>
      <xdr:blipFill>
        <a:blip xmlns:r="http://schemas.openxmlformats.org/officeDocument/2006/relationships" r:embed="rId1570"/>
        <a:stretch>
          <a:fillRect/>
        </a:stretch>
      </xdr:blipFill>
      <xdr:spPr>
        <a:prstGeom prst="rect">
          <a:avLst/>
        </a:prstGeom>
        <a:ln w="9525">
          <a:solidFill>
            <a:srgbClr val="000000"/>
          </a:solidFill>
          <a:prstDash val="solid"/>
        </a:ln>
      </xdr:spPr>
    </xdr:pic>
    <xdr:clientData/>
  </xdr:twoCellAnchor>
  <xdr:twoCellAnchor>
    <xdr:from>
      <xdr:col>3</xdr:col>
      <xdr:colOff>114300</xdr:colOff>
      <xdr:row>4621</xdr:row>
      <xdr:rowOff>28575</xdr:rowOff>
    </xdr:from>
    <xdr:to>
      <xdr:col>3</xdr:col>
      <xdr:colOff>1552575</xdr:colOff>
      <xdr:row>4629</xdr:row>
      <xdr:rowOff>133350</xdr:rowOff>
    </xdr:to>
    <xdr:pic>
      <xdr:nvPicPr>
        <xdr:cNvPr id="1594" name="Имя " descr="Descr ">
          <a:extLst>
            <a:ext uri="{FF2B5EF4-FFF2-40B4-BE49-F238E27FC236}">
              <a16:creationId xmlns:a16="http://schemas.microsoft.com/office/drawing/2014/main" id="{00000000-0008-0000-0000-00003A060000}"/>
            </a:ext>
          </a:extLst>
        </xdr:cNvPr>
        <xdr:cNvPicPr>
          <a:picLocks noChangeAspect="1"/>
        </xdr:cNvPicPr>
      </xdr:nvPicPr>
      <xdr:blipFill>
        <a:blip xmlns:r="http://schemas.openxmlformats.org/officeDocument/2006/relationships" r:embed="rId1571"/>
        <a:stretch>
          <a:fillRect/>
        </a:stretch>
      </xdr:blipFill>
      <xdr:spPr>
        <a:prstGeom prst="rect">
          <a:avLst/>
        </a:prstGeom>
        <a:ln w="9525">
          <a:solidFill>
            <a:srgbClr val="000000"/>
          </a:solidFill>
          <a:prstDash val="solid"/>
        </a:ln>
      </xdr:spPr>
    </xdr:pic>
    <xdr:clientData/>
  </xdr:twoCellAnchor>
  <xdr:twoCellAnchor>
    <xdr:from>
      <xdr:col>3</xdr:col>
      <xdr:colOff>114300</xdr:colOff>
      <xdr:row>4631</xdr:row>
      <xdr:rowOff>28575</xdr:rowOff>
    </xdr:from>
    <xdr:to>
      <xdr:col>3</xdr:col>
      <xdr:colOff>1552575</xdr:colOff>
      <xdr:row>4639</xdr:row>
      <xdr:rowOff>133350</xdr:rowOff>
    </xdr:to>
    <xdr:pic>
      <xdr:nvPicPr>
        <xdr:cNvPr id="1595" name="Имя " descr="Descr ">
          <a:extLst>
            <a:ext uri="{FF2B5EF4-FFF2-40B4-BE49-F238E27FC236}">
              <a16:creationId xmlns:a16="http://schemas.microsoft.com/office/drawing/2014/main" id="{00000000-0008-0000-0000-00003B060000}"/>
            </a:ext>
          </a:extLst>
        </xdr:cNvPr>
        <xdr:cNvPicPr>
          <a:picLocks noChangeAspect="1"/>
        </xdr:cNvPicPr>
      </xdr:nvPicPr>
      <xdr:blipFill>
        <a:blip xmlns:r="http://schemas.openxmlformats.org/officeDocument/2006/relationships" r:embed="rId1572"/>
        <a:stretch>
          <a:fillRect/>
        </a:stretch>
      </xdr:blipFill>
      <xdr:spPr>
        <a:prstGeom prst="rect">
          <a:avLst/>
        </a:prstGeom>
        <a:ln w="9525">
          <a:solidFill>
            <a:srgbClr val="000000"/>
          </a:solidFill>
          <a:prstDash val="solid"/>
        </a:ln>
      </xdr:spPr>
    </xdr:pic>
    <xdr:clientData/>
  </xdr:twoCellAnchor>
  <xdr:twoCellAnchor>
    <xdr:from>
      <xdr:col>3</xdr:col>
      <xdr:colOff>114300</xdr:colOff>
      <xdr:row>4642</xdr:row>
      <xdr:rowOff>28575</xdr:rowOff>
    </xdr:from>
    <xdr:to>
      <xdr:col>3</xdr:col>
      <xdr:colOff>1552575</xdr:colOff>
      <xdr:row>4645</xdr:row>
      <xdr:rowOff>209550</xdr:rowOff>
    </xdr:to>
    <xdr:pic>
      <xdr:nvPicPr>
        <xdr:cNvPr id="1596" name="Имя " descr="Descr ">
          <a:extLst>
            <a:ext uri="{FF2B5EF4-FFF2-40B4-BE49-F238E27FC236}">
              <a16:creationId xmlns:a16="http://schemas.microsoft.com/office/drawing/2014/main" id="{00000000-0008-0000-0000-00003C060000}"/>
            </a:ext>
          </a:extLst>
        </xdr:cNvPr>
        <xdr:cNvPicPr>
          <a:picLocks noChangeAspect="1"/>
        </xdr:cNvPicPr>
      </xdr:nvPicPr>
      <xdr:blipFill>
        <a:blip xmlns:r="http://schemas.openxmlformats.org/officeDocument/2006/relationships" r:embed="rId1573"/>
        <a:stretch>
          <a:fillRect/>
        </a:stretch>
      </xdr:blipFill>
      <xdr:spPr>
        <a:prstGeom prst="rect">
          <a:avLst/>
        </a:prstGeom>
        <a:ln w="9525">
          <a:solidFill>
            <a:srgbClr val="000000"/>
          </a:solidFill>
          <a:prstDash val="solid"/>
        </a:ln>
      </xdr:spPr>
    </xdr:pic>
    <xdr:clientData/>
  </xdr:twoCellAnchor>
  <xdr:twoCellAnchor>
    <xdr:from>
      <xdr:col>3</xdr:col>
      <xdr:colOff>114300</xdr:colOff>
      <xdr:row>4646</xdr:row>
      <xdr:rowOff>28575</xdr:rowOff>
    </xdr:from>
    <xdr:to>
      <xdr:col>3</xdr:col>
      <xdr:colOff>1552575</xdr:colOff>
      <xdr:row>4649</xdr:row>
      <xdr:rowOff>209550</xdr:rowOff>
    </xdr:to>
    <xdr:pic>
      <xdr:nvPicPr>
        <xdr:cNvPr id="1597" name="Имя " descr="Descr ">
          <a:extLst>
            <a:ext uri="{FF2B5EF4-FFF2-40B4-BE49-F238E27FC236}">
              <a16:creationId xmlns:a16="http://schemas.microsoft.com/office/drawing/2014/main" id="{00000000-0008-0000-0000-00003D060000}"/>
            </a:ext>
          </a:extLst>
        </xdr:cNvPr>
        <xdr:cNvPicPr>
          <a:picLocks noChangeAspect="1"/>
        </xdr:cNvPicPr>
      </xdr:nvPicPr>
      <xdr:blipFill>
        <a:blip xmlns:r="http://schemas.openxmlformats.org/officeDocument/2006/relationships" r:embed="rId1574"/>
        <a:stretch>
          <a:fillRect/>
        </a:stretch>
      </xdr:blipFill>
      <xdr:spPr>
        <a:prstGeom prst="rect">
          <a:avLst/>
        </a:prstGeom>
        <a:ln w="9525">
          <a:solidFill>
            <a:srgbClr val="000000"/>
          </a:solidFill>
          <a:prstDash val="solid"/>
        </a:ln>
      </xdr:spPr>
    </xdr:pic>
    <xdr:clientData/>
  </xdr:twoCellAnchor>
  <xdr:twoCellAnchor>
    <xdr:from>
      <xdr:col>3</xdr:col>
      <xdr:colOff>114300</xdr:colOff>
      <xdr:row>4650</xdr:row>
      <xdr:rowOff>28575</xdr:rowOff>
    </xdr:from>
    <xdr:to>
      <xdr:col>3</xdr:col>
      <xdr:colOff>1552575</xdr:colOff>
      <xdr:row>4650</xdr:row>
      <xdr:rowOff>1266825</xdr:rowOff>
    </xdr:to>
    <xdr:pic>
      <xdr:nvPicPr>
        <xdr:cNvPr id="1598" name="Имя " descr="Descr ">
          <a:extLst>
            <a:ext uri="{FF2B5EF4-FFF2-40B4-BE49-F238E27FC236}">
              <a16:creationId xmlns:a16="http://schemas.microsoft.com/office/drawing/2014/main" id="{00000000-0008-0000-0000-00003E060000}"/>
            </a:ext>
          </a:extLst>
        </xdr:cNvPr>
        <xdr:cNvPicPr>
          <a:picLocks noChangeAspect="1"/>
        </xdr:cNvPicPr>
      </xdr:nvPicPr>
      <xdr:blipFill>
        <a:blip xmlns:r="http://schemas.openxmlformats.org/officeDocument/2006/relationships" r:embed="rId1575"/>
        <a:stretch>
          <a:fillRect/>
        </a:stretch>
      </xdr:blipFill>
      <xdr:spPr>
        <a:prstGeom prst="rect">
          <a:avLst/>
        </a:prstGeom>
        <a:ln w="9525">
          <a:solidFill>
            <a:srgbClr val="000000"/>
          </a:solidFill>
          <a:prstDash val="solid"/>
        </a:ln>
      </xdr:spPr>
    </xdr:pic>
    <xdr:clientData/>
  </xdr:twoCellAnchor>
  <xdr:twoCellAnchor>
    <xdr:from>
      <xdr:col>3</xdr:col>
      <xdr:colOff>114300</xdr:colOff>
      <xdr:row>4651</xdr:row>
      <xdr:rowOff>28575</xdr:rowOff>
    </xdr:from>
    <xdr:to>
      <xdr:col>3</xdr:col>
      <xdr:colOff>1552575</xdr:colOff>
      <xdr:row>4654</xdr:row>
      <xdr:rowOff>209550</xdr:rowOff>
    </xdr:to>
    <xdr:pic>
      <xdr:nvPicPr>
        <xdr:cNvPr id="1599" name="Имя " descr="Descr ">
          <a:extLst>
            <a:ext uri="{FF2B5EF4-FFF2-40B4-BE49-F238E27FC236}">
              <a16:creationId xmlns:a16="http://schemas.microsoft.com/office/drawing/2014/main" id="{00000000-0008-0000-0000-00003F060000}"/>
            </a:ext>
          </a:extLst>
        </xdr:cNvPr>
        <xdr:cNvPicPr>
          <a:picLocks noChangeAspect="1"/>
        </xdr:cNvPicPr>
      </xdr:nvPicPr>
      <xdr:blipFill>
        <a:blip xmlns:r="http://schemas.openxmlformats.org/officeDocument/2006/relationships" r:embed="rId1576"/>
        <a:stretch>
          <a:fillRect/>
        </a:stretch>
      </xdr:blipFill>
      <xdr:spPr>
        <a:prstGeom prst="rect">
          <a:avLst/>
        </a:prstGeom>
        <a:ln w="9525">
          <a:solidFill>
            <a:srgbClr val="000000"/>
          </a:solidFill>
          <a:prstDash val="solid"/>
        </a:ln>
      </xdr:spPr>
    </xdr:pic>
    <xdr:clientData/>
  </xdr:twoCellAnchor>
  <xdr:twoCellAnchor>
    <xdr:from>
      <xdr:col>3</xdr:col>
      <xdr:colOff>114300</xdr:colOff>
      <xdr:row>4655</xdr:row>
      <xdr:rowOff>28575</xdr:rowOff>
    </xdr:from>
    <xdr:to>
      <xdr:col>3</xdr:col>
      <xdr:colOff>1552575</xdr:colOff>
      <xdr:row>4657</xdr:row>
      <xdr:rowOff>419100</xdr:rowOff>
    </xdr:to>
    <xdr:pic>
      <xdr:nvPicPr>
        <xdr:cNvPr id="1600" name="Имя " descr="Descr ">
          <a:extLst>
            <a:ext uri="{FF2B5EF4-FFF2-40B4-BE49-F238E27FC236}">
              <a16:creationId xmlns:a16="http://schemas.microsoft.com/office/drawing/2014/main" id="{00000000-0008-0000-0000-000040060000}"/>
            </a:ext>
          </a:extLst>
        </xdr:cNvPr>
        <xdr:cNvPicPr>
          <a:picLocks noChangeAspect="1"/>
        </xdr:cNvPicPr>
      </xdr:nvPicPr>
      <xdr:blipFill>
        <a:blip xmlns:r="http://schemas.openxmlformats.org/officeDocument/2006/relationships" r:embed="rId1577"/>
        <a:stretch>
          <a:fillRect/>
        </a:stretch>
      </xdr:blipFill>
      <xdr:spPr>
        <a:prstGeom prst="rect">
          <a:avLst/>
        </a:prstGeom>
        <a:ln w="9525">
          <a:solidFill>
            <a:srgbClr val="000000"/>
          </a:solidFill>
          <a:prstDash val="solid"/>
        </a:ln>
      </xdr:spPr>
    </xdr:pic>
    <xdr:clientData/>
  </xdr:twoCellAnchor>
  <xdr:twoCellAnchor>
    <xdr:from>
      <xdr:col>3</xdr:col>
      <xdr:colOff>114300</xdr:colOff>
      <xdr:row>4658</xdr:row>
      <xdr:rowOff>28575</xdr:rowOff>
    </xdr:from>
    <xdr:to>
      <xdr:col>3</xdr:col>
      <xdr:colOff>1552575</xdr:colOff>
      <xdr:row>4664</xdr:row>
      <xdr:rowOff>171450</xdr:rowOff>
    </xdr:to>
    <xdr:pic>
      <xdr:nvPicPr>
        <xdr:cNvPr id="1601" name="Имя " descr="Descr ">
          <a:extLst>
            <a:ext uri="{FF2B5EF4-FFF2-40B4-BE49-F238E27FC236}">
              <a16:creationId xmlns:a16="http://schemas.microsoft.com/office/drawing/2014/main" id="{00000000-0008-0000-0000-000041060000}"/>
            </a:ext>
          </a:extLst>
        </xdr:cNvPr>
        <xdr:cNvPicPr>
          <a:picLocks noChangeAspect="1"/>
        </xdr:cNvPicPr>
      </xdr:nvPicPr>
      <xdr:blipFill>
        <a:blip xmlns:r="http://schemas.openxmlformats.org/officeDocument/2006/relationships" r:embed="rId1578"/>
        <a:stretch>
          <a:fillRect/>
        </a:stretch>
      </xdr:blipFill>
      <xdr:spPr>
        <a:prstGeom prst="rect">
          <a:avLst/>
        </a:prstGeom>
        <a:ln w="9525">
          <a:solidFill>
            <a:srgbClr val="000000"/>
          </a:solidFill>
          <a:prstDash val="solid"/>
        </a:ln>
      </xdr:spPr>
    </xdr:pic>
    <xdr:clientData/>
  </xdr:twoCellAnchor>
  <xdr:twoCellAnchor>
    <xdr:from>
      <xdr:col>3</xdr:col>
      <xdr:colOff>114300</xdr:colOff>
      <xdr:row>4665</xdr:row>
      <xdr:rowOff>28575</xdr:rowOff>
    </xdr:from>
    <xdr:to>
      <xdr:col>3</xdr:col>
      <xdr:colOff>1552575</xdr:colOff>
      <xdr:row>4670</xdr:row>
      <xdr:rowOff>209550</xdr:rowOff>
    </xdr:to>
    <xdr:pic>
      <xdr:nvPicPr>
        <xdr:cNvPr id="1602" name="Имя " descr="Descr ">
          <a:extLst>
            <a:ext uri="{FF2B5EF4-FFF2-40B4-BE49-F238E27FC236}">
              <a16:creationId xmlns:a16="http://schemas.microsoft.com/office/drawing/2014/main" id="{00000000-0008-0000-0000-000042060000}"/>
            </a:ext>
          </a:extLst>
        </xdr:cNvPr>
        <xdr:cNvPicPr>
          <a:picLocks noChangeAspect="1"/>
        </xdr:cNvPicPr>
      </xdr:nvPicPr>
      <xdr:blipFill>
        <a:blip xmlns:r="http://schemas.openxmlformats.org/officeDocument/2006/relationships" r:embed="rId1579"/>
        <a:stretch>
          <a:fillRect/>
        </a:stretch>
      </xdr:blipFill>
      <xdr:spPr>
        <a:prstGeom prst="rect">
          <a:avLst/>
        </a:prstGeom>
        <a:ln w="9525">
          <a:solidFill>
            <a:srgbClr val="000000"/>
          </a:solidFill>
          <a:prstDash val="solid"/>
        </a:ln>
      </xdr:spPr>
    </xdr:pic>
    <xdr:clientData/>
  </xdr:twoCellAnchor>
  <xdr:twoCellAnchor>
    <xdr:from>
      <xdr:col>3</xdr:col>
      <xdr:colOff>114300</xdr:colOff>
      <xdr:row>4671</xdr:row>
      <xdr:rowOff>28575</xdr:rowOff>
    </xdr:from>
    <xdr:to>
      <xdr:col>3</xdr:col>
      <xdr:colOff>1552575</xdr:colOff>
      <xdr:row>4679</xdr:row>
      <xdr:rowOff>133350</xdr:rowOff>
    </xdr:to>
    <xdr:pic>
      <xdr:nvPicPr>
        <xdr:cNvPr id="1603" name="Имя " descr="Descr ">
          <a:extLst>
            <a:ext uri="{FF2B5EF4-FFF2-40B4-BE49-F238E27FC236}">
              <a16:creationId xmlns:a16="http://schemas.microsoft.com/office/drawing/2014/main" id="{00000000-0008-0000-0000-000043060000}"/>
            </a:ext>
          </a:extLst>
        </xdr:cNvPr>
        <xdr:cNvPicPr>
          <a:picLocks noChangeAspect="1"/>
        </xdr:cNvPicPr>
      </xdr:nvPicPr>
      <xdr:blipFill>
        <a:blip xmlns:r="http://schemas.openxmlformats.org/officeDocument/2006/relationships" r:embed="rId1580"/>
        <a:stretch>
          <a:fillRect/>
        </a:stretch>
      </xdr:blipFill>
      <xdr:spPr>
        <a:prstGeom prst="rect">
          <a:avLst/>
        </a:prstGeom>
        <a:ln w="9525">
          <a:solidFill>
            <a:srgbClr val="000000"/>
          </a:solidFill>
          <a:prstDash val="solid"/>
        </a:ln>
      </xdr:spPr>
    </xdr:pic>
    <xdr:clientData/>
  </xdr:twoCellAnchor>
  <xdr:twoCellAnchor>
    <xdr:from>
      <xdr:col>3</xdr:col>
      <xdr:colOff>114300</xdr:colOff>
      <xdr:row>4680</xdr:row>
      <xdr:rowOff>28575</xdr:rowOff>
    </xdr:from>
    <xdr:to>
      <xdr:col>3</xdr:col>
      <xdr:colOff>1552575</xdr:colOff>
      <xdr:row>4683</xdr:row>
      <xdr:rowOff>209550</xdr:rowOff>
    </xdr:to>
    <xdr:pic>
      <xdr:nvPicPr>
        <xdr:cNvPr id="1604" name="Имя " descr="Descr ">
          <a:extLst>
            <a:ext uri="{FF2B5EF4-FFF2-40B4-BE49-F238E27FC236}">
              <a16:creationId xmlns:a16="http://schemas.microsoft.com/office/drawing/2014/main" id="{00000000-0008-0000-0000-000044060000}"/>
            </a:ext>
          </a:extLst>
        </xdr:cNvPr>
        <xdr:cNvPicPr>
          <a:picLocks noChangeAspect="1"/>
        </xdr:cNvPicPr>
      </xdr:nvPicPr>
      <xdr:blipFill>
        <a:blip xmlns:r="http://schemas.openxmlformats.org/officeDocument/2006/relationships" r:embed="rId1581"/>
        <a:stretch>
          <a:fillRect/>
        </a:stretch>
      </xdr:blipFill>
      <xdr:spPr>
        <a:prstGeom prst="rect">
          <a:avLst/>
        </a:prstGeom>
        <a:ln w="9525">
          <a:solidFill>
            <a:srgbClr val="000000"/>
          </a:solidFill>
          <a:prstDash val="solid"/>
        </a:ln>
      </xdr:spPr>
    </xdr:pic>
    <xdr:clientData/>
  </xdr:twoCellAnchor>
  <xdr:twoCellAnchor>
    <xdr:from>
      <xdr:col>3</xdr:col>
      <xdr:colOff>114300</xdr:colOff>
      <xdr:row>4684</xdr:row>
      <xdr:rowOff>28575</xdr:rowOff>
    </xdr:from>
    <xdr:to>
      <xdr:col>3</xdr:col>
      <xdr:colOff>1552575</xdr:colOff>
      <xdr:row>4687</xdr:row>
      <xdr:rowOff>209550</xdr:rowOff>
    </xdr:to>
    <xdr:pic>
      <xdr:nvPicPr>
        <xdr:cNvPr id="1605" name="Имя " descr="Descr ">
          <a:extLst>
            <a:ext uri="{FF2B5EF4-FFF2-40B4-BE49-F238E27FC236}">
              <a16:creationId xmlns:a16="http://schemas.microsoft.com/office/drawing/2014/main" id="{00000000-0008-0000-0000-000045060000}"/>
            </a:ext>
          </a:extLst>
        </xdr:cNvPr>
        <xdr:cNvPicPr>
          <a:picLocks noChangeAspect="1"/>
        </xdr:cNvPicPr>
      </xdr:nvPicPr>
      <xdr:blipFill>
        <a:blip xmlns:r="http://schemas.openxmlformats.org/officeDocument/2006/relationships" r:embed="rId1582"/>
        <a:stretch>
          <a:fillRect/>
        </a:stretch>
      </xdr:blipFill>
      <xdr:spPr>
        <a:prstGeom prst="rect">
          <a:avLst/>
        </a:prstGeom>
        <a:ln w="9525">
          <a:solidFill>
            <a:srgbClr val="000000"/>
          </a:solidFill>
          <a:prstDash val="solid"/>
        </a:ln>
      </xdr:spPr>
    </xdr:pic>
    <xdr:clientData/>
  </xdr:twoCellAnchor>
  <xdr:twoCellAnchor>
    <xdr:from>
      <xdr:col>3</xdr:col>
      <xdr:colOff>114300</xdr:colOff>
      <xdr:row>4688</xdr:row>
      <xdr:rowOff>28575</xdr:rowOff>
    </xdr:from>
    <xdr:to>
      <xdr:col>3</xdr:col>
      <xdr:colOff>1552575</xdr:colOff>
      <xdr:row>4692</xdr:row>
      <xdr:rowOff>333375</xdr:rowOff>
    </xdr:to>
    <xdr:pic>
      <xdr:nvPicPr>
        <xdr:cNvPr id="1606" name="Имя " descr="Descr ">
          <a:extLst>
            <a:ext uri="{FF2B5EF4-FFF2-40B4-BE49-F238E27FC236}">
              <a16:creationId xmlns:a16="http://schemas.microsoft.com/office/drawing/2014/main" id="{00000000-0008-0000-0000-000046060000}"/>
            </a:ext>
          </a:extLst>
        </xdr:cNvPr>
        <xdr:cNvPicPr>
          <a:picLocks noChangeAspect="1"/>
        </xdr:cNvPicPr>
      </xdr:nvPicPr>
      <xdr:blipFill>
        <a:blip xmlns:r="http://schemas.openxmlformats.org/officeDocument/2006/relationships" r:embed="rId1583"/>
        <a:stretch>
          <a:fillRect/>
        </a:stretch>
      </xdr:blipFill>
      <xdr:spPr>
        <a:prstGeom prst="rect">
          <a:avLst/>
        </a:prstGeom>
        <a:ln w="9525">
          <a:solidFill>
            <a:srgbClr val="000000"/>
          </a:solidFill>
          <a:prstDash val="solid"/>
        </a:ln>
      </xdr:spPr>
    </xdr:pic>
    <xdr:clientData/>
  </xdr:twoCellAnchor>
  <xdr:twoCellAnchor>
    <xdr:from>
      <xdr:col>3</xdr:col>
      <xdr:colOff>114300</xdr:colOff>
      <xdr:row>4693</xdr:row>
      <xdr:rowOff>28575</xdr:rowOff>
    </xdr:from>
    <xdr:to>
      <xdr:col>3</xdr:col>
      <xdr:colOff>1552575</xdr:colOff>
      <xdr:row>4697</xdr:row>
      <xdr:rowOff>333375</xdr:rowOff>
    </xdr:to>
    <xdr:pic>
      <xdr:nvPicPr>
        <xdr:cNvPr id="1607" name="Имя " descr="Descr ">
          <a:extLst>
            <a:ext uri="{FF2B5EF4-FFF2-40B4-BE49-F238E27FC236}">
              <a16:creationId xmlns:a16="http://schemas.microsoft.com/office/drawing/2014/main" id="{00000000-0008-0000-0000-000047060000}"/>
            </a:ext>
          </a:extLst>
        </xdr:cNvPr>
        <xdr:cNvPicPr>
          <a:picLocks noChangeAspect="1"/>
        </xdr:cNvPicPr>
      </xdr:nvPicPr>
      <xdr:blipFill>
        <a:blip xmlns:r="http://schemas.openxmlformats.org/officeDocument/2006/relationships" r:embed="rId1584"/>
        <a:stretch>
          <a:fillRect/>
        </a:stretch>
      </xdr:blipFill>
      <xdr:spPr>
        <a:prstGeom prst="rect">
          <a:avLst/>
        </a:prstGeom>
        <a:ln w="9525">
          <a:solidFill>
            <a:srgbClr val="000000"/>
          </a:solidFill>
          <a:prstDash val="solid"/>
        </a:ln>
      </xdr:spPr>
    </xdr:pic>
    <xdr:clientData/>
  </xdr:twoCellAnchor>
  <xdr:twoCellAnchor>
    <xdr:from>
      <xdr:col>3</xdr:col>
      <xdr:colOff>114300</xdr:colOff>
      <xdr:row>4698</xdr:row>
      <xdr:rowOff>28575</xdr:rowOff>
    </xdr:from>
    <xdr:to>
      <xdr:col>3</xdr:col>
      <xdr:colOff>1552575</xdr:colOff>
      <xdr:row>4704</xdr:row>
      <xdr:rowOff>171450</xdr:rowOff>
    </xdr:to>
    <xdr:pic>
      <xdr:nvPicPr>
        <xdr:cNvPr id="1608" name="Имя " descr="Descr ">
          <a:extLst>
            <a:ext uri="{FF2B5EF4-FFF2-40B4-BE49-F238E27FC236}">
              <a16:creationId xmlns:a16="http://schemas.microsoft.com/office/drawing/2014/main" id="{00000000-0008-0000-0000-000048060000}"/>
            </a:ext>
          </a:extLst>
        </xdr:cNvPr>
        <xdr:cNvPicPr>
          <a:picLocks noChangeAspect="1"/>
        </xdr:cNvPicPr>
      </xdr:nvPicPr>
      <xdr:blipFill>
        <a:blip xmlns:r="http://schemas.openxmlformats.org/officeDocument/2006/relationships" r:embed="rId1585"/>
        <a:stretch>
          <a:fillRect/>
        </a:stretch>
      </xdr:blipFill>
      <xdr:spPr>
        <a:prstGeom prst="rect">
          <a:avLst/>
        </a:prstGeom>
        <a:ln w="9525">
          <a:solidFill>
            <a:srgbClr val="000000"/>
          </a:solidFill>
          <a:prstDash val="solid"/>
        </a:ln>
      </xdr:spPr>
    </xdr:pic>
    <xdr:clientData/>
  </xdr:twoCellAnchor>
  <xdr:twoCellAnchor>
    <xdr:from>
      <xdr:col>3</xdr:col>
      <xdr:colOff>114300</xdr:colOff>
      <xdr:row>4705</xdr:row>
      <xdr:rowOff>28575</xdr:rowOff>
    </xdr:from>
    <xdr:to>
      <xdr:col>3</xdr:col>
      <xdr:colOff>1552575</xdr:colOff>
      <xdr:row>4708</xdr:row>
      <xdr:rowOff>209550</xdr:rowOff>
    </xdr:to>
    <xdr:pic>
      <xdr:nvPicPr>
        <xdr:cNvPr id="1609" name="Имя " descr="Descr ">
          <a:extLst>
            <a:ext uri="{FF2B5EF4-FFF2-40B4-BE49-F238E27FC236}">
              <a16:creationId xmlns:a16="http://schemas.microsoft.com/office/drawing/2014/main" id="{00000000-0008-0000-0000-000049060000}"/>
            </a:ext>
          </a:extLst>
        </xdr:cNvPr>
        <xdr:cNvPicPr>
          <a:picLocks noChangeAspect="1"/>
        </xdr:cNvPicPr>
      </xdr:nvPicPr>
      <xdr:blipFill>
        <a:blip xmlns:r="http://schemas.openxmlformats.org/officeDocument/2006/relationships" r:embed="rId1586"/>
        <a:stretch>
          <a:fillRect/>
        </a:stretch>
      </xdr:blipFill>
      <xdr:spPr>
        <a:prstGeom prst="rect">
          <a:avLst/>
        </a:prstGeom>
        <a:ln w="9525">
          <a:solidFill>
            <a:srgbClr val="000000"/>
          </a:solidFill>
          <a:prstDash val="solid"/>
        </a:ln>
      </xdr:spPr>
    </xdr:pic>
    <xdr:clientData/>
  </xdr:twoCellAnchor>
  <xdr:twoCellAnchor>
    <xdr:from>
      <xdr:col>3</xdr:col>
      <xdr:colOff>114300</xdr:colOff>
      <xdr:row>4709</xdr:row>
      <xdr:rowOff>28575</xdr:rowOff>
    </xdr:from>
    <xdr:to>
      <xdr:col>3</xdr:col>
      <xdr:colOff>1552575</xdr:colOff>
      <xdr:row>4711</xdr:row>
      <xdr:rowOff>419100</xdr:rowOff>
    </xdr:to>
    <xdr:pic>
      <xdr:nvPicPr>
        <xdr:cNvPr id="1610" name="Имя " descr="Descr ">
          <a:extLst>
            <a:ext uri="{FF2B5EF4-FFF2-40B4-BE49-F238E27FC236}">
              <a16:creationId xmlns:a16="http://schemas.microsoft.com/office/drawing/2014/main" id="{00000000-0008-0000-0000-00004A060000}"/>
            </a:ext>
          </a:extLst>
        </xdr:cNvPr>
        <xdr:cNvPicPr>
          <a:picLocks noChangeAspect="1"/>
        </xdr:cNvPicPr>
      </xdr:nvPicPr>
      <xdr:blipFill>
        <a:blip xmlns:r="http://schemas.openxmlformats.org/officeDocument/2006/relationships" r:embed="rId1587"/>
        <a:stretch>
          <a:fillRect/>
        </a:stretch>
      </xdr:blipFill>
      <xdr:spPr>
        <a:prstGeom prst="rect">
          <a:avLst/>
        </a:prstGeom>
        <a:ln w="9525">
          <a:solidFill>
            <a:srgbClr val="000000"/>
          </a:solidFill>
          <a:prstDash val="solid"/>
        </a:ln>
      </xdr:spPr>
    </xdr:pic>
    <xdr:clientData/>
  </xdr:twoCellAnchor>
  <xdr:twoCellAnchor>
    <xdr:from>
      <xdr:col>3</xdr:col>
      <xdr:colOff>114300</xdr:colOff>
      <xdr:row>4712</xdr:row>
      <xdr:rowOff>28575</xdr:rowOff>
    </xdr:from>
    <xdr:to>
      <xdr:col>3</xdr:col>
      <xdr:colOff>1552575</xdr:colOff>
      <xdr:row>4716</xdr:row>
      <xdr:rowOff>333375</xdr:rowOff>
    </xdr:to>
    <xdr:pic>
      <xdr:nvPicPr>
        <xdr:cNvPr id="1611" name="Имя " descr="Descr ">
          <a:extLst>
            <a:ext uri="{FF2B5EF4-FFF2-40B4-BE49-F238E27FC236}">
              <a16:creationId xmlns:a16="http://schemas.microsoft.com/office/drawing/2014/main" id="{00000000-0008-0000-0000-00004B060000}"/>
            </a:ext>
          </a:extLst>
        </xdr:cNvPr>
        <xdr:cNvPicPr>
          <a:picLocks noChangeAspect="1"/>
        </xdr:cNvPicPr>
      </xdr:nvPicPr>
      <xdr:blipFill>
        <a:blip xmlns:r="http://schemas.openxmlformats.org/officeDocument/2006/relationships" r:embed="rId1588"/>
        <a:stretch>
          <a:fillRect/>
        </a:stretch>
      </xdr:blipFill>
      <xdr:spPr>
        <a:prstGeom prst="rect">
          <a:avLst/>
        </a:prstGeom>
        <a:ln w="9525">
          <a:solidFill>
            <a:srgbClr val="000000"/>
          </a:solidFill>
          <a:prstDash val="solid"/>
        </a:ln>
      </xdr:spPr>
    </xdr:pic>
    <xdr:clientData/>
  </xdr:twoCellAnchor>
  <xdr:twoCellAnchor>
    <xdr:from>
      <xdr:col>3</xdr:col>
      <xdr:colOff>114300</xdr:colOff>
      <xdr:row>4717</xdr:row>
      <xdr:rowOff>28575</xdr:rowOff>
    </xdr:from>
    <xdr:to>
      <xdr:col>3</xdr:col>
      <xdr:colOff>1552575</xdr:colOff>
      <xdr:row>4723</xdr:row>
      <xdr:rowOff>171450</xdr:rowOff>
    </xdr:to>
    <xdr:pic>
      <xdr:nvPicPr>
        <xdr:cNvPr id="1612" name="Имя " descr="Descr ">
          <a:extLst>
            <a:ext uri="{FF2B5EF4-FFF2-40B4-BE49-F238E27FC236}">
              <a16:creationId xmlns:a16="http://schemas.microsoft.com/office/drawing/2014/main" id="{00000000-0008-0000-0000-00004C060000}"/>
            </a:ext>
          </a:extLst>
        </xdr:cNvPr>
        <xdr:cNvPicPr>
          <a:picLocks noChangeAspect="1"/>
        </xdr:cNvPicPr>
      </xdr:nvPicPr>
      <xdr:blipFill>
        <a:blip xmlns:r="http://schemas.openxmlformats.org/officeDocument/2006/relationships" r:embed="rId1589"/>
        <a:stretch>
          <a:fillRect/>
        </a:stretch>
      </xdr:blipFill>
      <xdr:spPr>
        <a:prstGeom prst="rect">
          <a:avLst/>
        </a:prstGeom>
        <a:ln w="9525">
          <a:solidFill>
            <a:srgbClr val="000000"/>
          </a:solidFill>
          <a:prstDash val="solid"/>
        </a:ln>
      </xdr:spPr>
    </xdr:pic>
    <xdr:clientData/>
  </xdr:twoCellAnchor>
  <xdr:twoCellAnchor>
    <xdr:from>
      <xdr:col>3</xdr:col>
      <xdr:colOff>114300</xdr:colOff>
      <xdr:row>4724</xdr:row>
      <xdr:rowOff>28575</xdr:rowOff>
    </xdr:from>
    <xdr:to>
      <xdr:col>3</xdr:col>
      <xdr:colOff>1552575</xdr:colOff>
      <xdr:row>4727</xdr:row>
      <xdr:rowOff>209550</xdr:rowOff>
    </xdr:to>
    <xdr:pic>
      <xdr:nvPicPr>
        <xdr:cNvPr id="1613" name="Имя " descr="Descr ">
          <a:extLst>
            <a:ext uri="{FF2B5EF4-FFF2-40B4-BE49-F238E27FC236}">
              <a16:creationId xmlns:a16="http://schemas.microsoft.com/office/drawing/2014/main" id="{00000000-0008-0000-0000-00004D060000}"/>
            </a:ext>
          </a:extLst>
        </xdr:cNvPr>
        <xdr:cNvPicPr>
          <a:picLocks noChangeAspect="1"/>
        </xdr:cNvPicPr>
      </xdr:nvPicPr>
      <xdr:blipFill>
        <a:blip xmlns:r="http://schemas.openxmlformats.org/officeDocument/2006/relationships" r:embed="rId1590"/>
        <a:stretch>
          <a:fillRect/>
        </a:stretch>
      </xdr:blipFill>
      <xdr:spPr>
        <a:prstGeom prst="rect">
          <a:avLst/>
        </a:prstGeom>
        <a:ln w="9525">
          <a:solidFill>
            <a:srgbClr val="000000"/>
          </a:solidFill>
          <a:prstDash val="solid"/>
        </a:ln>
      </xdr:spPr>
    </xdr:pic>
    <xdr:clientData/>
  </xdr:twoCellAnchor>
  <xdr:twoCellAnchor>
    <xdr:from>
      <xdr:col>3</xdr:col>
      <xdr:colOff>114300</xdr:colOff>
      <xdr:row>4728</xdr:row>
      <xdr:rowOff>28575</xdr:rowOff>
    </xdr:from>
    <xdr:to>
      <xdr:col>3</xdr:col>
      <xdr:colOff>1552575</xdr:colOff>
      <xdr:row>4736</xdr:row>
      <xdr:rowOff>133350</xdr:rowOff>
    </xdr:to>
    <xdr:pic>
      <xdr:nvPicPr>
        <xdr:cNvPr id="1614" name="Имя " descr="Descr ">
          <a:extLst>
            <a:ext uri="{FF2B5EF4-FFF2-40B4-BE49-F238E27FC236}">
              <a16:creationId xmlns:a16="http://schemas.microsoft.com/office/drawing/2014/main" id="{00000000-0008-0000-0000-00004E060000}"/>
            </a:ext>
          </a:extLst>
        </xdr:cNvPr>
        <xdr:cNvPicPr>
          <a:picLocks noChangeAspect="1"/>
        </xdr:cNvPicPr>
      </xdr:nvPicPr>
      <xdr:blipFill>
        <a:blip xmlns:r="http://schemas.openxmlformats.org/officeDocument/2006/relationships" r:embed="rId1591"/>
        <a:stretch>
          <a:fillRect/>
        </a:stretch>
      </xdr:blipFill>
      <xdr:spPr>
        <a:prstGeom prst="rect">
          <a:avLst/>
        </a:prstGeom>
        <a:ln w="9525">
          <a:solidFill>
            <a:srgbClr val="000000"/>
          </a:solidFill>
          <a:prstDash val="solid"/>
        </a:ln>
      </xdr:spPr>
    </xdr:pic>
    <xdr:clientData/>
  </xdr:twoCellAnchor>
  <xdr:twoCellAnchor>
    <xdr:from>
      <xdr:col>3</xdr:col>
      <xdr:colOff>114300</xdr:colOff>
      <xdr:row>4737</xdr:row>
      <xdr:rowOff>28575</xdr:rowOff>
    </xdr:from>
    <xdr:to>
      <xdr:col>3</xdr:col>
      <xdr:colOff>1552575</xdr:colOff>
      <xdr:row>4737</xdr:row>
      <xdr:rowOff>1266825</xdr:rowOff>
    </xdr:to>
    <xdr:pic>
      <xdr:nvPicPr>
        <xdr:cNvPr id="1615" name="Имя " descr="Descr ">
          <a:extLst>
            <a:ext uri="{FF2B5EF4-FFF2-40B4-BE49-F238E27FC236}">
              <a16:creationId xmlns:a16="http://schemas.microsoft.com/office/drawing/2014/main" id="{00000000-0008-0000-0000-00004F060000}"/>
            </a:ext>
          </a:extLst>
        </xdr:cNvPr>
        <xdr:cNvPicPr>
          <a:picLocks noChangeAspect="1"/>
        </xdr:cNvPicPr>
      </xdr:nvPicPr>
      <xdr:blipFill>
        <a:blip xmlns:r="http://schemas.openxmlformats.org/officeDocument/2006/relationships" r:embed="rId1592"/>
        <a:stretch>
          <a:fillRect/>
        </a:stretch>
      </xdr:blipFill>
      <xdr:spPr>
        <a:prstGeom prst="rect">
          <a:avLst/>
        </a:prstGeom>
        <a:ln w="9525">
          <a:solidFill>
            <a:srgbClr val="000000"/>
          </a:solidFill>
          <a:prstDash val="solid"/>
        </a:ln>
      </xdr:spPr>
    </xdr:pic>
    <xdr:clientData/>
  </xdr:twoCellAnchor>
  <xdr:twoCellAnchor>
    <xdr:from>
      <xdr:col>3</xdr:col>
      <xdr:colOff>114300</xdr:colOff>
      <xdr:row>4738</xdr:row>
      <xdr:rowOff>38100</xdr:rowOff>
    </xdr:from>
    <xdr:to>
      <xdr:col>3</xdr:col>
      <xdr:colOff>1552575</xdr:colOff>
      <xdr:row>4739</xdr:row>
      <xdr:rowOff>638175</xdr:rowOff>
    </xdr:to>
    <xdr:pic>
      <xdr:nvPicPr>
        <xdr:cNvPr id="1616" name="Имя " descr="Descr ">
          <a:extLst>
            <a:ext uri="{FF2B5EF4-FFF2-40B4-BE49-F238E27FC236}">
              <a16:creationId xmlns:a16="http://schemas.microsoft.com/office/drawing/2014/main" id="{00000000-0008-0000-0000-000050060000}"/>
            </a:ext>
          </a:extLst>
        </xdr:cNvPr>
        <xdr:cNvPicPr>
          <a:picLocks noChangeAspect="1"/>
        </xdr:cNvPicPr>
      </xdr:nvPicPr>
      <xdr:blipFill>
        <a:blip xmlns:r="http://schemas.openxmlformats.org/officeDocument/2006/relationships" r:embed="rId1593"/>
        <a:stretch>
          <a:fillRect/>
        </a:stretch>
      </xdr:blipFill>
      <xdr:spPr>
        <a:prstGeom prst="rect">
          <a:avLst/>
        </a:prstGeom>
        <a:ln w="9525">
          <a:solidFill>
            <a:srgbClr val="000000"/>
          </a:solidFill>
          <a:prstDash val="solid"/>
        </a:ln>
      </xdr:spPr>
    </xdr:pic>
    <xdr:clientData/>
  </xdr:twoCellAnchor>
  <xdr:twoCellAnchor>
    <xdr:from>
      <xdr:col>3</xdr:col>
      <xdr:colOff>114300</xdr:colOff>
      <xdr:row>4740</xdr:row>
      <xdr:rowOff>28575</xdr:rowOff>
    </xdr:from>
    <xdr:to>
      <xdr:col>3</xdr:col>
      <xdr:colOff>1552575</xdr:colOff>
      <xdr:row>4740</xdr:row>
      <xdr:rowOff>1266825</xdr:rowOff>
    </xdr:to>
    <xdr:pic>
      <xdr:nvPicPr>
        <xdr:cNvPr id="1617" name="Имя " descr="Descr ">
          <a:extLst>
            <a:ext uri="{FF2B5EF4-FFF2-40B4-BE49-F238E27FC236}">
              <a16:creationId xmlns:a16="http://schemas.microsoft.com/office/drawing/2014/main" id="{00000000-0008-0000-0000-000051060000}"/>
            </a:ext>
          </a:extLst>
        </xdr:cNvPr>
        <xdr:cNvPicPr>
          <a:picLocks noChangeAspect="1"/>
        </xdr:cNvPicPr>
      </xdr:nvPicPr>
      <xdr:blipFill>
        <a:blip xmlns:r="http://schemas.openxmlformats.org/officeDocument/2006/relationships" r:embed="rId1594"/>
        <a:stretch>
          <a:fillRect/>
        </a:stretch>
      </xdr:blipFill>
      <xdr:spPr>
        <a:prstGeom prst="rect">
          <a:avLst/>
        </a:prstGeom>
        <a:ln w="9525">
          <a:solidFill>
            <a:srgbClr val="000000"/>
          </a:solidFill>
          <a:prstDash val="solid"/>
        </a:ln>
      </xdr:spPr>
    </xdr:pic>
    <xdr:clientData/>
  </xdr:twoCellAnchor>
  <xdr:twoCellAnchor>
    <xdr:from>
      <xdr:col>3</xdr:col>
      <xdr:colOff>114300</xdr:colOff>
      <xdr:row>4741</xdr:row>
      <xdr:rowOff>28575</xdr:rowOff>
    </xdr:from>
    <xdr:to>
      <xdr:col>3</xdr:col>
      <xdr:colOff>1552575</xdr:colOff>
      <xdr:row>4747</xdr:row>
      <xdr:rowOff>171450</xdr:rowOff>
    </xdr:to>
    <xdr:pic>
      <xdr:nvPicPr>
        <xdr:cNvPr id="1618" name="Имя " descr="Descr ">
          <a:extLst>
            <a:ext uri="{FF2B5EF4-FFF2-40B4-BE49-F238E27FC236}">
              <a16:creationId xmlns:a16="http://schemas.microsoft.com/office/drawing/2014/main" id="{00000000-0008-0000-0000-000052060000}"/>
            </a:ext>
          </a:extLst>
        </xdr:cNvPr>
        <xdr:cNvPicPr>
          <a:picLocks noChangeAspect="1"/>
        </xdr:cNvPicPr>
      </xdr:nvPicPr>
      <xdr:blipFill>
        <a:blip xmlns:r="http://schemas.openxmlformats.org/officeDocument/2006/relationships" r:embed="rId1595"/>
        <a:stretch>
          <a:fillRect/>
        </a:stretch>
      </xdr:blipFill>
      <xdr:spPr>
        <a:prstGeom prst="rect">
          <a:avLst/>
        </a:prstGeom>
        <a:ln w="9525">
          <a:solidFill>
            <a:srgbClr val="000000"/>
          </a:solidFill>
          <a:prstDash val="solid"/>
        </a:ln>
      </xdr:spPr>
    </xdr:pic>
    <xdr:clientData/>
  </xdr:twoCellAnchor>
  <xdr:twoCellAnchor>
    <xdr:from>
      <xdr:col>3</xdr:col>
      <xdr:colOff>114300</xdr:colOff>
      <xdr:row>4748</xdr:row>
      <xdr:rowOff>38100</xdr:rowOff>
    </xdr:from>
    <xdr:to>
      <xdr:col>3</xdr:col>
      <xdr:colOff>1552575</xdr:colOff>
      <xdr:row>4749</xdr:row>
      <xdr:rowOff>638175</xdr:rowOff>
    </xdr:to>
    <xdr:pic>
      <xdr:nvPicPr>
        <xdr:cNvPr id="1619" name="Имя " descr="Descr ">
          <a:extLst>
            <a:ext uri="{FF2B5EF4-FFF2-40B4-BE49-F238E27FC236}">
              <a16:creationId xmlns:a16="http://schemas.microsoft.com/office/drawing/2014/main" id="{00000000-0008-0000-0000-000053060000}"/>
            </a:ext>
          </a:extLst>
        </xdr:cNvPr>
        <xdr:cNvPicPr>
          <a:picLocks noChangeAspect="1"/>
        </xdr:cNvPicPr>
      </xdr:nvPicPr>
      <xdr:blipFill>
        <a:blip xmlns:r="http://schemas.openxmlformats.org/officeDocument/2006/relationships" r:embed="rId1596"/>
        <a:stretch>
          <a:fillRect/>
        </a:stretch>
      </xdr:blipFill>
      <xdr:spPr>
        <a:prstGeom prst="rect">
          <a:avLst/>
        </a:prstGeom>
        <a:ln w="9525">
          <a:solidFill>
            <a:srgbClr val="000000"/>
          </a:solidFill>
          <a:prstDash val="solid"/>
        </a:ln>
      </xdr:spPr>
    </xdr:pic>
    <xdr:clientData/>
  </xdr:twoCellAnchor>
  <xdr:twoCellAnchor>
    <xdr:from>
      <xdr:col>3</xdr:col>
      <xdr:colOff>114300</xdr:colOff>
      <xdr:row>4750</xdr:row>
      <xdr:rowOff>38100</xdr:rowOff>
    </xdr:from>
    <xdr:to>
      <xdr:col>3</xdr:col>
      <xdr:colOff>1552575</xdr:colOff>
      <xdr:row>4751</xdr:row>
      <xdr:rowOff>638175</xdr:rowOff>
    </xdr:to>
    <xdr:pic>
      <xdr:nvPicPr>
        <xdr:cNvPr id="1620" name="Имя " descr="Descr ">
          <a:extLst>
            <a:ext uri="{FF2B5EF4-FFF2-40B4-BE49-F238E27FC236}">
              <a16:creationId xmlns:a16="http://schemas.microsoft.com/office/drawing/2014/main" id="{00000000-0008-0000-0000-000054060000}"/>
            </a:ext>
          </a:extLst>
        </xdr:cNvPr>
        <xdr:cNvPicPr>
          <a:picLocks noChangeAspect="1"/>
        </xdr:cNvPicPr>
      </xdr:nvPicPr>
      <xdr:blipFill>
        <a:blip xmlns:r="http://schemas.openxmlformats.org/officeDocument/2006/relationships" r:embed="rId1597"/>
        <a:stretch>
          <a:fillRect/>
        </a:stretch>
      </xdr:blipFill>
      <xdr:spPr>
        <a:prstGeom prst="rect">
          <a:avLst/>
        </a:prstGeom>
        <a:ln w="9525">
          <a:solidFill>
            <a:srgbClr val="000000"/>
          </a:solidFill>
          <a:prstDash val="solid"/>
        </a:ln>
      </xdr:spPr>
    </xdr:pic>
    <xdr:clientData/>
  </xdr:twoCellAnchor>
  <xdr:twoCellAnchor>
    <xdr:from>
      <xdr:col>3</xdr:col>
      <xdr:colOff>114300</xdr:colOff>
      <xdr:row>4752</xdr:row>
      <xdr:rowOff>28575</xdr:rowOff>
    </xdr:from>
    <xdr:to>
      <xdr:col>3</xdr:col>
      <xdr:colOff>1552575</xdr:colOff>
      <xdr:row>4752</xdr:row>
      <xdr:rowOff>1266825</xdr:rowOff>
    </xdr:to>
    <xdr:pic>
      <xdr:nvPicPr>
        <xdr:cNvPr id="1621" name="Имя " descr="Descr ">
          <a:extLst>
            <a:ext uri="{FF2B5EF4-FFF2-40B4-BE49-F238E27FC236}">
              <a16:creationId xmlns:a16="http://schemas.microsoft.com/office/drawing/2014/main" id="{00000000-0008-0000-0000-000055060000}"/>
            </a:ext>
          </a:extLst>
        </xdr:cNvPr>
        <xdr:cNvPicPr>
          <a:picLocks noChangeAspect="1"/>
        </xdr:cNvPicPr>
      </xdr:nvPicPr>
      <xdr:blipFill>
        <a:blip xmlns:r="http://schemas.openxmlformats.org/officeDocument/2006/relationships" r:embed="rId1598"/>
        <a:stretch>
          <a:fillRect/>
        </a:stretch>
      </xdr:blipFill>
      <xdr:spPr>
        <a:prstGeom prst="rect">
          <a:avLst/>
        </a:prstGeom>
        <a:ln w="9525">
          <a:solidFill>
            <a:srgbClr val="000000"/>
          </a:solidFill>
          <a:prstDash val="solid"/>
        </a:ln>
      </xdr:spPr>
    </xdr:pic>
    <xdr:clientData/>
  </xdr:twoCellAnchor>
  <xdr:twoCellAnchor>
    <xdr:from>
      <xdr:col>3</xdr:col>
      <xdr:colOff>114300</xdr:colOff>
      <xdr:row>4753</xdr:row>
      <xdr:rowOff>28575</xdr:rowOff>
    </xdr:from>
    <xdr:to>
      <xdr:col>3</xdr:col>
      <xdr:colOff>1552575</xdr:colOff>
      <xdr:row>4753</xdr:row>
      <xdr:rowOff>1266825</xdr:rowOff>
    </xdr:to>
    <xdr:pic>
      <xdr:nvPicPr>
        <xdr:cNvPr id="1622" name="Имя " descr="Descr ">
          <a:extLst>
            <a:ext uri="{FF2B5EF4-FFF2-40B4-BE49-F238E27FC236}">
              <a16:creationId xmlns:a16="http://schemas.microsoft.com/office/drawing/2014/main" id="{00000000-0008-0000-0000-000056060000}"/>
            </a:ext>
          </a:extLst>
        </xdr:cNvPr>
        <xdr:cNvPicPr>
          <a:picLocks noChangeAspect="1"/>
        </xdr:cNvPicPr>
      </xdr:nvPicPr>
      <xdr:blipFill>
        <a:blip xmlns:r="http://schemas.openxmlformats.org/officeDocument/2006/relationships" r:embed="rId1599"/>
        <a:stretch>
          <a:fillRect/>
        </a:stretch>
      </xdr:blipFill>
      <xdr:spPr>
        <a:prstGeom prst="rect">
          <a:avLst/>
        </a:prstGeom>
        <a:ln w="9525">
          <a:solidFill>
            <a:srgbClr val="000000"/>
          </a:solidFill>
          <a:prstDash val="solid"/>
        </a:ln>
      </xdr:spPr>
    </xdr:pic>
    <xdr:clientData/>
  </xdr:twoCellAnchor>
  <xdr:twoCellAnchor>
    <xdr:from>
      <xdr:col>3</xdr:col>
      <xdr:colOff>114300</xdr:colOff>
      <xdr:row>4754</xdr:row>
      <xdr:rowOff>28575</xdr:rowOff>
    </xdr:from>
    <xdr:to>
      <xdr:col>3</xdr:col>
      <xdr:colOff>1552575</xdr:colOff>
      <xdr:row>4758</xdr:row>
      <xdr:rowOff>333375</xdr:rowOff>
    </xdr:to>
    <xdr:pic>
      <xdr:nvPicPr>
        <xdr:cNvPr id="1623" name="Имя " descr="Descr ">
          <a:extLst>
            <a:ext uri="{FF2B5EF4-FFF2-40B4-BE49-F238E27FC236}">
              <a16:creationId xmlns:a16="http://schemas.microsoft.com/office/drawing/2014/main" id="{00000000-0008-0000-0000-000057060000}"/>
            </a:ext>
          </a:extLst>
        </xdr:cNvPr>
        <xdr:cNvPicPr>
          <a:picLocks noChangeAspect="1"/>
        </xdr:cNvPicPr>
      </xdr:nvPicPr>
      <xdr:blipFill>
        <a:blip xmlns:r="http://schemas.openxmlformats.org/officeDocument/2006/relationships" r:embed="rId1600"/>
        <a:stretch>
          <a:fillRect/>
        </a:stretch>
      </xdr:blipFill>
      <xdr:spPr>
        <a:prstGeom prst="rect">
          <a:avLst/>
        </a:prstGeom>
        <a:ln w="9525">
          <a:solidFill>
            <a:srgbClr val="000000"/>
          </a:solidFill>
          <a:prstDash val="solid"/>
        </a:ln>
      </xdr:spPr>
    </xdr:pic>
    <xdr:clientData/>
  </xdr:twoCellAnchor>
  <xdr:twoCellAnchor>
    <xdr:from>
      <xdr:col>3</xdr:col>
      <xdr:colOff>114300</xdr:colOff>
      <xdr:row>4759</xdr:row>
      <xdr:rowOff>28575</xdr:rowOff>
    </xdr:from>
    <xdr:to>
      <xdr:col>3</xdr:col>
      <xdr:colOff>1552575</xdr:colOff>
      <xdr:row>4762</xdr:row>
      <xdr:rowOff>209550</xdr:rowOff>
    </xdr:to>
    <xdr:pic>
      <xdr:nvPicPr>
        <xdr:cNvPr id="1624" name="Имя " descr="Descr ">
          <a:extLst>
            <a:ext uri="{FF2B5EF4-FFF2-40B4-BE49-F238E27FC236}">
              <a16:creationId xmlns:a16="http://schemas.microsoft.com/office/drawing/2014/main" id="{00000000-0008-0000-0000-000058060000}"/>
            </a:ext>
          </a:extLst>
        </xdr:cNvPr>
        <xdr:cNvPicPr>
          <a:picLocks noChangeAspect="1"/>
        </xdr:cNvPicPr>
      </xdr:nvPicPr>
      <xdr:blipFill>
        <a:blip xmlns:r="http://schemas.openxmlformats.org/officeDocument/2006/relationships" r:embed="rId1601"/>
        <a:stretch>
          <a:fillRect/>
        </a:stretch>
      </xdr:blipFill>
      <xdr:spPr>
        <a:prstGeom prst="rect">
          <a:avLst/>
        </a:prstGeom>
        <a:ln w="9525">
          <a:solidFill>
            <a:srgbClr val="000000"/>
          </a:solidFill>
          <a:prstDash val="solid"/>
        </a:ln>
      </xdr:spPr>
    </xdr:pic>
    <xdr:clientData/>
  </xdr:twoCellAnchor>
  <xdr:twoCellAnchor>
    <xdr:from>
      <xdr:col>3</xdr:col>
      <xdr:colOff>114300</xdr:colOff>
      <xdr:row>4763</xdr:row>
      <xdr:rowOff>28575</xdr:rowOff>
    </xdr:from>
    <xdr:to>
      <xdr:col>3</xdr:col>
      <xdr:colOff>1552575</xdr:colOff>
      <xdr:row>4763</xdr:row>
      <xdr:rowOff>1266825</xdr:rowOff>
    </xdr:to>
    <xdr:pic>
      <xdr:nvPicPr>
        <xdr:cNvPr id="1625" name="Имя " descr="Descr ">
          <a:extLst>
            <a:ext uri="{FF2B5EF4-FFF2-40B4-BE49-F238E27FC236}">
              <a16:creationId xmlns:a16="http://schemas.microsoft.com/office/drawing/2014/main" id="{00000000-0008-0000-0000-000059060000}"/>
            </a:ext>
          </a:extLst>
        </xdr:cNvPr>
        <xdr:cNvPicPr>
          <a:picLocks noChangeAspect="1"/>
        </xdr:cNvPicPr>
      </xdr:nvPicPr>
      <xdr:blipFill>
        <a:blip xmlns:r="http://schemas.openxmlformats.org/officeDocument/2006/relationships" r:embed="rId1602"/>
        <a:stretch>
          <a:fillRect/>
        </a:stretch>
      </xdr:blipFill>
      <xdr:spPr>
        <a:prstGeom prst="rect">
          <a:avLst/>
        </a:prstGeom>
        <a:ln w="9525">
          <a:solidFill>
            <a:srgbClr val="000000"/>
          </a:solidFill>
          <a:prstDash val="solid"/>
        </a:ln>
      </xdr:spPr>
    </xdr:pic>
    <xdr:clientData/>
  </xdr:twoCellAnchor>
  <xdr:twoCellAnchor>
    <xdr:from>
      <xdr:col>3</xdr:col>
      <xdr:colOff>114300</xdr:colOff>
      <xdr:row>4764</xdr:row>
      <xdr:rowOff>28575</xdr:rowOff>
    </xdr:from>
    <xdr:to>
      <xdr:col>3</xdr:col>
      <xdr:colOff>1552575</xdr:colOff>
      <xdr:row>4767</xdr:row>
      <xdr:rowOff>209550</xdr:rowOff>
    </xdr:to>
    <xdr:pic>
      <xdr:nvPicPr>
        <xdr:cNvPr id="1626" name="Имя " descr="Descr ">
          <a:extLst>
            <a:ext uri="{FF2B5EF4-FFF2-40B4-BE49-F238E27FC236}">
              <a16:creationId xmlns:a16="http://schemas.microsoft.com/office/drawing/2014/main" id="{00000000-0008-0000-0000-00005A060000}"/>
            </a:ext>
          </a:extLst>
        </xdr:cNvPr>
        <xdr:cNvPicPr>
          <a:picLocks noChangeAspect="1"/>
        </xdr:cNvPicPr>
      </xdr:nvPicPr>
      <xdr:blipFill>
        <a:blip xmlns:r="http://schemas.openxmlformats.org/officeDocument/2006/relationships" r:embed="rId1603"/>
        <a:stretch>
          <a:fillRect/>
        </a:stretch>
      </xdr:blipFill>
      <xdr:spPr>
        <a:prstGeom prst="rect">
          <a:avLst/>
        </a:prstGeom>
        <a:ln w="9525">
          <a:solidFill>
            <a:srgbClr val="000000"/>
          </a:solidFill>
          <a:prstDash val="solid"/>
        </a:ln>
      </xdr:spPr>
    </xdr:pic>
    <xdr:clientData/>
  </xdr:twoCellAnchor>
  <xdr:twoCellAnchor>
    <xdr:from>
      <xdr:col>3</xdr:col>
      <xdr:colOff>114300</xdr:colOff>
      <xdr:row>4768</xdr:row>
      <xdr:rowOff>28575</xdr:rowOff>
    </xdr:from>
    <xdr:to>
      <xdr:col>3</xdr:col>
      <xdr:colOff>1552575</xdr:colOff>
      <xdr:row>4768</xdr:row>
      <xdr:rowOff>1266825</xdr:rowOff>
    </xdr:to>
    <xdr:pic>
      <xdr:nvPicPr>
        <xdr:cNvPr id="1627" name="Имя " descr="Descr ">
          <a:extLst>
            <a:ext uri="{FF2B5EF4-FFF2-40B4-BE49-F238E27FC236}">
              <a16:creationId xmlns:a16="http://schemas.microsoft.com/office/drawing/2014/main" id="{00000000-0008-0000-0000-00005B060000}"/>
            </a:ext>
          </a:extLst>
        </xdr:cNvPr>
        <xdr:cNvPicPr>
          <a:picLocks noChangeAspect="1"/>
        </xdr:cNvPicPr>
      </xdr:nvPicPr>
      <xdr:blipFill>
        <a:blip xmlns:r="http://schemas.openxmlformats.org/officeDocument/2006/relationships" r:embed="rId1604"/>
        <a:stretch>
          <a:fillRect/>
        </a:stretch>
      </xdr:blipFill>
      <xdr:spPr>
        <a:prstGeom prst="rect">
          <a:avLst/>
        </a:prstGeom>
        <a:ln w="9525">
          <a:solidFill>
            <a:srgbClr val="000000"/>
          </a:solidFill>
          <a:prstDash val="solid"/>
        </a:ln>
      </xdr:spPr>
    </xdr:pic>
    <xdr:clientData/>
  </xdr:twoCellAnchor>
  <xdr:twoCellAnchor>
    <xdr:from>
      <xdr:col>3</xdr:col>
      <xdr:colOff>114300</xdr:colOff>
      <xdr:row>4769</xdr:row>
      <xdr:rowOff>38100</xdr:rowOff>
    </xdr:from>
    <xdr:to>
      <xdr:col>3</xdr:col>
      <xdr:colOff>1552575</xdr:colOff>
      <xdr:row>4770</xdr:row>
      <xdr:rowOff>638175</xdr:rowOff>
    </xdr:to>
    <xdr:pic>
      <xdr:nvPicPr>
        <xdr:cNvPr id="1628" name="Имя " descr="Descr ">
          <a:extLst>
            <a:ext uri="{FF2B5EF4-FFF2-40B4-BE49-F238E27FC236}">
              <a16:creationId xmlns:a16="http://schemas.microsoft.com/office/drawing/2014/main" id="{00000000-0008-0000-0000-00005C060000}"/>
            </a:ext>
          </a:extLst>
        </xdr:cNvPr>
        <xdr:cNvPicPr>
          <a:picLocks noChangeAspect="1"/>
        </xdr:cNvPicPr>
      </xdr:nvPicPr>
      <xdr:blipFill>
        <a:blip xmlns:r="http://schemas.openxmlformats.org/officeDocument/2006/relationships" r:embed="rId1605"/>
        <a:stretch>
          <a:fillRect/>
        </a:stretch>
      </xdr:blipFill>
      <xdr:spPr>
        <a:prstGeom prst="rect">
          <a:avLst/>
        </a:prstGeom>
        <a:ln w="9525">
          <a:solidFill>
            <a:srgbClr val="000000"/>
          </a:solidFill>
          <a:prstDash val="solid"/>
        </a:ln>
      </xdr:spPr>
    </xdr:pic>
    <xdr:clientData/>
  </xdr:twoCellAnchor>
  <xdr:twoCellAnchor>
    <xdr:from>
      <xdr:col>3</xdr:col>
      <xdr:colOff>114300</xdr:colOff>
      <xdr:row>4771</xdr:row>
      <xdr:rowOff>28575</xdr:rowOff>
    </xdr:from>
    <xdr:to>
      <xdr:col>3</xdr:col>
      <xdr:colOff>1552575</xdr:colOff>
      <xdr:row>4771</xdr:row>
      <xdr:rowOff>1266825</xdr:rowOff>
    </xdr:to>
    <xdr:pic>
      <xdr:nvPicPr>
        <xdr:cNvPr id="1629" name="Имя " descr="Descr ">
          <a:extLst>
            <a:ext uri="{FF2B5EF4-FFF2-40B4-BE49-F238E27FC236}">
              <a16:creationId xmlns:a16="http://schemas.microsoft.com/office/drawing/2014/main" id="{00000000-0008-0000-0000-00005D060000}"/>
            </a:ext>
          </a:extLst>
        </xdr:cNvPr>
        <xdr:cNvPicPr>
          <a:picLocks noChangeAspect="1"/>
        </xdr:cNvPicPr>
      </xdr:nvPicPr>
      <xdr:blipFill>
        <a:blip xmlns:r="http://schemas.openxmlformats.org/officeDocument/2006/relationships" r:embed="rId1606"/>
        <a:stretch>
          <a:fillRect/>
        </a:stretch>
      </xdr:blipFill>
      <xdr:spPr>
        <a:prstGeom prst="rect">
          <a:avLst/>
        </a:prstGeom>
        <a:ln w="9525">
          <a:solidFill>
            <a:srgbClr val="000000"/>
          </a:solidFill>
          <a:prstDash val="solid"/>
        </a:ln>
      </xdr:spPr>
    </xdr:pic>
    <xdr:clientData/>
  </xdr:twoCellAnchor>
  <xdr:twoCellAnchor>
    <xdr:from>
      <xdr:col>3</xdr:col>
      <xdr:colOff>114300</xdr:colOff>
      <xdr:row>4772</xdr:row>
      <xdr:rowOff>28575</xdr:rowOff>
    </xdr:from>
    <xdr:to>
      <xdr:col>3</xdr:col>
      <xdr:colOff>1552575</xdr:colOff>
      <xdr:row>4777</xdr:row>
      <xdr:rowOff>209550</xdr:rowOff>
    </xdr:to>
    <xdr:pic>
      <xdr:nvPicPr>
        <xdr:cNvPr id="1630" name="Имя " descr="Descr ">
          <a:extLst>
            <a:ext uri="{FF2B5EF4-FFF2-40B4-BE49-F238E27FC236}">
              <a16:creationId xmlns:a16="http://schemas.microsoft.com/office/drawing/2014/main" id="{00000000-0008-0000-0000-00005E060000}"/>
            </a:ext>
          </a:extLst>
        </xdr:cNvPr>
        <xdr:cNvPicPr>
          <a:picLocks noChangeAspect="1"/>
        </xdr:cNvPicPr>
      </xdr:nvPicPr>
      <xdr:blipFill>
        <a:blip xmlns:r="http://schemas.openxmlformats.org/officeDocument/2006/relationships" r:embed="rId1607"/>
        <a:stretch>
          <a:fillRect/>
        </a:stretch>
      </xdr:blipFill>
      <xdr:spPr>
        <a:prstGeom prst="rect">
          <a:avLst/>
        </a:prstGeom>
        <a:ln w="9525">
          <a:solidFill>
            <a:srgbClr val="000000"/>
          </a:solidFill>
          <a:prstDash val="solid"/>
        </a:ln>
      </xdr:spPr>
    </xdr:pic>
    <xdr:clientData/>
  </xdr:twoCellAnchor>
  <xdr:twoCellAnchor>
    <xdr:from>
      <xdr:col>3</xdr:col>
      <xdr:colOff>114300</xdr:colOff>
      <xdr:row>4778</xdr:row>
      <xdr:rowOff>28575</xdr:rowOff>
    </xdr:from>
    <xdr:to>
      <xdr:col>3</xdr:col>
      <xdr:colOff>1552575</xdr:colOff>
      <xdr:row>4784</xdr:row>
      <xdr:rowOff>171450</xdr:rowOff>
    </xdr:to>
    <xdr:pic>
      <xdr:nvPicPr>
        <xdr:cNvPr id="1631" name="Имя " descr="Descr ">
          <a:extLst>
            <a:ext uri="{FF2B5EF4-FFF2-40B4-BE49-F238E27FC236}">
              <a16:creationId xmlns:a16="http://schemas.microsoft.com/office/drawing/2014/main" id="{00000000-0008-0000-0000-00005F060000}"/>
            </a:ext>
          </a:extLst>
        </xdr:cNvPr>
        <xdr:cNvPicPr>
          <a:picLocks noChangeAspect="1"/>
        </xdr:cNvPicPr>
      </xdr:nvPicPr>
      <xdr:blipFill>
        <a:blip xmlns:r="http://schemas.openxmlformats.org/officeDocument/2006/relationships" r:embed="rId1608"/>
        <a:stretch>
          <a:fillRect/>
        </a:stretch>
      </xdr:blipFill>
      <xdr:spPr>
        <a:prstGeom prst="rect">
          <a:avLst/>
        </a:prstGeom>
        <a:ln w="9525">
          <a:solidFill>
            <a:srgbClr val="000000"/>
          </a:solidFill>
          <a:prstDash val="solid"/>
        </a:ln>
      </xdr:spPr>
    </xdr:pic>
    <xdr:clientData/>
  </xdr:twoCellAnchor>
  <xdr:twoCellAnchor>
    <xdr:from>
      <xdr:col>3</xdr:col>
      <xdr:colOff>114300</xdr:colOff>
      <xdr:row>4785</xdr:row>
      <xdr:rowOff>28575</xdr:rowOff>
    </xdr:from>
    <xdr:to>
      <xdr:col>3</xdr:col>
      <xdr:colOff>1552575</xdr:colOff>
      <xdr:row>4785</xdr:row>
      <xdr:rowOff>1266825</xdr:rowOff>
    </xdr:to>
    <xdr:pic>
      <xdr:nvPicPr>
        <xdr:cNvPr id="1632" name="Имя " descr="Descr ">
          <a:extLst>
            <a:ext uri="{FF2B5EF4-FFF2-40B4-BE49-F238E27FC236}">
              <a16:creationId xmlns:a16="http://schemas.microsoft.com/office/drawing/2014/main" id="{00000000-0008-0000-0000-000060060000}"/>
            </a:ext>
          </a:extLst>
        </xdr:cNvPr>
        <xdr:cNvPicPr>
          <a:picLocks noChangeAspect="1"/>
        </xdr:cNvPicPr>
      </xdr:nvPicPr>
      <xdr:blipFill>
        <a:blip xmlns:r="http://schemas.openxmlformats.org/officeDocument/2006/relationships" r:embed="rId1609"/>
        <a:stretch>
          <a:fillRect/>
        </a:stretch>
      </xdr:blipFill>
      <xdr:spPr>
        <a:prstGeom prst="rect">
          <a:avLst/>
        </a:prstGeom>
        <a:ln w="9525">
          <a:solidFill>
            <a:srgbClr val="000000"/>
          </a:solidFill>
          <a:prstDash val="solid"/>
        </a:ln>
      </xdr:spPr>
    </xdr:pic>
    <xdr:clientData/>
  </xdr:twoCellAnchor>
  <xdr:twoCellAnchor>
    <xdr:from>
      <xdr:col>3</xdr:col>
      <xdr:colOff>114300</xdr:colOff>
      <xdr:row>4786</xdr:row>
      <xdr:rowOff>28575</xdr:rowOff>
    </xdr:from>
    <xdr:to>
      <xdr:col>3</xdr:col>
      <xdr:colOff>1552575</xdr:colOff>
      <xdr:row>4786</xdr:row>
      <xdr:rowOff>1266825</xdr:rowOff>
    </xdr:to>
    <xdr:pic>
      <xdr:nvPicPr>
        <xdr:cNvPr id="1633" name="Имя " descr="Descr ">
          <a:extLst>
            <a:ext uri="{FF2B5EF4-FFF2-40B4-BE49-F238E27FC236}">
              <a16:creationId xmlns:a16="http://schemas.microsoft.com/office/drawing/2014/main" id="{00000000-0008-0000-0000-000061060000}"/>
            </a:ext>
          </a:extLst>
        </xdr:cNvPr>
        <xdr:cNvPicPr>
          <a:picLocks noChangeAspect="1"/>
        </xdr:cNvPicPr>
      </xdr:nvPicPr>
      <xdr:blipFill>
        <a:blip xmlns:r="http://schemas.openxmlformats.org/officeDocument/2006/relationships" r:embed="rId1610"/>
        <a:stretch>
          <a:fillRect/>
        </a:stretch>
      </xdr:blipFill>
      <xdr:spPr>
        <a:prstGeom prst="rect">
          <a:avLst/>
        </a:prstGeom>
        <a:ln w="9525">
          <a:solidFill>
            <a:srgbClr val="000000"/>
          </a:solidFill>
          <a:prstDash val="solid"/>
        </a:ln>
      </xdr:spPr>
    </xdr:pic>
    <xdr:clientData/>
  </xdr:twoCellAnchor>
  <xdr:twoCellAnchor>
    <xdr:from>
      <xdr:col>3</xdr:col>
      <xdr:colOff>114300</xdr:colOff>
      <xdr:row>4787</xdr:row>
      <xdr:rowOff>28575</xdr:rowOff>
    </xdr:from>
    <xdr:to>
      <xdr:col>3</xdr:col>
      <xdr:colOff>1552575</xdr:colOff>
      <xdr:row>4794</xdr:row>
      <xdr:rowOff>152400</xdr:rowOff>
    </xdr:to>
    <xdr:pic>
      <xdr:nvPicPr>
        <xdr:cNvPr id="1634" name="Имя " descr="Descr ">
          <a:extLst>
            <a:ext uri="{FF2B5EF4-FFF2-40B4-BE49-F238E27FC236}">
              <a16:creationId xmlns:a16="http://schemas.microsoft.com/office/drawing/2014/main" id="{00000000-0008-0000-0000-000062060000}"/>
            </a:ext>
          </a:extLst>
        </xdr:cNvPr>
        <xdr:cNvPicPr>
          <a:picLocks noChangeAspect="1"/>
        </xdr:cNvPicPr>
      </xdr:nvPicPr>
      <xdr:blipFill>
        <a:blip xmlns:r="http://schemas.openxmlformats.org/officeDocument/2006/relationships" r:embed="rId1611"/>
        <a:stretch>
          <a:fillRect/>
        </a:stretch>
      </xdr:blipFill>
      <xdr:spPr>
        <a:prstGeom prst="rect">
          <a:avLst/>
        </a:prstGeom>
        <a:ln w="9525">
          <a:solidFill>
            <a:srgbClr val="000000"/>
          </a:solidFill>
          <a:prstDash val="solid"/>
        </a:ln>
      </xdr:spPr>
    </xdr:pic>
    <xdr:clientData/>
  </xdr:twoCellAnchor>
  <xdr:twoCellAnchor>
    <xdr:from>
      <xdr:col>3</xdr:col>
      <xdr:colOff>114300</xdr:colOff>
      <xdr:row>4795</xdr:row>
      <xdr:rowOff>28575</xdr:rowOff>
    </xdr:from>
    <xdr:to>
      <xdr:col>3</xdr:col>
      <xdr:colOff>1552575</xdr:colOff>
      <xdr:row>4803</xdr:row>
      <xdr:rowOff>133350</xdr:rowOff>
    </xdr:to>
    <xdr:pic>
      <xdr:nvPicPr>
        <xdr:cNvPr id="1635" name="Имя " descr="Descr ">
          <a:extLst>
            <a:ext uri="{FF2B5EF4-FFF2-40B4-BE49-F238E27FC236}">
              <a16:creationId xmlns:a16="http://schemas.microsoft.com/office/drawing/2014/main" id="{00000000-0008-0000-0000-000063060000}"/>
            </a:ext>
          </a:extLst>
        </xdr:cNvPr>
        <xdr:cNvPicPr>
          <a:picLocks noChangeAspect="1"/>
        </xdr:cNvPicPr>
      </xdr:nvPicPr>
      <xdr:blipFill>
        <a:blip xmlns:r="http://schemas.openxmlformats.org/officeDocument/2006/relationships" r:embed="rId1612"/>
        <a:stretch>
          <a:fillRect/>
        </a:stretch>
      </xdr:blipFill>
      <xdr:spPr>
        <a:prstGeom prst="rect">
          <a:avLst/>
        </a:prstGeom>
        <a:ln w="9525">
          <a:solidFill>
            <a:srgbClr val="000000"/>
          </a:solidFill>
          <a:prstDash val="solid"/>
        </a:ln>
      </xdr:spPr>
    </xdr:pic>
    <xdr:clientData/>
  </xdr:twoCellAnchor>
  <xdr:twoCellAnchor>
    <xdr:from>
      <xdr:col>3</xdr:col>
      <xdr:colOff>114300</xdr:colOff>
      <xdr:row>4806</xdr:row>
      <xdr:rowOff>28575</xdr:rowOff>
    </xdr:from>
    <xdr:to>
      <xdr:col>3</xdr:col>
      <xdr:colOff>1552575</xdr:colOff>
      <xdr:row>4808</xdr:row>
      <xdr:rowOff>419100</xdr:rowOff>
    </xdr:to>
    <xdr:pic>
      <xdr:nvPicPr>
        <xdr:cNvPr id="1636" name="Имя " descr="Descr ">
          <a:extLst>
            <a:ext uri="{FF2B5EF4-FFF2-40B4-BE49-F238E27FC236}">
              <a16:creationId xmlns:a16="http://schemas.microsoft.com/office/drawing/2014/main" id="{00000000-0008-0000-0000-000064060000}"/>
            </a:ext>
          </a:extLst>
        </xdr:cNvPr>
        <xdr:cNvPicPr>
          <a:picLocks noChangeAspect="1"/>
        </xdr:cNvPicPr>
      </xdr:nvPicPr>
      <xdr:blipFill>
        <a:blip xmlns:r="http://schemas.openxmlformats.org/officeDocument/2006/relationships" r:embed="rId1613"/>
        <a:stretch>
          <a:fillRect/>
        </a:stretch>
      </xdr:blipFill>
      <xdr:spPr>
        <a:prstGeom prst="rect">
          <a:avLst/>
        </a:prstGeom>
        <a:ln w="9525">
          <a:solidFill>
            <a:srgbClr val="000000"/>
          </a:solidFill>
          <a:prstDash val="solid"/>
        </a:ln>
      </xdr:spPr>
    </xdr:pic>
    <xdr:clientData/>
  </xdr:twoCellAnchor>
  <xdr:twoCellAnchor>
    <xdr:from>
      <xdr:col>3</xdr:col>
      <xdr:colOff>114300</xdr:colOff>
      <xdr:row>4809</xdr:row>
      <xdr:rowOff>38100</xdr:rowOff>
    </xdr:from>
    <xdr:to>
      <xdr:col>3</xdr:col>
      <xdr:colOff>1552575</xdr:colOff>
      <xdr:row>4810</xdr:row>
      <xdr:rowOff>638175</xdr:rowOff>
    </xdr:to>
    <xdr:pic>
      <xdr:nvPicPr>
        <xdr:cNvPr id="1637" name="Имя " descr="Descr ">
          <a:extLst>
            <a:ext uri="{FF2B5EF4-FFF2-40B4-BE49-F238E27FC236}">
              <a16:creationId xmlns:a16="http://schemas.microsoft.com/office/drawing/2014/main" id="{00000000-0008-0000-0000-000065060000}"/>
            </a:ext>
          </a:extLst>
        </xdr:cNvPr>
        <xdr:cNvPicPr>
          <a:picLocks noChangeAspect="1"/>
        </xdr:cNvPicPr>
      </xdr:nvPicPr>
      <xdr:blipFill>
        <a:blip xmlns:r="http://schemas.openxmlformats.org/officeDocument/2006/relationships" r:embed="rId1614"/>
        <a:stretch>
          <a:fillRect/>
        </a:stretch>
      </xdr:blipFill>
      <xdr:spPr>
        <a:prstGeom prst="rect">
          <a:avLst/>
        </a:prstGeom>
        <a:ln w="9525">
          <a:solidFill>
            <a:srgbClr val="000000"/>
          </a:solidFill>
          <a:prstDash val="solid"/>
        </a:ln>
      </xdr:spPr>
    </xdr:pic>
    <xdr:clientData/>
  </xdr:twoCellAnchor>
  <xdr:twoCellAnchor>
    <xdr:from>
      <xdr:col>3</xdr:col>
      <xdr:colOff>114300</xdr:colOff>
      <xdr:row>4811</xdr:row>
      <xdr:rowOff>28575</xdr:rowOff>
    </xdr:from>
    <xdr:to>
      <xdr:col>3</xdr:col>
      <xdr:colOff>1552575</xdr:colOff>
      <xdr:row>4811</xdr:row>
      <xdr:rowOff>1266825</xdr:rowOff>
    </xdr:to>
    <xdr:pic>
      <xdr:nvPicPr>
        <xdr:cNvPr id="1638" name="Имя " descr="Descr ">
          <a:extLst>
            <a:ext uri="{FF2B5EF4-FFF2-40B4-BE49-F238E27FC236}">
              <a16:creationId xmlns:a16="http://schemas.microsoft.com/office/drawing/2014/main" id="{00000000-0008-0000-0000-000066060000}"/>
            </a:ext>
          </a:extLst>
        </xdr:cNvPr>
        <xdr:cNvPicPr>
          <a:picLocks noChangeAspect="1"/>
        </xdr:cNvPicPr>
      </xdr:nvPicPr>
      <xdr:blipFill>
        <a:blip xmlns:r="http://schemas.openxmlformats.org/officeDocument/2006/relationships" r:embed="rId1615"/>
        <a:stretch>
          <a:fillRect/>
        </a:stretch>
      </xdr:blipFill>
      <xdr:spPr>
        <a:prstGeom prst="rect">
          <a:avLst/>
        </a:prstGeom>
        <a:ln w="9525">
          <a:solidFill>
            <a:srgbClr val="000000"/>
          </a:solidFill>
          <a:prstDash val="solid"/>
        </a:ln>
      </xdr:spPr>
    </xdr:pic>
    <xdr:clientData/>
  </xdr:twoCellAnchor>
  <xdr:twoCellAnchor>
    <xdr:from>
      <xdr:col>3</xdr:col>
      <xdr:colOff>114300</xdr:colOff>
      <xdr:row>4812</xdr:row>
      <xdr:rowOff>28575</xdr:rowOff>
    </xdr:from>
    <xdr:to>
      <xdr:col>3</xdr:col>
      <xdr:colOff>1552575</xdr:colOff>
      <xdr:row>4814</xdr:row>
      <xdr:rowOff>419100</xdr:rowOff>
    </xdr:to>
    <xdr:pic>
      <xdr:nvPicPr>
        <xdr:cNvPr id="1639" name="Имя " descr="Descr ">
          <a:extLst>
            <a:ext uri="{FF2B5EF4-FFF2-40B4-BE49-F238E27FC236}">
              <a16:creationId xmlns:a16="http://schemas.microsoft.com/office/drawing/2014/main" id="{00000000-0008-0000-0000-000067060000}"/>
            </a:ext>
          </a:extLst>
        </xdr:cNvPr>
        <xdr:cNvPicPr>
          <a:picLocks noChangeAspect="1"/>
        </xdr:cNvPicPr>
      </xdr:nvPicPr>
      <xdr:blipFill>
        <a:blip xmlns:r="http://schemas.openxmlformats.org/officeDocument/2006/relationships" r:embed="rId1616"/>
        <a:stretch>
          <a:fillRect/>
        </a:stretch>
      </xdr:blipFill>
      <xdr:spPr>
        <a:prstGeom prst="rect">
          <a:avLst/>
        </a:prstGeom>
        <a:ln w="9525">
          <a:solidFill>
            <a:srgbClr val="000000"/>
          </a:solidFill>
          <a:prstDash val="solid"/>
        </a:ln>
      </xdr:spPr>
    </xdr:pic>
    <xdr:clientData/>
  </xdr:twoCellAnchor>
  <xdr:twoCellAnchor>
    <xdr:from>
      <xdr:col>3</xdr:col>
      <xdr:colOff>114300</xdr:colOff>
      <xdr:row>4815</xdr:row>
      <xdr:rowOff>28575</xdr:rowOff>
    </xdr:from>
    <xdr:to>
      <xdr:col>3</xdr:col>
      <xdr:colOff>1552575</xdr:colOff>
      <xdr:row>4819</xdr:row>
      <xdr:rowOff>333375</xdr:rowOff>
    </xdr:to>
    <xdr:pic>
      <xdr:nvPicPr>
        <xdr:cNvPr id="1640" name="Имя " descr="Descr ">
          <a:extLst>
            <a:ext uri="{FF2B5EF4-FFF2-40B4-BE49-F238E27FC236}">
              <a16:creationId xmlns:a16="http://schemas.microsoft.com/office/drawing/2014/main" id="{00000000-0008-0000-0000-000068060000}"/>
            </a:ext>
          </a:extLst>
        </xdr:cNvPr>
        <xdr:cNvPicPr>
          <a:picLocks noChangeAspect="1"/>
        </xdr:cNvPicPr>
      </xdr:nvPicPr>
      <xdr:blipFill>
        <a:blip xmlns:r="http://schemas.openxmlformats.org/officeDocument/2006/relationships" r:embed="rId1617"/>
        <a:stretch>
          <a:fillRect/>
        </a:stretch>
      </xdr:blipFill>
      <xdr:spPr>
        <a:prstGeom prst="rect">
          <a:avLst/>
        </a:prstGeom>
        <a:ln w="9525">
          <a:solidFill>
            <a:srgbClr val="000000"/>
          </a:solidFill>
          <a:prstDash val="solid"/>
        </a:ln>
      </xdr:spPr>
    </xdr:pic>
    <xdr:clientData/>
  </xdr:twoCellAnchor>
  <xdr:twoCellAnchor>
    <xdr:from>
      <xdr:col>3</xdr:col>
      <xdr:colOff>114300</xdr:colOff>
      <xdr:row>4820</xdr:row>
      <xdr:rowOff>28575</xdr:rowOff>
    </xdr:from>
    <xdr:to>
      <xdr:col>3</xdr:col>
      <xdr:colOff>1552575</xdr:colOff>
      <xdr:row>4822</xdr:row>
      <xdr:rowOff>419100</xdr:rowOff>
    </xdr:to>
    <xdr:pic>
      <xdr:nvPicPr>
        <xdr:cNvPr id="1641" name="Имя " descr="Descr ">
          <a:extLst>
            <a:ext uri="{FF2B5EF4-FFF2-40B4-BE49-F238E27FC236}">
              <a16:creationId xmlns:a16="http://schemas.microsoft.com/office/drawing/2014/main" id="{00000000-0008-0000-0000-000069060000}"/>
            </a:ext>
          </a:extLst>
        </xdr:cNvPr>
        <xdr:cNvPicPr>
          <a:picLocks noChangeAspect="1"/>
        </xdr:cNvPicPr>
      </xdr:nvPicPr>
      <xdr:blipFill>
        <a:blip xmlns:r="http://schemas.openxmlformats.org/officeDocument/2006/relationships" r:embed="rId1618"/>
        <a:stretch>
          <a:fillRect/>
        </a:stretch>
      </xdr:blipFill>
      <xdr:spPr>
        <a:prstGeom prst="rect">
          <a:avLst/>
        </a:prstGeom>
        <a:ln w="9525">
          <a:solidFill>
            <a:srgbClr val="000000"/>
          </a:solidFill>
          <a:prstDash val="solid"/>
        </a:ln>
      </xdr:spPr>
    </xdr:pic>
    <xdr:clientData/>
  </xdr:twoCellAnchor>
  <xdr:twoCellAnchor>
    <xdr:from>
      <xdr:col>3</xdr:col>
      <xdr:colOff>114300</xdr:colOff>
      <xdr:row>4823</xdr:row>
      <xdr:rowOff>28575</xdr:rowOff>
    </xdr:from>
    <xdr:to>
      <xdr:col>3</xdr:col>
      <xdr:colOff>1552575</xdr:colOff>
      <xdr:row>4831</xdr:row>
      <xdr:rowOff>133350</xdr:rowOff>
    </xdr:to>
    <xdr:pic>
      <xdr:nvPicPr>
        <xdr:cNvPr id="1642" name="Имя " descr="Descr ">
          <a:extLst>
            <a:ext uri="{FF2B5EF4-FFF2-40B4-BE49-F238E27FC236}">
              <a16:creationId xmlns:a16="http://schemas.microsoft.com/office/drawing/2014/main" id="{00000000-0008-0000-0000-00006A060000}"/>
            </a:ext>
          </a:extLst>
        </xdr:cNvPr>
        <xdr:cNvPicPr>
          <a:picLocks noChangeAspect="1"/>
        </xdr:cNvPicPr>
      </xdr:nvPicPr>
      <xdr:blipFill>
        <a:blip xmlns:r="http://schemas.openxmlformats.org/officeDocument/2006/relationships" r:embed="rId1619"/>
        <a:stretch>
          <a:fillRect/>
        </a:stretch>
      </xdr:blipFill>
      <xdr:spPr>
        <a:prstGeom prst="rect">
          <a:avLst/>
        </a:prstGeom>
        <a:ln w="9525">
          <a:solidFill>
            <a:srgbClr val="000000"/>
          </a:solidFill>
          <a:prstDash val="solid"/>
        </a:ln>
      </xdr:spPr>
    </xdr:pic>
    <xdr:clientData/>
  </xdr:twoCellAnchor>
  <xdr:twoCellAnchor>
    <xdr:from>
      <xdr:col>3</xdr:col>
      <xdr:colOff>114300</xdr:colOff>
      <xdr:row>4833</xdr:row>
      <xdr:rowOff>28575</xdr:rowOff>
    </xdr:from>
    <xdr:to>
      <xdr:col>3</xdr:col>
      <xdr:colOff>1552575</xdr:colOff>
      <xdr:row>4841</xdr:row>
      <xdr:rowOff>133350</xdr:rowOff>
    </xdr:to>
    <xdr:pic>
      <xdr:nvPicPr>
        <xdr:cNvPr id="1643" name="Имя " descr="Descr ">
          <a:extLst>
            <a:ext uri="{FF2B5EF4-FFF2-40B4-BE49-F238E27FC236}">
              <a16:creationId xmlns:a16="http://schemas.microsoft.com/office/drawing/2014/main" id="{00000000-0008-0000-0000-00006B060000}"/>
            </a:ext>
          </a:extLst>
        </xdr:cNvPr>
        <xdr:cNvPicPr>
          <a:picLocks noChangeAspect="1"/>
        </xdr:cNvPicPr>
      </xdr:nvPicPr>
      <xdr:blipFill>
        <a:blip xmlns:r="http://schemas.openxmlformats.org/officeDocument/2006/relationships" r:embed="rId1620"/>
        <a:stretch>
          <a:fillRect/>
        </a:stretch>
      </xdr:blipFill>
      <xdr:spPr>
        <a:prstGeom prst="rect">
          <a:avLst/>
        </a:prstGeom>
        <a:ln w="9525">
          <a:solidFill>
            <a:srgbClr val="000000"/>
          </a:solidFill>
          <a:prstDash val="solid"/>
        </a:ln>
      </xdr:spPr>
    </xdr:pic>
    <xdr:clientData/>
  </xdr:twoCellAnchor>
  <xdr:twoCellAnchor>
    <xdr:from>
      <xdr:col>3</xdr:col>
      <xdr:colOff>114300</xdr:colOff>
      <xdr:row>4844</xdr:row>
      <xdr:rowOff>28575</xdr:rowOff>
    </xdr:from>
    <xdr:to>
      <xdr:col>3</xdr:col>
      <xdr:colOff>1552575</xdr:colOff>
      <xdr:row>4852</xdr:row>
      <xdr:rowOff>133350</xdr:rowOff>
    </xdr:to>
    <xdr:pic>
      <xdr:nvPicPr>
        <xdr:cNvPr id="1644" name="Имя " descr="Descr ">
          <a:extLst>
            <a:ext uri="{FF2B5EF4-FFF2-40B4-BE49-F238E27FC236}">
              <a16:creationId xmlns:a16="http://schemas.microsoft.com/office/drawing/2014/main" id="{00000000-0008-0000-0000-00006C060000}"/>
            </a:ext>
          </a:extLst>
        </xdr:cNvPr>
        <xdr:cNvPicPr>
          <a:picLocks noChangeAspect="1"/>
        </xdr:cNvPicPr>
      </xdr:nvPicPr>
      <xdr:blipFill>
        <a:blip xmlns:r="http://schemas.openxmlformats.org/officeDocument/2006/relationships" r:embed="rId1621"/>
        <a:stretch>
          <a:fillRect/>
        </a:stretch>
      </xdr:blipFill>
      <xdr:spPr>
        <a:prstGeom prst="rect">
          <a:avLst/>
        </a:prstGeom>
        <a:ln w="9525">
          <a:solidFill>
            <a:srgbClr val="000000"/>
          </a:solidFill>
          <a:prstDash val="solid"/>
        </a:ln>
      </xdr:spPr>
    </xdr:pic>
    <xdr:clientData/>
  </xdr:twoCellAnchor>
  <xdr:twoCellAnchor>
    <xdr:from>
      <xdr:col>3</xdr:col>
      <xdr:colOff>114300</xdr:colOff>
      <xdr:row>4853</xdr:row>
      <xdr:rowOff>28575</xdr:rowOff>
    </xdr:from>
    <xdr:to>
      <xdr:col>3</xdr:col>
      <xdr:colOff>1552575</xdr:colOff>
      <xdr:row>4861</xdr:row>
      <xdr:rowOff>133350</xdr:rowOff>
    </xdr:to>
    <xdr:pic>
      <xdr:nvPicPr>
        <xdr:cNvPr id="1645" name="Имя " descr="Descr ">
          <a:extLst>
            <a:ext uri="{FF2B5EF4-FFF2-40B4-BE49-F238E27FC236}">
              <a16:creationId xmlns:a16="http://schemas.microsoft.com/office/drawing/2014/main" id="{00000000-0008-0000-0000-00006D060000}"/>
            </a:ext>
          </a:extLst>
        </xdr:cNvPr>
        <xdr:cNvPicPr>
          <a:picLocks noChangeAspect="1"/>
        </xdr:cNvPicPr>
      </xdr:nvPicPr>
      <xdr:blipFill>
        <a:blip xmlns:r="http://schemas.openxmlformats.org/officeDocument/2006/relationships" r:embed="rId1622"/>
        <a:stretch>
          <a:fillRect/>
        </a:stretch>
      </xdr:blipFill>
      <xdr:spPr>
        <a:prstGeom prst="rect">
          <a:avLst/>
        </a:prstGeom>
        <a:ln w="9525">
          <a:solidFill>
            <a:srgbClr val="000000"/>
          </a:solidFill>
          <a:prstDash val="solid"/>
        </a:ln>
      </xdr:spPr>
    </xdr:pic>
    <xdr:clientData/>
  </xdr:twoCellAnchor>
  <xdr:twoCellAnchor>
    <xdr:from>
      <xdr:col>3</xdr:col>
      <xdr:colOff>114300</xdr:colOff>
      <xdr:row>4862</xdr:row>
      <xdr:rowOff>28575</xdr:rowOff>
    </xdr:from>
    <xdr:to>
      <xdr:col>3</xdr:col>
      <xdr:colOff>1552575</xdr:colOff>
      <xdr:row>4870</xdr:row>
      <xdr:rowOff>133350</xdr:rowOff>
    </xdr:to>
    <xdr:pic>
      <xdr:nvPicPr>
        <xdr:cNvPr id="1646" name="Имя " descr="Descr ">
          <a:extLst>
            <a:ext uri="{FF2B5EF4-FFF2-40B4-BE49-F238E27FC236}">
              <a16:creationId xmlns:a16="http://schemas.microsoft.com/office/drawing/2014/main" id="{00000000-0008-0000-0000-00006E060000}"/>
            </a:ext>
          </a:extLst>
        </xdr:cNvPr>
        <xdr:cNvPicPr>
          <a:picLocks noChangeAspect="1"/>
        </xdr:cNvPicPr>
      </xdr:nvPicPr>
      <xdr:blipFill>
        <a:blip xmlns:r="http://schemas.openxmlformats.org/officeDocument/2006/relationships" r:embed="rId1623"/>
        <a:stretch>
          <a:fillRect/>
        </a:stretch>
      </xdr:blipFill>
      <xdr:spPr>
        <a:prstGeom prst="rect">
          <a:avLst/>
        </a:prstGeom>
        <a:ln w="9525">
          <a:solidFill>
            <a:srgbClr val="000000"/>
          </a:solidFill>
          <a:prstDash val="solid"/>
        </a:ln>
      </xdr:spPr>
    </xdr:pic>
    <xdr:clientData/>
  </xdr:twoCellAnchor>
  <xdr:twoCellAnchor>
    <xdr:from>
      <xdr:col>3</xdr:col>
      <xdr:colOff>114300</xdr:colOff>
      <xdr:row>4872</xdr:row>
      <xdr:rowOff>28575</xdr:rowOff>
    </xdr:from>
    <xdr:to>
      <xdr:col>3</xdr:col>
      <xdr:colOff>1552575</xdr:colOff>
      <xdr:row>4874</xdr:row>
      <xdr:rowOff>419100</xdr:rowOff>
    </xdr:to>
    <xdr:pic>
      <xdr:nvPicPr>
        <xdr:cNvPr id="1647" name="Имя " descr="Descr ">
          <a:extLst>
            <a:ext uri="{FF2B5EF4-FFF2-40B4-BE49-F238E27FC236}">
              <a16:creationId xmlns:a16="http://schemas.microsoft.com/office/drawing/2014/main" id="{00000000-0008-0000-0000-00006F060000}"/>
            </a:ext>
          </a:extLst>
        </xdr:cNvPr>
        <xdr:cNvPicPr>
          <a:picLocks noChangeAspect="1"/>
        </xdr:cNvPicPr>
      </xdr:nvPicPr>
      <xdr:blipFill>
        <a:blip xmlns:r="http://schemas.openxmlformats.org/officeDocument/2006/relationships" r:embed="rId1624"/>
        <a:stretch>
          <a:fillRect/>
        </a:stretch>
      </xdr:blipFill>
      <xdr:spPr>
        <a:prstGeom prst="rect">
          <a:avLst/>
        </a:prstGeom>
        <a:ln w="9525">
          <a:solidFill>
            <a:srgbClr val="000000"/>
          </a:solidFill>
          <a:prstDash val="solid"/>
        </a:ln>
      </xdr:spPr>
    </xdr:pic>
    <xdr:clientData/>
  </xdr:twoCellAnchor>
  <xdr:twoCellAnchor>
    <xdr:from>
      <xdr:col>3</xdr:col>
      <xdr:colOff>114300</xdr:colOff>
      <xdr:row>4875</xdr:row>
      <xdr:rowOff>28575</xdr:rowOff>
    </xdr:from>
    <xdr:to>
      <xdr:col>3</xdr:col>
      <xdr:colOff>1552575</xdr:colOff>
      <xdr:row>4883</xdr:row>
      <xdr:rowOff>133350</xdr:rowOff>
    </xdr:to>
    <xdr:pic>
      <xdr:nvPicPr>
        <xdr:cNvPr id="1648" name="Имя " descr="Descr ">
          <a:extLst>
            <a:ext uri="{FF2B5EF4-FFF2-40B4-BE49-F238E27FC236}">
              <a16:creationId xmlns:a16="http://schemas.microsoft.com/office/drawing/2014/main" id="{00000000-0008-0000-0000-000070060000}"/>
            </a:ext>
          </a:extLst>
        </xdr:cNvPr>
        <xdr:cNvPicPr>
          <a:picLocks noChangeAspect="1"/>
        </xdr:cNvPicPr>
      </xdr:nvPicPr>
      <xdr:blipFill>
        <a:blip xmlns:r="http://schemas.openxmlformats.org/officeDocument/2006/relationships" r:embed="rId1625"/>
        <a:stretch>
          <a:fillRect/>
        </a:stretch>
      </xdr:blipFill>
      <xdr:spPr>
        <a:prstGeom prst="rect">
          <a:avLst/>
        </a:prstGeom>
        <a:ln w="9525">
          <a:solidFill>
            <a:srgbClr val="000000"/>
          </a:solidFill>
          <a:prstDash val="solid"/>
        </a:ln>
      </xdr:spPr>
    </xdr:pic>
    <xdr:clientData/>
  </xdr:twoCellAnchor>
  <xdr:twoCellAnchor>
    <xdr:from>
      <xdr:col>3</xdr:col>
      <xdr:colOff>114300</xdr:colOff>
      <xdr:row>4885</xdr:row>
      <xdr:rowOff>28575</xdr:rowOff>
    </xdr:from>
    <xdr:to>
      <xdr:col>3</xdr:col>
      <xdr:colOff>1552575</xdr:colOff>
      <xdr:row>4888</xdr:row>
      <xdr:rowOff>209550</xdr:rowOff>
    </xdr:to>
    <xdr:pic>
      <xdr:nvPicPr>
        <xdr:cNvPr id="1649" name="Имя " descr="Descr ">
          <a:extLst>
            <a:ext uri="{FF2B5EF4-FFF2-40B4-BE49-F238E27FC236}">
              <a16:creationId xmlns:a16="http://schemas.microsoft.com/office/drawing/2014/main" id="{00000000-0008-0000-0000-000071060000}"/>
            </a:ext>
          </a:extLst>
        </xdr:cNvPr>
        <xdr:cNvPicPr>
          <a:picLocks noChangeAspect="1"/>
        </xdr:cNvPicPr>
      </xdr:nvPicPr>
      <xdr:blipFill>
        <a:blip xmlns:r="http://schemas.openxmlformats.org/officeDocument/2006/relationships" r:embed="rId1626"/>
        <a:stretch>
          <a:fillRect/>
        </a:stretch>
      </xdr:blipFill>
      <xdr:spPr>
        <a:prstGeom prst="rect">
          <a:avLst/>
        </a:prstGeom>
        <a:ln w="9525">
          <a:solidFill>
            <a:srgbClr val="000000"/>
          </a:solidFill>
          <a:prstDash val="solid"/>
        </a:ln>
      </xdr:spPr>
    </xdr:pic>
    <xdr:clientData/>
  </xdr:twoCellAnchor>
  <xdr:twoCellAnchor>
    <xdr:from>
      <xdr:col>3</xdr:col>
      <xdr:colOff>114300</xdr:colOff>
      <xdr:row>4889</xdr:row>
      <xdr:rowOff>28575</xdr:rowOff>
    </xdr:from>
    <xdr:to>
      <xdr:col>3</xdr:col>
      <xdr:colOff>1552575</xdr:colOff>
      <xdr:row>4893</xdr:row>
      <xdr:rowOff>333375</xdr:rowOff>
    </xdr:to>
    <xdr:pic>
      <xdr:nvPicPr>
        <xdr:cNvPr id="1650" name="Имя " descr="Descr ">
          <a:extLst>
            <a:ext uri="{FF2B5EF4-FFF2-40B4-BE49-F238E27FC236}">
              <a16:creationId xmlns:a16="http://schemas.microsoft.com/office/drawing/2014/main" id="{00000000-0008-0000-0000-000072060000}"/>
            </a:ext>
          </a:extLst>
        </xdr:cNvPr>
        <xdr:cNvPicPr>
          <a:picLocks noChangeAspect="1"/>
        </xdr:cNvPicPr>
      </xdr:nvPicPr>
      <xdr:blipFill>
        <a:blip xmlns:r="http://schemas.openxmlformats.org/officeDocument/2006/relationships" r:embed="rId1627"/>
        <a:stretch>
          <a:fillRect/>
        </a:stretch>
      </xdr:blipFill>
      <xdr:spPr>
        <a:prstGeom prst="rect">
          <a:avLst/>
        </a:prstGeom>
        <a:ln w="9525">
          <a:solidFill>
            <a:srgbClr val="000000"/>
          </a:solidFill>
          <a:prstDash val="solid"/>
        </a:ln>
      </xdr:spPr>
    </xdr:pic>
    <xdr:clientData/>
  </xdr:twoCellAnchor>
  <xdr:twoCellAnchor>
    <xdr:from>
      <xdr:col>3</xdr:col>
      <xdr:colOff>114300</xdr:colOff>
      <xdr:row>4894</xdr:row>
      <xdr:rowOff>28575</xdr:rowOff>
    </xdr:from>
    <xdr:to>
      <xdr:col>3</xdr:col>
      <xdr:colOff>1552575</xdr:colOff>
      <xdr:row>4896</xdr:row>
      <xdr:rowOff>419100</xdr:rowOff>
    </xdr:to>
    <xdr:pic>
      <xdr:nvPicPr>
        <xdr:cNvPr id="1651" name="Имя " descr="Descr ">
          <a:extLst>
            <a:ext uri="{FF2B5EF4-FFF2-40B4-BE49-F238E27FC236}">
              <a16:creationId xmlns:a16="http://schemas.microsoft.com/office/drawing/2014/main" id="{00000000-0008-0000-0000-000073060000}"/>
            </a:ext>
          </a:extLst>
        </xdr:cNvPr>
        <xdr:cNvPicPr>
          <a:picLocks noChangeAspect="1"/>
        </xdr:cNvPicPr>
      </xdr:nvPicPr>
      <xdr:blipFill>
        <a:blip xmlns:r="http://schemas.openxmlformats.org/officeDocument/2006/relationships" r:embed="rId1628"/>
        <a:stretch>
          <a:fillRect/>
        </a:stretch>
      </xdr:blipFill>
      <xdr:spPr>
        <a:prstGeom prst="rect">
          <a:avLst/>
        </a:prstGeom>
        <a:ln w="9525">
          <a:solidFill>
            <a:srgbClr val="000000"/>
          </a:solidFill>
          <a:prstDash val="solid"/>
        </a:ln>
      </xdr:spPr>
    </xdr:pic>
    <xdr:clientData/>
  </xdr:twoCellAnchor>
  <xdr:twoCellAnchor>
    <xdr:from>
      <xdr:col>3</xdr:col>
      <xdr:colOff>114300</xdr:colOff>
      <xdr:row>4897</xdr:row>
      <xdr:rowOff>28575</xdr:rowOff>
    </xdr:from>
    <xdr:to>
      <xdr:col>3</xdr:col>
      <xdr:colOff>1552575</xdr:colOff>
      <xdr:row>4897</xdr:row>
      <xdr:rowOff>1266825</xdr:rowOff>
    </xdr:to>
    <xdr:pic>
      <xdr:nvPicPr>
        <xdr:cNvPr id="1652" name="Имя " descr="Descr ">
          <a:extLst>
            <a:ext uri="{FF2B5EF4-FFF2-40B4-BE49-F238E27FC236}">
              <a16:creationId xmlns:a16="http://schemas.microsoft.com/office/drawing/2014/main" id="{00000000-0008-0000-0000-000074060000}"/>
            </a:ext>
          </a:extLst>
        </xdr:cNvPr>
        <xdr:cNvPicPr>
          <a:picLocks noChangeAspect="1"/>
        </xdr:cNvPicPr>
      </xdr:nvPicPr>
      <xdr:blipFill>
        <a:blip xmlns:r="http://schemas.openxmlformats.org/officeDocument/2006/relationships" r:embed="rId1629"/>
        <a:stretch>
          <a:fillRect/>
        </a:stretch>
      </xdr:blipFill>
      <xdr:spPr>
        <a:prstGeom prst="rect">
          <a:avLst/>
        </a:prstGeom>
        <a:ln w="9525">
          <a:solidFill>
            <a:srgbClr val="000000"/>
          </a:solidFill>
          <a:prstDash val="solid"/>
        </a:ln>
      </xdr:spPr>
    </xdr:pic>
    <xdr:clientData/>
  </xdr:twoCellAnchor>
  <xdr:twoCellAnchor>
    <xdr:from>
      <xdr:col>3</xdr:col>
      <xdr:colOff>114300</xdr:colOff>
      <xdr:row>4898</xdr:row>
      <xdr:rowOff>28575</xdr:rowOff>
    </xdr:from>
    <xdr:to>
      <xdr:col>3</xdr:col>
      <xdr:colOff>1552575</xdr:colOff>
      <xdr:row>4904</xdr:row>
      <xdr:rowOff>171450</xdr:rowOff>
    </xdr:to>
    <xdr:pic>
      <xdr:nvPicPr>
        <xdr:cNvPr id="1653" name="Имя " descr="Descr ">
          <a:extLst>
            <a:ext uri="{FF2B5EF4-FFF2-40B4-BE49-F238E27FC236}">
              <a16:creationId xmlns:a16="http://schemas.microsoft.com/office/drawing/2014/main" id="{00000000-0008-0000-0000-000075060000}"/>
            </a:ext>
          </a:extLst>
        </xdr:cNvPr>
        <xdr:cNvPicPr>
          <a:picLocks noChangeAspect="1"/>
        </xdr:cNvPicPr>
      </xdr:nvPicPr>
      <xdr:blipFill>
        <a:blip xmlns:r="http://schemas.openxmlformats.org/officeDocument/2006/relationships" r:embed="rId1630"/>
        <a:stretch>
          <a:fillRect/>
        </a:stretch>
      </xdr:blipFill>
      <xdr:spPr>
        <a:prstGeom prst="rect">
          <a:avLst/>
        </a:prstGeom>
        <a:ln w="9525">
          <a:solidFill>
            <a:srgbClr val="000000"/>
          </a:solidFill>
          <a:prstDash val="solid"/>
        </a:ln>
      </xdr:spPr>
    </xdr:pic>
    <xdr:clientData/>
  </xdr:twoCellAnchor>
  <xdr:twoCellAnchor>
    <xdr:from>
      <xdr:col>3</xdr:col>
      <xdr:colOff>114300</xdr:colOff>
      <xdr:row>4905</xdr:row>
      <xdr:rowOff>28575</xdr:rowOff>
    </xdr:from>
    <xdr:to>
      <xdr:col>3</xdr:col>
      <xdr:colOff>1552575</xdr:colOff>
      <xdr:row>4908</xdr:row>
      <xdr:rowOff>209550</xdr:rowOff>
    </xdr:to>
    <xdr:pic>
      <xdr:nvPicPr>
        <xdr:cNvPr id="1654" name="Имя " descr="Descr ">
          <a:extLst>
            <a:ext uri="{FF2B5EF4-FFF2-40B4-BE49-F238E27FC236}">
              <a16:creationId xmlns:a16="http://schemas.microsoft.com/office/drawing/2014/main" id="{00000000-0008-0000-0000-000076060000}"/>
            </a:ext>
          </a:extLst>
        </xdr:cNvPr>
        <xdr:cNvPicPr>
          <a:picLocks noChangeAspect="1"/>
        </xdr:cNvPicPr>
      </xdr:nvPicPr>
      <xdr:blipFill>
        <a:blip xmlns:r="http://schemas.openxmlformats.org/officeDocument/2006/relationships" r:embed="rId1631"/>
        <a:stretch>
          <a:fillRect/>
        </a:stretch>
      </xdr:blipFill>
      <xdr:spPr>
        <a:prstGeom prst="rect">
          <a:avLst/>
        </a:prstGeom>
        <a:ln w="9525">
          <a:solidFill>
            <a:srgbClr val="000000"/>
          </a:solidFill>
          <a:prstDash val="solid"/>
        </a:ln>
      </xdr:spPr>
    </xdr:pic>
    <xdr:clientData/>
  </xdr:twoCellAnchor>
  <xdr:twoCellAnchor>
    <xdr:from>
      <xdr:col>3</xdr:col>
      <xdr:colOff>114300</xdr:colOff>
      <xdr:row>4909</xdr:row>
      <xdr:rowOff>28575</xdr:rowOff>
    </xdr:from>
    <xdr:to>
      <xdr:col>3</xdr:col>
      <xdr:colOff>1552575</xdr:colOff>
      <xdr:row>4917</xdr:row>
      <xdr:rowOff>133350</xdr:rowOff>
    </xdr:to>
    <xdr:pic>
      <xdr:nvPicPr>
        <xdr:cNvPr id="1655" name="Имя " descr="Descr ">
          <a:extLst>
            <a:ext uri="{FF2B5EF4-FFF2-40B4-BE49-F238E27FC236}">
              <a16:creationId xmlns:a16="http://schemas.microsoft.com/office/drawing/2014/main" id="{00000000-0008-0000-0000-000077060000}"/>
            </a:ext>
          </a:extLst>
        </xdr:cNvPr>
        <xdr:cNvPicPr>
          <a:picLocks noChangeAspect="1"/>
        </xdr:cNvPicPr>
      </xdr:nvPicPr>
      <xdr:blipFill>
        <a:blip xmlns:r="http://schemas.openxmlformats.org/officeDocument/2006/relationships" r:embed="rId1632"/>
        <a:stretch>
          <a:fillRect/>
        </a:stretch>
      </xdr:blipFill>
      <xdr:spPr>
        <a:prstGeom prst="rect">
          <a:avLst/>
        </a:prstGeom>
        <a:ln w="9525">
          <a:solidFill>
            <a:srgbClr val="000000"/>
          </a:solidFill>
          <a:prstDash val="solid"/>
        </a:ln>
      </xdr:spPr>
    </xdr:pic>
    <xdr:clientData/>
  </xdr:twoCellAnchor>
  <xdr:twoCellAnchor>
    <xdr:from>
      <xdr:col>3</xdr:col>
      <xdr:colOff>114300</xdr:colOff>
      <xdr:row>4920</xdr:row>
      <xdr:rowOff>28575</xdr:rowOff>
    </xdr:from>
    <xdr:to>
      <xdr:col>3</xdr:col>
      <xdr:colOff>1552575</xdr:colOff>
      <xdr:row>4925</xdr:row>
      <xdr:rowOff>209550</xdr:rowOff>
    </xdr:to>
    <xdr:pic>
      <xdr:nvPicPr>
        <xdr:cNvPr id="1656" name="Имя " descr="Descr ">
          <a:extLst>
            <a:ext uri="{FF2B5EF4-FFF2-40B4-BE49-F238E27FC236}">
              <a16:creationId xmlns:a16="http://schemas.microsoft.com/office/drawing/2014/main" id="{00000000-0008-0000-0000-000078060000}"/>
            </a:ext>
          </a:extLst>
        </xdr:cNvPr>
        <xdr:cNvPicPr>
          <a:picLocks noChangeAspect="1"/>
        </xdr:cNvPicPr>
      </xdr:nvPicPr>
      <xdr:blipFill>
        <a:blip xmlns:r="http://schemas.openxmlformats.org/officeDocument/2006/relationships" r:embed="rId1633"/>
        <a:stretch>
          <a:fillRect/>
        </a:stretch>
      </xdr:blipFill>
      <xdr:spPr>
        <a:prstGeom prst="rect">
          <a:avLst/>
        </a:prstGeom>
        <a:ln w="9525">
          <a:solidFill>
            <a:srgbClr val="000000"/>
          </a:solidFill>
          <a:prstDash val="solid"/>
        </a:ln>
      </xdr:spPr>
    </xdr:pic>
    <xdr:clientData/>
  </xdr:twoCellAnchor>
  <xdr:twoCellAnchor>
    <xdr:from>
      <xdr:col>3</xdr:col>
      <xdr:colOff>114300</xdr:colOff>
      <xdr:row>4926</xdr:row>
      <xdr:rowOff>28575</xdr:rowOff>
    </xdr:from>
    <xdr:to>
      <xdr:col>3</xdr:col>
      <xdr:colOff>1552575</xdr:colOff>
      <xdr:row>4931</xdr:row>
      <xdr:rowOff>209550</xdr:rowOff>
    </xdr:to>
    <xdr:pic>
      <xdr:nvPicPr>
        <xdr:cNvPr id="1657" name="Имя " descr="Descr ">
          <a:extLst>
            <a:ext uri="{FF2B5EF4-FFF2-40B4-BE49-F238E27FC236}">
              <a16:creationId xmlns:a16="http://schemas.microsoft.com/office/drawing/2014/main" id="{00000000-0008-0000-0000-000079060000}"/>
            </a:ext>
          </a:extLst>
        </xdr:cNvPr>
        <xdr:cNvPicPr>
          <a:picLocks noChangeAspect="1"/>
        </xdr:cNvPicPr>
      </xdr:nvPicPr>
      <xdr:blipFill>
        <a:blip xmlns:r="http://schemas.openxmlformats.org/officeDocument/2006/relationships" r:embed="rId1634"/>
        <a:stretch>
          <a:fillRect/>
        </a:stretch>
      </xdr:blipFill>
      <xdr:spPr>
        <a:prstGeom prst="rect">
          <a:avLst/>
        </a:prstGeom>
        <a:ln w="9525">
          <a:solidFill>
            <a:srgbClr val="000000"/>
          </a:solidFill>
          <a:prstDash val="solid"/>
        </a:ln>
      </xdr:spPr>
    </xdr:pic>
    <xdr:clientData/>
  </xdr:twoCellAnchor>
  <xdr:twoCellAnchor>
    <xdr:from>
      <xdr:col>3</xdr:col>
      <xdr:colOff>114300</xdr:colOff>
      <xdr:row>4932</xdr:row>
      <xdr:rowOff>28575</xdr:rowOff>
    </xdr:from>
    <xdr:to>
      <xdr:col>3</xdr:col>
      <xdr:colOff>1552575</xdr:colOff>
      <xdr:row>4940</xdr:row>
      <xdr:rowOff>133350</xdr:rowOff>
    </xdr:to>
    <xdr:pic>
      <xdr:nvPicPr>
        <xdr:cNvPr id="1658" name="Имя " descr="Descr ">
          <a:extLst>
            <a:ext uri="{FF2B5EF4-FFF2-40B4-BE49-F238E27FC236}">
              <a16:creationId xmlns:a16="http://schemas.microsoft.com/office/drawing/2014/main" id="{00000000-0008-0000-0000-00007A060000}"/>
            </a:ext>
          </a:extLst>
        </xdr:cNvPr>
        <xdr:cNvPicPr>
          <a:picLocks noChangeAspect="1"/>
        </xdr:cNvPicPr>
      </xdr:nvPicPr>
      <xdr:blipFill>
        <a:blip xmlns:r="http://schemas.openxmlformats.org/officeDocument/2006/relationships" r:embed="rId1635"/>
        <a:stretch>
          <a:fillRect/>
        </a:stretch>
      </xdr:blipFill>
      <xdr:spPr>
        <a:prstGeom prst="rect">
          <a:avLst/>
        </a:prstGeom>
        <a:ln w="9525">
          <a:solidFill>
            <a:srgbClr val="000000"/>
          </a:solidFill>
          <a:prstDash val="solid"/>
        </a:ln>
      </xdr:spPr>
    </xdr:pic>
    <xdr:clientData/>
  </xdr:twoCellAnchor>
  <xdr:twoCellAnchor>
    <xdr:from>
      <xdr:col>3</xdr:col>
      <xdr:colOff>114300</xdr:colOff>
      <xdr:row>4942</xdr:row>
      <xdr:rowOff>28575</xdr:rowOff>
    </xdr:from>
    <xdr:to>
      <xdr:col>3</xdr:col>
      <xdr:colOff>1552575</xdr:colOff>
      <xdr:row>4950</xdr:row>
      <xdr:rowOff>133350</xdr:rowOff>
    </xdr:to>
    <xdr:pic>
      <xdr:nvPicPr>
        <xdr:cNvPr id="1659" name="Имя " descr="Descr ">
          <a:extLst>
            <a:ext uri="{FF2B5EF4-FFF2-40B4-BE49-F238E27FC236}">
              <a16:creationId xmlns:a16="http://schemas.microsoft.com/office/drawing/2014/main" id="{00000000-0008-0000-0000-00007B060000}"/>
            </a:ext>
          </a:extLst>
        </xdr:cNvPr>
        <xdr:cNvPicPr>
          <a:picLocks noChangeAspect="1"/>
        </xdr:cNvPicPr>
      </xdr:nvPicPr>
      <xdr:blipFill>
        <a:blip xmlns:r="http://schemas.openxmlformats.org/officeDocument/2006/relationships" r:embed="rId1636"/>
        <a:stretch>
          <a:fillRect/>
        </a:stretch>
      </xdr:blipFill>
      <xdr:spPr>
        <a:prstGeom prst="rect">
          <a:avLst/>
        </a:prstGeom>
        <a:ln w="9525">
          <a:solidFill>
            <a:srgbClr val="000000"/>
          </a:solidFill>
          <a:prstDash val="solid"/>
        </a:ln>
      </xdr:spPr>
    </xdr:pic>
    <xdr:clientData/>
  </xdr:twoCellAnchor>
  <xdr:twoCellAnchor>
    <xdr:from>
      <xdr:col>3</xdr:col>
      <xdr:colOff>114300</xdr:colOff>
      <xdr:row>4952</xdr:row>
      <xdr:rowOff>28575</xdr:rowOff>
    </xdr:from>
    <xdr:to>
      <xdr:col>3</xdr:col>
      <xdr:colOff>1552575</xdr:colOff>
      <xdr:row>4960</xdr:row>
      <xdr:rowOff>133350</xdr:rowOff>
    </xdr:to>
    <xdr:pic>
      <xdr:nvPicPr>
        <xdr:cNvPr id="1660" name="Имя " descr="Descr ">
          <a:extLst>
            <a:ext uri="{FF2B5EF4-FFF2-40B4-BE49-F238E27FC236}">
              <a16:creationId xmlns:a16="http://schemas.microsoft.com/office/drawing/2014/main" id="{00000000-0008-0000-0000-00007C060000}"/>
            </a:ext>
          </a:extLst>
        </xdr:cNvPr>
        <xdr:cNvPicPr>
          <a:picLocks noChangeAspect="1"/>
        </xdr:cNvPicPr>
      </xdr:nvPicPr>
      <xdr:blipFill>
        <a:blip xmlns:r="http://schemas.openxmlformats.org/officeDocument/2006/relationships" r:embed="rId1637"/>
        <a:stretch>
          <a:fillRect/>
        </a:stretch>
      </xdr:blipFill>
      <xdr:spPr>
        <a:prstGeom prst="rect">
          <a:avLst/>
        </a:prstGeom>
        <a:ln w="9525">
          <a:solidFill>
            <a:srgbClr val="000000"/>
          </a:solidFill>
          <a:prstDash val="solid"/>
        </a:ln>
      </xdr:spPr>
    </xdr:pic>
    <xdr:clientData/>
  </xdr:twoCellAnchor>
  <xdr:twoCellAnchor>
    <xdr:from>
      <xdr:col>3</xdr:col>
      <xdr:colOff>114300</xdr:colOff>
      <xdr:row>4961</xdr:row>
      <xdr:rowOff>28575</xdr:rowOff>
    </xdr:from>
    <xdr:to>
      <xdr:col>3</xdr:col>
      <xdr:colOff>1552575</xdr:colOff>
      <xdr:row>4966</xdr:row>
      <xdr:rowOff>209550</xdr:rowOff>
    </xdr:to>
    <xdr:pic>
      <xdr:nvPicPr>
        <xdr:cNvPr id="1661" name="Имя " descr="Descr ">
          <a:extLst>
            <a:ext uri="{FF2B5EF4-FFF2-40B4-BE49-F238E27FC236}">
              <a16:creationId xmlns:a16="http://schemas.microsoft.com/office/drawing/2014/main" id="{00000000-0008-0000-0000-00007D060000}"/>
            </a:ext>
          </a:extLst>
        </xdr:cNvPr>
        <xdr:cNvPicPr>
          <a:picLocks noChangeAspect="1"/>
        </xdr:cNvPicPr>
      </xdr:nvPicPr>
      <xdr:blipFill>
        <a:blip xmlns:r="http://schemas.openxmlformats.org/officeDocument/2006/relationships" r:embed="rId1638"/>
        <a:stretch>
          <a:fillRect/>
        </a:stretch>
      </xdr:blipFill>
      <xdr:spPr>
        <a:prstGeom prst="rect">
          <a:avLst/>
        </a:prstGeom>
        <a:ln w="9525">
          <a:solidFill>
            <a:srgbClr val="000000"/>
          </a:solidFill>
          <a:prstDash val="solid"/>
        </a:ln>
      </xdr:spPr>
    </xdr:pic>
    <xdr:clientData/>
  </xdr:twoCellAnchor>
  <xdr:twoCellAnchor>
    <xdr:from>
      <xdr:col>3</xdr:col>
      <xdr:colOff>114300</xdr:colOff>
      <xdr:row>4967</xdr:row>
      <xdr:rowOff>28575</xdr:rowOff>
    </xdr:from>
    <xdr:to>
      <xdr:col>3</xdr:col>
      <xdr:colOff>1552575</xdr:colOff>
      <xdr:row>4973</xdr:row>
      <xdr:rowOff>171450</xdr:rowOff>
    </xdr:to>
    <xdr:pic>
      <xdr:nvPicPr>
        <xdr:cNvPr id="1662" name="Имя " descr="Descr ">
          <a:extLst>
            <a:ext uri="{FF2B5EF4-FFF2-40B4-BE49-F238E27FC236}">
              <a16:creationId xmlns:a16="http://schemas.microsoft.com/office/drawing/2014/main" id="{00000000-0008-0000-0000-00007E060000}"/>
            </a:ext>
          </a:extLst>
        </xdr:cNvPr>
        <xdr:cNvPicPr>
          <a:picLocks noChangeAspect="1"/>
        </xdr:cNvPicPr>
      </xdr:nvPicPr>
      <xdr:blipFill>
        <a:blip xmlns:r="http://schemas.openxmlformats.org/officeDocument/2006/relationships" r:embed="rId1639"/>
        <a:stretch>
          <a:fillRect/>
        </a:stretch>
      </xdr:blipFill>
      <xdr:spPr>
        <a:prstGeom prst="rect">
          <a:avLst/>
        </a:prstGeom>
        <a:ln w="9525">
          <a:solidFill>
            <a:srgbClr val="000000"/>
          </a:solidFill>
          <a:prstDash val="solid"/>
        </a:ln>
      </xdr:spPr>
    </xdr:pic>
    <xdr:clientData/>
  </xdr:twoCellAnchor>
  <xdr:twoCellAnchor>
    <xdr:from>
      <xdr:col>3</xdr:col>
      <xdr:colOff>114300</xdr:colOff>
      <xdr:row>4974</xdr:row>
      <xdr:rowOff>28575</xdr:rowOff>
    </xdr:from>
    <xdr:to>
      <xdr:col>3</xdr:col>
      <xdr:colOff>1552575</xdr:colOff>
      <xdr:row>4980</xdr:row>
      <xdr:rowOff>171450</xdr:rowOff>
    </xdr:to>
    <xdr:pic>
      <xdr:nvPicPr>
        <xdr:cNvPr id="1663" name="Имя " descr="Descr ">
          <a:extLst>
            <a:ext uri="{FF2B5EF4-FFF2-40B4-BE49-F238E27FC236}">
              <a16:creationId xmlns:a16="http://schemas.microsoft.com/office/drawing/2014/main" id="{00000000-0008-0000-0000-00007F060000}"/>
            </a:ext>
          </a:extLst>
        </xdr:cNvPr>
        <xdr:cNvPicPr>
          <a:picLocks noChangeAspect="1"/>
        </xdr:cNvPicPr>
      </xdr:nvPicPr>
      <xdr:blipFill>
        <a:blip xmlns:r="http://schemas.openxmlformats.org/officeDocument/2006/relationships" r:embed="rId1640"/>
        <a:stretch>
          <a:fillRect/>
        </a:stretch>
      </xdr:blipFill>
      <xdr:spPr>
        <a:prstGeom prst="rect">
          <a:avLst/>
        </a:prstGeom>
        <a:ln w="9525">
          <a:solidFill>
            <a:srgbClr val="000000"/>
          </a:solidFill>
          <a:prstDash val="solid"/>
        </a:ln>
      </xdr:spPr>
    </xdr:pic>
    <xdr:clientData/>
  </xdr:twoCellAnchor>
  <xdr:twoCellAnchor>
    <xdr:from>
      <xdr:col>3</xdr:col>
      <xdr:colOff>114300</xdr:colOff>
      <xdr:row>4981</xdr:row>
      <xdr:rowOff>28575</xdr:rowOff>
    </xdr:from>
    <xdr:to>
      <xdr:col>3</xdr:col>
      <xdr:colOff>1552575</xdr:colOff>
      <xdr:row>4987</xdr:row>
      <xdr:rowOff>171450</xdr:rowOff>
    </xdr:to>
    <xdr:pic>
      <xdr:nvPicPr>
        <xdr:cNvPr id="1664" name="Имя " descr="Descr ">
          <a:extLst>
            <a:ext uri="{FF2B5EF4-FFF2-40B4-BE49-F238E27FC236}">
              <a16:creationId xmlns:a16="http://schemas.microsoft.com/office/drawing/2014/main" id="{00000000-0008-0000-0000-000080060000}"/>
            </a:ext>
          </a:extLst>
        </xdr:cNvPr>
        <xdr:cNvPicPr>
          <a:picLocks noChangeAspect="1"/>
        </xdr:cNvPicPr>
      </xdr:nvPicPr>
      <xdr:blipFill>
        <a:blip xmlns:r="http://schemas.openxmlformats.org/officeDocument/2006/relationships" r:embed="rId1641"/>
        <a:stretch>
          <a:fillRect/>
        </a:stretch>
      </xdr:blipFill>
      <xdr:spPr>
        <a:prstGeom prst="rect">
          <a:avLst/>
        </a:prstGeom>
        <a:ln w="9525">
          <a:solidFill>
            <a:srgbClr val="000000"/>
          </a:solidFill>
          <a:prstDash val="solid"/>
        </a:ln>
      </xdr:spPr>
    </xdr:pic>
    <xdr:clientData/>
  </xdr:twoCellAnchor>
  <xdr:twoCellAnchor>
    <xdr:from>
      <xdr:col>3</xdr:col>
      <xdr:colOff>114300</xdr:colOff>
      <xdr:row>4988</xdr:row>
      <xdr:rowOff>28575</xdr:rowOff>
    </xdr:from>
    <xdr:to>
      <xdr:col>3</xdr:col>
      <xdr:colOff>1552575</xdr:colOff>
      <xdr:row>4994</xdr:row>
      <xdr:rowOff>171450</xdr:rowOff>
    </xdr:to>
    <xdr:pic>
      <xdr:nvPicPr>
        <xdr:cNvPr id="1665" name="Имя " descr="Descr ">
          <a:extLst>
            <a:ext uri="{FF2B5EF4-FFF2-40B4-BE49-F238E27FC236}">
              <a16:creationId xmlns:a16="http://schemas.microsoft.com/office/drawing/2014/main" id="{00000000-0008-0000-0000-000081060000}"/>
            </a:ext>
          </a:extLst>
        </xdr:cNvPr>
        <xdr:cNvPicPr>
          <a:picLocks noChangeAspect="1"/>
        </xdr:cNvPicPr>
      </xdr:nvPicPr>
      <xdr:blipFill>
        <a:blip xmlns:r="http://schemas.openxmlformats.org/officeDocument/2006/relationships" r:embed="rId1642"/>
        <a:stretch>
          <a:fillRect/>
        </a:stretch>
      </xdr:blipFill>
      <xdr:spPr>
        <a:prstGeom prst="rect">
          <a:avLst/>
        </a:prstGeom>
        <a:ln w="9525">
          <a:solidFill>
            <a:srgbClr val="000000"/>
          </a:solidFill>
          <a:prstDash val="solid"/>
        </a:ln>
      </xdr:spPr>
    </xdr:pic>
    <xdr:clientData/>
  </xdr:twoCellAnchor>
  <xdr:twoCellAnchor>
    <xdr:from>
      <xdr:col>3</xdr:col>
      <xdr:colOff>114300</xdr:colOff>
      <xdr:row>4995</xdr:row>
      <xdr:rowOff>28575</xdr:rowOff>
    </xdr:from>
    <xdr:to>
      <xdr:col>3</xdr:col>
      <xdr:colOff>1552575</xdr:colOff>
      <xdr:row>5001</xdr:row>
      <xdr:rowOff>171450</xdr:rowOff>
    </xdr:to>
    <xdr:pic>
      <xdr:nvPicPr>
        <xdr:cNvPr id="1666" name="Имя " descr="Descr ">
          <a:extLst>
            <a:ext uri="{FF2B5EF4-FFF2-40B4-BE49-F238E27FC236}">
              <a16:creationId xmlns:a16="http://schemas.microsoft.com/office/drawing/2014/main" id="{00000000-0008-0000-0000-000082060000}"/>
            </a:ext>
          </a:extLst>
        </xdr:cNvPr>
        <xdr:cNvPicPr>
          <a:picLocks noChangeAspect="1"/>
        </xdr:cNvPicPr>
      </xdr:nvPicPr>
      <xdr:blipFill>
        <a:blip xmlns:r="http://schemas.openxmlformats.org/officeDocument/2006/relationships" r:embed="rId1643"/>
        <a:stretch>
          <a:fillRect/>
        </a:stretch>
      </xdr:blipFill>
      <xdr:spPr>
        <a:prstGeom prst="rect">
          <a:avLst/>
        </a:prstGeom>
        <a:ln w="9525">
          <a:solidFill>
            <a:srgbClr val="000000"/>
          </a:solidFill>
          <a:prstDash val="solid"/>
        </a:ln>
      </xdr:spPr>
    </xdr:pic>
    <xdr:clientData/>
  </xdr:twoCellAnchor>
  <xdr:twoCellAnchor>
    <xdr:from>
      <xdr:col>3</xdr:col>
      <xdr:colOff>114300</xdr:colOff>
      <xdr:row>5002</xdr:row>
      <xdr:rowOff>38100</xdr:rowOff>
    </xdr:from>
    <xdr:to>
      <xdr:col>3</xdr:col>
      <xdr:colOff>1552575</xdr:colOff>
      <xdr:row>5003</xdr:row>
      <xdr:rowOff>638175</xdr:rowOff>
    </xdr:to>
    <xdr:pic>
      <xdr:nvPicPr>
        <xdr:cNvPr id="1667" name="Имя " descr="Descr ">
          <a:extLst>
            <a:ext uri="{FF2B5EF4-FFF2-40B4-BE49-F238E27FC236}">
              <a16:creationId xmlns:a16="http://schemas.microsoft.com/office/drawing/2014/main" id="{00000000-0008-0000-0000-000083060000}"/>
            </a:ext>
          </a:extLst>
        </xdr:cNvPr>
        <xdr:cNvPicPr>
          <a:picLocks noChangeAspect="1"/>
        </xdr:cNvPicPr>
      </xdr:nvPicPr>
      <xdr:blipFill>
        <a:blip xmlns:r="http://schemas.openxmlformats.org/officeDocument/2006/relationships" r:embed="rId1644"/>
        <a:stretch>
          <a:fillRect/>
        </a:stretch>
      </xdr:blipFill>
      <xdr:spPr>
        <a:prstGeom prst="rect">
          <a:avLst/>
        </a:prstGeom>
        <a:ln w="9525">
          <a:solidFill>
            <a:srgbClr val="000000"/>
          </a:solidFill>
          <a:prstDash val="solid"/>
        </a:ln>
      </xdr:spPr>
    </xdr:pic>
    <xdr:clientData/>
  </xdr:twoCellAnchor>
  <xdr:twoCellAnchor>
    <xdr:from>
      <xdr:col>3</xdr:col>
      <xdr:colOff>114300</xdr:colOff>
      <xdr:row>5004</xdr:row>
      <xdr:rowOff>28575</xdr:rowOff>
    </xdr:from>
    <xdr:to>
      <xdr:col>3</xdr:col>
      <xdr:colOff>1552575</xdr:colOff>
      <xdr:row>5004</xdr:row>
      <xdr:rowOff>1266825</xdr:rowOff>
    </xdr:to>
    <xdr:pic>
      <xdr:nvPicPr>
        <xdr:cNvPr id="1668" name="Имя " descr="Descr ">
          <a:extLst>
            <a:ext uri="{FF2B5EF4-FFF2-40B4-BE49-F238E27FC236}">
              <a16:creationId xmlns:a16="http://schemas.microsoft.com/office/drawing/2014/main" id="{00000000-0008-0000-0000-000084060000}"/>
            </a:ext>
          </a:extLst>
        </xdr:cNvPr>
        <xdr:cNvPicPr>
          <a:picLocks noChangeAspect="1"/>
        </xdr:cNvPicPr>
      </xdr:nvPicPr>
      <xdr:blipFill>
        <a:blip xmlns:r="http://schemas.openxmlformats.org/officeDocument/2006/relationships" r:embed="rId1645"/>
        <a:stretch>
          <a:fillRect/>
        </a:stretch>
      </xdr:blipFill>
      <xdr:spPr>
        <a:prstGeom prst="rect">
          <a:avLst/>
        </a:prstGeom>
        <a:ln w="9525">
          <a:solidFill>
            <a:srgbClr val="000000"/>
          </a:solidFill>
          <a:prstDash val="solid"/>
        </a:ln>
      </xdr:spPr>
    </xdr:pic>
    <xdr:clientData/>
  </xdr:twoCellAnchor>
  <xdr:twoCellAnchor>
    <xdr:from>
      <xdr:col>3</xdr:col>
      <xdr:colOff>114300</xdr:colOff>
      <xdr:row>5005</xdr:row>
      <xdr:rowOff>38100</xdr:rowOff>
    </xdr:from>
    <xdr:to>
      <xdr:col>3</xdr:col>
      <xdr:colOff>1552575</xdr:colOff>
      <xdr:row>5006</xdr:row>
      <xdr:rowOff>638175</xdr:rowOff>
    </xdr:to>
    <xdr:pic>
      <xdr:nvPicPr>
        <xdr:cNvPr id="1669" name="Имя " descr="Descr ">
          <a:extLst>
            <a:ext uri="{FF2B5EF4-FFF2-40B4-BE49-F238E27FC236}">
              <a16:creationId xmlns:a16="http://schemas.microsoft.com/office/drawing/2014/main" id="{00000000-0008-0000-0000-000085060000}"/>
            </a:ext>
          </a:extLst>
        </xdr:cNvPr>
        <xdr:cNvPicPr>
          <a:picLocks noChangeAspect="1"/>
        </xdr:cNvPicPr>
      </xdr:nvPicPr>
      <xdr:blipFill>
        <a:blip xmlns:r="http://schemas.openxmlformats.org/officeDocument/2006/relationships" r:embed="rId1646"/>
        <a:stretch>
          <a:fillRect/>
        </a:stretch>
      </xdr:blipFill>
      <xdr:spPr>
        <a:prstGeom prst="rect">
          <a:avLst/>
        </a:prstGeom>
        <a:ln w="9525">
          <a:solidFill>
            <a:srgbClr val="000000"/>
          </a:solidFill>
          <a:prstDash val="solid"/>
        </a:ln>
      </xdr:spPr>
    </xdr:pic>
    <xdr:clientData/>
  </xdr:twoCellAnchor>
  <xdr:twoCellAnchor>
    <xdr:from>
      <xdr:col>3</xdr:col>
      <xdr:colOff>114300</xdr:colOff>
      <xdr:row>5007</xdr:row>
      <xdr:rowOff>28575</xdr:rowOff>
    </xdr:from>
    <xdr:to>
      <xdr:col>3</xdr:col>
      <xdr:colOff>1552575</xdr:colOff>
      <xdr:row>5007</xdr:row>
      <xdr:rowOff>1266825</xdr:rowOff>
    </xdr:to>
    <xdr:pic>
      <xdr:nvPicPr>
        <xdr:cNvPr id="1670" name="Имя " descr="Descr ">
          <a:extLst>
            <a:ext uri="{FF2B5EF4-FFF2-40B4-BE49-F238E27FC236}">
              <a16:creationId xmlns:a16="http://schemas.microsoft.com/office/drawing/2014/main" id="{00000000-0008-0000-0000-000086060000}"/>
            </a:ext>
          </a:extLst>
        </xdr:cNvPr>
        <xdr:cNvPicPr>
          <a:picLocks noChangeAspect="1"/>
        </xdr:cNvPicPr>
      </xdr:nvPicPr>
      <xdr:blipFill>
        <a:blip xmlns:r="http://schemas.openxmlformats.org/officeDocument/2006/relationships" r:embed="rId1647"/>
        <a:stretch>
          <a:fillRect/>
        </a:stretch>
      </xdr:blipFill>
      <xdr:spPr>
        <a:prstGeom prst="rect">
          <a:avLst/>
        </a:prstGeom>
        <a:ln w="9525">
          <a:solidFill>
            <a:srgbClr val="000000"/>
          </a:solidFill>
          <a:prstDash val="solid"/>
        </a:ln>
      </xdr:spPr>
    </xdr:pic>
    <xdr:clientData/>
  </xdr:twoCellAnchor>
  <xdr:twoCellAnchor>
    <xdr:from>
      <xdr:col>3</xdr:col>
      <xdr:colOff>114300</xdr:colOff>
      <xdr:row>5008</xdr:row>
      <xdr:rowOff>28575</xdr:rowOff>
    </xdr:from>
    <xdr:to>
      <xdr:col>3</xdr:col>
      <xdr:colOff>1552575</xdr:colOff>
      <xdr:row>5008</xdr:row>
      <xdr:rowOff>1266825</xdr:rowOff>
    </xdr:to>
    <xdr:pic>
      <xdr:nvPicPr>
        <xdr:cNvPr id="1671" name="Имя " descr="Descr ">
          <a:extLst>
            <a:ext uri="{FF2B5EF4-FFF2-40B4-BE49-F238E27FC236}">
              <a16:creationId xmlns:a16="http://schemas.microsoft.com/office/drawing/2014/main" id="{00000000-0008-0000-0000-000087060000}"/>
            </a:ext>
          </a:extLst>
        </xdr:cNvPr>
        <xdr:cNvPicPr>
          <a:picLocks noChangeAspect="1"/>
        </xdr:cNvPicPr>
      </xdr:nvPicPr>
      <xdr:blipFill>
        <a:blip xmlns:r="http://schemas.openxmlformats.org/officeDocument/2006/relationships" r:embed="rId1648"/>
        <a:stretch>
          <a:fillRect/>
        </a:stretch>
      </xdr:blipFill>
      <xdr:spPr>
        <a:prstGeom prst="rect">
          <a:avLst/>
        </a:prstGeom>
        <a:ln w="9525">
          <a:solidFill>
            <a:srgbClr val="000000"/>
          </a:solidFill>
          <a:prstDash val="solid"/>
        </a:ln>
      </xdr:spPr>
    </xdr:pic>
    <xdr:clientData/>
  </xdr:twoCellAnchor>
  <xdr:twoCellAnchor>
    <xdr:from>
      <xdr:col>3</xdr:col>
      <xdr:colOff>114300</xdr:colOff>
      <xdr:row>5009</xdr:row>
      <xdr:rowOff>28575</xdr:rowOff>
    </xdr:from>
    <xdr:to>
      <xdr:col>3</xdr:col>
      <xdr:colOff>1552575</xdr:colOff>
      <xdr:row>5009</xdr:row>
      <xdr:rowOff>1266825</xdr:rowOff>
    </xdr:to>
    <xdr:pic>
      <xdr:nvPicPr>
        <xdr:cNvPr id="1672" name="Имя " descr="Descr ">
          <a:extLst>
            <a:ext uri="{FF2B5EF4-FFF2-40B4-BE49-F238E27FC236}">
              <a16:creationId xmlns:a16="http://schemas.microsoft.com/office/drawing/2014/main" id="{00000000-0008-0000-0000-000088060000}"/>
            </a:ext>
          </a:extLst>
        </xdr:cNvPr>
        <xdr:cNvPicPr>
          <a:picLocks noChangeAspect="1"/>
        </xdr:cNvPicPr>
      </xdr:nvPicPr>
      <xdr:blipFill>
        <a:blip xmlns:r="http://schemas.openxmlformats.org/officeDocument/2006/relationships" r:embed="rId1649"/>
        <a:stretch>
          <a:fillRect/>
        </a:stretch>
      </xdr:blipFill>
      <xdr:spPr>
        <a:prstGeom prst="rect">
          <a:avLst/>
        </a:prstGeom>
        <a:ln w="9525">
          <a:solidFill>
            <a:srgbClr val="000000"/>
          </a:solidFill>
          <a:prstDash val="solid"/>
        </a:ln>
      </xdr:spPr>
    </xdr:pic>
    <xdr:clientData/>
  </xdr:twoCellAnchor>
  <xdr:twoCellAnchor>
    <xdr:from>
      <xdr:col>3</xdr:col>
      <xdr:colOff>114300</xdr:colOff>
      <xdr:row>5010</xdr:row>
      <xdr:rowOff>28575</xdr:rowOff>
    </xdr:from>
    <xdr:to>
      <xdr:col>3</xdr:col>
      <xdr:colOff>1552575</xdr:colOff>
      <xdr:row>5010</xdr:row>
      <xdr:rowOff>1266825</xdr:rowOff>
    </xdr:to>
    <xdr:pic>
      <xdr:nvPicPr>
        <xdr:cNvPr id="1673" name="Имя " descr="Descr ">
          <a:extLst>
            <a:ext uri="{FF2B5EF4-FFF2-40B4-BE49-F238E27FC236}">
              <a16:creationId xmlns:a16="http://schemas.microsoft.com/office/drawing/2014/main" id="{00000000-0008-0000-0000-000089060000}"/>
            </a:ext>
          </a:extLst>
        </xdr:cNvPr>
        <xdr:cNvPicPr>
          <a:picLocks noChangeAspect="1"/>
        </xdr:cNvPicPr>
      </xdr:nvPicPr>
      <xdr:blipFill>
        <a:blip xmlns:r="http://schemas.openxmlformats.org/officeDocument/2006/relationships" r:embed="rId1650"/>
        <a:stretch>
          <a:fillRect/>
        </a:stretch>
      </xdr:blipFill>
      <xdr:spPr>
        <a:prstGeom prst="rect">
          <a:avLst/>
        </a:prstGeom>
        <a:ln w="9525">
          <a:solidFill>
            <a:srgbClr val="000000"/>
          </a:solidFill>
          <a:prstDash val="solid"/>
        </a:ln>
      </xdr:spPr>
    </xdr:pic>
    <xdr:clientData/>
  </xdr:twoCellAnchor>
  <xdr:twoCellAnchor>
    <xdr:from>
      <xdr:col>3</xdr:col>
      <xdr:colOff>114300</xdr:colOff>
      <xdr:row>5011</xdr:row>
      <xdr:rowOff>28575</xdr:rowOff>
    </xdr:from>
    <xdr:to>
      <xdr:col>3</xdr:col>
      <xdr:colOff>1552575</xdr:colOff>
      <xdr:row>5011</xdr:row>
      <xdr:rowOff>1266825</xdr:rowOff>
    </xdr:to>
    <xdr:pic>
      <xdr:nvPicPr>
        <xdr:cNvPr id="1674" name="Имя " descr="Descr ">
          <a:extLst>
            <a:ext uri="{FF2B5EF4-FFF2-40B4-BE49-F238E27FC236}">
              <a16:creationId xmlns:a16="http://schemas.microsoft.com/office/drawing/2014/main" id="{00000000-0008-0000-0000-00008A060000}"/>
            </a:ext>
          </a:extLst>
        </xdr:cNvPr>
        <xdr:cNvPicPr>
          <a:picLocks noChangeAspect="1"/>
        </xdr:cNvPicPr>
      </xdr:nvPicPr>
      <xdr:blipFill>
        <a:blip xmlns:r="http://schemas.openxmlformats.org/officeDocument/2006/relationships" r:embed="rId1651"/>
        <a:stretch>
          <a:fillRect/>
        </a:stretch>
      </xdr:blipFill>
      <xdr:spPr>
        <a:prstGeom prst="rect">
          <a:avLst/>
        </a:prstGeom>
        <a:ln w="9525">
          <a:solidFill>
            <a:srgbClr val="000000"/>
          </a:solidFill>
          <a:prstDash val="solid"/>
        </a:ln>
      </xdr:spPr>
    </xdr:pic>
    <xdr:clientData/>
  </xdr:twoCellAnchor>
  <xdr:twoCellAnchor>
    <xdr:from>
      <xdr:col>3</xdr:col>
      <xdr:colOff>114300</xdr:colOff>
      <xdr:row>5012</xdr:row>
      <xdr:rowOff>28575</xdr:rowOff>
    </xdr:from>
    <xdr:to>
      <xdr:col>3</xdr:col>
      <xdr:colOff>1552575</xdr:colOff>
      <xdr:row>5012</xdr:row>
      <xdr:rowOff>1266825</xdr:rowOff>
    </xdr:to>
    <xdr:pic>
      <xdr:nvPicPr>
        <xdr:cNvPr id="1675" name="Имя " descr="Descr ">
          <a:extLst>
            <a:ext uri="{FF2B5EF4-FFF2-40B4-BE49-F238E27FC236}">
              <a16:creationId xmlns:a16="http://schemas.microsoft.com/office/drawing/2014/main" id="{00000000-0008-0000-0000-00008B060000}"/>
            </a:ext>
          </a:extLst>
        </xdr:cNvPr>
        <xdr:cNvPicPr>
          <a:picLocks noChangeAspect="1"/>
        </xdr:cNvPicPr>
      </xdr:nvPicPr>
      <xdr:blipFill>
        <a:blip xmlns:r="http://schemas.openxmlformats.org/officeDocument/2006/relationships" r:embed="rId1652"/>
        <a:stretch>
          <a:fillRect/>
        </a:stretch>
      </xdr:blipFill>
      <xdr:spPr>
        <a:prstGeom prst="rect">
          <a:avLst/>
        </a:prstGeom>
        <a:ln w="9525">
          <a:solidFill>
            <a:srgbClr val="000000"/>
          </a:solidFill>
          <a:prstDash val="solid"/>
        </a:ln>
      </xdr:spPr>
    </xdr:pic>
    <xdr:clientData/>
  </xdr:twoCellAnchor>
  <xdr:twoCellAnchor>
    <xdr:from>
      <xdr:col>3</xdr:col>
      <xdr:colOff>114300</xdr:colOff>
      <xdr:row>5013</xdr:row>
      <xdr:rowOff>28575</xdr:rowOff>
    </xdr:from>
    <xdr:to>
      <xdr:col>3</xdr:col>
      <xdr:colOff>1552575</xdr:colOff>
      <xdr:row>5013</xdr:row>
      <xdr:rowOff>1266825</xdr:rowOff>
    </xdr:to>
    <xdr:pic>
      <xdr:nvPicPr>
        <xdr:cNvPr id="1676" name="Имя " descr="Descr ">
          <a:extLst>
            <a:ext uri="{FF2B5EF4-FFF2-40B4-BE49-F238E27FC236}">
              <a16:creationId xmlns:a16="http://schemas.microsoft.com/office/drawing/2014/main" id="{00000000-0008-0000-0000-00008C060000}"/>
            </a:ext>
          </a:extLst>
        </xdr:cNvPr>
        <xdr:cNvPicPr>
          <a:picLocks noChangeAspect="1"/>
        </xdr:cNvPicPr>
      </xdr:nvPicPr>
      <xdr:blipFill>
        <a:blip xmlns:r="http://schemas.openxmlformats.org/officeDocument/2006/relationships" r:embed="rId1653"/>
        <a:stretch>
          <a:fillRect/>
        </a:stretch>
      </xdr:blipFill>
      <xdr:spPr>
        <a:prstGeom prst="rect">
          <a:avLst/>
        </a:prstGeom>
        <a:ln w="9525">
          <a:solidFill>
            <a:srgbClr val="000000"/>
          </a:solidFill>
          <a:prstDash val="solid"/>
        </a:ln>
      </xdr:spPr>
    </xdr:pic>
    <xdr:clientData/>
  </xdr:twoCellAnchor>
  <xdr:twoCellAnchor>
    <xdr:from>
      <xdr:col>3</xdr:col>
      <xdr:colOff>114300</xdr:colOff>
      <xdr:row>5014</xdr:row>
      <xdr:rowOff>28575</xdr:rowOff>
    </xdr:from>
    <xdr:to>
      <xdr:col>3</xdr:col>
      <xdr:colOff>1552575</xdr:colOff>
      <xdr:row>5014</xdr:row>
      <xdr:rowOff>1266825</xdr:rowOff>
    </xdr:to>
    <xdr:pic>
      <xdr:nvPicPr>
        <xdr:cNvPr id="1677" name="Имя " descr="Descr ">
          <a:extLst>
            <a:ext uri="{FF2B5EF4-FFF2-40B4-BE49-F238E27FC236}">
              <a16:creationId xmlns:a16="http://schemas.microsoft.com/office/drawing/2014/main" id="{00000000-0008-0000-0000-00008D060000}"/>
            </a:ext>
          </a:extLst>
        </xdr:cNvPr>
        <xdr:cNvPicPr>
          <a:picLocks noChangeAspect="1"/>
        </xdr:cNvPicPr>
      </xdr:nvPicPr>
      <xdr:blipFill>
        <a:blip xmlns:r="http://schemas.openxmlformats.org/officeDocument/2006/relationships" r:embed="rId1654"/>
        <a:stretch>
          <a:fillRect/>
        </a:stretch>
      </xdr:blipFill>
      <xdr:spPr>
        <a:prstGeom prst="rect">
          <a:avLst/>
        </a:prstGeom>
        <a:ln w="9525">
          <a:solidFill>
            <a:srgbClr val="000000"/>
          </a:solidFill>
          <a:prstDash val="solid"/>
        </a:ln>
      </xdr:spPr>
    </xdr:pic>
    <xdr:clientData/>
  </xdr:twoCellAnchor>
  <xdr:twoCellAnchor>
    <xdr:from>
      <xdr:col>3</xdr:col>
      <xdr:colOff>114300</xdr:colOff>
      <xdr:row>5015</xdr:row>
      <xdr:rowOff>28575</xdr:rowOff>
    </xdr:from>
    <xdr:to>
      <xdr:col>3</xdr:col>
      <xdr:colOff>1552575</xdr:colOff>
      <xdr:row>5015</xdr:row>
      <xdr:rowOff>1266825</xdr:rowOff>
    </xdr:to>
    <xdr:pic>
      <xdr:nvPicPr>
        <xdr:cNvPr id="1678" name="Имя " descr="Descr ">
          <a:extLst>
            <a:ext uri="{FF2B5EF4-FFF2-40B4-BE49-F238E27FC236}">
              <a16:creationId xmlns:a16="http://schemas.microsoft.com/office/drawing/2014/main" id="{00000000-0008-0000-0000-00008E060000}"/>
            </a:ext>
          </a:extLst>
        </xdr:cNvPr>
        <xdr:cNvPicPr>
          <a:picLocks noChangeAspect="1"/>
        </xdr:cNvPicPr>
      </xdr:nvPicPr>
      <xdr:blipFill>
        <a:blip xmlns:r="http://schemas.openxmlformats.org/officeDocument/2006/relationships" r:embed="rId1655"/>
        <a:stretch>
          <a:fillRect/>
        </a:stretch>
      </xdr:blipFill>
      <xdr:spPr>
        <a:prstGeom prst="rect">
          <a:avLst/>
        </a:prstGeom>
        <a:ln w="9525">
          <a:solidFill>
            <a:srgbClr val="000000"/>
          </a:solidFill>
          <a:prstDash val="solid"/>
        </a:ln>
      </xdr:spPr>
    </xdr:pic>
    <xdr:clientData/>
  </xdr:twoCellAnchor>
  <xdr:twoCellAnchor>
    <xdr:from>
      <xdr:col>3</xdr:col>
      <xdr:colOff>114300</xdr:colOff>
      <xdr:row>5016</xdr:row>
      <xdr:rowOff>28575</xdr:rowOff>
    </xdr:from>
    <xdr:to>
      <xdr:col>3</xdr:col>
      <xdr:colOff>1552575</xdr:colOff>
      <xdr:row>5016</xdr:row>
      <xdr:rowOff>1266825</xdr:rowOff>
    </xdr:to>
    <xdr:pic>
      <xdr:nvPicPr>
        <xdr:cNvPr id="1679" name="Имя " descr="Descr ">
          <a:extLst>
            <a:ext uri="{FF2B5EF4-FFF2-40B4-BE49-F238E27FC236}">
              <a16:creationId xmlns:a16="http://schemas.microsoft.com/office/drawing/2014/main" id="{00000000-0008-0000-0000-00008F060000}"/>
            </a:ext>
          </a:extLst>
        </xdr:cNvPr>
        <xdr:cNvPicPr>
          <a:picLocks noChangeAspect="1"/>
        </xdr:cNvPicPr>
      </xdr:nvPicPr>
      <xdr:blipFill>
        <a:blip xmlns:r="http://schemas.openxmlformats.org/officeDocument/2006/relationships" r:embed="rId1656"/>
        <a:stretch>
          <a:fillRect/>
        </a:stretch>
      </xdr:blipFill>
      <xdr:spPr>
        <a:prstGeom prst="rect">
          <a:avLst/>
        </a:prstGeom>
        <a:ln w="9525">
          <a:solidFill>
            <a:srgbClr val="000000"/>
          </a:solidFill>
          <a:prstDash val="solid"/>
        </a:ln>
      </xdr:spPr>
    </xdr:pic>
    <xdr:clientData/>
  </xdr:twoCellAnchor>
  <xdr:twoCellAnchor>
    <xdr:from>
      <xdr:col>3</xdr:col>
      <xdr:colOff>114300</xdr:colOff>
      <xdr:row>5017</xdr:row>
      <xdr:rowOff>38100</xdr:rowOff>
    </xdr:from>
    <xdr:to>
      <xdr:col>3</xdr:col>
      <xdr:colOff>1552575</xdr:colOff>
      <xdr:row>5018</xdr:row>
      <xdr:rowOff>638175</xdr:rowOff>
    </xdr:to>
    <xdr:pic>
      <xdr:nvPicPr>
        <xdr:cNvPr id="1680" name="Имя " descr="Descr ">
          <a:extLst>
            <a:ext uri="{FF2B5EF4-FFF2-40B4-BE49-F238E27FC236}">
              <a16:creationId xmlns:a16="http://schemas.microsoft.com/office/drawing/2014/main" id="{00000000-0008-0000-0000-000090060000}"/>
            </a:ext>
          </a:extLst>
        </xdr:cNvPr>
        <xdr:cNvPicPr>
          <a:picLocks noChangeAspect="1"/>
        </xdr:cNvPicPr>
      </xdr:nvPicPr>
      <xdr:blipFill>
        <a:blip xmlns:r="http://schemas.openxmlformats.org/officeDocument/2006/relationships" r:embed="rId1657"/>
        <a:stretch>
          <a:fillRect/>
        </a:stretch>
      </xdr:blipFill>
      <xdr:spPr>
        <a:prstGeom prst="rect">
          <a:avLst/>
        </a:prstGeom>
        <a:ln w="9525">
          <a:solidFill>
            <a:srgbClr val="000000"/>
          </a:solidFill>
          <a:prstDash val="solid"/>
        </a:ln>
      </xdr:spPr>
    </xdr:pic>
    <xdr:clientData/>
  </xdr:twoCellAnchor>
  <xdr:twoCellAnchor>
    <xdr:from>
      <xdr:col>3</xdr:col>
      <xdr:colOff>114300</xdr:colOff>
      <xdr:row>5019</xdr:row>
      <xdr:rowOff>28575</xdr:rowOff>
    </xdr:from>
    <xdr:to>
      <xdr:col>3</xdr:col>
      <xdr:colOff>1552575</xdr:colOff>
      <xdr:row>5019</xdr:row>
      <xdr:rowOff>1266825</xdr:rowOff>
    </xdr:to>
    <xdr:pic>
      <xdr:nvPicPr>
        <xdr:cNvPr id="1681" name="Имя " descr="Descr ">
          <a:extLst>
            <a:ext uri="{FF2B5EF4-FFF2-40B4-BE49-F238E27FC236}">
              <a16:creationId xmlns:a16="http://schemas.microsoft.com/office/drawing/2014/main" id="{00000000-0008-0000-0000-000091060000}"/>
            </a:ext>
          </a:extLst>
        </xdr:cNvPr>
        <xdr:cNvPicPr>
          <a:picLocks noChangeAspect="1"/>
        </xdr:cNvPicPr>
      </xdr:nvPicPr>
      <xdr:blipFill>
        <a:blip xmlns:r="http://schemas.openxmlformats.org/officeDocument/2006/relationships" r:embed="rId1658"/>
        <a:stretch>
          <a:fillRect/>
        </a:stretch>
      </xdr:blipFill>
      <xdr:spPr>
        <a:prstGeom prst="rect">
          <a:avLst/>
        </a:prstGeom>
        <a:ln w="9525">
          <a:solidFill>
            <a:srgbClr val="000000"/>
          </a:solidFill>
          <a:prstDash val="solid"/>
        </a:ln>
      </xdr:spPr>
    </xdr:pic>
    <xdr:clientData/>
  </xdr:twoCellAnchor>
  <xdr:twoCellAnchor>
    <xdr:from>
      <xdr:col>3</xdr:col>
      <xdr:colOff>114300</xdr:colOff>
      <xdr:row>5020</xdr:row>
      <xdr:rowOff>28575</xdr:rowOff>
    </xdr:from>
    <xdr:to>
      <xdr:col>3</xdr:col>
      <xdr:colOff>1552575</xdr:colOff>
      <xdr:row>5020</xdr:row>
      <xdr:rowOff>1266825</xdr:rowOff>
    </xdr:to>
    <xdr:pic>
      <xdr:nvPicPr>
        <xdr:cNvPr id="1682" name="Имя " descr="Descr ">
          <a:extLst>
            <a:ext uri="{FF2B5EF4-FFF2-40B4-BE49-F238E27FC236}">
              <a16:creationId xmlns:a16="http://schemas.microsoft.com/office/drawing/2014/main" id="{00000000-0008-0000-0000-000092060000}"/>
            </a:ext>
          </a:extLst>
        </xdr:cNvPr>
        <xdr:cNvPicPr>
          <a:picLocks noChangeAspect="1"/>
        </xdr:cNvPicPr>
      </xdr:nvPicPr>
      <xdr:blipFill>
        <a:blip xmlns:r="http://schemas.openxmlformats.org/officeDocument/2006/relationships" r:embed="rId1659"/>
        <a:stretch>
          <a:fillRect/>
        </a:stretch>
      </xdr:blipFill>
      <xdr:spPr>
        <a:prstGeom prst="rect">
          <a:avLst/>
        </a:prstGeom>
        <a:ln w="9525">
          <a:solidFill>
            <a:srgbClr val="000000"/>
          </a:solidFill>
          <a:prstDash val="solid"/>
        </a:ln>
      </xdr:spPr>
    </xdr:pic>
    <xdr:clientData/>
  </xdr:twoCellAnchor>
  <xdr:twoCellAnchor>
    <xdr:from>
      <xdr:col>3</xdr:col>
      <xdr:colOff>114300</xdr:colOff>
      <xdr:row>5021</xdr:row>
      <xdr:rowOff>28575</xdr:rowOff>
    </xdr:from>
    <xdr:to>
      <xdr:col>3</xdr:col>
      <xdr:colOff>1552575</xdr:colOff>
      <xdr:row>5021</xdr:row>
      <xdr:rowOff>1266825</xdr:rowOff>
    </xdr:to>
    <xdr:pic>
      <xdr:nvPicPr>
        <xdr:cNvPr id="1683" name="Имя " descr="Descr ">
          <a:extLst>
            <a:ext uri="{FF2B5EF4-FFF2-40B4-BE49-F238E27FC236}">
              <a16:creationId xmlns:a16="http://schemas.microsoft.com/office/drawing/2014/main" id="{00000000-0008-0000-0000-000093060000}"/>
            </a:ext>
          </a:extLst>
        </xdr:cNvPr>
        <xdr:cNvPicPr>
          <a:picLocks noChangeAspect="1"/>
        </xdr:cNvPicPr>
      </xdr:nvPicPr>
      <xdr:blipFill>
        <a:blip xmlns:r="http://schemas.openxmlformats.org/officeDocument/2006/relationships" r:embed="rId1660"/>
        <a:stretch>
          <a:fillRect/>
        </a:stretch>
      </xdr:blipFill>
      <xdr:spPr>
        <a:prstGeom prst="rect">
          <a:avLst/>
        </a:prstGeom>
        <a:ln w="9525">
          <a:solidFill>
            <a:srgbClr val="000000"/>
          </a:solidFill>
          <a:prstDash val="solid"/>
        </a:ln>
      </xdr:spPr>
    </xdr:pic>
    <xdr:clientData/>
  </xdr:twoCellAnchor>
  <xdr:twoCellAnchor>
    <xdr:from>
      <xdr:col>3</xdr:col>
      <xdr:colOff>114300</xdr:colOff>
      <xdr:row>5022</xdr:row>
      <xdr:rowOff>28575</xdr:rowOff>
    </xdr:from>
    <xdr:to>
      <xdr:col>3</xdr:col>
      <xdr:colOff>1552575</xdr:colOff>
      <xdr:row>5022</xdr:row>
      <xdr:rowOff>1266825</xdr:rowOff>
    </xdr:to>
    <xdr:pic>
      <xdr:nvPicPr>
        <xdr:cNvPr id="1684" name="Имя " descr="Descr ">
          <a:extLst>
            <a:ext uri="{FF2B5EF4-FFF2-40B4-BE49-F238E27FC236}">
              <a16:creationId xmlns:a16="http://schemas.microsoft.com/office/drawing/2014/main" id="{00000000-0008-0000-0000-000094060000}"/>
            </a:ext>
          </a:extLst>
        </xdr:cNvPr>
        <xdr:cNvPicPr>
          <a:picLocks noChangeAspect="1"/>
        </xdr:cNvPicPr>
      </xdr:nvPicPr>
      <xdr:blipFill>
        <a:blip xmlns:r="http://schemas.openxmlformats.org/officeDocument/2006/relationships" r:embed="rId1661"/>
        <a:stretch>
          <a:fillRect/>
        </a:stretch>
      </xdr:blipFill>
      <xdr:spPr>
        <a:prstGeom prst="rect">
          <a:avLst/>
        </a:prstGeom>
        <a:ln w="9525">
          <a:solidFill>
            <a:srgbClr val="000000"/>
          </a:solidFill>
          <a:prstDash val="solid"/>
        </a:ln>
      </xdr:spPr>
    </xdr:pic>
    <xdr:clientData/>
  </xdr:twoCellAnchor>
  <xdr:twoCellAnchor>
    <xdr:from>
      <xdr:col>3</xdr:col>
      <xdr:colOff>114300</xdr:colOff>
      <xdr:row>5023</xdr:row>
      <xdr:rowOff>28575</xdr:rowOff>
    </xdr:from>
    <xdr:to>
      <xdr:col>3</xdr:col>
      <xdr:colOff>1552575</xdr:colOff>
      <xdr:row>5023</xdr:row>
      <xdr:rowOff>1266825</xdr:rowOff>
    </xdr:to>
    <xdr:pic>
      <xdr:nvPicPr>
        <xdr:cNvPr id="1685" name="Имя " descr="Descr ">
          <a:extLst>
            <a:ext uri="{FF2B5EF4-FFF2-40B4-BE49-F238E27FC236}">
              <a16:creationId xmlns:a16="http://schemas.microsoft.com/office/drawing/2014/main" id="{00000000-0008-0000-0000-000095060000}"/>
            </a:ext>
          </a:extLst>
        </xdr:cNvPr>
        <xdr:cNvPicPr>
          <a:picLocks noChangeAspect="1"/>
        </xdr:cNvPicPr>
      </xdr:nvPicPr>
      <xdr:blipFill>
        <a:blip xmlns:r="http://schemas.openxmlformats.org/officeDocument/2006/relationships" r:embed="rId1662"/>
        <a:stretch>
          <a:fillRect/>
        </a:stretch>
      </xdr:blipFill>
      <xdr:spPr>
        <a:prstGeom prst="rect">
          <a:avLst/>
        </a:prstGeom>
        <a:ln w="9525">
          <a:solidFill>
            <a:srgbClr val="000000"/>
          </a:solidFill>
          <a:prstDash val="solid"/>
        </a:ln>
      </xdr:spPr>
    </xdr:pic>
    <xdr:clientData/>
  </xdr:twoCellAnchor>
  <xdr:twoCellAnchor>
    <xdr:from>
      <xdr:col>3</xdr:col>
      <xdr:colOff>114300</xdr:colOff>
      <xdr:row>5024</xdr:row>
      <xdr:rowOff>28575</xdr:rowOff>
    </xdr:from>
    <xdr:to>
      <xdr:col>3</xdr:col>
      <xdr:colOff>1552575</xdr:colOff>
      <xdr:row>5024</xdr:row>
      <xdr:rowOff>1266825</xdr:rowOff>
    </xdr:to>
    <xdr:pic>
      <xdr:nvPicPr>
        <xdr:cNvPr id="1686" name="Имя " descr="Descr ">
          <a:extLst>
            <a:ext uri="{FF2B5EF4-FFF2-40B4-BE49-F238E27FC236}">
              <a16:creationId xmlns:a16="http://schemas.microsoft.com/office/drawing/2014/main" id="{00000000-0008-0000-0000-000096060000}"/>
            </a:ext>
          </a:extLst>
        </xdr:cNvPr>
        <xdr:cNvPicPr>
          <a:picLocks noChangeAspect="1"/>
        </xdr:cNvPicPr>
      </xdr:nvPicPr>
      <xdr:blipFill>
        <a:blip xmlns:r="http://schemas.openxmlformats.org/officeDocument/2006/relationships" r:embed="rId1663"/>
        <a:stretch>
          <a:fillRect/>
        </a:stretch>
      </xdr:blipFill>
      <xdr:spPr>
        <a:prstGeom prst="rect">
          <a:avLst/>
        </a:prstGeom>
        <a:ln w="9525">
          <a:solidFill>
            <a:srgbClr val="000000"/>
          </a:solidFill>
          <a:prstDash val="solid"/>
        </a:ln>
      </xdr:spPr>
    </xdr:pic>
    <xdr:clientData/>
  </xdr:twoCellAnchor>
  <xdr:twoCellAnchor>
    <xdr:from>
      <xdr:col>3</xdr:col>
      <xdr:colOff>114300</xdr:colOff>
      <xdr:row>5025</xdr:row>
      <xdr:rowOff>28575</xdr:rowOff>
    </xdr:from>
    <xdr:to>
      <xdr:col>3</xdr:col>
      <xdr:colOff>1552575</xdr:colOff>
      <xdr:row>5025</xdr:row>
      <xdr:rowOff>1266825</xdr:rowOff>
    </xdr:to>
    <xdr:pic>
      <xdr:nvPicPr>
        <xdr:cNvPr id="1687" name="Имя " descr="Descr ">
          <a:extLst>
            <a:ext uri="{FF2B5EF4-FFF2-40B4-BE49-F238E27FC236}">
              <a16:creationId xmlns:a16="http://schemas.microsoft.com/office/drawing/2014/main" id="{00000000-0008-0000-0000-000097060000}"/>
            </a:ext>
          </a:extLst>
        </xdr:cNvPr>
        <xdr:cNvPicPr>
          <a:picLocks noChangeAspect="1"/>
        </xdr:cNvPicPr>
      </xdr:nvPicPr>
      <xdr:blipFill>
        <a:blip xmlns:r="http://schemas.openxmlformats.org/officeDocument/2006/relationships" r:embed="rId1664"/>
        <a:stretch>
          <a:fillRect/>
        </a:stretch>
      </xdr:blipFill>
      <xdr:spPr>
        <a:prstGeom prst="rect">
          <a:avLst/>
        </a:prstGeom>
        <a:ln w="9525">
          <a:solidFill>
            <a:srgbClr val="000000"/>
          </a:solidFill>
          <a:prstDash val="solid"/>
        </a:ln>
      </xdr:spPr>
    </xdr:pic>
    <xdr:clientData/>
  </xdr:twoCellAnchor>
  <xdr:twoCellAnchor>
    <xdr:from>
      <xdr:col>3</xdr:col>
      <xdr:colOff>114300</xdr:colOff>
      <xdr:row>5026</xdr:row>
      <xdr:rowOff>28575</xdr:rowOff>
    </xdr:from>
    <xdr:to>
      <xdr:col>3</xdr:col>
      <xdr:colOff>1552575</xdr:colOff>
      <xdr:row>5026</xdr:row>
      <xdr:rowOff>1266825</xdr:rowOff>
    </xdr:to>
    <xdr:pic>
      <xdr:nvPicPr>
        <xdr:cNvPr id="1688" name="Имя " descr="Descr ">
          <a:extLst>
            <a:ext uri="{FF2B5EF4-FFF2-40B4-BE49-F238E27FC236}">
              <a16:creationId xmlns:a16="http://schemas.microsoft.com/office/drawing/2014/main" id="{00000000-0008-0000-0000-000098060000}"/>
            </a:ext>
          </a:extLst>
        </xdr:cNvPr>
        <xdr:cNvPicPr>
          <a:picLocks noChangeAspect="1"/>
        </xdr:cNvPicPr>
      </xdr:nvPicPr>
      <xdr:blipFill>
        <a:blip xmlns:r="http://schemas.openxmlformats.org/officeDocument/2006/relationships" r:embed="rId1665"/>
        <a:stretch>
          <a:fillRect/>
        </a:stretch>
      </xdr:blipFill>
      <xdr:spPr>
        <a:prstGeom prst="rect">
          <a:avLst/>
        </a:prstGeom>
        <a:ln w="9525">
          <a:solidFill>
            <a:srgbClr val="000000"/>
          </a:solidFill>
          <a:prstDash val="solid"/>
        </a:ln>
      </xdr:spPr>
    </xdr:pic>
    <xdr:clientData/>
  </xdr:twoCellAnchor>
  <xdr:twoCellAnchor>
    <xdr:from>
      <xdr:col>3</xdr:col>
      <xdr:colOff>114300</xdr:colOff>
      <xdr:row>5027</xdr:row>
      <xdr:rowOff>28575</xdr:rowOff>
    </xdr:from>
    <xdr:to>
      <xdr:col>3</xdr:col>
      <xdr:colOff>1552575</xdr:colOff>
      <xdr:row>5027</xdr:row>
      <xdr:rowOff>1266825</xdr:rowOff>
    </xdr:to>
    <xdr:pic>
      <xdr:nvPicPr>
        <xdr:cNvPr id="1689" name="Имя " descr="Descr ">
          <a:extLst>
            <a:ext uri="{FF2B5EF4-FFF2-40B4-BE49-F238E27FC236}">
              <a16:creationId xmlns:a16="http://schemas.microsoft.com/office/drawing/2014/main" id="{00000000-0008-0000-0000-000099060000}"/>
            </a:ext>
          </a:extLst>
        </xdr:cNvPr>
        <xdr:cNvPicPr>
          <a:picLocks noChangeAspect="1"/>
        </xdr:cNvPicPr>
      </xdr:nvPicPr>
      <xdr:blipFill>
        <a:blip xmlns:r="http://schemas.openxmlformats.org/officeDocument/2006/relationships" r:embed="rId1666"/>
        <a:stretch>
          <a:fillRect/>
        </a:stretch>
      </xdr:blipFill>
      <xdr:spPr>
        <a:prstGeom prst="rect">
          <a:avLst/>
        </a:prstGeom>
        <a:ln w="9525">
          <a:solidFill>
            <a:srgbClr val="000000"/>
          </a:solidFill>
          <a:prstDash val="solid"/>
        </a:ln>
      </xdr:spPr>
    </xdr:pic>
    <xdr:clientData/>
  </xdr:twoCellAnchor>
  <xdr:twoCellAnchor>
    <xdr:from>
      <xdr:col>3</xdr:col>
      <xdr:colOff>114300</xdr:colOff>
      <xdr:row>5028</xdr:row>
      <xdr:rowOff>28575</xdr:rowOff>
    </xdr:from>
    <xdr:to>
      <xdr:col>3</xdr:col>
      <xdr:colOff>1552575</xdr:colOff>
      <xdr:row>5028</xdr:row>
      <xdr:rowOff>1266825</xdr:rowOff>
    </xdr:to>
    <xdr:pic>
      <xdr:nvPicPr>
        <xdr:cNvPr id="1690" name="Имя " descr="Descr ">
          <a:extLst>
            <a:ext uri="{FF2B5EF4-FFF2-40B4-BE49-F238E27FC236}">
              <a16:creationId xmlns:a16="http://schemas.microsoft.com/office/drawing/2014/main" id="{00000000-0008-0000-0000-00009A060000}"/>
            </a:ext>
          </a:extLst>
        </xdr:cNvPr>
        <xdr:cNvPicPr>
          <a:picLocks noChangeAspect="1"/>
        </xdr:cNvPicPr>
      </xdr:nvPicPr>
      <xdr:blipFill>
        <a:blip xmlns:r="http://schemas.openxmlformats.org/officeDocument/2006/relationships" r:embed="rId1667"/>
        <a:stretch>
          <a:fillRect/>
        </a:stretch>
      </xdr:blipFill>
      <xdr:spPr>
        <a:prstGeom prst="rect">
          <a:avLst/>
        </a:prstGeom>
        <a:ln w="9525">
          <a:solidFill>
            <a:srgbClr val="000000"/>
          </a:solidFill>
          <a:prstDash val="solid"/>
        </a:ln>
      </xdr:spPr>
    </xdr:pic>
    <xdr:clientData/>
  </xdr:twoCellAnchor>
  <xdr:twoCellAnchor>
    <xdr:from>
      <xdr:col>3</xdr:col>
      <xdr:colOff>114300</xdr:colOff>
      <xdr:row>5029</xdr:row>
      <xdr:rowOff>28575</xdr:rowOff>
    </xdr:from>
    <xdr:to>
      <xdr:col>3</xdr:col>
      <xdr:colOff>1552575</xdr:colOff>
      <xdr:row>5032</xdr:row>
      <xdr:rowOff>209550</xdr:rowOff>
    </xdr:to>
    <xdr:pic>
      <xdr:nvPicPr>
        <xdr:cNvPr id="1691" name="Имя " descr="Descr ">
          <a:extLst>
            <a:ext uri="{FF2B5EF4-FFF2-40B4-BE49-F238E27FC236}">
              <a16:creationId xmlns:a16="http://schemas.microsoft.com/office/drawing/2014/main" id="{00000000-0008-0000-0000-00009B060000}"/>
            </a:ext>
          </a:extLst>
        </xdr:cNvPr>
        <xdr:cNvPicPr>
          <a:picLocks noChangeAspect="1"/>
        </xdr:cNvPicPr>
      </xdr:nvPicPr>
      <xdr:blipFill>
        <a:blip xmlns:r="http://schemas.openxmlformats.org/officeDocument/2006/relationships" r:embed="rId1668"/>
        <a:stretch>
          <a:fillRect/>
        </a:stretch>
      </xdr:blipFill>
      <xdr:spPr>
        <a:prstGeom prst="rect">
          <a:avLst/>
        </a:prstGeom>
        <a:ln w="9525">
          <a:solidFill>
            <a:srgbClr val="000000"/>
          </a:solidFill>
          <a:prstDash val="solid"/>
        </a:ln>
      </xdr:spPr>
    </xdr:pic>
    <xdr:clientData/>
  </xdr:twoCellAnchor>
  <xdr:twoCellAnchor>
    <xdr:from>
      <xdr:col>3</xdr:col>
      <xdr:colOff>114300</xdr:colOff>
      <xdr:row>5033</xdr:row>
      <xdr:rowOff>28575</xdr:rowOff>
    </xdr:from>
    <xdr:to>
      <xdr:col>3</xdr:col>
      <xdr:colOff>1552575</xdr:colOff>
      <xdr:row>5033</xdr:row>
      <xdr:rowOff>1266825</xdr:rowOff>
    </xdr:to>
    <xdr:pic>
      <xdr:nvPicPr>
        <xdr:cNvPr id="1692" name="Имя " descr="Descr ">
          <a:extLst>
            <a:ext uri="{FF2B5EF4-FFF2-40B4-BE49-F238E27FC236}">
              <a16:creationId xmlns:a16="http://schemas.microsoft.com/office/drawing/2014/main" id="{00000000-0008-0000-0000-00009C060000}"/>
            </a:ext>
          </a:extLst>
        </xdr:cNvPr>
        <xdr:cNvPicPr>
          <a:picLocks noChangeAspect="1"/>
        </xdr:cNvPicPr>
      </xdr:nvPicPr>
      <xdr:blipFill>
        <a:blip xmlns:r="http://schemas.openxmlformats.org/officeDocument/2006/relationships" r:embed="rId1669"/>
        <a:stretch>
          <a:fillRect/>
        </a:stretch>
      </xdr:blipFill>
      <xdr:spPr>
        <a:prstGeom prst="rect">
          <a:avLst/>
        </a:prstGeom>
        <a:ln w="9525">
          <a:solidFill>
            <a:srgbClr val="000000"/>
          </a:solidFill>
          <a:prstDash val="solid"/>
        </a:ln>
      </xdr:spPr>
    </xdr:pic>
    <xdr:clientData/>
  </xdr:twoCellAnchor>
  <xdr:twoCellAnchor>
    <xdr:from>
      <xdr:col>3</xdr:col>
      <xdr:colOff>114300</xdr:colOff>
      <xdr:row>5034</xdr:row>
      <xdr:rowOff>28575</xdr:rowOff>
    </xdr:from>
    <xdr:to>
      <xdr:col>3</xdr:col>
      <xdr:colOff>1552575</xdr:colOff>
      <xdr:row>5034</xdr:row>
      <xdr:rowOff>1266825</xdr:rowOff>
    </xdr:to>
    <xdr:pic>
      <xdr:nvPicPr>
        <xdr:cNvPr id="1693" name="Имя " descr="Descr ">
          <a:extLst>
            <a:ext uri="{FF2B5EF4-FFF2-40B4-BE49-F238E27FC236}">
              <a16:creationId xmlns:a16="http://schemas.microsoft.com/office/drawing/2014/main" id="{00000000-0008-0000-0000-00009D060000}"/>
            </a:ext>
          </a:extLst>
        </xdr:cNvPr>
        <xdr:cNvPicPr>
          <a:picLocks noChangeAspect="1"/>
        </xdr:cNvPicPr>
      </xdr:nvPicPr>
      <xdr:blipFill>
        <a:blip xmlns:r="http://schemas.openxmlformats.org/officeDocument/2006/relationships" r:embed="rId1670"/>
        <a:stretch>
          <a:fillRect/>
        </a:stretch>
      </xdr:blipFill>
      <xdr:spPr>
        <a:prstGeom prst="rect">
          <a:avLst/>
        </a:prstGeom>
        <a:ln w="9525">
          <a:solidFill>
            <a:srgbClr val="000000"/>
          </a:solidFill>
          <a:prstDash val="solid"/>
        </a:ln>
      </xdr:spPr>
    </xdr:pic>
    <xdr:clientData/>
  </xdr:twoCellAnchor>
  <xdr:twoCellAnchor>
    <xdr:from>
      <xdr:col>3</xdr:col>
      <xdr:colOff>114300</xdr:colOff>
      <xdr:row>5035</xdr:row>
      <xdr:rowOff>38100</xdr:rowOff>
    </xdr:from>
    <xdr:to>
      <xdr:col>3</xdr:col>
      <xdr:colOff>1552575</xdr:colOff>
      <xdr:row>5036</xdr:row>
      <xdr:rowOff>638175</xdr:rowOff>
    </xdr:to>
    <xdr:pic>
      <xdr:nvPicPr>
        <xdr:cNvPr id="1694" name="Имя " descr="Descr ">
          <a:extLst>
            <a:ext uri="{FF2B5EF4-FFF2-40B4-BE49-F238E27FC236}">
              <a16:creationId xmlns:a16="http://schemas.microsoft.com/office/drawing/2014/main" id="{00000000-0008-0000-0000-00009E060000}"/>
            </a:ext>
          </a:extLst>
        </xdr:cNvPr>
        <xdr:cNvPicPr>
          <a:picLocks noChangeAspect="1"/>
        </xdr:cNvPicPr>
      </xdr:nvPicPr>
      <xdr:blipFill>
        <a:blip xmlns:r="http://schemas.openxmlformats.org/officeDocument/2006/relationships" r:embed="rId1671"/>
        <a:stretch>
          <a:fillRect/>
        </a:stretch>
      </xdr:blipFill>
      <xdr:spPr>
        <a:prstGeom prst="rect">
          <a:avLst/>
        </a:prstGeom>
        <a:ln w="9525">
          <a:solidFill>
            <a:srgbClr val="000000"/>
          </a:solidFill>
          <a:prstDash val="solid"/>
        </a:ln>
      </xdr:spPr>
    </xdr:pic>
    <xdr:clientData/>
  </xdr:twoCellAnchor>
  <xdr:twoCellAnchor>
    <xdr:from>
      <xdr:col>3</xdr:col>
      <xdr:colOff>114300</xdr:colOff>
      <xdr:row>5037</xdr:row>
      <xdr:rowOff>38100</xdr:rowOff>
    </xdr:from>
    <xdr:to>
      <xdr:col>3</xdr:col>
      <xdr:colOff>1552575</xdr:colOff>
      <xdr:row>5038</xdr:row>
      <xdr:rowOff>638175</xdr:rowOff>
    </xdr:to>
    <xdr:pic>
      <xdr:nvPicPr>
        <xdr:cNvPr id="1695" name="Имя " descr="Descr ">
          <a:extLst>
            <a:ext uri="{FF2B5EF4-FFF2-40B4-BE49-F238E27FC236}">
              <a16:creationId xmlns:a16="http://schemas.microsoft.com/office/drawing/2014/main" id="{00000000-0008-0000-0000-00009F060000}"/>
            </a:ext>
          </a:extLst>
        </xdr:cNvPr>
        <xdr:cNvPicPr>
          <a:picLocks noChangeAspect="1"/>
        </xdr:cNvPicPr>
      </xdr:nvPicPr>
      <xdr:blipFill>
        <a:blip xmlns:r="http://schemas.openxmlformats.org/officeDocument/2006/relationships" r:embed="rId1672"/>
        <a:stretch>
          <a:fillRect/>
        </a:stretch>
      </xdr:blipFill>
      <xdr:spPr>
        <a:prstGeom prst="rect">
          <a:avLst/>
        </a:prstGeom>
        <a:ln w="9525">
          <a:solidFill>
            <a:srgbClr val="000000"/>
          </a:solidFill>
          <a:prstDash val="solid"/>
        </a:ln>
      </xdr:spPr>
    </xdr:pic>
    <xdr:clientData/>
  </xdr:twoCellAnchor>
  <xdr:twoCellAnchor>
    <xdr:from>
      <xdr:col>3</xdr:col>
      <xdr:colOff>114300</xdr:colOff>
      <xdr:row>5039</xdr:row>
      <xdr:rowOff>38100</xdr:rowOff>
    </xdr:from>
    <xdr:to>
      <xdr:col>3</xdr:col>
      <xdr:colOff>1552575</xdr:colOff>
      <xdr:row>5040</xdr:row>
      <xdr:rowOff>638175</xdr:rowOff>
    </xdr:to>
    <xdr:pic>
      <xdr:nvPicPr>
        <xdr:cNvPr id="1696" name="Имя " descr="Descr ">
          <a:extLst>
            <a:ext uri="{FF2B5EF4-FFF2-40B4-BE49-F238E27FC236}">
              <a16:creationId xmlns:a16="http://schemas.microsoft.com/office/drawing/2014/main" id="{00000000-0008-0000-0000-0000A0060000}"/>
            </a:ext>
          </a:extLst>
        </xdr:cNvPr>
        <xdr:cNvPicPr>
          <a:picLocks noChangeAspect="1"/>
        </xdr:cNvPicPr>
      </xdr:nvPicPr>
      <xdr:blipFill>
        <a:blip xmlns:r="http://schemas.openxmlformats.org/officeDocument/2006/relationships" r:embed="rId1673"/>
        <a:stretch>
          <a:fillRect/>
        </a:stretch>
      </xdr:blipFill>
      <xdr:spPr>
        <a:prstGeom prst="rect">
          <a:avLst/>
        </a:prstGeom>
        <a:ln w="9525">
          <a:solidFill>
            <a:srgbClr val="000000"/>
          </a:solidFill>
          <a:prstDash val="solid"/>
        </a:ln>
      </xdr:spPr>
    </xdr:pic>
    <xdr:clientData/>
  </xdr:twoCellAnchor>
  <xdr:twoCellAnchor>
    <xdr:from>
      <xdr:col>3</xdr:col>
      <xdr:colOff>114300</xdr:colOff>
      <xdr:row>5041</xdr:row>
      <xdr:rowOff>28575</xdr:rowOff>
    </xdr:from>
    <xdr:to>
      <xdr:col>3</xdr:col>
      <xdr:colOff>1552575</xdr:colOff>
      <xdr:row>5041</xdr:row>
      <xdr:rowOff>1266825</xdr:rowOff>
    </xdr:to>
    <xdr:pic>
      <xdr:nvPicPr>
        <xdr:cNvPr id="1697" name="Имя " descr="Descr ">
          <a:extLst>
            <a:ext uri="{FF2B5EF4-FFF2-40B4-BE49-F238E27FC236}">
              <a16:creationId xmlns:a16="http://schemas.microsoft.com/office/drawing/2014/main" id="{00000000-0008-0000-0000-0000A1060000}"/>
            </a:ext>
          </a:extLst>
        </xdr:cNvPr>
        <xdr:cNvPicPr>
          <a:picLocks noChangeAspect="1"/>
        </xdr:cNvPicPr>
      </xdr:nvPicPr>
      <xdr:blipFill>
        <a:blip xmlns:r="http://schemas.openxmlformats.org/officeDocument/2006/relationships" r:embed="rId1674"/>
        <a:stretch>
          <a:fillRect/>
        </a:stretch>
      </xdr:blipFill>
      <xdr:spPr>
        <a:prstGeom prst="rect">
          <a:avLst/>
        </a:prstGeom>
        <a:ln w="9525">
          <a:solidFill>
            <a:srgbClr val="000000"/>
          </a:solidFill>
          <a:prstDash val="solid"/>
        </a:ln>
      </xdr:spPr>
    </xdr:pic>
    <xdr:clientData/>
  </xdr:twoCellAnchor>
  <xdr:twoCellAnchor>
    <xdr:from>
      <xdr:col>3</xdr:col>
      <xdr:colOff>114300</xdr:colOff>
      <xdr:row>5042</xdr:row>
      <xdr:rowOff>28575</xdr:rowOff>
    </xdr:from>
    <xdr:to>
      <xdr:col>3</xdr:col>
      <xdr:colOff>1552575</xdr:colOff>
      <xdr:row>5044</xdr:row>
      <xdr:rowOff>419100</xdr:rowOff>
    </xdr:to>
    <xdr:pic>
      <xdr:nvPicPr>
        <xdr:cNvPr id="1698" name="Имя " descr="Descr ">
          <a:extLst>
            <a:ext uri="{FF2B5EF4-FFF2-40B4-BE49-F238E27FC236}">
              <a16:creationId xmlns:a16="http://schemas.microsoft.com/office/drawing/2014/main" id="{00000000-0008-0000-0000-0000A2060000}"/>
            </a:ext>
          </a:extLst>
        </xdr:cNvPr>
        <xdr:cNvPicPr>
          <a:picLocks noChangeAspect="1"/>
        </xdr:cNvPicPr>
      </xdr:nvPicPr>
      <xdr:blipFill>
        <a:blip xmlns:r="http://schemas.openxmlformats.org/officeDocument/2006/relationships" r:embed="rId1675"/>
        <a:stretch>
          <a:fillRect/>
        </a:stretch>
      </xdr:blipFill>
      <xdr:spPr>
        <a:prstGeom prst="rect">
          <a:avLst/>
        </a:prstGeom>
        <a:ln w="9525">
          <a:solidFill>
            <a:srgbClr val="000000"/>
          </a:solidFill>
          <a:prstDash val="solid"/>
        </a:ln>
      </xdr:spPr>
    </xdr:pic>
    <xdr:clientData/>
  </xdr:twoCellAnchor>
  <xdr:twoCellAnchor>
    <xdr:from>
      <xdr:col>3</xdr:col>
      <xdr:colOff>114300</xdr:colOff>
      <xdr:row>5045</xdr:row>
      <xdr:rowOff>28575</xdr:rowOff>
    </xdr:from>
    <xdr:to>
      <xdr:col>3</xdr:col>
      <xdr:colOff>1552575</xdr:colOff>
      <xdr:row>5045</xdr:row>
      <xdr:rowOff>1266825</xdr:rowOff>
    </xdr:to>
    <xdr:pic>
      <xdr:nvPicPr>
        <xdr:cNvPr id="1699" name="Имя " descr="Descr ">
          <a:extLst>
            <a:ext uri="{FF2B5EF4-FFF2-40B4-BE49-F238E27FC236}">
              <a16:creationId xmlns:a16="http://schemas.microsoft.com/office/drawing/2014/main" id="{00000000-0008-0000-0000-0000A3060000}"/>
            </a:ext>
          </a:extLst>
        </xdr:cNvPr>
        <xdr:cNvPicPr>
          <a:picLocks noChangeAspect="1"/>
        </xdr:cNvPicPr>
      </xdr:nvPicPr>
      <xdr:blipFill>
        <a:blip xmlns:r="http://schemas.openxmlformats.org/officeDocument/2006/relationships" r:embed="rId1676"/>
        <a:stretch>
          <a:fillRect/>
        </a:stretch>
      </xdr:blipFill>
      <xdr:spPr>
        <a:prstGeom prst="rect">
          <a:avLst/>
        </a:prstGeom>
        <a:ln w="9525">
          <a:solidFill>
            <a:srgbClr val="000000"/>
          </a:solidFill>
          <a:prstDash val="solid"/>
        </a:ln>
      </xdr:spPr>
    </xdr:pic>
    <xdr:clientData/>
  </xdr:twoCellAnchor>
  <xdr:twoCellAnchor>
    <xdr:from>
      <xdr:col>3</xdr:col>
      <xdr:colOff>114300</xdr:colOff>
      <xdr:row>5046</xdr:row>
      <xdr:rowOff>28575</xdr:rowOff>
    </xdr:from>
    <xdr:to>
      <xdr:col>3</xdr:col>
      <xdr:colOff>1552575</xdr:colOff>
      <xdr:row>5048</xdr:row>
      <xdr:rowOff>419100</xdr:rowOff>
    </xdr:to>
    <xdr:pic>
      <xdr:nvPicPr>
        <xdr:cNvPr id="1700" name="Имя " descr="Descr ">
          <a:extLst>
            <a:ext uri="{FF2B5EF4-FFF2-40B4-BE49-F238E27FC236}">
              <a16:creationId xmlns:a16="http://schemas.microsoft.com/office/drawing/2014/main" id="{00000000-0008-0000-0000-0000A4060000}"/>
            </a:ext>
          </a:extLst>
        </xdr:cNvPr>
        <xdr:cNvPicPr>
          <a:picLocks noChangeAspect="1"/>
        </xdr:cNvPicPr>
      </xdr:nvPicPr>
      <xdr:blipFill>
        <a:blip xmlns:r="http://schemas.openxmlformats.org/officeDocument/2006/relationships" r:embed="rId1677"/>
        <a:stretch>
          <a:fillRect/>
        </a:stretch>
      </xdr:blipFill>
      <xdr:spPr>
        <a:prstGeom prst="rect">
          <a:avLst/>
        </a:prstGeom>
        <a:ln w="9525">
          <a:solidFill>
            <a:srgbClr val="000000"/>
          </a:solidFill>
          <a:prstDash val="solid"/>
        </a:ln>
      </xdr:spPr>
    </xdr:pic>
    <xdr:clientData/>
  </xdr:twoCellAnchor>
  <xdr:twoCellAnchor>
    <xdr:from>
      <xdr:col>3</xdr:col>
      <xdr:colOff>114300</xdr:colOff>
      <xdr:row>5049</xdr:row>
      <xdr:rowOff>28575</xdr:rowOff>
    </xdr:from>
    <xdr:to>
      <xdr:col>3</xdr:col>
      <xdr:colOff>1552575</xdr:colOff>
      <xdr:row>5051</xdr:row>
      <xdr:rowOff>419100</xdr:rowOff>
    </xdr:to>
    <xdr:pic>
      <xdr:nvPicPr>
        <xdr:cNvPr id="1701" name="Имя " descr="Descr ">
          <a:extLst>
            <a:ext uri="{FF2B5EF4-FFF2-40B4-BE49-F238E27FC236}">
              <a16:creationId xmlns:a16="http://schemas.microsoft.com/office/drawing/2014/main" id="{00000000-0008-0000-0000-0000A5060000}"/>
            </a:ext>
          </a:extLst>
        </xdr:cNvPr>
        <xdr:cNvPicPr>
          <a:picLocks noChangeAspect="1"/>
        </xdr:cNvPicPr>
      </xdr:nvPicPr>
      <xdr:blipFill>
        <a:blip xmlns:r="http://schemas.openxmlformats.org/officeDocument/2006/relationships" r:embed="rId1678"/>
        <a:stretch>
          <a:fillRect/>
        </a:stretch>
      </xdr:blipFill>
      <xdr:spPr>
        <a:prstGeom prst="rect">
          <a:avLst/>
        </a:prstGeom>
        <a:ln w="9525">
          <a:solidFill>
            <a:srgbClr val="000000"/>
          </a:solidFill>
          <a:prstDash val="solid"/>
        </a:ln>
      </xdr:spPr>
    </xdr:pic>
    <xdr:clientData/>
  </xdr:twoCellAnchor>
  <xdr:twoCellAnchor>
    <xdr:from>
      <xdr:col>3</xdr:col>
      <xdr:colOff>114300</xdr:colOff>
      <xdr:row>5052</xdr:row>
      <xdr:rowOff>28575</xdr:rowOff>
    </xdr:from>
    <xdr:to>
      <xdr:col>3</xdr:col>
      <xdr:colOff>1552575</xdr:colOff>
      <xdr:row>5052</xdr:row>
      <xdr:rowOff>1266825</xdr:rowOff>
    </xdr:to>
    <xdr:pic>
      <xdr:nvPicPr>
        <xdr:cNvPr id="1702" name="Имя " descr="Descr ">
          <a:extLst>
            <a:ext uri="{FF2B5EF4-FFF2-40B4-BE49-F238E27FC236}">
              <a16:creationId xmlns:a16="http://schemas.microsoft.com/office/drawing/2014/main" id="{00000000-0008-0000-0000-0000A6060000}"/>
            </a:ext>
          </a:extLst>
        </xdr:cNvPr>
        <xdr:cNvPicPr>
          <a:picLocks noChangeAspect="1"/>
        </xdr:cNvPicPr>
      </xdr:nvPicPr>
      <xdr:blipFill>
        <a:blip xmlns:r="http://schemas.openxmlformats.org/officeDocument/2006/relationships" r:embed="rId1679"/>
        <a:stretch>
          <a:fillRect/>
        </a:stretch>
      </xdr:blipFill>
      <xdr:spPr>
        <a:prstGeom prst="rect">
          <a:avLst/>
        </a:prstGeom>
        <a:ln w="9525">
          <a:solidFill>
            <a:srgbClr val="000000"/>
          </a:solidFill>
          <a:prstDash val="solid"/>
        </a:ln>
      </xdr:spPr>
    </xdr:pic>
    <xdr:clientData/>
  </xdr:twoCellAnchor>
  <xdr:twoCellAnchor>
    <xdr:from>
      <xdr:col>3</xdr:col>
      <xdr:colOff>114300</xdr:colOff>
      <xdr:row>5053</xdr:row>
      <xdr:rowOff>28575</xdr:rowOff>
    </xdr:from>
    <xdr:to>
      <xdr:col>3</xdr:col>
      <xdr:colOff>1552575</xdr:colOff>
      <xdr:row>5053</xdr:row>
      <xdr:rowOff>1266825</xdr:rowOff>
    </xdr:to>
    <xdr:pic>
      <xdr:nvPicPr>
        <xdr:cNvPr id="1703" name="Имя " descr="Descr ">
          <a:extLst>
            <a:ext uri="{FF2B5EF4-FFF2-40B4-BE49-F238E27FC236}">
              <a16:creationId xmlns:a16="http://schemas.microsoft.com/office/drawing/2014/main" id="{00000000-0008-0000-0000-0000A7060000}"/>
            </a:ext>
          </a:extLst>
        </xdr:cNvPr>
        <xdr:cNvPicPr>
          <a:picLocks noChangeAspect="1"/>
        </xdr:cNvPicPr>
      </xdr:nvPicPr>
      <xdr:blipFill>
        <a:blip xmlns:r="http://schemas.openxmlformats.org/officeDocument/2006/relationships" r:embed="rId1680"/>
        <a:stretch>
          <a:fillRect/>
        </a:stretch>
      </xdr:blipFill>
      <xdr:spPr>
        <a:prstGeom prst="rect">
          <a:avLst/>
        </a:prstGeom>
        <a:ln w="9525">
          <a:solidFill>
            <a:srgbClr val="000000"/>
          </a:solidFill>
          <a:prstDash val="solid"/>
        </a:ln>
      </xdr:spPr>
    </xdr:pic>
    <xdr:clientData/>
  </xdr:twoCellAnchor>
  <xdr:twoCellAnchor>
    <xdr:from>
      <xdr:col>3</xdr:col>
      <xdr:colOff>114300</xdr:colOff>
      <xdr:row>5054</xdr:row>
      <xdr:rowOff>28575</xdr:rowOff>
    </xdr:from>
    <xdr:to>
      <xdr:col>3</xdr:col>
      <xdr:colOff>1552575</xdr:colOff>
      <xdr:row>5056</xdr:row>
      <xdr:rowOff>419100</xdr:rowOff>
    </xdr:to>
    <xdr:pic>
      <xdr:nvPicPr>
        <xdr:cNvPr id="1704" name="Имя " descr="Descr ">
          <a:extLst>
            <a:ext uri="{FF2B5EF4-FFF2-40B4-BE49-F238E27FC236}">
              <a16:creationId xmlns:a16="http://schemas.microsoft.com/office/drawing/2014/main" id="{00000000-0008-0000-0000-0000A8060000}"/>
            </a:ext>
          </a:extLst>
        </xdr:cNvPr>
        <xdr:cNvPicPr>
          <a:picLocks noChangeAspect="1"/>
        </xdr:cNvPicPr>
      </xdr:nvPicPr>
      <xdr:blipFill>
        <a:blip xmlns:r="http://schemas.openxmlformats.org/officeDocument/2006/relationships" r:embed="rId1681"/>
        <a:stretch>
          <a:fillRect/>
        </a:stretch>
      </xdr:blipFill>
      <xdr:spPr>
        <a:prstGeom prst="rect">
          <a:avLst/>
        </a:prstGeom>
        <a:ln w="9525">
          <a:solidFill>
            <a:srgbClr val="000000"/>
          </a:solidFill>
          <a:prstDash val="solid"/>
        </a:ln>
      </xdr:spPr>
    </xdr:pic>
    <xdr:clientData/>
  </xdr:twoCellAnchor>
  <xdr:twoCellAnchor>
    <xdr:from>
      <xdr:col>3</xdr:col>
      <xdr:colOff>114300</xdr:colOff>
      <xdr:row>5057</xdr:row>
      <xdr:rowOff>28575</xdr:rowOff>
    </xdr:from>
    <xdr:to>
      <xdr:col>3</xdr:col>
      <xdr:colOff>1552575</xdr:colOff>
      <xdr:row>5057</xdr:row>
      <xdr:rowOff>1266825</xdr:rowOff>
    </xdr:to>
    <xdr:pic>
      <xdr:nvPicPr>
        <xdr:cNvPr id="1705" name="Имя " descr="Descr ">
          <a:extLst>
            <a:ext uri="{FF2B5EF4-FFF2-40B4-BE49-F238E27FC236}">
              <a16:creationId xmlns:a16="http://schemas.microsoft.com/office/drawing/2014/main" id="{00000000-0008-0000-0000-0000A9060000}"/>
            </a:ext>
          </a:extLst>
        </xdr:cNvPr>
        <xdr:cNvPicPr>
          <a:picLocks noChangeAspect="1"/>
        </xdr:cNvPicPr>
      </xdr:nvPicPr>
      <xdr:blipFill>
        <a:blip xmlns:r="http://schemas.openxmlformats.org/officeDocument/2006/relationships" r:embed="rId1682"/>
        <a:stretch>
          <a:fillRect/>
        </a:stretch>
      </xdr:blipFill>
      <xdr:spPr>
        <a:prstGeom prst="rect">
          <a:avLst/>
        </a:prstGeom>
        <a:ln w="9525">
          <a:solidFill>
            <a:srgbClr val="000000"/>
          </a:solidFill>
          <a:prstDash val="solid"/>
        </a:ln>
      </xdr:spPr>
    </xdr:pic>
    <xdr:clientData/>
  </xdr:twoCellAnchor>
  <xdr:twoCellAnchor>
    <xdr:from>
      <xdr:col>3</xdr:col>
      <xdr:colOff>114300</xdr:colOff>
      <xdr:row>5058</xdr:row>
      <xdr:rowOff>38100</xdr:rowOff>
    </xdr:from>
    <xdr:to>
      <xdr:col>3</xdr:col>
      <xdr:colOff>1552575</xdr:colOff>
      <xdr:row>5059</xdr:row>
      <xdr:rowOff>638175</xdr:rowOff>
    </xdr:to>
    <xdr:pic>
      <xdr:nvPicPr>
        <xdr:cNvPr id="1706" name="Имя " descr="Descr ">
          <a:extLst>
            <a:ext uri="{FF2B5EF4-FFF2-40B4-BE49-F238E27FC236}">
              <a16:creationId xmlns:a16="http://schemas.microsoft.com/office/drawing/2014/main" id="{00000000-0008-0000-0000-0000AA060000}"/>
            </a:ext>
          </a:extLst>
        </xdr:cNvPr>
        <xdr:cNvPicPr>
          <a:picLocks noChangeAspect="1"/>
        </xdr:cNvPicPr>
      </xdr:nvPicPr>
      <xdr:blipFill>
        <a:blip xmlns:r="http://schemas.openxmlformats.org/officeDocument/2006/relationships" r:embed="rId1683"/>
        <a:stretch>
          <a:fillRect/>
        </a:stretch>
      </xdr:blipFill>
      <xdr:spPr>
        <a:prstGeom prst="rect">
          <a:avLst/>
        </a:prstGeom>
        <a:ln w="9525">
          <a:solidFill>
            <a:srgbClr val="000000"/>
          </a:solidFill>
          <a:prstDash val="solid"/>
        </a:ln>
      </xdr:spPr>
    </xdr:pic>
    <xdr:clientData/>
  </xdr:twoCellAnchor>
  <xdr:twoCellAnchor>
    <xdr:from>
      <xdr:col>3</xdr:col>
      <xdr:colOff>114300</xdr:colOff>
      <xdr:row>5060</xdr:row>
      <xdr:rowOff>28575</xdr:rowOff>
    </xdr:from>
    <xdr:to>
      <xdr:col>3</xdr:col>
      <xdr:colOff>1552575</xdr:colOff>
      <xdr:row>5067</xdr:row>
      <xdr:rowOff>152400</xdr:rowOff>
    </xdr:to>
    <xdr:pic>
      <xdr:nvPicPr>
        <xdr:cNvPr id="1707" name="Имя " descr="Descr ">
          <a:extLst>
            <a:ext uri="{FF2B5EF4-FFF2-40B4-BE49-F238E27FC236}">
              <a16:creationId xmlns:a16="http://schemas.microsoft.com/office/drawing/2014/main" id="{00000000-0008-0000-0000-0000AB060000}"/>
            </a:ext>
          </a:extLst>
        </xdr:cNvPr>
        <xdr:cNvPicPr>
          <a:picLocks noChangeAspect="1"/>
        </xdr:cNvPicPr>
      </xdr:nvPicPr>
      <xdr:blipFill>
        <a:blip xmlns:r="http://schemas.openxmlformats.org/officeDocument/2006/relationships" r:embed="rId1684"/>
        <a:stretch>
          <a:fillRect/>
        </a:stretch>
      </xdr:blipFill>
      <xdr:spPr>
        <a:prstGeom prst="rect">
          <a:avLst/>
        </a:prstGeom>
        <a:ln w="9525">
          <a:solidFill>
            <a:srgbClr val="000000"/>
          </a:solidFill>
          <a:prstDash val="solid"/>
        </a:ln>
      </xdr:spPr>
    </xdr:pic>
    <xdr:clientData/>
  </xdr:twoCellAnchor>
  <xdr:twoCellAnchor>
    <xdr:from>
      <xdr:col>3</xdr:col>
      <xdr:colOff>114300</xdr:colOff>
      <xdr:row>5068</xdr:row>
      <xdr:rowOff>28575</xdr:rowOff>
    </xdr:from>
    <xdr:to>
      <xdr:col>3</xdr:col>
      <xdr:colOff>1552575</xdr:colOff>
      <xdr:row>5074</xdr:row>
      <xdr:rowOff>171450</xdr:rowOff>
    </xdr:to>
    <xdr:pic>
      <xdr:nvPicPr>
        <xdr:cNvPr id="1708" name="Имя " descr="Descr ">
          <a:extLst>
            <a:ext uri="{FF2B5EF4-FFF2-40B4-BE49-F238E27FC236}">
              <a16:creationId xmlns:a16="http://schemas.microsoft.com/office/drawing/2014/main" id="{00000000-0008-0000-0000-0000AC060000}"/>
            </a:ext>
          </a:extLst>
        </xdr:cNvPr>
        <xdr:cNvPicPr>
          <a:picLocks noChangeAspect="1"/>
        </xdr:cNvPicPr>
      </xdr:nvPicPr>
      <xdr:blipFill>
        <a:blip xmlns:r="http://schemas.openxmlformats.org/officeDocument/2006/relationships" r:embed="rId1685"/>
        <a:stretch>
          <a:fillRect/>
        </a:stretch>
      </xdr:blipFill>
      <xdr:spPr>
        <a:prstGeom prst="rect">
          <a:avLst/>
        </a:prstGeom>
        <a:ln w="9525">
          <a:solidFill>
            <a:srgbClr val="000000"/>
          </a:solidFill>
          <a:prstDash val="solid"/>
        </a:ln>
      </xdr:spPr>
    </xdr:pic>
    <xdr:clientData/>
  </xdr:twoCellAnchor>
  <xdr:twoCellAnchor>
    <xdr:from>
      <xdr:col>3</xdr:col>
      <xdr:colOff>114300</xdr:colOff>
      <xdr:row>5075</xdr:row>
      <xdr:rowOff>28575</xdr:rowOff>
    </xdr:from>
    <xdr:to>
      <xdr:col>3</xdr:col>
      <xdr:colOff>1552575</xdr:colOff>
      <xdr:row>5080</xdr:row>
      <xdr:rowOff>209550</xdr:rowOff>
    </xdr:to>
    <xdr:pic>
      <xdr:nvPicPr>
        <xdr:cNvPr id="1709" name="Имя " descr="Descr ">
          <a:extLst>
            <a:ext uri="{FF2B5EF4-FFF2-40B4-BE49-F238E27FC236}">
              <a16:creationId xmlns:a16="http://schemas.microsoft.com/office/drawing/2014/main" id="{00000000-0008-0000-0000-0000AD060000}"/>
            </a:ext>
          </a:extLst>
        </xdr:cNvPr>
        <xdr:cNvPicPr>
          <a:picLocks noChangeAspect="1"/>
        </xdr:cNvPicPr>
      </xdr:nvPicPr>
      <xdr:blipFill>
        <a:blip xmlns:r="http://schemas.openxmlformats.org/officeDocument/2006/relationships" r:embed="rId1686"/>
        <a:stretch>
          <a:fillRect/>
        </a:stretch>
      </xdr:blipFill>
      <xdr:spPr>
        <a:prstGeom prst="rect">
          <a:avLst/>
        </a:prstGeom>
        <a:ln w="9525">
          <a:solidFill>
            <a:srgbClr val="000000"/>
          </a:solidFill>
          <a:prstDash val="solid"/>
        </a:ln>
      </xdr:spPr>
    </xdr:pic>
    <xdr:clientData/>
  </xdr:twoCellAnchor>
  <xdr:twoCellAnchor>
    <xdr:from>
      <xdr:col>3</xdr:col>
      <xdr:colOff>114300</xdr:colOff>
      <xdr:row>5081</xdr:row>
      <xdr:rowOff>28575</xdr:rowOff>
    </xdr:from>
    <xdr:to>
      <xdr:col>3</xdr:col>
      <xdr:colOff>1552575</xdr:colOff>
      <xdr:row>5084</xdr:row>
      <xdr:rowOff>209550</xdr:rowOff>
    </xdr:to>
    <xdr:pic>
      <xdr:nvPicPr>
        <xdr:cNvPr id="1710" name="Имя " descr="Descr ">
          <a:extLst>
            <a:ext uri="{FF2B5EF4-FFF2-40B4-BE49-F238E27FC236}">
              <a16:creationId xmlns:a16="http://schemas.microsoft.com/office/drawing/2014/main" id="{00000000-0008-0000-0000-0000AE060000}"/>
            </a:ext>
          </a:extLst>
        </xdr:cNvPr>
        <xdr:cNvPicPr>
          <a:picLocks noChangeAspect="1"/>
        </xdr:cNvPicPr>
      </xdr:nvPicPr>
      <xdr:blipFill>
        <a:blip xmlns:r="http://schemas.openxmlformats.org/officeDocument/2006/relationships" r:embed="rId1687"/>
        <a:stretch>
          <a:fillRect/>
        </a:stretch>
      </xdr:blipFill>
      <xdr:spPr>
        <a:prstGeom prst="rect">
          <a:avLst/>
        </a:prstGeom>
        <a:ln w="9525">
          <a:solidFill>
            <a:srgbClr val="000000"/>
          </a:solidFill>
          <a:prstDash val="solid"/>
        </a:ln>
      </xdr:spPr>
    </xdr:pic>
    <xdr:clientData/>
  </xdr:twoCellAnchor>
  <xdr:twoCellAnchor>
    <xdr:from>
      <xdr:col>3</xdr:col>
      <xdr:colOff>114300</xdr:colOff>
      <xdr:row>5085</xdr:row>
      <xdr:rowOff>28575</xdr:rowOff>
    </xdr:from>
    <xdr:to>
      <xdr:col>3</xdr:col>
      <xdr:colOff>1552575</xdr:colOff>
      <xdr:row>5088</xdr:row>
      <xdr:rowOff>209550</xdr:rowOff>
    </xdr:to>
    <xdr:pic>
      <xdr:nvPicPr>
        <xdr:cNvPr id="1711" name="Имя " descr="Descr ">
          <a:extLst>
            <a:ext uri="{FF2B5EF4-FFF2-40B4-BE49-F238E27FC236}">
              <a16:creationId xmlns:a16="http://schemas.microsoft.com/office/drawing/2014/main" id="{00000000-0008-0000-0000-0000AF060000}"/>
            </a:ext>
          </a:extLst>
        </xdr:cNvPr>
        <xdr:cNvPicPr>
          <a:picLocks noChangeAspect="1"/>
        </xdr:cNvPicPr>
      </xdr:nvPicPr>
      <xdr:blipFill>
        <a:blip xmlns:r="http://schemas.openxmlformats.org/officeDocument/2006/relationships" r:embed="rId1688"/>
        <a:stretch>
          <a:fillRect/>
        </a:stretch>
      </xdr:blipFill>
      <xdr:spPr>
        <a:prstGeom prst="rect">
          <a:avLst/>
        </a:prstGeom>
        <a:ln w="9525">
          <a:solidFill>
            <a:srgbClr val="000000"/>
          </a:solidFill>
          <a:prstDash val="solid"/>
        </a:ln>
      </xdr:spPr>
    </xdr:pic>
    <xdr:clientData/>
  </xdr:twoCellAnchor>
  <xdr:twoCellAnchor>
    <xdr:from>
      <xdr:col>3</xdr:col>
      <xdr:colOff>114300</xdr:colOff>
      <xdr:row>5089</xdr:row>
      <xdr:rowOff>28575</xdr:rowOff>
    </xdr:from>
    <xdr:to>
      <xdr:col>3</xdr:col>
      <xdr:colOff>1552575</xdr:colOff>
      <xdr:row>5095</xdr:row>
      <xdr:rowOff>171450</xdr:rowOff>
    </xdr:to>
    <xdr:pic>
      <xdr:nvPicPr>
        <xdr:cNvPr id="1712" name="Имя " descr="Descr ">
          <a:extLst>
            <a:ext uri="{FF2B5EF4-FFF2-40B4-BE49-F238E27FC236}">
              <a16:creationId xmlns:a16="http://schemas.microsoft.com/office/drawing/2014/main" id="{00000000-0008-0000-0000-0000B0060000}"/>
            </a:ext>
          </a:extLst>
        </xdr:cNvPr>
        <xdr:cNvPicPr>
          <a:picLocks noChangeAspect="1"/>
        </xdr:cNvPicPr>
      </xdr:nvPicPr>
      <xdr:blipFill>
        <a:blip xmlns:r="http://schemas.openxmlformats.org/officeDocument/2006/relationships" r:embed="rId1689"/>
        <a:stretch>
          <a:fillRect/>
        </a:stretch>
      </xdr:blipFill>
      <xdr:spPr>
        <a:prstGeom prst="rect">
          <a:avLst/>
        </a:prstGeom>
        <a:ln w="9525">
          <a:solidFill>
            <a:srgbClr val="000000"/>
          </a:solidFill>
          <a:prstDash val="solid"/>
        </a:ln>
      </xdr:spPr>
    </xdr:pic>
    <xdr:clientData/>
  </xdr:twoCellAnchor>
  <xdr:twoCellAnchor>
    <xdr:from>
      <xdr:col>3</xdr:col>
      <xdr:colOff>114300</xdr:colOff>
      <xdr:row>5096</xdr:row>
      <xdr:rowOff>28575</xdr:rowOff>
    </xdr:from>
    <xdr:to>
      <xdr:col>3</xdr:col>
      <xdr:colOff>1552575</xdr:colOff>
      <xdr:row>5101</xdr:row>
      <xdr:rowOff>209550</xdr:rowOff>
    </xdr:to>
    <xdr:pic>
      <xdr:nvPicPr>
        <xdr:cNvPr id="1713" name="Имя " descr="Descr ">
          <a:extLst>
            <a:ext uri="{FF2B5EF4-FFF2-40B4-BE49-F238E27FC236}">
              <a16:creationId xmlns:a16="http://schemas.microsoft.com/office/drawing/2014/main" id="{00000000-0008-0000-0000-0000B1060000}"/>
            </a:ext>
          </a:extLst>
        </xdr:cNvPr>
        <xdr:cNvPicPr>
          <a:picLocks noChangeAspect="1"/>
        </xdr:cNvPicPr>
      </xdr:nvPicPr>
      <xdr:blipFill>
        <a:blip xmlns:r="http://schemas.openxmlformats.org/officeDocument/2006/relationships" r:embed="rId1690"/>
        <a:stretch>
          <a:fillRect/>
        </a:stretch>
      </xdr:blipFill>
      <xdr:spPr>
        <a:prstGeom prst="rect">
          <a:avLst/>
        </a:prstGeom>
        <a:ln w="9525">
          <a:solidFill>
            <a:srgbClr val="000000"/>
          </a:solidFill>
          <a:prstDash val="solid"/>
        </a:ln>
      </xdr:spPr>
    </xdr:pic>
    <xdr:clientData/>
  </xdr:twoCellAnchor>
  <xdr:twoCellAnchor>
    <xdr:from>
      <xdr:col>3</xdr:col>
      <xdr:colOff>114300</xdr:colOff>
      <xdr:row>5102</xdr:row>
      <xdr:rowOff>28575</xdr:rowOff>
    </xdr:from>
    <xdr:to>
      <xdr:col>3</xdr:col>
      <xdr:colOff>1552575</xdr:colOff>
      <xdr:row>5107</xdr:row>
      <xdr:rowOff>209550</xdr:rowOff>
    </xdr:to>
    <xdr:pic>
      <xdr:nvPicPr>
        <xdr:cNvPr id="1714" name="Имя " descr="Descr ">
          <a:extLst>
            <a:ext uri="{FF2B5EF4-FFF2-40B4-BE49-F238E27FC236}">
              <a16:creationId xmlns:a16="http://schemas.microsoft.com/office/drawing/2014/main" id="{00000000-0008-0000-0000-0000B2060000}"/>
            </a:ext>
          </a:extLst>
        </xdr:cNvPr>
        <xdr:cNvPicPr>
          <a:picLocks noChangeAspect="1"/>
        </xdr:cNvPicPr>
      </xdr:nvPicPr>
      <xdr:blipFill>
        <a:blip xmlns:r="http://schemas.openxmlformats.org/officeDocument/2006/relationships" r:embed="rId1691"/>
        <a:stretch>
          <a:fillRect/>
        </a:stretch>
      </xdr:blipFill>
      <xdr:spPr>
        <a:prstGeom prst="rect">
          <a:avLst/>
        </a:prstGeom>
        <a:ln w="9525">
          <a:solidFill>
            <a:srgbClr val="000000"/>
          </a:solidFill>
          <a:prstDash val="solid"/>
        </a:ln>
      </xdr:spPr>
    </xdr:pic>
    <xdr:clientData/>
  </xdr:twoCellAnchor>
  <xdr:twoCellAnchor>
    <xdr:from>
      <xdr:col>3</xdr:col>
      <xdr:colOff>114300</xdr:colOff>
      <xdr:row>5108</xdr:row>
      <xdr:rowOff>28575</xdr:rowOff>
    </xdr:from>
    <xdr:to>
      <xdr:col>3</xdr:col>
      <xdr:colOff>1552575</xdr:colOff>
      <xdr:row>5113</xdr:row>
      <xdr:rowOff>209550</xdr:rowOff>
    </xdr:to>
    <xdr:pic>
      <xdr:nvPicPr>
        <xdr:cNvPr id="1715" name="Имя " descr="Descr ">
          <a:extLst>
            <a:ext uri="{FF2B5EF4-FFF2-40B4-BE49-F238E27FC236}">
              <a16:creationId xmlns:a16="http://schemas.microsoft.com/office/drawing/2014/main" id="{00000000-0008-0000-0000-0000B3060000}"/>
            </a:ext>
          </a:extLst>
        </xdr:cNvPr>
        <xdr:cNvPicPr>
          <a:picLocks noChangeAspect="1"/>
        </xdr:cNvPicPr>
      </xdr:nvPicPr>
      <xdr:blipFill>
        <a:blip xmlns:r="http://schemas.openxmlformats.org/officeDocument/2006/relationships" r:embed="rId1692"/>
        <a:stretch>
          <a:fillRect/>
        </a:stretch>
      </xdr:blipFill>
      <xdr:spPr>
        <a:prstGeom prst="rect">
          <a:avLst/>
        </a:prstGeom>
        <a:ln w="9525">
          <a:solidFill>
            <a:srgbClr val="000000"/>
          </a:solidFill>
          <a:prstDash val="solid"/>
        </a:ln>
      </xdr:spPr>
    </xdr:pic>
    <xdr:clientData/>
  </xdr:twoCellAnchor>
  <xdr:twoCellAnchor>
    <xdr:from>
      <xdr:col>3</xdr:col>
      <xdr:colOff>114300</xdr:colOff>
      <xdr:row>5114</xdr:row>
      <xdr:rowOff>28575</xdr:rowOff>
    </xdr:from>
    <xdr:to>
      <xdr:col>3</xdr:col>
      <xdr:colOff>1552575</xdr:colOff>
      <xdr:row>5119</xdr:row>
      <xdr:rowOff>209550</xdr:rowOff>
    </xdr:to>
    <xdr:pic>
      <xdr:nvPicPr>
        <xdr:cNvPr id="1716" name="Имя " descr="Descr ">
          <a:extLst>
            <a:ext uri="{FF2B5EF4-FFF2-40B4-BE49-F238E27FC236}">
              <a16:creationId xmlns:a16="http://schemas.microsoft.com/office/drawing/2014/main" id="{00000000-0008-0000-0000-0000B4060000}"/>
            </a:ext>
          </a:extLst>
        </xdr:cNvPr>
        <xdr:cNvPicPr>
          <a:picLocks noChangeAspect="1"/>
        </xdr:cNvPicPr>
      </xdr:nvPicPr>
      <xdr:blipFill>
        <a:blip xmlns:r="http://schemas.openxmlformats.org/officeDocument/2006/relationships" r:embed="rId1693"/>
        <a:stretch>
          <a:fillRect/>
        </a:stretch>
      </xdr:blipFill>
      <xdr:spPr>
        <a:prstGeom prst="rect">
          <a:avLst/>
        </a:prstGeom>
        <a:ln w="9525">
          <a:solidFill>
            <a:srgbClr val="000000"/>
          </a:solidFill>
          <a:prstDash val="solid"/>
        </a:ln>
      </xdr:spPr>
    </xdr:pic>
    <xdr:clientData/>
  </xdr:twoCellAnchor>
  <xdr:twoCellAnchor>
    <xdr:from>
      <xdr:col>3</xdr:col>
      <xdr:colOff>114300</xdr:colOff>
      <xdr:row>5120</xdr:row>
      <xdr:rowOff>28575</xdr:rowOff>
    </xdr:from>
    <xdr:to>
      <xdr:col>3</xdr:col>
      <xdr:colOff>1552575</xdr:colOff>
      <xdr:row>5125</xdr:row>
      <xdr:rowOff>209550</xdr:rowOff>
    </xdr:to>
    <xdr:pic>
      <xdr:nvPicPr>
        <xdr:cNvPr id="1717" name="Имя " descr="Descr ">
          <a:extLst>
            <a:ext uri="{FF2B5EF4-FFF2-40B4-BE49-F238E27FC236}">
              <a16:creationId xmlns:a16="http://schemas.microsoft.com/office/drawing/2014/main" id="{00000000-0008-0000-0000-0000B5060000}"/>
            </a:ext>
          </a:extLst>
        </xdr:cNvPr>
        <xdr:cNvPicPr>
          <a:picLocks noChangeAspect="1"/>
        </xdr:cNvPicPr>
      </xdr:nvPicPr>
      <xdr:blipFill>
        <a:blip xmlns:r="http://schemas.openxmlformats.org/officeDocument/2006/relationships" r:embed="rId1694"/>
        <a:stretch>
          <a:fillRect/>
        </a:stretch>
      </xdr:blipFill>
      <xdr:spPr>
        <a:prstGeom prst="rect">
          <a:avLst/>
        </a:prstGeom>
        <a:ln w="9525">
          <a:solidFill>
            <a:srgbClr val="000000"/>
          </a:solidFill>
          <a:prstDash val="solid"/>
        </a:ln>
      </xdr:spPr>
    </xdr:pic>
    <xdr:clientData/>
  </xdr:twoCellAnchor>
  <xdr:twoCellAnchor>
    <xdr:from>
      <xdr:col>3</xdr:col>
      <xdr:colOff>114300</xdr:colOff>
      <xdr:row>5126</xdr:row>
      <xdr:rowOff>28575</xdr:rowOff>
    </xdr:from>
    <xdr:to>
      <xdr:col>3</xdr:col>
      <xdr:colOff>1552575</xdr:colOff>
      <xdr:row>5133</xdr:row>
      <xdr:rowOff>152400</xdr:rowOff>
    </xdr:to>
    <xdr:pic>
      <xdr:nvPicPr>
        <xdr:cNvPr id="1718" name="Имя " descr="Descr ">
          <a:extLst>
            <a:ext uri="{FF2B5EF4-FFF2-40B4-BE49-F238E27FC236}">
              <a16:creationId xmlns:a16="http://schemas.microsoft.com/office/drawing/2014/main" id="{00000000-0008-0000-0000-0000B6060000}"/>
            </a:ext>
          </a:extLst>
        </xdr:cNvPr>
        <xdr:cNvPicPr>
          <a:picLocks noChangeAspect="1"/>
        </xdr:cNvPicPr>
      </xdr:nvPicPr>
      <xdr:blipFill>
        <a:blip xmlns:r="http://schemas.openxmlformats.org/officeDocument/2006/relationships" r:embed="rId1695"/>
        <a:stretch>
          <a:fillRect/>
        </a:stretch>
      </xdr:blipFill>
      <xdr:spPr>
        <a:prstGeom prst="rect">
          <a:avLst/>
        </a:prstGeom>
        <a:ln w="9525">
          <a:solidFill>
            <a:srgbClr val="000000"/>
          </a:solidFill>
          <a:prstDash val="solid"/>
        </a:ln>
      </xdr:spPr>
    </xdr:pic>
    <xdr:clientData/>
  </xdr:twoCellAnchor>
  <xdr:twoCellAnchor>
    <xdr:from>
      <xdr:col>3</xdr:col>
      <xdr:colOff>114300</xdr:colOff>
      <xdr:row>5134</xdr:row>
      <xdr:rowOff>28575</xdr:rowOff>
    </xdr:from>
    <xdr:to>
      <xdr:col>3</xdr:col>
      <xdr:colOff>1552575</xdr:colOff>
      <xdr:row>5139</xdr:row>
      <xdr:rowOff>209550</xdr:rowOff>
    </xdr:to>
    <xdr:pic>
      <xdr:nvPicPr>
        <xdr:cNvPr id="1719" name="Имя " descr="Descr ">
          <a:extLst>
            <a:ext uri="{FF2B5EF4-FFF2-40B4-BE49-F238E27FC236}">
              <a16:creationId xmlns:a16="http://schemas.microsoft.com/office/drawing/2014/main" id="{00000000-0008-0000-0000-0000B7060000}"/>
            </a:ext>
          </a:extLst>
        </xdr:cNvPr>
        <xdr:cNvPicPr>
          <a:picLocks noChangeAspect="1"/>
        </xdr:cNvPicPr>
      </xdr:nvPicPr>
      <xdr:blipFill>
        <a:blip xmlns:r="http://schemas.openxmlformats.org/officeDocument/2006/relationships" r:embed="rId1696"/>
        <a:stretch>
          <a:fillRect/>
        </a:stretch>
      </xdr:blipFill>
      <xdr:spPr>
        <a:prstGeom prst="rect">
          <a:avLst/>
        </a:prstGeom>
        <a:ln w="9525">
          <a:solidFill>
            <a:srgbClr val="000000"/>
          </a:solidFill>
          <a:prstDash val="solid"/>
        </a:ln>
      </xdr:spPr>
    </xdr:pic>
    <xdr:clientData/>
  </xdr:twoCellAnchor>
  <xdr:twoCellAnchor>
    <xdr:from>
      <xdr:col>3</xdr:col>
      <xdr:colOff>114300</xdr:colOff>
      <xdr:row>5140</xdr:row>
      <xdr:rowOff>28575</xdr:rowOff>
    </xdr:from>
    <xdr:to>
      <xdr:col>3</xdr:col>
      <xdr:colOff>1552575</xdr:colOff>
      <xdr:row>5146</xdr:row>
      <xdr:rowOff>171450</xdr:rowOff>
    </xdr:to>
    <xdr:pic>
      <xdr:nvPicPr>
        <xdr:cNvPr id="1720" name="Имя " descr="Descr ">
          <a:extLst>
            <a:ext uri="{FF2B5EF4-FFF2-40B4-BE49-F238E27FC236}">
              <a16:creationId xmlns:a16="http://schemas.microsoft.com/office/drawing/2014/main" id="{00000000-0008-0000-0000-0000B8060000}"/>
            </a:ext>
          </a:extLst>
        </xdr:cNvPr>
        <xdr:cNvPicPr>
          <a:picLocks noChangeAspect="1"/>
        </xdr:cNvPicPr>
      </xdr:nvPicPr>
      <xdr:blipFill>
        <a:blip xmlns:r="http://schemas.openxmlformats.org/officeDocument/2006/relationships" r:embed="rId1697"/>
        <a:stretch>
          <a:fillRect/>
        </a:stretch>
      </xdr:blipFill>
      <xdr:spPr>
        <a:prstGeom prst="rect">
          <a:avLst/>
        </a:prstGeom>
        <a:ln w="9525">
          <a:solidFill>
            <a:srgbClr val="000000"/>
          </a:solidFill>
          <a:prstDash val="solid"/>
        </a:ln>
      </xdr:spPr>
    </xdr:pic>
    <xdr:clientData/>
  </xdr:twoCellAnchor>
  <xdr:twoCellAnchor>
    <xdr:from>
      <xdr:col>3</xdr:col>
      <xdr:colOff>114300</xdr:colOff>
      <xdr:row>5147</xdr:row>
      <xdr:rowOff>28575</xdr:rowOff>
    </xdr:from>
    <xdr:to>
      <xdr:col>3</xdr:col>
      <xdr:colOff>1552575</xdr:colOff>
      <xdr:row>5154</xdr:row>
      <xdr:rowOff>152400</xdr:rowOff>
    </xdr:to>
    <xdr:pic>
      <xdr:nvPicPr>
        <xdr:cNvPr id="1721" name="Имя " descr="Descr ">
          <a:extLst>
            <a:ext uri="{FF2B5EF4-FFF2-40B4-BE49-F238E27FC236}">
              <a16:creationId xmlns:a16="http://schemas.microsoft.com/office/drawing/2014/main" id="{00000000-0008-0000-0000-0000B9060000}"/>
            </a:ext>
          </a:extLst>
        </xdr:cNvPr>
        <xdr:cNvPicPr>
          <a:picLocks noChangeAspect="1"/>
        </xdr:cNvPicPr>
      </xdr:nvPicPr>
      <xdr:blipFill>
        <a:blip xmlns:r="http://schemas.openxmlformats.org/officeDocument/2006/relationships" r:embed="rId1698"/>
        <a:stretch>
          <a:fillRect/>
        </a:stretch>
      </xdr:blipFill>
      <xdr:spPr>
        <a:prstGeom prst="rect">
          <a:avLst/>
        </a:prstGeom>
        <a:ln w="9525">
          <a:solidFill>
            <a:srgbClr val="000000"/>
          </a:solidFill>
          <a:prstDash val="solid"/>
        </a:ln>
      </xdr:spPr>
    </xdr:pic>
    <xdr:clientData/>
  </xdr:twoCellAnchor>
  <xdr:twoCellAnchor>
    <xdr:from>
      <xdr:col>3</xdr:col>
      <xdr:colOff>114300</xdr:colOff>
      <xdr:row>5155</xdr:row>
      <xdr:rowOff>28575</xdr:rowOff>
    </xdr:from>
    <xdr:to>
      <xdr:col>3</xdr:col>
      <xdr:colOff>1552575</xdr:colOff>
      <xdr:row>5160</xdr:row>
      <xdr:rowOff>209550</xdr:rowOff>
    </xdr:to>
    <xdr:pic>
      <xdr:nvPicPr>
        <xdr:cNvPr id="1722" name="Имя " descr="Descr ">
          <a:extLst>
            <a:ext uri="{FF2B5EF4-FFF2-40B4-BE49-F238E27FC236}">
              <a16:creationId xmlns:a16="http://schemas.microsoft.com/office/drawing/2014/main" id="{00000000-0008-0000-0000-0000BA060000}"/>
            </a:ext>
          </a:extLst>
        </xdr:cNvPr>
        <xdr:cNvPicPr>
          <a:picLocks noChangeAspect="1"/>
        </xdr:cNvPicPr>
      </xdr:nvPicPr>
      <xdr:blipFill>
        <a:blip xmlns:r="http://schemas.openxmlformats.org/officeDocument/2006/relationships" r:embed="rId1699"/>
        <a:stretch>
          <a:fillRect/>
        </a:stretch>
      </xdr:blipFill>
      <xdr:spPr>
        <a:prstGeom prst="rect">
          <a:avLst/>
        </a:prstGeom>
        <a:ln w="9525">
          <a:solidFill>
            <a:srgbClr val="000000"/>
          </a:solidFill>
          <a:prstDash val="solid"/>
        </a:ln>
      </xdr:spPr>
    </xdr:pic>
    <xdr:clientData/>
  </xdr:twoCellAnchor>
  <xdr:twoCellAnchor>
    <xdr:from>
      <xdr:col>3</xdr:col>
      <xdr:colOff>114300</xdr:colOff>
      <xdr:row>5161</xdr:row>
      <xdr:rowOff>28575</xdr:rowOff>
    </xdr:from>
    <xdr:to>
      <xdr:col>3</xdr:col>
      <xdr:colOff>1552575</xdr:colOff>
      <xdr:row>5167</xdr:row>
      <xdr:rowOff>171450</xdr:rowOff>
    </xdr:to>
    <xdr:pic>
      <xdr:nvPicPr>
        <xdr:cNvPr id="1723" name="Имя " descr="Descr ">
          <a:extLst>
            <a:ext uri="{FF2B5EF4-FFF2-40B4-BE49-F238E27FC236}">
              <a16:creationId xmlns:a16="http://schemas.microsoft.com/office/drawing/2014/main" id="{00000000-0008-0000-0000-0000BB060000}"/>
            </a:ext>
          </a:extLst>
        </xdr:cNvPr>
        <xdr:cNvPicPr>
          <a:picLocks noChangeAspect="1"/>
        </xdr:cNvPicPr>
      </xdr:nvPicPr>
      <xdr:blipFill>
        <a:blip xmlns:r="http://schemas.openxmlformats.org/officeDocument/2006/relationships" r:embed="rId1700"/>
        <a:stretch>
          <a:fillRect/>
        </a:stretch>
      </xdr:blipFill>
      <xdr:spPr>
        <a:prstGeom prst="rect">
          <a:avLst/>
        </a:prstGeom>
        <a:ln w="9525">
          <a:solidFill>
            <a:srgbClr val="000000"/>
          </a:solidFill>
          <a:prstDash val="solid"/>
        </a:ln>
      </xdr:spPr>
    </xdr:pic>
    <xdr:clientData/>
  </xdr:twoCellAnchor>
  <xdr:twoCellAnchor>
    <xdr:from>
      <xdr:col>3</xdr:col>
      <xdr:colOff>114300</xdr:colOff>
      <xdr:row>5168</xdr:row>
      <xdr:rowOff>28575</xdr:rowOff>
    </xdr:from>
    <xdr:to>
      <xdr:col>3</xdr:col>
      <xdr:colOff>1552575</xdr:colOff>
      <xdr:row>5174</xdr:row>
      <xdr:rowOff>171450</xdr:rowOff>
    </xdr:to>
    <xdr:pic>
      <xdr:nvPicPr>
        <xdr:cNvPr id="1724" name="Имя " descr="Descr ">
          <a:extLst>
            <a:ext uri="{FF2B5EF4-FFF2-40B4-BE49-F238E27FC236}">
              <a16:creationId xmlns:a16="http://schemas.microsoft.com/office/drawing/2014/main" id="{00000000-0008-0000-0000-0000BC060000}"/>
            </a:ext>
          </a:extLst>
        </xdr:cNvPr>
        <xdr:cNvPicPr>
          <a:picLocks noChangeAspect="1"/>
        </xdr:cNvPicPr>
      </xdr:nvPicPr>
      <xdr:blipFill>
        <a:blip xmlns:r="http://schemas.openxmlformats.org/officeDocument/2006/relationships" r:embed="rId1701"/>
        <a:stretch>
          <a:fillRect/>
        </a:stretch>
      </xdr:blipFill>
      <xdr:spPr>
        <a:prstGeom prst="rect">
          <a:avLst/>
        </a:prstGeom>
        <a:ln w="9525">
          <a:solidFill>
            <a:srgbClr val="000000"/>
          </a:solidFill>
          <a:prstDash val="solid"/>
        </a:ln>
      </xdr:spPr>
    </xdr:pic>
    <xdr:clientData/>
  </xdr:twoCellAnchor>
  <xdr:twoCellAnchor>
    <xdr:from>
      <xdr:col>3</xdr:col>
      <xdr:colOff>114300</xdr:colOff>
      <xdr:row>5175</xdr:row>
      <xdr:rowOff>28575</xdr:rowOff>
    </xdr:from>
    <xdr:to>
      <xdr:col>3</xdr:col>
      <xdr:colOff>1552575</xdr:colOff>
      <xdr:row>5180</xdr:row>
      <xdr:rowOff>209550</xdr:rowOff>
    </xdr:to>
    <xdr:pic>
      <xdr:nvPicPr>
        <xdr:cNvPr id="1725" name="Имя " descr="Descr ">
          <a:extLst>
            <a:ext uri="{FF2B5EF4-FFF2-40B4-BE49-F238E27FC236}">
              <a16:creationId xmlns:a16="http://schemas.microsoft.com/office/drawing/2014/main" id="{00000000-0008-0000-0000-0000BD060000}"/>
            </a:ext>
          </a:extLst>
        </xdr:cNvPr>
        <xdr:cNvPicPr>
          <a:picLocks noChangeAspect="1"/>
        </xdr:cNvPicPr>
      </xdr:nvPicPr>
      <xdr:blipFill>
        <a:blip xmlns:r="http://schemas.openxmlformats.org/officeDocument/2006/relationships" r:embed="rId1702"/>
        <a:stretch>
          <a:fillRect/>
        </a:stretch>
      </xdr:blipFill>
      <xdr:spPr>
        <a:prstGeom prst="rect">
          <a:avLst/>
        </a:prstGeom>
        <a:ln w="9525">
          <a:solidFill>
            <a:srgbClr val="000000"/>
          </a:solidFill>
          <a:prstDash val="solid"/>
        </a:ln>
      </xdr:spPr>
    </xdr:pic>
    <xdr:clientData/>
  </xdr:twoCellAnchor>
  <xdr:twoCellAnchor>
    <xdr:from>
      <xdr:col>3</xdr:col>
      <xdr:colOff>114300</xdr:colOff>
      <xdr:row>5181</xdr:row>
      <xdr:rowOff>28575</xdr:rowOff>
    </xdr:from>
    <xdr:to>
      <xdr:col>3</xdr:col>
      <xdr:colOff>1552575</xdr:colOff>
      <xdr:row>5189</xdr:row>
      <xdr:rowOff>133350</xdr:rowOff>
    </xdr:to>
    <xdr:pic>
      <xdr:nvPicPr>
        <xdr:cNvPr id="1726" name="Имя " descr="Descr ">
          <a:extLst>
            <a:ext uri="{FF2B5EF4-FFF2-40B4-BE49-F238E27FC236}">
              <a16:creationId xmlns:a16="http://schemas.microsoft.com/office/drawing/2014/main" id="{00000000-0008-0000-0000-0000BE060000}"/>
            </a:ext>
          </a:extLst>
        </xdr:cNvPr>
        <xdr:cNvPicPr>
          <a:picLocks noChangeAspect="1"/>
        </xdr:cNvPicPr>
      </xdr:nvPicPr>
      <xdr:blipFill>
        <a:blip xmlns:r="http://schemas.openxmlformats.org/officeDocument/2006/relationships" r:embed="rId1703"/>
        <a:stretch>
          <a:fillRect/>
        </a:stretch>
      </xdr:blipFill>
      <xdr:spPr>
        <a:prstGeom prst="rect">
          <a:avLst/>
        </a:prstGeom>
        <a:ln w="9525">
          <a:solidFill>
            <a:srgbClr val="000000"/>
          </a:solidFill>
          <a:prstDash val="solid"/>
        </a:ln>
      </xdr:spPr>
    </xdr:pic>
    <xdr:clientData/>
  </xdr:twoCellAnchor>
  <xdr:twoCellAnchor>
    <xdr:from>
      <xdr:col>3</xdr:col>
      <xdr:colOff>114300</xdr:colOff>
      <xdr:row>5192</xdr:row>
      <xdr:rowOff>28575</xdr:rowOff>
    </xdr:from>
    <xdr:to>
      <xdr:col>3</xdr:col>
      <xdr:colOff>1552575</xdr:colOff>
      <xdr:row>5198</xdr:row>
      <xdr:rowOff>171450</xdr:rowOff>
    </xdr:to>
    <xdr:pic>
      <xdr:nvPicPr>
        <xdr:cNvPr id="1727" name="Имя " descr="Descr ">
          <a:extLst>
            <a:ext uri="{FF2B5EF4-FFF2-40B4-BE49-F238E27FC236}">
              <a16:creationId xmlns:a16="http://schemas.microsoft.com/office/drawing/2014/main" id="{00000000-0008-0000-0000-0000BF060000}"/>
            </a:ext>
          </a:extLst>
        </xdr:cNvPr>
        <xdr:cNvPicPr>
          <a:picLocks noChangeAspect="1"/>
        </xdr:cNvPicPr>
      </xdr:nvPicPr>
      <xdr:blipFill>
        <a:blip xmlns:r="http://schemas.openxmlformats.org/officeDocument/2006/relationships" r:embed="rId1704"/>
        <a:stretch>
          <a:fillRect/>
        </a:stretch>
      </xdr:blipFill>
      <xdr:spPr>
        <a:prstGeom prst="rect">
          <a:avLst/>
        </a:prstGeom>
        <a:ln w="9525">
          <a:solidFill>
            <a:srgbClr val="000000"/>
          </a:solidFill>
          <a:prstDash val="solid"/>
        </a:ln>
      </xdr:spPr>
    </xdr:pic>
    <xdr:clientData/>
  </xdr:twoCellAnchor>
  <xdr:twoCellAnchor>
    <xdr:from>
      <xdr:col>3</xdr:col>
      <xdr:colOff>114300</xdr:colOff>
      <xdr:row>5199</xdr:row>
      <xdr:rowOff>28575</xdr:rowOff>
    </xdr:from>
    <xdr:to>
      <xdr:col>3</xdr:col>
      <xdr:colOff>1552575</xdr:colOff>
      <xdr:row>5204</xdr:row>
      <xdr:rowOff>209550</xdr:rowOff>
    </xdr:to>
    <xdr:pic>
      <xdr:nvPicPr>
        <xdr:cNvPr id="1728" name="Имя " descr="Descr ">
          <a:extLst>
            <a:ext uri="{FF2B5EF4-FFF2-40B4-BE49-F238E27FC236}">
              <a16:creationId xmlns:a16="http://schemas.microsoft.com/office/drawing/2014/main" id="{00000000-0008-0000-0000-0000C0060000}"/>
            </a:ext>
          </a:extLst>
        </xdr:cNvPr>
        <xdr:cNvPicPr>
          <a:picLocks noChangeAspect="1"/>
        </xdr:cNvPicPr>
      </xdr:nvPicPr>
      <xdr:blipFill>
        <a:blip xmlns:r="http://schemas.openxmlformats.org/officeDocument/2006/relationships" r:embed="rId1705"/>
        <a:stretch>
          <a:fillRect/>
        </a:stretch>
      </xdr:blipFill>
      <xdr:spPr>
        <a:prstGeom prst="rect">
          <a:avLst/>
        </a:prstGeom>
        <a:ln w="9525">
          <a:solidFill>
            <a:srgbClr val="000000"/>
          </a:solidFill>
          <a:prstDash val="solid"/>
        </a:ln>
      </xdr:spPr>
    </xdr:pic>
    <xdr:clientData/>
  </xdr:twoCellAnchor>
  <xdr:twoCellAnchor>
    <xdr:from>
      <xdr:col>3</xdr:col>
      <xdr:colOff>114300</xdr:colOff>
      <xdr:row>5205</xdr:row>
      <xdr:rowOff>28575</xdr:rowOff>
    </xdr:from>
    <xdr:to>
      <xdr:col>3</xdr:col>
      <xdr:colOff>1552575</xdr:colOff>
      <xdr:row>5207</xdr:row>
      <xdr:rowOff>419100</xdr:rowOff>
    </xdr:to>
    <xdr:pic>
      <xdr:nvPicPr>
        <xdr:cNvPr id="1729" name="Имя " descr="Descr ">
          <a:extLst>
            <a:ext uri="{FF2B5EF4-FFF2-40B4-BE49-F238E27FC236}">
              <a16:creationId xmlns:a16="http://schemas.microsoft.com/office/drawing/2014/main" id="{00000000-0008-0000-0000-0000C1060000}"/>
            </a:ext>
          </a:extLst>
        </xdr:cNvPr>
        <xdr:cNvPicPr>
          <a:picLocks noChangeAspect="1"/>
        </xdr:cNvPicPr>
      </xdr:nvPicPr>
      <xdr:blipFill>
        <a:blip xmlns:r="http://schemas.openxmlformats.org/officeDocument/2006/relationships" r:embed="rId1706"/>
        <a:stretch>
          <a:fillRect/>
        </a:stretch>
      </xdr:blipFill>
      <xdr:spPr>
        <a:prstGeom prst="rect">
          <a:avLst/>
        </a:prstGeom>
        <a:ln w="9525">
          <a:solidFill>
            <a:srgbClr val="000000"/>
          </a:solidFill>
          <a:prstDash val="solid"/>
        </a:ln>
      </xdr:spPr>
    </xdr:pic>
    <xdr:clientData/>
  </xdr:twoCellAnchor>
  <xdr:twoCellAnchor>
    <xdr:from>
      <xdr:col>3</xdr:col>
      <xdr:colOff>114300</xdr:colOff>
      <xdr:row>5208</xdr:row>
      <xdr:rowOff>28575</xdr:rowOff>
    </xdr:from>
    <xdr:to>
      <xdr:col>3</xdr:col>
      <xdr:colOff>1552575</xdr:colOff>
      <xdr:row>5211</xdr:row>
      <xdr:rowOff>209550</xdr:rowOff>
    </xdr:to>
    <xdr:pic>
      <xdr:nvPicPr>
        <xdr:cNvPr id="1730" name="Имя " descr="Descr ">
          <a:extLst>
            <a:ext uri="{FF2B5EF4-FFF2-40B4-BE49-F238E27FC236}">
              <a16:creationId xmlns:a16="http://schemas.microsoft.com/office/drawing/2014/main" id="{00000000-0008-0000-0000-0000C2060000}"/>
            </a:ext>
          </a:extLst>
        </xdr:cNvPr>
        <xdr:cNvPicPr>
          <a:picLocks noChangeAspect="1"/>
        </xdr:cNvPicPr>
      </xdr:nvPicPr>
      <xdr:blipFill>
        <a:blip xmlns:r="http://schemas.openxmlformats.org/officeDocument/2006/relationships" r:embed="rId1707"/>
        <a:stretch>
          <a:fillRect/>
        </a:stretch>
      </xdr:blipFill>
      <xdr:spPr>
        <a:prstGeom prst="rect">
          <a:avLst/>
        </a:prstGeom>
        <a:ln w="9525">
          <a:solidFill>
            <a:srgbClr val="000000"/>
          </a:solidFill>
          <a:prstDash val="solid"/>
        </a:ln>
      </xdr:spPr>
    </xdr:pic>
    <xdr:clientData/>
  </xdr:twoCellAnchor>
  <xdr:twoCellAnchor>
    <xdr:from>
      <xdr:col>3</xdr:col>
      <xdr:colOff>114300</xdr:colOff>
      <xdr:row>5212</xdr:row>
      <xdr:rowOff>28575</xdr:rowOff>
    </xdr:from>
    <xdr:to>
      <xdr:col>3</xdr:col>
      <xdr:colOff>1552575</xdr:colOff>
      <xdr:row>5214</xdr:row>
      <xdr:rowOff>419100</xdr:rowOff>
    </xdr:to>
    <xdr:pic>
      <xdr:nvPicPr>
        <xdr:cNvPr id="1731" name="Имя " descr="Descr ">
          <a:extLst>
            <a:ext uri="{FF2B5EF4-FFF2-40B4-BE49-F238E27FC236}">
              <a16:creationId xmlns:a16="http://schemas.microsoft.com/office/drawing/2014/main" id="{00000000-0008-0000-0000-0000C3060000}"/>
            </a:ext>
          </a:extLst>
        </xdr:cNvPr>
        <xdr:cNvPicPr>
          <a:picLocks noChangeAspect="1"/>
        </xdr:cNvPicPr>
      </xdr:nvPicPr>
      <xdr:blipFill>
        <a:blip xmlns:r="http://schemas.openxmlformats.org/officeDocument/2006/relationships" r:embed="rId1708"/>
        <a:stretch>
          <a:fillRect/>
        </a:stretch>
      </xdr:blipFill>
      <xdr:spPr>
        <a:prstGeom prst="rect">
          <a:avLst/>
        </a:prstGeom>
        <a:ln w="9525">
          <a:solidFill>
            <a:srgbClr val="000000"/>
          </a:solidFill>
          <a:prstDash val="solid"/>
        </a:ln>
      </xdr:spPr>
    </xdr:pic>
    <xdr:clientData/>
  </xdr:twoCellAnchor>
  <xdr:twoCellAnchor>
    <xdr:from>
      <xdr:col>3</xdr:col>
      <xdr:colOff>114300</xdr:colOff>
      <xdr:row>5215</xdr:row>
      <xdr:rowOff>38100</xdr:rowOff>
    </xdr:from>
    <xdr:to>
      <xdr:col>3</xdr:col>
      <xdr:colOff>1552575</xdr:colOff>
      <xdr:row>5216</xdr:row>
      <xdr:rowOff>638175</xdr:rowOff>
    </xdr:to>
    <xdr:pic>
      <xdr:nvPicPr>
        <xdr:cNvPr id="1732" name="Имя " descr="Descr ">
          <a:extLst>
            <a:ext uri="{FF2B5EF4-FFF2-40B4-BE49-F238E27FC236}">
              <a16:creationId xmlns:a16="http://schemas.microsoft.com/office/drawing/2014/main" id="{00000000-0008-0000-0000-0000C4060000}"/>
            </a:ext>
          </a:extLst>
        </xdr:cNvPr>
        <xdr:cNvPicPr>
          <a:picLocks noChangeAspect="1"/>
        </xdr:cNvPicPr>
      </xdr:nvPicPr>
      <xdr:blipFill>
        <a:blip xmlns:r="http://schemas.openxmlformats.org/officeDocument/2006/relationships" r:embed="rId1709"/>
        <a:stretch>
          <a:fillRect/>
        </a:stretch>
      </xdr:blipFill>
      <xdr:spPr>
        <a:prstGeom prst="rect">
          <a:avLst/>
        </a:prstGeom>
        <a:ln w="9525">
          <a:solidFill>
            <a:srgbClr val="000000"/>
          </a:solidFill>
          <a:prstDash val="solid"/>
        </a:ln>
      </xdr:spPr>
    </xdr:pic>
    <xdr:clientData/>
  </xdr:twoCellAnchor>
  <xdr:twoCellAnchor>
    <xdr:from>
      <xdr:col>3</xdr:col>
      <xdr:colOff>114300</xdr:colOff>
      <xdr:row>5217</xdr:row>
      <xdr:rowOff>38100</xdr:rowOff>
    </xdr:from>
    <xdr:to>
      <xdr:col>3</xdr:col>
      <xdr:colOff>1552575</xdr:colOff>
      <xdr:row>5218</xdr:row>
      <xdr:rowOff>638175</xdr:rowOff>
    </xdr:to>
    <xdr:pic>
      <xdr:nvPicPr>
        <xdr:cNvPr id="1733" name="Имя " descr="Descr ">
          <a:extLst>
            <a:ext uri="{FF2B5EF4-FFF2-40B4-BE49-F238E27FC236}">
              <a16:creationId xmlns:a16="http://schemas.microsoft.com/office/drawing/2014/main" id="{00000000-0008-0000-0000-0000C5060000}"/>
            </a:ext>
          </a:extLst>
        </xdr:cNvPr>
        <xdr:cNvPicPr>
          <a:picLocks noChangeAspect="1"/>
        </xdr:cNvPicPr>
      </xdr:nvPicPr>
      <xdr:blipFill>
        <a:blip xmlns:r="http://schemas.openxmlformats.org/officeDocument/2006/relationships" r:embed="rId1710"/>
        <a:stretch>
          <a:fillRect/>
        </a:stretch>
      </xdr:blipFill>
      <xdr:spPr>
        <a:prstGeom prst="rect">
          <a:avLst/>
        </a:prstGeom>
        <a:ln w="9525">
          <a:solidFill>
            <a:srgbClr val="000000"/>
          </a:solidFill>
          <a:prstDash val="solid"/>
        </a:ln>
      </xdr:spPr>
    </xdr:pic>
    <xdr:clientData/>
  </xdr:twoCellAnchor>
  <xdr:twoCellAnchor>
    <xdr:from>
      <xdr:col>3</xdr:col>
      <xdr:colOff>114300</xdr:colOff>
      <xdr:row>5219</xdr:row>
      <xdr:rowOff>38100</xdr:rowOff>
    </xdr:from>
    <xdr:to>
      <xdr:col>3</xdr:col>
      <xdr:colOff>1552575</xdr:colOff>
      <xdr:row>5220</xdr:row>
      <xdr:rowOff>638175</xdr:rowOff>
    </xdr:to>
    <xdr:pic>
      <xdr:nvPicPr>
        <xdr:cNvPr id="1734" name="Имя " descr="Descr ">
          <a:extLst>
            <a:ext uri="{FF2B5EF4-FFF2-40B4-BE49-F238E27FC236}">
              <a16:creationId xmlns:a16="http://schemas.microsoft.com/office/drawing/2014/main" id="{00000000-0008-0000-0000-0000C6060000}"/>
            </a:ext>
          </a:extLst>
        </xdr:cNvPr>
        <xdr:cNvPicPr>
          <a:picLocks noChangeAspect="1"/>
        </xdr:cNvPicPr>
      </xdr:nvPicPr>
      <xdr:blipFill>
        <a:blip xmlns:r="http://schemas.openxmlformats.org/officeDocument/2006/relationships" r:embed="rId1711"/>
        <a:stretch>
          <a:fillRect/>
        </a:stretch>
      </xdr:blipFill>
      <xdr:spPr>
        <a:prstGeom prst="rect">
          <a:avLst/>
        </a:prstGeom>
        <a:ln w="9525">
          <a:solidFill>
            <a:srgbClr val="000000"/>
          </a:solidFill>
          <a:prstDash val="solid"/>
        </a:ln>
      </xdr:spPr>
    </xdr:pic>
    <xdr:clientData/>
  </xdr:twoCellAnchor>
  <xdr:twoCellAnchor>
    <xdr:from>
      <xdr:col>3</xdr:col>
      <xdr:colOff>114300</xdr:colOff>
      <xdr:row>5221</xdr:row>
      <xdr:rowOff>28575</xdr:rowOff>
    </xdr:from>
    <xdr:to>
      <xdr:col>3</xdr:col>
      <xdr:colOff>1552575</xdr:colOff>
      <xdr:row>5223</xdr:row>
      <xdr:rowOff>419100</xdr:rowOff>
    </xdr:to>
    <xdr:pic>
      <xdr:nvPicPr>
        <xdr:cNvPr id="1735" name="Имя " descr="Descr ">
          <a:extLst>
            <a:ext uri="{FF2B5EF4-FFF2-40B4-BE49-F238E27FC236}">
              <a16:creationId xmlns:a16="http://schemas.microsoft.com/office/drawing/2014/main" id="{00000000-0008-0000-0000-0000C7060000}"/>
            </a:ext>
          </a:extLst>
        </xdr:cNvPr>
        <xdr:cNvPicPr>
          <a:picLocks noChangeAspect="1"/>
        </xdr:cNvPicPr>
      </xdr:nvPicPr>
      <xdr:blipFill>
        <a:blip xmlns:r="http://schemas.openxmlformats.org/officeDocument/2006/relationships" r:embed="rId1712"/>
        <a:stretch>
          <a:fillRect/>
        </a:stretch>
      </xdr:blipFill>
      <xdr:spPr>
        <a:prstGeom prst="rect">
          <a:avLst/>
        </a:prstGeom>
        <a:ln w="9525">
          <a:solidFill>
            <a:srgbClr val="000000"/>
          </a:solidFill>
          <a:prstDash val="solid"/>
        </a:ln>
      </xdr:spPr>
    </xdr:pic>
    <xdr:clientData/>
  </xdr:twoCellAnchor>
  <xdr:twoCellAnchor>
    <xdr:from>
      <xdr:col>3</xdr:col>
      <xdr:colOff>114300</xdr:colOff>
      <xdr:row>5224</xdr:row>
      <xdr:rowOff>28575</xdr:rowOff>
    </xdr:from>
    <xdr:to>
      <xdr:col>3</xdr:col>
      <xdr:colOff>1552575</xdr:colOff>
      <xdr:row>5229</xdr:row>
      <xdr:rowOff>209550</xdr:rowOff>
    </xdr:to>
    <xdr:pic>
      <xdr:nvPicPr>
        <xdr:cNvPr id="1736" name="Имя " descr="Descr ">
          <a:extLst>
            <a:ext uri="{FF2B5EF4-FFF2-40B4-BE49-F238E27FC236}">
              <a16:creationId xmlns:a16="http://schemas.microsoft.com/office/drawing/2014/main" id="{00000000-0008-0000-0000-0000C8060000}"/>
            </a:ext>
          </a:extLst>
        </xdr:cNvPr>
        <xdr:cNvPicPr>
          <a:picLocks noChangeAspect="1"/>
        </xdr:cNvPicPr>
      </xdr:nvPicPr>
      <xdr:blipFill>
        <a:blip xmlns:r="http://schemas.openxmlformats.org/officeDocument/2006/relationships" r:embed="rId1713"/>
        <a:stretch>
          <a:fillRect/>
        </a:stretch>
      </xdr:blipFill>
      <xdr:spPr>
        <a:prstGeom prst="rect">
          <a:avLst/>
        </a:prstGeom>
        <a:ln w="9525">
          <a:solidFill>
            <a:srgbClr val="000000"/>
          </a:solidFill>
          <a:prstDash val="solid"/>
        </a:ln>
      </xdr:spPr>
    </xdr:pic>
    <xdr:clientData/>
  </xdr:twoCellAnchor>
  <xdr:twoCellAnchor>
    <xdr:from>
      <xdr:col>3</xdr:col>
      <xdr:colOff>114300</xdr:colOff>
      <xdr:row>5230</xdr:row>
      <xdr:rowOff>28575</xdr:rowOff>
    </xdr:from>
    <xdr:to>
      <xdr:col>3</xdr:col>
      <xdr:colOff>1552575</xdr:colOff>
      <xdr:row>5230</xdr:row>
      <xdr:rowOff>1266825</xdr:rowOff>
    </xdr:to>
    <xdr:pic>
      <xdr:nvPicPr>
        <xdr:cNvPr id="1737" name="Имя " descr="Descr ">
          <a:extLst>
            <a:ext uri="{FF2B5EF4-FFF2-40B4-BE49-F238E27FC236}">
              <a16:creationId xmlns:a16="http://schemas.microsoft.com/office/drawing/2014/main" id="{00000000-0008-0000-0000-0000C9060000}"/>
            </a:ext>
          </a:extLst>
        </xdr:cNvPr>
        <xdr:cNvPicPr>
          <a:picLocks noChangeAspect="1"/>
        </xdr:cNvPicPr>
      </xdr:nvPicPr>
      <xdr:blipFill>
        <a:blip xmlns:r="http://schemas.openxmlformats.org/officeDocument/2006/relationships" r:embed="rId1714"/>
        <a:stretch>
          <a:fillRect/>
        </a:stretch>
      </xdr:blipFill>
      <xdr:spPr>
        <a:prstGeom prst="rect">
          <a:avLst/>
        </a:prstGeom>
        <a:ln w="9525">
          <a:solidFill>
            <a:srgbClr val="000000"/>
          </a:solidFill>
          <a:prstDash val="solid"/>
        </a:ln>
      </xdr:spPr>
    </xdr:pic>
    <xdr:clientData/>
  </xdr:twoCellAnchor>
  <xdr:twoCellAnchor>
    <xdr:from>
      <xdr:col>3</xdr:col>
      <xdr:colOff>114300</xdr:colOff>
      <xdr:row>5231</xdr:row>
      <xdr:rowOff>28575</xdr:rowOff>
    </xdr:from>
    <xdr:to>
      <xdr:col>3</xdr:col>
      <xdr:colOff>1552575</xdr:colOff>
      <xdr:row>5231</xdr:row>
      <xdr:rowOff>1266825</xdr:rowOff>
    </xdr:to>
    <xdr:pic>
      <xdr:nvPicPr>
        <xdr:cNvPr id="1738" name="Имя " descr="Descr ">
          <a:extLst>
            <a:ext uri="{FF2B5EF4-FFF2-40B4-BE49-F238E27FC236}">
              <a16:creationId xmlns:a16="http://schemas.microsoft.com/office/drawing/2014/main" id="{00000000-0008-0000-0000-0000CA060000}"/>
            </a:ext>
          </a:extLst>
        </xdr:cNvPr>
        <xdr:cNvPicPr>
          <a:picLocks noChangeAspect="1"/>
        </xdr:cNvPicPr>
      </xdr:nvPicPr>
      <xdr:blipFill>
        <a:blip xmlns:r="http://schemas.openxmlformats.org/officeDocument/2006/relationships" r:embed="rId1715"/>
        <a:stretch>
          <a:fillRect/>
        </a:stretch>
      </xdr:blipFill>
      <xdr:spPr>
        <a:prstGeom prst="rect">
          <a:avLst/>
        </a:prstGeom>
        <a:ln w="9525">
          <a:solidFill>
            <a:srgbClr val="000000"/>
          </a:solidFill>
          <a:prstDash val="solid"/>
        </a:ln>
      </xdr:spPr>
    </xdr:pic>
    <xdr:clientData/>
  </xdr:twoCellAnchor>
  <xdr:twoCellAnchor>
    <xdr:from>
      <xdr:col>3</xdr:col>
      <xdr:colOff>114300</xdr:colOff>
      <xdr:row>5232</xdr:row>
      <xdr:rowOff>28575</xdr:rowOff>
    </xdr:from>
    <xdr:to>
      <xdr:col>3</xdr:col>
      <xdr:colOff>1552575</xdr:colOff>
      <xdr:row>5232</xdr:row>
      <xdr:rowOff>1266825</xdr:rowOff>
    </xdr:to>
    <xdr:pic>
      <xdr:nvPicPr>
        <xdr:cNvPr id="1739" name="Имя " descr="Descr ">
          <a:extLst>
            <a:ext uri="{FF2B5EF4-FFF2-40B4-BE49-F238E27FC236}">
              <a16:creationId xmlns:a16="http://schemas.microsoft.com/office/drawing/2014/main" id="{00000000-0008-0000-0000-0000CB060000}"/>
            </a:ext>
          </a:extLst>
        </xdr:cNvPr>
        <xdr:cNvPicPr>
          <a:picLocks noChangeAspect="1"/>
        </xdr:cNvPicPr>
      </xdr:nvPicPr>
      <xdr:blipFill>
        <a:blip xmlns:r="http://schemas.openxmlformats.org/officeDocument/2006/relationships" r:embed="rId1716"/>
        <a:stretch>
          <a:fillRect/>
        </a:stretch>
      </xdr:blipFill>
      <xdr:spPr>
        <a:prstGeom prst="rect">
          <a:avLst/>
        </a:prstGeom>
        <a:ln w="9525">
          <a:solidFill>
            <a:srgbClr val="000000"/>
          </a:solidFill>
          <a:prstDash val="solid"/>
        </a:ln>
      </xdr:spPr>
    </xdr:pic>
    <xdr:clientData/>
  </xdr:twoCellAnchor>
  <xdr:twoCellAnchor>
    <xdr:from>
      <xdr:col>3</xdr:col>
      <xdr:colOff>114300</xdr:colOff>
      <xdr:row>5233</xdr:row>
      <xdr:rowOff>28575</xdr:rowOff>
    </xdr:from>
    <xdr:to>
      <xdr:col>3</xdr:col>
      <xdr:colOff>1552575</xdr:colOff>
      <xdr:row>5241</xdr:row>
      <xdr:rowOff>133350</xdr:rowOff>
    </xdr:to>
    <xdr:pic>
      <xdr:nvPicPr>
        <xdr:cNvPr id="1740" name="Имя " descr="Descr ">
          <a:extLst>
            <a:ext uri="{FF2B5EF4-FFF2-40B4-BE49-F238E27FC236}">
              <a16:creationId xmlns:a16="http://schemas.microsoft.com/office/drawing/2014/main" id="{00000000-0008-0000-0000-0000CC060000}"/>
            </a:ext>
          </a:extLst>
        </xdr:cNvPr>
        <xdr:cNvPicPr>
          <a:picLocks noChangeAspect="1"/>
        </xdr:cNvPicPr>
      </xdr:nvPicPr>
      <xdr:blipFill>
        <a:blip xmlns:r="http://schemas.openxmlformats.org/officeDocument/2006/relationships" r:embed="rId1717"/>
        <a:stretch>
          <a:fillRect/>
        </a:stretch>
      </xdr:blipFill>
      <xdr:spPr>
        <a:prstGeom prst="rect">
          <a:avLst/>
        </a:prstGeom>
        <a:ln w="9525">
          <a:solidFill>
            <a:srgbClr val="000000"/>
          </a:solidFill>
          <a:prstDash val="solid"/>
        </a:ln>
      </xdr:spPr>
    </xdr:pic>
    <xdr:clientData/>
  </xdr:twoCellAnchor>
  <xdr:twoCellAnchor>
    <xdr:from>
      <xdr:col>3</xdr:col>
      <xdr:colOff>114300</xdr:colOff>
      <xdr:row>5244</xdr:row>
      <xdr:rowOff>28575</xdr:rowOff>
    </xdr:from>
    <xdr:to>
      <xdr:col>3</xdr:col>
      <xdr:colOff>1552575</xdr:colOff>
      <xdr:row>5251</xdr:row>
      <xdr:rowOff>152400</xdr:rowOff>
    </xdr:to>
    <xdr:pic>
      <xdr:nvPicPr>
        <xdr:cNvPr id="1741" name="Имя " descr="Descr ">
          <a:extLst>
            <a:ext uri="{FF2B5EF4-FFF2-40B4-BE49-F238E27FC236}">
              <a16:creationId xmlns:a16="http://schemas.microsoft.com/office/drawing/2014/main" id="{00000000-0008-0000-0000-0000CD060000}"/>
            </a:ext>
          </a:extLst>
        </xdr:cNvPr>
        <xdr:cNvPicPr>
          <a:picLocks noChangeAspect="1"/>
        </xdr:cNvPicPr>
      </xdr:nvPicPr>
      <xdr:blipFill>
        <a:blip xmlns:r="http://schemas.openxmlformats.org/officeDocument/2006/relationships" r:embed="rId1718"/>
        <a:stretch>
          <a:fillRect/>
        </a:stretch>
      </xdr:blipFill>
      <xdr:spPr>
        <a:prstGeom prst="rect">
          <a:avLst/>
        </a:prstGeom>
        <a:ln w="9525">
          <a:solidFill>
            <a:srgbClr val="000000"/>
          </a:solidFill>
          <a:prstDash val="solid"/>
        </a:ln>
      </xdr:spPr>
    </xdr:pic>
    <xdr:clientData/>
  </xdr:twoCellAnchor>
  <xdr:twoCellAnchor>
    <xdr:from>
      <xdr:col>3</xdr:col>
      <xdr:colOff>114300</xdr:colOff>
      <xdr:row>5252</xdr:row>
      <xdr:rowOff>28575</xdr:rowOff>
    </xdr:from>
    <xdr:to>
      <xdr:col>3</xdr:col>
      <xdr:colOff>1552575</xdr:colOff>
      <xdr:row>5257</xdr:row>
      <xdr:rowOff>209550</xdr:rowOff>
    </xdr:to>
    <xdr:pic>
      <xdr:nvPicPr>
        <xdr:cNvPr id="1742" name="Имя " descr="Descr ">
          <a:extLst>
            <a:ext uri="{FF2B5EF4-FFF2-40B4-BE49-F238E27FC236}">
              <a16:creationId xmlns:a16="http://schemas.microsoft.com/office/drawing/2014/main" id="{00000000-0008-0000-0000-0000CE060000}"/>
            </a:ext>
          </a:extLst>
        </xdr:cNvPr>
        <xdr:cNvPicPr>
          <a:picLocks noChangeAspect="1"/>
        </xdr:cNvPicPr>
      </xdr:nvPicPr>
      <xdr:blipFill>
        <a:blip xmlns:r="http://schemas.openxmlformats.org/officeDocument/2006/relationships" r:embed="rId1719"/>
        <a:stretch>
          <a:fillRect/>
        </a:stretch>
      </xdr:blipFill>
      <xdr:spPr>
        <a:prstGeom prst="rect">
          <a:avLst/>
        </a:prstGeom>
        <a:ln w="9525">
          <a:solidFill>
            <a:srgbClr val="000000"/>
          </a:solidFill>
          <a:prstDash val="solid"/>
        </a:ln>
      </xdr:spPr>
    </xdr:pic>
    <xdr:clientData/>
  </xdr:twoCellAnchor>
  <xdr:twoCellAnchor>
    <xdr:from>
      <xdr:col>3</xdr:col>
      <xdr:colOff>114300</xdr:colOff>
      <xdr:row>5258</xdr:row>
      <xdr:rowOff>28575</xdr:rowOff>
    </xdr:from>
    <xdr:to>
      <xdr:col>3</xdr:col>
      <xdr:colOff>1552575</xdr:colOff>
      <xdr:row>5262</xdr:row>
      <xdr:rowOff>333375</xdr:rowOff>
    </xdr:to>
    <xdr:pic>
      <xdr:nvPicPr>
        <xdr:cNvPr id="1743" name="Имя " descr="Descr ">
          <a:extLst>
            <a:ext uri="{FF2B5EF4-FFF2-40B4-BE49-F238E27FC236}">
              <a16:creationId xmlns:a16="http://schemas.microsoft.com/office/drawing/2014/main" id="{00000000-0008-0000-0000-0000CF060000}"/>
            </a:ext>
          </a:extLst>
        </xdr:cNvPr>
        <xdr:cNvPicPr>
          <a:picLocks noChangeAspect="1"/>
        </xdr:cNvPicPr>
      </xdr:nvPicPr>
      <xdr:blipFill>
        <a:blip xmlns:r="http://schemas.openxmlformats.org/officeDocument/2006/relationships" r:embed="rId1720"/>
        <a:stretch>
          <a:fillRect/>
        </a:stretch>
      </xdr:blipFill>
      <xdr:spPr>
        <a:prstGeom prst="rect">
          <a:avLst/>
        </a:prstGeom>
        <a:ln w="9525">
          <a:solidFill>
            <a:srgbClr val="000000"/>
          </a:solidFill>
          <a:prstDash val="solid"/>
        </a:ln>
      </xdr:spPr>
    </xdr:pic>
    <xdr:clientData/>
  </xdr:twoCellAnchor>
  <xdr:twoCellAnchor>
    <xdr:from>
      <xdr:col>3</xdr:col>
      <xdr:colOff>114300</xdr:colOff>
      <xdr:row>5263</xdr:row>
      <xdr:rowOff>28575</xdr:rowOff>
    </xdr:from>
    <xdr:to>
      <xdr:col>3</xdr:col>
      <xdr:colOff>1552575</xdr:colOff>
      <xdr:row>5271</xdr:row>
      <xdr:rowOff>133350</xdr:rowOff>
    </xdr:to>
    <xdr:pic>
      <xdr:nvPicPr>
        <xdr:cNvPr id="1744" name="Имя " descr="Descr ">
          <a:extLst>
            <a:ext uri="{FF2B5EF4-FFF2-40B4-BE49-F238E27FC236}">
              <a16:creationId xmlns:a16="http://schemas.microsoft.com/office/drawing/2014/main" id="{00000000-0008-0000-0000-0000D0060000}"/>
            </a:ext>
          </a:extLst>
        </xdr:cNvPr>
        <xdr:cNvPicPr>
          <a:picLocks noChangeAspect="1"/>
        </xdr:cNvPicPr>
      </xdr:nvPicPr>
      <xdr:blipFill>
        <a:blip xmlns:r="http://schemas.openxmlformats.org/officeDocument/2006/relationships" r:embed="rId1721"/>
        <a:stretch>
          <a:fillRect/>
        </a:stretch>
      </xdr:blipFill>
      <xdr:spPr>
        <a:prstGeom prst="rect">
          <a:avLst/>
        </a:prstGeom>
        <a:ln w="9525">
          <a:solidFill>
            <a:srgbClr val="000000"/>
          </a:solidFill>
          <a:prstDash val="solid"/>
        </a:ln>
      </xdr:spPr>
    </xdr:pic>
    <xdr:clientData/>
  </xdr:twoCellAnchor>
  <xdr:twoCellAnchor>
    <xdr:from>
      <xdr:col>3</xdr:col>
      <xdr:colOff>114300</xdr:colOff>
      <xdr:row>5274</xdr:row>
      <xdr:rowOff>28575</xdr:rowOff>
    </xdr:from>
    <xdr:to>
      <xdr:col>3</xdr:col>
      <xdr:colOff>1552575</xdr:colOff>
      <xdr:row>5282</xdr:row>
      <xdr:rowOff>133350</xdr:rowOff>
    </xdr:to>
    <xdr:pic>
      <xdr:nvPicPr>
        <xdr:cNvPr id="1745" name="Имя " descr="Descr ">
          <a:extLst>
            <a:ext uri="{FF2B5EF4-FFF2-40B4-BE49-F238E27FC236}">
              <a16:creationId xmlns:a16="http://schemas.microsoft.com/office/drawing/2014/main" id="{00000000-0008-0000-0000-0000D1060000}"/>
            </a:ext>
          </a:extLst>
        </xdr:cNvPr>
        <xdr:cNvPicPr>
          <a:picLocks noChangeAspect="1"/>
        </xdr:cNvPicPr>
      </xdr:nvPicPr>
      <xdr:blipFill>
        <a:blip xmlns:r="http://schemas.openxmlformats.org/officeDocument/2006/relationships" r:embed="rId1722"/>
        <a:stretch>
          <a:fillRect/>
        </a:stretch>
      </xdr:blipFill>
      <xdr:spPr>
        <a:prstGeom prst="rect">
          <a:avLst/>
        </a:prstGeom>
        <a:ln w="9525">
          <a:solidFill>
            <a:srgbClr val="000000"/>
          </a:solid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0</xdr:colOff>
      <xdr:row>3</xdr:row>
      <xdr:rowOff>177800</xdr:rowOff>
    </xdr:from>
    <xdr:to>
      <xdr:col>7</xdr:col>
      <xdr:colOff>3175</xdr:colOff>
      <xdr:row>18</xdr:row>
      <xdr:rowOff>63500</xdr:rowOff>
    </xdr:to>
    <xdr:graphicFrame macro="">
      <xdr:nvGraphicFramePr>
        <xdr:cNvPr id="2" name="Диаграмма 1">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155575</xdr:colOff>
      <xdr:row>3</xdr:row>
      <xdr:rowOff>177800</xdr:rowOff>
    </xdr:from>
    <xdr:to>
      <xdr:col>11</xdr:col>
      <xdr:colOff>3175</xdr:colOff>
      <xdr:row>18</xdr:row>
      <xdr:rowOff>63500</xdr:rowOff>
    </xdr:to>
    <xdr:graphicFrame macro="">
      <xdr:nvGraphicFramePr>
        <xdr:cNvPr id="3" name="Диаграмма 2">
          <a:extLst>
            <a:ext uri="{FF2B5EF4-FFF2-40B4-BE49-F238E27FC236}">
              <a16:creationId xmlns:a16="http://schemas.microsoft.com/office/drawing/2014/main" id="{00000000-0008-0000-01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autoPageBreaks="0"/>
  </sheetPr>
  <dimension ref="A1:X5285"/>
  <sheetViews>
    <sheetView tabSelected="1" workbookViewId="0">
      <pane xSplit="4" ySplit="3" topLeftCell="E4" activePane="bottomRight" state="frozen"/>
      <selection pane="topRight" activeCell="G1" sqref="G1"/>
      <selection pane="bottomLeft" activeCell="A6" sqref="A6"/>
      <selection pane="bottomRight" activeCell="G6" sqref="G6"/>
    </sheetView>
  </sheetViews>
  <sheetFormatPr defaultColWidth="10.5" defaultRowHeight="11.45" customHeight="1" x14ac:dyDescent="0.3"/>
  <cols>
    <col min="1" max="1" width="8.1640625" style="1" customWidth="1"/>
    <col min="2" max="2" width="14" style="1" customWidth="1"/>
    <col min="3" max="3" width="11.33203125" style="1" customWidth="1"/>
    <col min="4" max="4" width="29.83203125" style="1" customWidth="1" collapsed="1"/>
    <col min="5" max="5" width="15.5" style="1" customWidth="1"/>
    <col min="6" max="6" width="10.5" style="1" customWidth="1"/>
    <col min="7" max="7" width="19.83203125" style="1" customWidth="1"/>
    <col min="8" max="8" width="11.6640625" style="1" customWidth="1"/>
    <col min="9" max="9" width="14.1640625" style="1" customWidth="1"/>
    <col min="10" max="10" width="16.1640625" style="3" customWidth="1"/>
    <col min="11" max="11" width="10" style="1" customWidth="1"/>
    <col min="12" max="12" width="17.5" style="1" customWidth="1"/>
    <col min="13" max="13" width="17.33203125" style="1" customWidth="1"/>
    <col min="14" max="15" width="10.5" style="1" customWidth="1"/>
    <col min="16" max="16" width="17.5" style="1" customWidth="1"/>
    <col min="17" max="17" width="9.1640625" style="1" customWidth="1"/>
    <col min="18" max="18" width="9.33203125" style="4" customWidth="1"/>
    <col min="19" max="19" width="10" style="2" customWidth="1"/>
    <col min="20" max="20" width="10.5" style="1" customWidth="1"/>
    <col min="21" max="21" width="7.6640625" style="1" customWidth="1"/>
    <col min="22" max="22" width="7" style="1" customWidth="1"/>
    <col min="23" max="24" width="5.83203125" style="1" customWidth="1"/>
  </cols>
  <sheetData>
    <row r="1" spans="1:24" ht="7.5" customHeight="1" x14ac:dyDescent="0.3">
      <c r="A1" s="2"/>
      <c r="B1" s="2"/>
      <c r="C1" s="2"/>
      <c r="D1" s="2"/>
      <c r="E1" s="2"/>
      <c r="F1" s="2"/>
      <c r="G1" s="2"/>
      <c r="H1" s="2"/>
      <c r="I1" s="2"/>
      <c r="K1" s="2"/>
      <c r="L1" s="2"/>
      <c r="M1" s="2"/>
      <c r="N1" s="2"/>
      <c r="O1" s="2"/>
      <c r="P1" s="2"/>
      <c r="Q1" s="2"/>
      <c r="T1" s="2"/>
      <c r="U1" s="2"/>
      <c r="V1" s="2"/>
      <c r="W1" s="2"/>
      <c r="X1" s="2"/>
    </row>
    <row r="2" spans="1:24" ht="12.75" customHeight="1" x14ac:dyDescent="0.3">
      <c r="A2" s="66"/>
      <c r="B2" s="66"/>
      <c r="C2" s="66"/>
      <c r="D2" s="66"/>
      <c r="E2" s="66"/>
      <c r="F2" s="66"/>
      <c r="G2" s="66"/>
      <c r="H2" s="66"/>
      <c r="I2" s="66"/>
      <c r="J2" s="67"/>
      <c r="K2" s="66"/>
      <c r="L2" s="66"/>
      <c r="M2" s="66"/>
      <c r="N2" s="66"/>
      <c r="O2" s="66"/>
      <c r="P2" s="66"/>
      <c r="Q2" s="66"/>
      <c r="R2" s="68"/>
      <c r="S2" s="66"/>
      <c r="T2" s="66"/>
      <c r="U2" s="66"/>
      <c r="V2" s="66"/>
      <c r="W2" s="66"/>
      <c r="X2" s="66"/>
    </row>
    <row r="3" spans="1:24" s="1" customFormat="1" ht="33" customHeight="1" x14ac:dyDescent="0.3">
      <c r="A3" s="5" t="s">
        <v>0</v>
      </c>
      <c r="B3" s="5" t="s">
        <v>1</v>
      </c>
      <c r="C3" s="6" t="s">
        <v>2</v>
      </c>
      <c r="D3" s="5" t="s">
        <v>3</v>
      </c>
      <c r="E3" s="7" t="s">
        <v>4</v>
      </c>
      <c r="F3" s="8" t="s">
        <v>5</v>
      </c>
      <c r="G3" s="5" t="s">
        <v>6</v>
      </c>
      <c r="H3" s="7" t="s">
        <v>7</v>
      </c>
      <c r="I3" s="7" t="s">
        <v>8</v>
      </c>
      <c r="J3" s="7" t="s">
        <v>9</v>
      </c>
      <c r="K3" s="7" t="s">
        <v>10</v>
      </c>
      <c r="L3" s="5" t="s">
        <v>11</v>
      </c>
      <c r="M3" s="5" t="s">
        <v>12</v>
      </c>
      <c r="N3" s="5" t="s">
        <v>13</v>
      </c>
      <c r="O3" s="5" t="s">
        <v>14</v>
      </c>
      <c r="P3" s="5" t="s">
        <v>15</v>
      </c>
      <c r="Q3" s="5" t="s">
        <v>16</v>
      </c>
      <c r="R3" s="9" t="s">
        <v>17</v>
      </c>
      <c r="S3" s="10" t="s">
        <v>5010</v>
      </c>
      <c r="T3" s="10" t="s">
        <v>18</v>
      </c>
      <c r="U3" s="10" t="s">
        <v>19</v>
      </c>
      <c r="V3" s="7" t="s">
        <v>20</v>
      </c>
      <c r="W3" s="7" t="s">
        <v>21</v>
      </c>
      <c r="X3" s="5" t="s">
        <v>22</v>
      </c>
    </row>
    <row r="4" spans="1:24" s="1" customFormat="1" ht="35.1" customHeight="1" x14ac:dyDescent="0.3">
      <c r="A4" s="11" t="s">
        <v>23</v>
      </c>
      <c r="B4" s="11" t="s">
        <v>24</v>
      </c>
      <c r="C4" s="12" t="s">
        <v>25</v>
      </c>
      <c r="D4" s="83"/>
      <c r="E4" s="69" t="str">
        <f>HYPERLINK("https://www.google.ru/search?q=MC-BC718&amp;newwindow=1&amp;tbm=isch","Еще фото")</f>
        <v>Еще фото</v>
      </c>
      <c r="F4" s="13"/>
      <c r="G4" s="11" t="s">
        <v>26</v>
      </c>
      <c r="H4" s="11" t="s">
        <v>27</v>
      </c>
      <c r="I4" s="14" t="s">
        <v>28</v>
      </c>
      <c r="J4" s="14" t="s">
        <v>29</v>
      </c>
      <c r="K4" s="15" t="s">
        <v>30</v>
      </c>
      <c r="L4" s="86" t="s">
        <v>31</v>
      </c>
      <c r="M4" s="14"/>
      <c r="N4" s="14" t="s">
        <v>32</v>
      </c>
      <c r="O4" s="14"/>
      <c r="P4" s="15" t="s">
        <v>33</v>
      </c>
      <c r="Q4" s="16">
        <v>4699</v>
      </c>
      <c r="R4" s="17">
        <v>76.430000000000007</v>
      </c>
      <c r="S4" s="18">
        <v>1273.9354999999998</v>
      </c>
      <c r="T4" s="19" t="s">
        <v>34</v>
      </c>
      <c r="U4" s="20" t="s">
        <v>35</v>
      </c>
      <c r="V4" s="21">
        <v>116</v>
      </c>
      <c r="W4" s="21">
        <v>1</v>
      </c>
      <c r="X4" s="22"/>
    </row>
    <row r="5" spans="1:24" s="1" customFormat="1" ht="35.1" customHeight="1" x14ac:dyDescent="0.3">
      <c r="A5" s="23" t="s">
        <v>23</v>
      </c>
      <c r="B5" s="23" t="s">
        <v>24</v>
      </c>
      <c r="C5" s="12" t="s">
        <v>25</v>
      </c>
      <c r="D5" s="84"/>
      <c r="E5" s="69" t="str">
        <f>HYPERLINK("https://www.google.ru/search?q=MC-BC718&amp;newwindow=1&amp;tbm=isch","Еще фото")</f>
        <v>Еще фото</v>
      </c>
      <c r="F5" s="13"/>
      <c r="G5" s="23" t="s">
        <v>26</v>
      </c>
      <c r="H5" s="23" t="s">
        <v>27</v>
      </c>
      <c r="I5" s="23" t="s">
        <v>28</v>
      </c>
      <c r="J5" s="14" t="s">
        <v>29</v>
      </c>
      <c r="K5" s="15" t="s">
        <v>30</v>
      </c>
      <c r="L5" s="87"/>
      <c r="M5" s="14"/>
      <c r="N5" s="14" t="s">
        <v>32</v>
      </c>
      <c r="O5" s="14"/>
      <c r="P5" s="15" t="s">
        <v>33</v>
      </c>
      <c r="Q5" s="16">
        <v>4699</v>
      </c>
      <c r="R5" s="17">
        <v>76.430000000000007</v>
      </c>
      <c r="S5" s="18">
        <v>1273.9354999999998</v>
      </c>
      <c r="T5" s="19" t="s">
        <v>34</v>
      </c>
      <c r="U5" s="20" t="s">
        <v>36</v>
      </c>
      <c r="V5" s="21">
        <v>122</v>
      </c>
      <c r="W5" s="21">
        <v>3</v>
      </c>
      <c r="X5" s="22"/>
    </row>
    <row r="6" spans="1:24" s="1" customFormat="1" ht="36.950000000000003" customHeight="1" x14ac:dyDescent="0.3">
      <c r="A6" s="23" t="s">
        <v>23</v>
      </c>
      <c r="B6" s="23" t="s">
        <v>24</v>
      </c>
      <c r="C6" s="12" t="s">
        <v>25</v>
      </c>
      <c r="D6" s="85"/>
      <c r="E6" s="69" t="str">
        <f>HYPERLINK("https://www.google.ru/search?q=MC-BC718&amp;newwindow=1&amp;tbm=isch","Еще фото")</f>
        <v>Еще фото</v>
      </c>
      <c r="F6" s="13"/>
      <c r="G6" s="23" t="s">
        <v>26</v>
      </c>
      <c r="H6" s="23" t="s">
        <v>27</v>
      </c>
      <c r="I6" s="23" t="s">
        <v>28</v>
      </c>
      <c r="J6" s="14" t="s">
        <v>29</v>
      </c>
      <c r="K6" s="15" t="s">
        <v>30</v>
      </c>
      <c r="L6" s="88"/>
      <c r="M6" s="14"/>
      <c r="N6" s="14" t="s">
        <v>32</v>
      </c>
      <c r="O6" s="14"/>
      <c r="P6" s="15" t="s">
        <v>33</v>
      </c>
      <c r="Q6" s="16">
        <v>4699</v>
      </c>
      <c r="R6" s="17">
        <v>76.430000000000007</v>
      </c>
      <c r="S6" s="18">
        <v>1273.9354999999998</v>
      </c>
      <c r="T6" s="19" t="s">
        <v>34</v>
      </c>
      <c r="U6" s="20" t="s">
        <v>37</v>
      </c>
      <c r="V6" s="21">
        <v>128</v>
      </c>
      <c r="W6" s="21">
        <v>2</v>
      </c>
      <c r="X6" s="22"/>
    </row>
    <row r="7" spans="1:24" s="1" customFormat="1" ht="26.1" customHeight="1" x14ac:dyDescent="0.3">
      <c r="A7" s="11" t="s">
        <v>23</v>
      </c>
      <c r="B7" s="11" t="s">
        <v>38</v>
      </c>
      <c r="C7" s="12" t="s">
        <v>39</v>
      </c>
      <c r="D7" s="83"/>
      <c r="E7" s="69" t="str">
        <f>HYPERLINK("https://www.google.ru/search?q=MC-CA871&amp;newwindow=1&amp;tbm=isch","Еще фото")</f>
        <v>Еще фото</v>
      </c>
      <c r="F7" s="13"/>
      <c r="G7" s="11" t="s">
        <v>28</v>
      </c>
      <c r="H7" s="11" t="s">
        <v>27</v>
      </c>
      <c r="I7" s="14" t="s">
        <v>28</v>
      </c>
      <c r="J7" s="14" t="s">
        <v>29</v>
      </c>
      <c r="K7" s="15" t="s">
        <v>30</v>
      </c>
      <c r="L7" s="86" t="s">
        <v>40</v>
      </c>
      <c r="M7" s="14"/>
      <c r="N7" s="14" t="s">
        <v>41</v>
      </c>
      <c r="O7" s="14"/>
      <c r="P7" s="15" t="s">
        <v>42</v>
      </c>
      <c r="Q7" s="16">
        <v>5099</v>
      </c>
      <c r="R7" s="17">
        <v>70.819999999999993</v>
      </c>
      <c r="S7" s="18">
        <v>1710.9354999999998</v>
      </c>
      <c r="T7" s="19" t="s">
        <v>34</v>
      </c>
      <c r="U7" s="20" t="s">
        <v>43</v>
      </c>
      <c r="V7" s="21">
        <v>110</v>
      </c>
      <c r="W7" s="21">
        <v>3</v>
      </c>
      <c r="X7" s="22"/>
    </row>
    <row r="8" spans="1:24" s="1" customFormat="1" ht="26.1" customHeight="1" x14ac:dyDescent="0.3">
      <c r="A8" s="23" t="s">
        <v>23</v>
      </c>
      <c r="B8" s="23" t="s">
        <v>38</v>
      </c>
      <c r="C8" s="12" t="s">
        <v>39</v>
      </c>
      <c r="D8" s="84"/>
      <c r="E8" s="69" t="str">
        <f>HYPERLINK("https://www.google.ru/search?q=MC-CA871&amp;newwindow=1&amp;tbm=isch","Еще фото")</f>
        <v>Еще фото</v>
      </c>
      <c r="F8" s="13"/>
      <c r="G8" s="23" t="s">
        <v>28</v>
      </c>
      <c r="H8" s="23" t="s">
        <v>27</v>
      </c>
      <c r="I8" s="23" t="s">
        <v>28</v>
      </c>
      <c r="J8" s="14" t="s">
        <v>29</v>
      </c>
      <c r="K8" s="15" t="s">
        <v>30</v>
      </c>
      <c r="L8" s="87"/>
      <c r="M8" s="14"/>
      <c r="N8" s="14" t="s">
        <v>41</v>
      </c>
      <c r="O8" s="14"/>
      <c r="P8" s="15" t="s">
        <v>42</v>
      </c>
      <c r="Q8" s="16">
        <v>5099</v>
      </c>
      <c r="R8" s="17">
        <v>70.819999999999993</v>
      </c>
      <c r="S8" s="18">
        <v>1710.9354999999998</v>
      </c>
      <c r="T8" s="19" t="s">
        <v>34</v>
      </c>
      <c r="U8" s="20" t="s">
        <v>35</v>
      </c>
      <c r="V8" s="21">
        <v>116</v>
      </c>
      <c r="W8" s="21">
        <v>2</v>
      </c>
      <c r="X8" s="22"/>
    </row>
    <row r="9" spans="1:24" s="1" customFormat="1" ht="26.1" customHeight="1" x14ac:dyDescent="0.3">
      <c r="A9" s="23" t="s">
        <v>23</v>
      </c>
      <c r="B9" s="23" t="s">
        <v>38</v>
      </c>
      <c r="C9" s="12" t="s">
        <v>39</v>
      </c>
      <c r="D9" s="84"/>
      <c r="E9" s="69" t="str">
        <f>HYPERLINK("https://www.google.ru/search?q=MC-CA871&amp;newwindow=1&amp;tbm=isch","Еще фото")</f>
        <v>Еще фото</v>
      </c>
      <c r="F9" s="13"/>
      <c r="G9" s="23" t="s">
        <v>28</v>
      </c>
      <c r="H9" s="23" t="s">
        <v>27</v>
      </c>
      <c r="I9" s="23" t="s">
        <v>28</v>
      </c>
      <c r="J9" s="14" t="s">
        <v>29</v>
      </c>
      <c r="K9" s="15" t="s">
        <v>30</v>
      </c>
      <c r="L9" s="87"/>
      <c r="M9" s="14"/>
      <c r="N9" s="14" t="s">
        <v>41</v>
      </c>
      <c r="O9" s="14"/>
      <c r="P9" s="15" t="s">
        <v>42</v>
      </c>
      <c r="Q9" s="16">
        <v>5099</v>
      </c>
      <c r="R9" s="17">
        <v>70.819999999999993</v>
      </c>
      <c r="S9" s="18">
        <v>1710.9354999999998</v>
      </c>
      <c r="T9" s="19" t="s">
        <v>34</v>
      </c>
      <c r="U9" s="20" t="s">
        <v>36</v>
      </c>
      <c r="V9" s="21">
        <v>122</v>
      </c>
      <c r="W9" s="21">
        <v>1</v>
      </c>
      <c r="X9" s="22"/>
    </row>
    <row r="10" spans="1:24" s="1" customFormat="1" ht="26.1" customHeight="1" x14ac:dyDescent="0.3">
      <c r="A10" s="23" t="s">
        <v>23</v>
      </c>
      <c r="B10" s="23" t="s">
        <v>38</v>
      </c>
      <c r="C10" s="12" t="s">
        <v>39</v>
      </c>
      <c r="D10" s="85"/>
      <c r="E10" s="69" t="str">
        <f>HYPERLINK("https://www.google.ru/search?q=MC-CA871&amp;newwindow=1&amp;tbm=isch","Еще фото")</f>
        <v>Еще фото</v>
      </c>
      <c r="F10" s="13"/>
      <c r="G10" s="23" t="s">
        <v>28</v>
      </c>
      <c r="H10" s="23" t="s">
        <v>27</v>
      </c>
      <c r="I10" s="23" t="s">
        <v>28</v>
      </c>
      <c r="J10" s="14" t="s">
        <v>29</v>
      </c>
      <c r="K10" s="15" t="s">
        <v>30</v>
      </c>
      <c r="L10" s="88"/>
      <c r="M10" s="14"/>
      <c r="N10" s="14" t="s">
        <v>41</v>
      </c>
      <c r="O10" s="14"/>
      <c r="P10" s="15" t="s">
        <v>42</v>
      </c>
      <c r="Q10" s="16">
        <v>5099</v>
      </c>
      <c r="R10" s="17">
        <v>70.819999999999993</v>
      </c>
      <c r="S10" s="18">
        <v>1710.9354999999998</v>
      </c>
      <c r="T10" s="19" t="s">
        <v>34</v>
      </c>
      <c r="U10" s="20" t="s">
        <v>37</v>
      </c>
      <c r="V10" s="21">
        <v>128</v>
      </c>
      <c r="W10" s="21">
        <v>1</v>
      </c>
      <c r="X10" s="22"/>
    </row>
    <row r="11" spans="1:24" s="1" customFormat="1" ht="108" customHeight="1" x14ac:dyDescent="0.3">
      <c r="A11" s="11" t="s">
        <v>44</v>
      </c>
      <c r="B11" s="11" t="s">
        <v>45</v>
      </c>
      <c r="C11" s="12" t="s">
        <v>46</v>
      </c>
      <c r="D11" s="24"/>
      <c r="E11" s="69" t="str">
        <f>HYPERLINK("https://www.google.ru/search?q=FW3231008-BLK&amp;newwindow=1&amp;tbm=isch","Еще фото")</f>
        <v>Еще фото</v>
      </c>
      <c r="F11" s="13"/>
      <c r="G11" s="11" t="s">
        <v>28</v>
      </c>
      <c r="H11" s="11" t="s">
        <v>27</v>
      </c>
      <c r="I11" s="14" t="s">
        <v>28</v>
      </c>
      <c r="J11" s="14" t="s">
        <v>29</v>
      </c>
      <c r="K11" s="15" t="s">
        <v>47</v>
      </c>
      <c r="L11" s="14" t="s">
        <v>48</v>
      </c>
      <c r="M11" s="14"/>
      <c r="N11" s="14" t="s">
        <v>49</v>
      </c>
      <c r="O11" s="14"/>
      <c r="P11" s="15" t="s">
        <v>50</v>
      </c>
      <c r="Q11" s="16">
        <v>6800</v>
      </c>
      <c r="R11" s="17">
        <v>66.209999999999994</v>
      </c>
      <c r="S11" s="18">
        <v>2642.4354999999996</v>
      </c>
      <c r="T11" s="19" t="s">
        <v>51</v>
      </c>
      <c r="U11" s="20" t="s">
        <v>52</v>
      </c>
      <c r="V11" s="25" t="s">
        <v>53</v>
      </c>
      <c r="W11" s="21">
        <v>4</v>
      </c>
      <c r="X11" s="22"/>
    </row>
    <row r="12" spans="1:24" s="1" customFormat="1" ht="51.95" customHeight="1" x14ac:dyDescent="0.3">
      <c r="A12" s="11" t="s">
        <v>44</v>
      </c>
      <c r="B12" s="11" t="s">
        <v>45</v>
      </c>
      <c r="C12" s="12" t="s">
        <v>54</v>
      </c>
      <c r="D12" s="89"/>
      <c r="E12" s="69" t="str">
        <f>HYPERLINK("https://www.google.ru/search?q=FW3231291-BLK&amp;newwindow=1&amp;tbm=isch","Еще фото")</f>
        <v>Еще фото</v>
      </c>
      <c r="F12" s="13"/>
      <c r="G12" s="11" t="s">
        <v>28</v>
      </c>
      <c r="H12" s="11" t="s">
        <v>27</v>
      </c>
      <c r="I12" s="14" t="s">
        <v>28</v>
      </c>
      <c r="J12" s="14" t="s">
        <v>29</v>
      </c>
      <c r="K12" s="15" t="s">
        <v>55</v>
      </c>
      <c r="L12" s="86" t="s">
        <v>56</v>
      </c>
      <c r="M12" s="14"/>
      <c r="N12" s="14" t="s">
        <v>49</v>
      </c>
      <c r="O12" s="14"/>
      <c r="P12" s="15" t="s">
        <v>57</v>
      </c>
      <c r="Q12" s="16">
        <v>6800</v>
      </c>
      <c r="R12" s="17">
        <v>66.209999999999994</v>
      </c>
      <c r="S12" s="18">
        <v>2642.4354999999996</v>
      </c>
      <c r="T12" s="19" t="s">
        <v>51</v>
      </c>
      <c r="U12" s="20" t="s">
        <v>58</v>
      </c>
      <c r="V12" s="25" t="s">
        <v>59</v>
      </c>
      <c r="W12" s="21">
        <v>2</v>
      </c>
      <c r="X12" s="22"/>
    </row>
    <row r="13" spans="1:24" s="1" customFormat="1" ht="60.95" customHeight="1" x14ac:dyDescent="0.3">
      <c r="A13" s="23" t="s">
        <v>44</v>
      </c>
      <c r="B13" s="23" t="s">
        <v>45</v>
      </c>
      <c r="C13" s="12" t="s">
        <v>54</v>
      </c>
      <c r="D13" s="90"/>
      <c r="E13" s="69" t="str">
        <f>HYPERLINK("https://www.google.ru/search?q=FW3231291-BLK&amp;newwindow=1&amp;tbm=isch","Еще фото")</f>
        <v>Еще фото</v>
      </c>
      <c r="F13" s="13"/>
      <c r="G13" s="23" t="s">
        <v>28</v>
      </c>
      <c r="H13" s="23" t="s">
        <v>27</v>
      </c>
      <c r="I13" s="23" t="s">
        <v>28</v>
      </c>
      <c r="J13" s="14" t="s">
        <v>29</v>
      </c>
      <c r="K13" s="15" t="s">
        <v>55</v>
      </c>
      <c r="L13" s="88"/>
      <c r="M13" s="14"/>
      <c r="N13" s="14" t="s">
        <v>49</v>
      </c>
      <c r="O13" s="14"/>
      <c r="P13" s="15" t="s">
        <v>57</v>
      </c>
      <c r="Q13" s="16">
        <v>6800</v>
      </c>
      <c r="R13" s="17">
        <v>66.209999999999994</v>
      </c>
      <c r="S13" s="18">
        <v>2642.4354999999996</v>
      </c>
      <c r="T13" s="19" t="s">
        <v>51</v>
      </c>
      <c r="U13" s="20" t="s">
        <v>52</v>
      </c>
      <c r="V13" s="25" t="s">
        <v>60</v>
      </c>
      <c r="W13" s="21">
        <v>4</v>
      </c>
      <c r="X13" s="22"/>
    </row>
    <row r="14" spans="1:24" s="1" customFormat="1" ht="26.1" customHeight="1" x14ac:dyDescent="0.3">
      <c r="A14" s="11" t="s">
        <v>44</v>
      </c>
      <c r="B14" s="11" t="s">
        <v>45</v>
      </c>
      <c r="C14" s="12" t="s">
        <v>61</v>
      </c>
      <c r="D14" s="83"/>
      <c r="E14" s="69" t="str">
        <f>HYPERLINK("https://www.google.ru/search?q=FW3231172-BLK&amp;newwindow=1&amp;tbm=isch","Еще фото")</f>
        <v>Еще фото</v>
      </c>
      <c r="F14" s="13"/>
      <c r="G14" s="11" t="s">
        <v>28</v>
      </c>
      <c r="H14" s="11" t="s">
        <v>27</v>
      </c>
      <c r="I14" s="14" t="s">
        <v>28</v>
      </c>
      <c r="J14" s="14" t="s">
        <v>29</v>
      </c>
      <c r="K14" s="15" t="s">
        <v>47</v>
      </c>
      <c r="L14" s="86" t="s">
        <v>62</v>
      </c>
      <c r="M14" s="14"/>
      <c r="N14" s="14" t="s">
        <v>49</v>
      </c>
      <c r="O14" s="14"/>
      <c r="P14" s="15" t="s">
        <v>63</v>
      </c>
      <c r="Q14" s="16">
        <v>7300</v>
      </c>
      <c r="R14" s="17">
        <v>66.06</v>
      </c>
      <c r="S14" s="18">
        <v>2849.4354999999996</v>
      </c>
      <c r="T14" s="19" t="s">
        <v>51</v>
      </c>
      <c r="U14" s="20" t="s">
        <v>64</v>
      </c>
      <c r="V14" s="25" t="s">
        <v>65</v>
      </c>
      <c r="W14" s="21">
        <v>2</v>
      </c>
      <c r="X14" s="22"/>
    </row>
    <row r="15" spans="1:24" s="1" customFormat="1" ht="26.1" customHeight="1" x14ac:dyDescent="0.3">
      <c r="A15" s="23" t="s">
        <v>44</v>
      </c>
      <c r="B15" s="23" t="s">
        <v>45</v>
      </c>
      <c r="C15" s="12" t="s">
        <v>61</v>
      </c>
      <c r="D15" s="84"/>
      <c r="E15" s="69" t="str">
        <f>HYPERLINK("https://www.google.ru/search?q=FW3231172-BLK&amp;newwindow=1&amp;tbm=isch","Еще фото")</f>
        <v>Еще фото</v>
      </c>
      <c r="F15" s="13"/>
      <c r="G15" s="23" t="s">
        <v>28</v>
      </c>
      <c r="H15" s="23" t="s">
        <v>27</v>
      </c>
      <c r="I15" s="23" t="s">
        <v>28</v>
      </c>
      <c r="J15" s="14" t="s">
        <v>29</v>
      </c>
      <c r="K15" s="15" t="s">
        <v>47</v>
      </c>
      <c r="L15" s="87"/>
      <c r="M15" s="14"/>
      <c r="N15" s="14" t="s">
        <v>49</v>
      </c>
      <c r="O15" s="14"/>
      <c r="P15" s="15" t="s">
        <v>63</v>
      </c>
      <c r="Q15" s="16">
        <v>7300</v>
      </c>
      <c r="R15" s="17">
        <v>66.06</v>
      </c>
      <c r="S15" s="18">
        <v>2849.4354999999996</v>
      </c>
      <c r="T15" s="19" t="s">
        <v>51</v>
      </c>
      <c r="U15" s="20" t="s">
        <v>66</v>
      </c>
      <c r="V15" s="25" t="s">
        <v>67</v>
      </c>
      <c r="W15" s="21">
        <v>3</v>
      </c>
      <c r="X15" s="22"/>
    </row>
    <row r="16" spans="1:24" s="1" customFormat="1" ht="26.1" customHeight="1" x14ac:dyDescent="0.3">
      <c r="A16" s="23" t="s">
        <v>44</v>
      </c>
      <c r="B16" s="23" t="s">
        <v>45</v>
      </c>
      <c r="C16" s="12" t="s">
        <v>61</v>
      </c>
      <c r="D16" s="84"/>
      <c r="E16" s="69" t="str">
        <f>HYPERLINK("https://www.google.ru/search?q=FW3231172-BLK&amp;newwindow=1&amp;tbm=isch","Еще фото")</f>
        <v>Еще фото</v>
      </c>
      <c r="F16" s="13"/>
      <c r="G16" s="23" t="s">
        <v>28</v>
      </c>
      <c r="H16" s="23" t="s">
        <v>27</v>
      </c>
      <c r="I16" s="23" t="s">
        <v>28</v>
      </c>
      <c r="J16" s="14" t="s">
        <v>29</v>
      </c>
      <c r="K16" s="15" t="s">
        <v>47</v>
      </c>
      <c r="L16" s="87"/>
      <c r="M16" s="14"/>
      <c r="N16" s="14" t="s">
        <v>49</v>
      </c>
      <c r="O16" s="14"/>
      <c r="P16" s="15" t="s">
        <v>63</v>
      </c>
      <c r="Q16" s="16">
        <v>7300</v>
      </c>
      <c r="R16" s="17">
        <v>66.06</v>
      </c>
      <c r="S16" s="18">
        <v>2849.4354999999996</v>
      </c>
      <c r="T16" s="19" t="s">
        <v>51</v>
      </c>
      <c r="U16" s="20" t="s">
        <v>58</v>
      </c>
      <c r="V16" s="25" t="s">
        <v>68</v>
      </c>
      <c r="W16" s="21">
        <v>5</v>
      </c>
      <c r="X16" s="22"/>
    </row>
    <row r="17" spans="1:24" s="1" customFormat="1" ht="26.1" customHeight="1" x14ac:dyDescent="0.3">
      <c r="A17" s="23" t="s">
        <v>44</v>
      </c>
      <c r="B17" s="23" t="s">
        <v>45</v>
      </c>
      <c r="C17" s="12" t="s">
        <v>61</v>
      </c>
      <c r="D17" s="85"/>
      <c r="E17" s="69" t="str">
        <f>HYPERLINK("https://www.google.ru/search?q=FW3231172-BLK&amp;newwindow=1&amp;tbm=isch","Еще фото")</f>
        <v>Еще фото</v>
      </c>
      <c r="F17" s="13"/>
      <c r="G17" s="23" t="s">
        <v>28</v>
      </c>
      <c r="H17" s="23" t="s">
        <v>27</v>
      </c>
      <c r="I17" s="23" t="s">
        <v>28</v>
      </c>
      <c r="J17" s="14" t="s">
        <v>29</v>
      </c>
      <c r="K17" s="15" t="s">
        <v>47</v>
      </c>
      <c r="L17" s="88"/>
      <c r="M17" s="14"/>
      <c r="N17" s="14" t="s">
        <v>49</v>
      </c>
      <c r="O17" s="14"/>
      <c r="P17" s="15" t="s">
        <v>63</v>
      </c>
      <c r="Q17" s="16">
        <v>7300</v>
      </c>
      <c r="R17" s="17">
        <v>66.06</v>
      </c>
      <c r="S17" s="18">
        <v>2849.4354999999996</v>
      </c>
      <c r="T17" s="19" t="s">
        <v>51</v>
      </c>
      <c r="U17" s="20" t="s">
        <v>52</v>
      </c>
      <c r="V17" s="25" t="s">
        <v>53</v>
      </c>
      <c r="W17" s="21">
        <v>2</v>
      </c>
      <c r="X17" s="22"/>
    </row>
    <row r="18" spans="1:24" s="1" customFormat="1" ht="108" customHeight="1" x14ac:dyDescent="0.3">
      <c r="A18" s="11" t="s">
        <v>44</v>
      </c>
      <c r="B18" s="11" t="s">
        <v>45</v>
      </c>
      <c r="C18" s="12" t="s">
        <v>69</v>
      </c>
      <c r="D18" s="24"/>
      <c r="E18" s="69" t="str">
        <f>HYPERLINK("https://www.google.ru/search?q=FW3231162-PUCB&amp;newwindow=1&amp;tbm=isch","Еще фото")</f>
        <v>Еще фото</v>
      </c>
      <c r="F18" s="13"/>
      <c r="G18" s="11" t="s">
        <v>28</v>
      </c>
      <c r="H18" s="11" t="s">
        <v>27</v>
      </c>
      <c r="I18" s="14" t="s">
        <v>28</v>
      </c>
      <c r="J18" s="14" t="s">
        <v>29</v>
      </c>
      <c r="K18" s="15" t="s">
        <v>47</v>
      </c>
      <c r="L18" s="14" t="s">
        <v>62</v>
      </c>
      <c r="M18" s="14"/>
      <c r="N18" s="14" t="s">
        <v>70</v>
      </c>
      <c r="O18" s="14"/>
      <c r="P18" s="15" t="s">
        <v>71</v>
      </c>
      <c r="Q18" s="16">
        <v>6800</v>
      </c>
      <c r="R18" s="17">
        <v>61.36</v>
      </c>
      <c r="S18" s="18">
        <v>3021.9354999999996</v>
      </c>
      <c r="T18" s="19" t="s">
        <v>51</v>
      </c>
      <c r="U18" s="20" t="s">
        <v>64</v>
      </c>
      <c r="V18" s="25" t="s">
        <v>65</v>
      </c>
      <c r="W18" s="21">
        <v>1</v>
      </c>
      <c r="X18" s="22"/>
    </row>
    <row r="19" spans="1:24" s="1" customFormat="1" ht="108" customHeight="1" x14ac:dyDescent="0.3">
      <c r="A19" s="11" t="s">
        <v>23</v>
      </c>
      <c r="B19" s="11" t="s">
        <v>38</v>
      </c>
      <c r="C19" s="12" t="s">
        <v>72</v>
      </c>
      <c r="D19" s="24"/>
      <c r="E19" s="69" t="str">
        <f>HYPERLINK("https://www.google.ru/search?q=MC-CA852&amp;newwindow=1&amp;tbm=isch","Еще фото")</f>
        <v>Еще фото</v>
      </c>
      <c r="F19" s="13"/>
      <c r="G19" s="11" t="s">
        <v>28</v>
      </c>
      <c r="H19" s="11" t="s">
        <v>27</v>
      </c>
      <c r="I19" s="14" t="s">
        <v>28</v>
      </c>
      <c r="J19" s="14" t="s">
        <v>29</v>
      </c>
      <c r="K19" s="15" t="s">
        <v>30</v>
      </c>
      <c r="L19" s="14"/>
      <c r="M19" s="14" t="s">
        <v>73</v>
      </c>
      <c r="N19" s="14" t="s">
        <v>41</v>
      </c>
      <c r="O19" s="14"/>
      <c r="P19" s="15" t="s">
        <v>74</v>
      </c>
      <c r="Q19" s="16">
        <v>5199</v>
      </c>
      <c r="R19" s="17">
        <v>48.88</v>
      </c>
      <c r="S19" s="18">
        <v>3056.4354999999996</v>
      </c>
      <c r="T19" s="19" t="s">
        <v>34</v>
      </c>
      <c r="U19" s="20" t="s">
        <v>35</v>
      </c>
      <c r="V19" s="21">
        <v>116</v>
      </c>
      <c r="W19" s="21">
        <v>1</v>
      </c>
      <c r="X19" s="22"/>
    </row>
    <row r="20" spans="1:24" s="1" customFormat="1" ht="51.95" customHeight="1" x14ac:dyDescent="0.3">
      <c r="A20" s="11" t="s">
        <v>23</v>
      </c>
      <c r="B20" s="11" t="s">
        <v>38</v>
      </c>
      <c r="C20" s="12" t="s">
        <v>75</v>
      </c>
      <c r="D20" s="89"/>
      <c r="E20" s="69" t="str">
        <f>HYPERLINK("https://www.google.ru/search?q=MC-CC873&amp;newwindow=1&amp;tbm=isch","Еще фото")</f>
        <v>Еще фото</v>
      </c>
      <c r="F20" s="13"/>
      <c r="G20" s="11" t="s">
        <v>28</v>
      </c>
      <c r="H20" s="11" t="s">
        <v>27</v>
      </c>
      <c r="I20" s="14" t="s">
        <v>28</v>
      </c>
      <c r="J20" s="14" t="s">
        <v>29</v>
      </c>
      <c r="K20" s="15" t="s">
        <v>30</v>
      </c>
      <c r="L20" s="86"/>
      <c r="M20" s="14"/>
      <c r="N20" s="14" t="s">
        <v>32</v>
      </c>
      <c r="O20" s="14"/>
      <c r="P20" s="15" t="s">
        <v>76</v>
      </c>
      <c r="Q20" s="16">
        <v>4999</v>
      </c>
      <c r="R20" s="17">
        <v>48.83</v>
      </c>
      <c r="S20" s="18">
        <v>2941.4354999999996</v>
      </c>
      <c r="T20" s="19" t="s">
        <v>34</v>
      </c>
      <c r="U20" s="20" t="s">
        <v>77</v>
      </c>
      <c r="V20" s="21">
        <v>92</v>
      </c>
      <c r="W20" s="21">
        <v>4</v>
      </c>
      <c r="X20" s="22"/>
    </row>
    <row r="21" spans="1:24" s="1" customFormat="1" ht="60.95" customHeight="1" x14ac:dyDescent="0.3">
      <c r="A21" s="23" t="s">
        <v>23</v>
      </c>
      <c r="B21" s="23" t="s">
        <v>38</v>
      </c>
      <c r="C21" s="12" t="s">
        <v>75</v>
      </c>
      <c r="D21" s="90"/>
      <c r="E21" s="69" t="str">
        <f>HYPERLINK("https://www.google.ru/search?q=MC-CC873&amp;newwindow=1&amp;tbm=isch","Еще фото")</f>
        <v>Еще фото</v>
      </c>
      <c r="F21" s="13"/>
      <c r="G21" s="23" t="s">
        <v>28</v>
      </c>
      <c r="H21" s="23" t="s">
        <v>27</v>
      </c>
      <c r="I21" s="23" t="s">
        <v>28</v>
      </c>
      <c r="J21" s="14" t="s">
        <v>29</v>
      </c>
      <c r="K21" s="15" t="s">
        <v>30</v>
      </c>
      <c r="L21" s="88"/>
      <c r="M21" s="14"/>
      <c r="N21" s="14" t="s">
        <v>32</v>
      </c>
      <c r="O21" s="14"/>
      <c r="P21" s="15" t="s">
        <v>76</v>
      </c>
      <c r="Q21" s="16">
        <v>4999</v>
      </c>
      <c r="R21" s="17">
        <v>48.83</v>
      </c>
      <c r="S21" s="18">
        <v>2941.4354999999996</v>
      </c>
      <c r="T21" s="19" t="s">
        <v>34</v>
      </c>
      <c r="U21" s="20" t="s">
        <v>78</v>
      </c>
      <c r="V21" s="21">
        <v>98</v>
      </c>
      <c r="W21" s="21">
        <v>3</v>
      </c>
      <c r="X21" s="22"/>
    </row>
    <row r="22" spans="1:24" s="1" customFormat="1" ht="108" customHeight="1" x14ac:dyDescent="0.3">
      <c r="A22" s="11" t="s">
        <v>79</v>
      </c>
      <c r="B22" s="11" t="s">
        <v>80</v>
      </c>
      <c r="C22" s="12" t="s">
        <v>81</v>
      </c>
      <c r="D22" s="24"/>
      <c r="E22" s="69" t="str">
        <f>HYPERLINK("https://www.google.ru/search?q=JP738110-NV&amp;newwindow=1&amp;tbm=isch","Еще фото")</f>
        <v>Еще фото</v>
      </c>
      <c r="F22" s="13"/>
      <c r="G22" s="11" t="s">
        <v>28</v>
      </c>
      <c r="H22" s="11" t="s">
        <v>27</v>
      </c>
      <c r="I22" s="14" t="s">
        <v>28</v>
      </c>
      <c r="J22" s="14" t="s">
        <v>29</v>
      </c>
      <c r="K22" s="15" t="s">
        <v>30</v>
      </c>
      <c r="L22" s="14" t="s">
        <v>82</v>
      </c>
      <c r="M22" s="14" t="s">
        <v>73</v>
      </c>
      <c r="N22" s="14" t="s">
        <v>70</v>
      </c>
      <c r="O22" s="14"/>
      <c r="P22" s="15" t="s">
        <v>83</v>
      </c>
      <c r="Q22" s="16">
        <v>3999</v>
      </c>
      <c r="R22" s="17">
        <v>45.04</v>
      </c>
      <c r="S22" s="18">
        <v>2527.4354999999996</v>
      </c>
      <c r="T22" s="19" t="s">
        <v>84</v>
      </c>
      <c r="U22" s="20" t="s">
        <v>85</v>
      </c>
      <c r="V22" s="25" t="s">
        <v>86</v>
      </c>
      <c r="W22" s="21">
        <v>1</v>
      </c>
      <c r="X22" s="22"/>
    </row>
    <row r="23" spans="1:24" s="1" customFormat="1" ht="108" customHeight="1" x14ac:dyDescent="0.3">
      <c r="A23" s="11" t="s">
        <v>23</v>
      </c>
      <c r="B23" s="11" t="s">
        <v>38</v>
      </c>
      <c r="C23" s="12" t="s">
        <v>87</v>
      </c>
      <c r="D23" s="24"/>
      <c r="E23" s="69" t="str">
        <f>HYPERLINK("https://www.google.ru/search?q=MC-BB152&amp;newwindow=1&amp;tbm=isch","Еще фото")</f>
        <v>Еще фото</v>
      </c>
      <c r="F23" s="13"/>
      <c r="G23" s="11" t="s">
        <v>28</v>
      </c>
      <c r="H23" s="11" t="s">
        <v>27</v>
      </c>
      <c r="I23" s="14" t="s">
        <v>28</v>
      </c>
      <c r="J23" s="14" t="s">
        <v>29</v>
      </c>
      <c r="K23" s="15" t="s">
        <v>30</v>
      </c>
      <c r="L23" s="14" t="s">
        <v>88</v>
      </c>
      <c r="M23" s="14" t="s">
        <v>73</v>
      </c>
      <c r="N23" s="14" t="s">
        <v>89</v>
      </c>
      <c r="O23" s="14"/>
      <c r="P23" s="15" t="s">
        <v>90</v>
      </c>
      <c r="Q23" s="16">
        <v>2699</v>
      </c>
      <c r="R23" s="17">
        <v>45</v>
      </c>
      <c r="S23" s="18">
        <v>1707.1174999999998</v>
      </c>
      <c r="T23" s="19" t="s">
        <v>34</v>
      </c>
      <c r="U23" s="20" t="s">
        <v>91</v>
      </c>
      <c r="V23" s="21">
        <v>134</v>
      </c>
      <c r="W23" s="21">
        <v>1</v>
      </c>
      <c r="X23" s="22"/>
    </row>
    <row r="24" spans="1:24" s="1" customFormat="1" ht="12.95" customHeight="1" x14ac:dyDescent="0.3">
      <c r="A24" s="11" t="s">
        <v>23</v>
      </c>
      <c r="B24" s="11" t="s">
        <v>38</v>
      </c>
      <c r="C24" s="12" t="s">
        <v>92</v>
      </c>
      <c r="D24" s="83"/>
      <c r="E24" s="69" t="str">
        <f t="shared" ref="E24:E31" si="0">HYPERLINK("https://www.google.ru/search?q=MC-BC364&amp;newwindow=1&amp;tbm=isch","Еще фото")</f>
        <v>Еще фото</v>
      </c>
      <c r="F24" s="13"/>
      <c r="G24" s="11" t="s">
        <v>28</v>
      </c>
      <c r="H24" s="11" t="s">
        <v>27</v>
      </c>
      <c r="I24" s="14" t="s">
        <v>28</v>
      </c>
      <c r="J24" s="14" t="s">
        <v>29</v>
      </c>
      <c r="K24" s="15" t="s">
        <v>30</v>
      </c>
      <c r="L24" s="86" t="s">
        <v>93</v>
      </c>
      <c r="M24" s="14"/>
      <c r="N24" s="14" t="s">
        <v>32</v>
      </c>
      <c r="O24" s="14"/>
      <c r="P24" s="15" t="s">
        <v>74</v>
      </c>
      <c r="Q24" s="16">
        <v>4099</v>
      </c>
      <c r="R24" s="17">
        <v>45</v>
      </c>
      <c r="S24" s="18">
        <v>2592.6174999999994</v>
      </c>
      <c r="T24" s="19" t="s">
        <v>34</v>
      </c>
      <c r="U24" s="26" t="s">
        <v>77</v>
      </c>
      <c r="V24" s="21">
        <v>92</v>
      </c>
      <c r="W24" s="21">
        <v>1</v>
      </c>
      <c r="X24" s="22"/>
    </row>
    <row r="25" spans="1:24" s="1" customFormat="1" ht="12.95" customHeight="1" x14ac:dyDescent="0.3">
      <c r="A25" s="23" t="s">
        <v>23</v>
      </c>
      <c r="B25" s="23" t="s">
        <v>38</v>
      </c>
      <c r="C25" s="12" t="s">
        <v>92</v>
      </c>
      <c r="D25" s="84"/>
      <c r="E25" s="69" t="str">
        <f t="shared" si="0"/>
        <v>Еще фото</v>
      </c>
      <c r="F25" s="13"/>
      <c r="G25" s="23" t="s">
        <v>28</v>
      </c>
      <c r="H25" s="23" t="s">
        <v>27</v>
      </c>
      <c r="I25" s="23" t="s">
        <v>28</v>
      </c>
      <c r="J25" s="14" t="s">
        <v>29</v>
      </c>
      <c r="K25" s="15" t="s">
        <v>30</v>
      </c>
      <c r="L25" s="87"/>
      <c r="M25" s="14"/>
      <c r="N25" s="14" t="s">
        <v>32</v>
      </c>
      <c r="O25" s="14"/>
      <c r="P25" s="15" t="s">
        <v>74</v>
      </c>
      <c r="Q25" s="16">
        <v>4099</v>
      </c>
      <c r="R25" s="17">
        <v>45</v>
      </c>
      <c r="S25" s="18">
        <v>2592.6174999999994</v>
      </c>
      <c r="T25" s="19" t="s">
        <v>34</v>
      </c>
      <c r="U25" s="20" t="s">
        <v>78</v>
      </c>
      <c r="V25" s="21">
        <v>98</v>
      </c>
      <c r="W25" s="21">
        <v>2</v>
      </c>
      <c r="X25" s="22"/>
    </row>
    <row r="26" spans="1:24" s="1" customFormat="1" ht="12.95" customHeight="1" x14ac:dyDescent="0.3">
      <c r="A26" s="23" t="s">
        <v>23</v>
      </c>
      <c r="B26" s="23" t="s">
        <v>38</v>
      </c>
      <c r="C26" s="12" t="s">
        <v>92</v>
      </c>
      <c r="D26" s="84"/>
      <c r="E26" s="69" t="str">
        <f t="shared" si="0"/>
        <v>Еще фото</v>
      </c>
      <c r="F26" s="13"/>
      <c r="G26" s="23" t="s">
        <v>28</v>
      </c>
      <c r="H26" s="23" t="s">
        <v>27</v>
      </c>
      <c r="I26" s="23" t="s">
        <v>28</v>
      </c>
      <c r="J26" s="14" t="s">
        <v>29</v>
      </c>
      <c r="K26" s="15" t="s">
        <v>30</v>
      </c>
      <c r="L26" s="87"/>
      <c r="M26" s="14"/>
      <c r="N26" s="14" t="s">
        <v>32</v>
      </c>
      <c r="O26" s="14"/>
      <c r="P26" s="15" t="s">
        <v>74</v>
      </c>
      <c r="Q26" s="16">
        <v>4099</v>
      </c>
      <c r="R26" s="17">
        <v>45</v>
      </c>
      <c r="S26" s="18">
        <v>2592.6174999999994</v>
      </c>
      <c r="T26" s="19" t="s">
        <v>34</v>
      </c>
      <c r="U26" s="20" t="s">
        <v>94</v>
      </c>
      <c r="V26" s="21">
        <v>104</v>
      </c>
      <c r="W26" s="21">
        <v>3</v>
      </c>
      <c r="X26" s="22"/>
    </row>
    <row r="27" spans="1:24" s="1" customFormat="1" ht="12.95" customHeight="1" x14ac:dyDescent="0.3">
      <c r="A27" s="23" t="s">
        <v>23</v>
      </c>
      <c r="B27" s="23" t="s">
        <v>38</v>
      </c>
      <c r="C27" s="12" t="s">
        <v>92</v>
      </c>
      <c r="D27" s="84"/>
      <c r="E27" s="69" t="str">
        <f t="shared" si="0"/>
        <v>Еще фото</v>
      </c>
      <c r="F27" s="13"/>
      <c r="G27" s="23" t="s">
        <v>28</v>
      </c>
      <c r="H27" s="23" t="s">
        <v>27</v>
      </c>
      <c r="I27" s="23" t="s">
        <v>28</v>
      </c>
      <c r="J27" s="14" t="s">
        <v>29</v>
      </c>
      <c r="K27" s="15" t="s">
        <v>30</v>
      </c>
      <c r="L27" s="87"/>
      <c r="M27" s="14"/>
      <c r="N27" s="14" t="s">
        <v>32</v>
      </c>
      <c r="O27" s="14"/>
      <c r="P27" s="15" t="s">
        <v>74</v>
      </c>
      <c r="Q27" s="16">
        <v>4099</v>
      </c>
      <c r="R27" s="17">
        <v>45</v>
      </c>
      <c r="S27" s="18">
        <v>2592.6174999999994</v>
      </c>
      <c r="T27" s="19" t="s">
        <v>34</v>
      </c>
      <c r="U27" s="20" t="s">
        <v>43</v>
      </c>
      <c r="V27" s="21">
        <v>110</v>
      </c>
      <c r="W27" s="21">
        <v>2</v>
      </c>
      <c r="X27" s="22"/>
    </row>
    <row r="28" spans="1:24" s="1" customFormat="1" ht="12.95" customHeight="1" x14ac:dyDescent="0.3">
      <c r="A28" s="23" t="s">
        <v>23</v>
      </c>
      <c r="B28" s="23" t="s">
        <v>38</v>
      </c>
      <c r="C28" s="12" t="s">
        <v>92</v>
      </c>
      <c r="D28" s="84"/>
      <c r="E28" s="69" t="str">
        <f t="shared" si="0"/>
        <v>Еще фото</v>
      </c>
      <c r="F28" s="13"/>
      <c r="G28" s="23" t="s">
        <v>28</v>
      </c>
      <c r="H28" s="23" t="s">
        <v>27</v>
      </c>
      <c r="I28" s="23" t="s">
        <v>28</v>
      </c>
      <c r="J28" s="14" t="s">
        <v>29</v>
      </c>
      <c r="K28" s="15" t="s">
        <v>30</v>
      </c>
      <c r="L28" s="87"/>
      <c r="M28" s="14"/>
      <c r="N28" s="14" t="s">
        <v>32</v>
      </c>
      <c r="O28" s="14"/>
      <c r="P28" s="15" t="s">
        <v>74</v>
      </c>
      <c r="Q28" s="16">
        <v>4099</v>
      </c>
      <c r="R28" s="17">
        <v>45</v>
      </c>
      <c r="S28" s="18">
        <v>2592.6174999999994</v>
      </c>
      <c r="T28" s="19" t="s">
        <v>34</v>
      </c>
      <c r="U28" s="20" t="s">
        <v>35</v>
      </c>
      <c r="V28" s="21">
        <v>116</v>
      </c>
      <c r="W28" s="21">
        <v>3</v>
      </c>
      <c r="X28" s="22"/>
    </row>
    <row r="29" spans="1:24" s="1" customFormat="1" ht="12.95" customHeight="1" x14ac:dyDescent="0.3">
      <c r="A29" s="23" t="s">
        <v>23</v>
      </c>
      <c r="B29" s="23" t="s">
        <v>38</v>
      </c>
      <c r="C29" s="12" t="s">
        <v>92</v>
      </c>
      <c r="D29" s="84"/>
      <c r="E29" s="69" t="str">
        <f t="shared" si="0"/>
        <v>Еще фото</v>
      </c>
      <c r="F29" s="13"/>
      <c r="G29" s="23" t="s">
        <v>28</v>
      </c>
      <c r="H29" s="23" t="s">
        <v>27</v>
      </c>
      <c r="I29" s="23" t="s">
        <v>28</v>
      </c>
      <c r="J29" s="14" t="s">
        <v>29</v>
      </c>
      <c r="K29" s="15" t="s">
        <v>30</v>
      </c>
      <c r="L29" s="87"/>
      <c r="M29" s="14"/>
      <c r="N29" s="14" t="s">
        <v>32</v>
      </c>
      <c r="O29" s="14"/>
      <c r="P29" s="15" t="s">
        <v>74</v>
      </c>
      <c r="Q29" s="16">
        <v>4099</v>
      </c>
      <c r="R29" s="17">
        <v>45</v>
      </c>
      <c r="S29" s="18">
        <v>2592.6174999999994</v>
      </c>
      <c r="T29" s="19" t="s">
        <v>34</v>
      </c>
      <c r="U29" s="20" t="s">
        <v>36</v>
      </c>
      <c r="V29" s="21">
        <v>122</v>
      </c>
      <c r="W29" s="21">
        <v>1</v>
      </c>
      <c r="X29" s="22"/>
    </row>
    <row r="30" spans="1:24" s="1" customFormat="1" ht="12.95" customHeight="1" x14ac:dyDescent="0.3">
      <c r="A30" s="23" t="s">
        <v>23</v>
      </c>
      <c r="B30" s="23" t="s">
        <v>38</v>
      </c>
      <c r="C30" s="12" t="s">
        <v>92</v>
      </c>
      <c r="D30" s="84"/>
      <c r="E30" s="69" t="str">
        <f t="shared" si="0"/>
        <v>Еще фото</v>
      </c>
      <c r="F30" s="13"/>
      <c r="G30" s="23" t="s">
        <v>28</v>
      </c>
      <c r="H30" s="23" t="s">
        <v>27</v>
      </c>
      <c r="I30" s="23" t="s">
        <v>28</v>
      </c>
      <c r="J30" s="14" t="s">
        <v>29</v>
      </c>
      <c r="K30" s="15" t="s">
        <v>30</v>
      </c>
      <c r="L30" s="87"/>
      <c r="M30" s="14"/>
      <c r="N30" s="14" t="s">
        <v>32</v>
      </c>
      <c r="O30" s="14"/>
      <c r="P30" s="15" t="s">
        <v>74</v>
      </c>
      <c r="Q30" s="16">
        <v>4099</v>
      </c>
      <c r="R30" s="17">
        <v>45</v>
      </c>
      <c r="S30" s="18">
        <v>2592.6174999999994</v>
      </c>
      <c r="T30" s="19" t="s">
        <v>34</v>
      </c>
      <c r="U30" s="20" t="s">
        <v>37</v>
      </c>
      <c r="V30" s="21">
        <v>128</v>
      </c>
      <c r="W30" s="21">
        <v>1</v>
      </c>
      <c r="X30" s="22"/>
    </row>
    <row r="31" spans="1:24" s="1" customFormat="1" ht="18" customHeight="1" x14ac:dyDescent="0.3">
      <c r="A31" s="23" t="s">
        <v>23</v>
      </c>
      <c r="B31" s="23" t="s">
        <v>38</v>
      </c>
      <c r="C31" s="12" t="s">
        <v>92</v>
      </c>
      <c r="D31" s="85"/>
      <c r="E31" s="69" t="str">
        <f t="shared" si="0"/>
        <v>Еще фото</v>
      </c>
      <c r="F31" s="13"/>
      <c r="G31" s="23" t="s">
        <v>28</v>
      </c>
      <c r="H31" s="23" t="s">
        <v>27</v>
      </c>
      <c r="I31" s="23" t="s">
        <v>28</v>
      </c>
      <c r="J31" s="14" t="s">
        <v>29</v>
      </c>
      <c r="K31" s="15" t="s">
        <v>30</v>
      </c>
      <c r="L31" s="88"/>
      <c r="M31" s="14"/>
      <c r="N31" s="14" t="s">
        <v>32</v>
      </c>
      <c r="O31" s="14"/>
      <c r="P31" s="15" t="s">
        <v>74</v>
      </c>
      <c r="Q31" s="16">
        <v>4099</v>
      </c>
      <c r="R31" s="17">
        <v>45</v>
      </c>
      <c r="S31" s="18">
        <v>2592.6174999999994</v>
      </c>
      <c r="T31" s="19" t="s">
        <v>34</v>
      </c>
      <c r="U31" s="20" t="s">
        <v>91</v>
      </c>
      <c r="V31" s="21">
        <v>134</v>
      </c>
      <c r="W31" s="21">
        <v>3</v>
      </c>
      <c r="X31" s="22"/>
    </row>
    <row r="32" spans="1:24" s="1" customFormat="1" ht="108" customHeight="1" x14ac:dyDescent="0.3">
      <c r="A32" s="11" t="s">
        <v>23</v>
      </c>
      <c r="B32" s="11" t="s">
        <v>95</v>
      </c>
      <c r="C32" s="12" t="s">
        <v>96</v>
      </c>
      <c r="D32" s="24"/>
      <c r="E32" s="69" t="str">
        <f>HYPERLINK("https://www.google.ru/search?q=MC-VD992&amp;newwindow=1&amp;tbm=isch","Еще фото")</f>
        <v>Еще фото</v>
      </c>
      <c r="F32" s="13"/>
      <c r="G32" s="11" t="s">
        <v>97</v>
      </c>
      <c r="H32" s="11" t="s">
        <v>27</v>
      </c>
      <c r="I32" s="14" t="s">
        <v>28</v>
      </c>
      <c r="J32" s="14" t="s">
        <v>29</v>
      </c>
      <c r="K32" s="15" t="s">
        <v>30</v>
      </c>
      <c r="L32" s="14" t="s">
        <v>98</v>
      </c>
      <c r="M32" s="14" t="s">
        <v>73</v>
      </c>
      <c r="N32" s="14" t="s">
        <v>70</v>
      </c>
      <c r="O32" s="14"/>
      <c r="P32" s="15" t="s">
        <v>99</v>
      </c>
      <c r="Q32" s="16">
        <v>4399</v>
      </c>
      <c r="R32" s="17">
        <v>45</v>
      </c>
      <c r="S32" s="18">
        <v>2782.3674999999994</v>
      </c>
      <c r="T32" s="19" t="s">
        <v>34</v>
      </c>
      <c r="U32" s="20" t="s">
        <v>77</v>
      </c>
      <c r="V32" s="21">
        <v>92</v>
      </c>
      <c r="W32" s="21">
        <v>2</v>
      </c>
      <c r="X32" s="22"/>
    </row>
    <row r="33" spans="1:24" s="1" customFormat="1" ht="35.1" customHeight="1" x14ac:dyDescent="0.3">
      <c r="A33" s="11" t="s">
        <v>23</v>
      </c>
      <c r="B33" s="11" t="s">
        <v>100</v>
      </c>
      <c r="C33" s="12" t="s">
        <v>101</v>
      </c>
      <c r="D33" s="83"/>
      <c r="E33" s="69" t="str">
        <f>HYPERLINK("https://www.google.ru/search?q=MC-ZA020-1&amp;newwindow=1&amp;tbm=isch","Еще фото")</f>
        <v>Еще фото</v>
      </c>
      <c r="F33" s="13"/>
      <c r="G33" s="11" t="s">
        <v>102</v>
      </c>
      <c r="H33" s="11" t="s">
        <v>27</v>
      </c>
      <c r="I33" s="14" t="s">
        <v>28</v>
      </c>
      <c r="J33" s="14" t="s">
        <v>29</v>
      </c>
      <c r="K33" s="15" t="s">
        <v>30</v>
      </c>
      <c r="L33" s="86" t="s">
        <v>103</v>
      </c>
      <c r="M33" s="14"/>
      <c r="N33" s="14" t="s">
        <v>32</v>
      </c>
      <c r="O33" s="14"/>
      <c r="P33" s="15" t="s">
        <v>76</v>
      </c>
      <c r="Q33" s="16">
        <v>3199</v>
      </c>
      <c r="R33" s="17">
        <v>45</v>
      </c>
      <c r="S33" s="18">
        <v>2023.3674999999998</v>
      </c>
      <c r="T33" s="19" t="s">
        <v>34</v>
      </c>
      <c r="U33" s="20" t="s">
        <v>104</v>
      </c>
      <c r="V33" s="21">
        <v>50</v>
      </c>
      <c r="W33" s="21">
        <v>3</v>
      </c>
      <c r="X33" s="22"/>
    </row>
    <row r="34" spans="1:24" s="1" customFormat="1" ht="35.1" customHeight="1" x14ac:dyDescent="0.3">
      <c r="A34" s="23" t="s">
        <v>23</v>
      </c>
      <c r="B34" s="23" t="s">
        <v>100</v>
      </c>
      <c r="C34" s="12" t="s">
        <v>101</v>
      </c>
      <c r="D34" s="84"/>
      <c r="E34" s="69" t="str">
        <f>HYPERLINK("https://www.google.ru/search?q=MC-ZA020-1&amp;newwindow=1&amp;tbm=isch","Еще фото")</f>
        <v>Еще фото</v>
      </c>
      <c r="F34" s="13"/>
      <c r="G34" s="23" t="s">
        <v>102</v>
      </c>
      <c r="H34" s="23" t="s">
        <v>27</v>
      </c>
      <c r="I34" s="23" t="s">
        <v>28</v>
      </c>
      <c r="J34" s="14" t="s">
        <v>29</v>
      </c>
      <c r="K34" s="15" t="s">
        <v>30</v>
      </c>
      <c r="L34" s="87"/>
      <c r="M34" s="14"/>
      <c r="N34" s="14" t="s">
        <v>32</v>
      </c>
      <c r="O34" s="14"/>
      <c r="P34" s="15" t="s">
        <v>76</v>
      </c>
      <c r="Q34" s="16">
        <v>3199</v>
      </c>
      <c r="R34" s="17">
        <v>45</v>
      </c>
      <c r="S34" s="18">
        <v>2023.3674999999998</v>
      </c>
      <c r="T34" s="19" t="s">
        <v>34</v>
      </c>
      <c r="U34" s="20" t="s">
        <v>105</v>
      </c>
      <c r="V34" s="21">
        <v>62</v>
      </c>
      <c r="W34" s="21">
        <v>1</v>
      </c>
      <c r="X34" s="22"/>
    </row>
    <row r="35" spans="1:24" s="1" customFormat="1" ht="36.950000000000003" customHeight="1" x14ac:dyDescent="0.3">
      <c r="A35" s="23" t="s">
        <v>23</v>
      </c>
      <c r="B35" s="23" t="s">
        <v>100</v>
      </c>
      <c r="C35" s="12" t="s">
        <v>101</v>
      </c>
      <c r="D35" s="85"/>
      <c r="E35" s="69" t="str">
        <f>HYPERLINK("https://www.google.ru/search?q=MC-ZA020-1&amp;newwindow=1&amp;tbm=isch","Еще фото")</f>
        <v>Еще фото</v>
      </c>
      <c r="F35" s="13"/>
      <c r="G35" s="23" t="s">
        <v>102</v>
      </c>
      <c r="H35" s="23" t="s">
        <v>27</v>
      </c>
      <c r="I35" s="23" t="s">
        <v>28</v>
      </c>
      <c r="J35" s="14" t="s">
        <v>29</v>
      </c>
      <c r="K35" s="15" t="s">
        <v>30</v>
      </c>
      <c r="L35" s="88"/>
      <c r="M35" s="14"/>
      <c r="N35" s="14" t="s">
        <v>32</v>
      </c>
      <c r="O35" s="14"/>
      <c r="P35" s="15" t="s">
        <v>76</v>
      </c>
      <c r="Q35" s="16">
        <v>3199</v>
      </c>
      <c r="R35" s="17">
        <v>45</v>
      </c>
      <c r="S35" s="18">
        <v>2023.3674999999998</v>
      </c>
      <c r="T35" s="19" t="s">
        <v>34</v>
      </c>
      <c r="U35" s="20" t="s">
        <v>106</v>
      </c>
      <c r="V35" s="21">
        <v>80</v>
      </c>
      <c r="W35" s="21">
        <v>1</v>
      </c>
      <c r="X35" s="22"/>
    </row>
    <row r="36" spans="1:24" s="1" customFormat="1" ht="21" customHeight="1" x14ac:dyDescent="0.3">
      <c r="A36" s="11" t="s">
        <v>23</v>
      </c>
      <c r="B36" s="11" t="s">
        <v>38</v>
      </c>
      <c r="C36" s="27" t="s">
        <v>107</v>
      </c>
      <c r="D36" s="83"/>
      <c r="E36" s="69" t="str">
        <f>HYPERLINK("https://www.google.ru/search?q=MC-ZB453&amp;newwindow=1&amp;tbm=isch","Еще фото")</f>
        <v>Еще фото</v>
      </c>
      <c r="F36" s="13"/>
      <c r="G36" s="11" t="s">
        <v>28</v>
      </c>
      <c r="H36" s="11" t="s">
        <v>27</v>
      </c>
      <c r="I36" s="14" t="s">
        <v>28</v>
      </c>
      <c r="J36" s="14" t="s">
        <v>29</v>
      </c>
      <c r="K36" s="15" t="s">
        <v>30</v>
      </c>
      <c r="L36" s="86"/>
      <c r="M36" s="14"/>
      <c r="N36" s="14" t="s">
        <v>70</v>
      </c>
      <c r="O36" s="14"/>
      <c r="P36" s="15" t="s">
        <v>108</v>
      </c>
      <c r="Q36" s="16">
        <v>3599</v>
      </c>
      <c r="R36" s="17">
        <v>45</v>
      </c>
      <c r="S36" s="18">
        <v>2276.3674999999998</v>
      </c>
      <c r="T36" s="19" t="s">
        <v>34</v>
      </c>
      <c r="U36" s="20" t="s">
        <v>94</v>
      </c>
      <c r="V36" s="21">
        <v>104</v>
      </c>
      <c r="W36" s="21">
        <v>2</v>
      </c>
      <c r="X36" s="22"/>
    </row>
    <row r="37" spans="1:24" s="1" customFormat="1" ht="21" customHeight="1" x14ac:dyDescent="0.3">
      <c r="A37" s="23" t="s">
        <v>23</v>
      </c>
      <c r="B37" s="23" t="s">
        <v>38</v>
      </c>
      <c r="C37" s="28" t="s">
        <v>107</v>
      </c>
      <c r="D37" s="84"/>
      <c r="E37" s="69" t="str">
        <f>HYPERLINK("https://www.google.ru/search?q=MC-ZB453&amp;newwindow=1&amp;tbm=isch","Еще фото")</f>
        <v>Еще фото</v>
      </c>
      <c r="F37" s="13"/>
      <c r="G37" s="23" t="s">
        <v>28</v>
      </c>
      <c r="H37" s="23" t="s">
        <v>27</v>
      </c>
      <c r="I37" s="23" t="s">
        <v>28</v>
      </c>
      <c r="J37" s="14" t="s">
        <v>29</v>
      </c>
      <c r="K37" s="15" t="s">
        <v>30</v>
      </c>
      <c r="L37" s="87"/>
      <c r="M37" s="14"/>
      <c r="N37" s="14" t="s">
        <v>70</v>
      </c>
      <c r="O37" s="14"/>
      <c r="P37" s="15" t="s">
        <v>108</v>
      </c>
      <c r="Q37" s="16">
        <v>3599</v>
      </c>
      <c r="R37" s="17">
        <v>45</v>
      </c>
      <c r="S37" s="18">
        <v>2276.3674999999998</v>
      </c>
      <c r="T37" s="19" t="s">
        <v>34</v>
      </c>
      <c r="U37" s="20" t="s">
        <v>43</v>
      </c>
      <c r="V37" s="21">
        <v>110</v>
      </c>
      <c r="W37" s="21">
        <v>1</v>
      </c>
      <c r="X37" s="22"/>
    </row>
    <row r="38" spans="1:24" s="1" customFormat="1" ht="21" customHeight="1" x14ac:dyDescent="0.3">
      <c r="A38" s="23" t="s">
        <v>23</v>
      </c>
      <c r="B38" s="23" t="s">
        <v>38</v>
      </c>
      <c r="C38" s="28" t="s">
        <v>107</v>
      </c>
      <c r="D38" s="84"/>
      <c r="E38" s="69" t="str">
        <f>HYPERLINK("https://www.google.ru/search?q=MC-ZB453&amp;newwindow=1&amp;tbm=isch","Еще фото")</f>
        <v>Еще фото</v>
      </c>
      <c r="F38" s="13"/>
      <c r="G38" s="23" t="s">
        <v>28</v>
      </c>
      <c r="H38" s="23" t="s">
        <v>27</v>
      </c>
      <c r="I38" s="23" t="s">
        <v>28</v>
      </c>
      <c r="J38" s="14" t="s">
        <v>29</v>
      </c>
      <c r="K38" s="15" t="s">
        <v>30</v>
      </c>
      <c r="L38" s="87"/>
      <c r="M38" s="14"/>
      <c r="N38" s="14" t="s">
        <v>70</v>
      </c>
      <c r="O38" s="14"/>
      <c r="P38" s="15" t="s">
        <v>108</v>
      </c>
      <c r="Q38" s="16">
        <v>3599</v>
      </c>
      <c r="R38" s="17">
        <v>45</v>
      </c>
      <c r="S38" s="18">
        <v>2276.3674999999998</v>
      </c>
      <c r="T38" s="19" t="s">
        <v>34</v>
      </c>
      <c r="U38" s="20" t="s">
        <v>35</v>
      </c>
      <c r="V38" s="21">
        <v>116</v>
      </c>
      <c r="W38" s="21">
        <v>1</v>
      </c>
      <c r="X38" s="22"/>
    </row>
    <row r="39" spans="1:24" s="1" customFormat="1" ht="21" customHeight="1" x14ac:dyDescent="0.3">
      <c r="A39" s="23" t="s">
        <v>23</v>
      </c>
      <c r="B39" s="23" t="s">
        <v>38</v>
      </c>
      <c r="C39" s="28" t="s">
        <v>107</v>
      </c>
      <c r="D39" s="84"/>
      <c r="E39" s="69" t="str">
        <f>HYPERLINK("https://www.google.ru/search?q=MC-ZB453&amp;newwindow=1&amp;tbm=isch","Еще фото")</f>
        <v>Еще фото</v>
      </c>
      <c r="F39" s="13"/>
      <c r="G39" s="23" t="s">
        <v>28</v>
      </c>
      <c r="H39" s="23" t="s">
        <v>27</v>
      </c>
      <c r="I39" s="23" t="s">
        <v>28</v>
      </c>
      <c r="J39" s="14" t="s">
        <v>29</v>
      </c>
      <c r="K39" s="15" t="s">
        <v>30</v>
      </c>
      <c r="L39" s="87"/>
      <c r="M39" s="14"/>
      <c r="N39" s="14" t="s">
        <v>70</v>
      </c>
      <c r="O39" s="14"/>
      <c r="P39" s="15" t="s">
        <v>108</v>
      </c>
      <c r="Q39" s="16">
        <v>3599</v>
      </c>
      <c r="R39" s="17">
        <v>45</v>
      </c>
      <c r="S39" s="18">
        <v>2276.3674999999998</v>
      </c>
      <c r="T39" s="19" t="s">
        <v>34</v>
      </c>
      <c r="U39" s="20" t="s">
        <v>36</v>
      </c>
      <c r="V39" s="21">
        <v>122</v>
      </c>
      <c r="W39" s="21">
        <v>2</v>
      </c>
      <c r="X39" s="22"/>
    </row>
    <row r="40" spans="1:24" s="1" customFormat="1" ht="32.1" customHeight="1" x14ac:dyDescent="0.3">
      <c r="A40" s="23" t="s">
        <v>23</v>
      </c>
      <c r="B40" s="23" t="s">
        <v>38</v>
      </c>
      <c r="C40" s="28" t="s">
        <v>107</v>
      </c>
      <c r="D40" s="85"/>
      <c r="E40" s="69" t="str">
        <f>HYPERLINK("https://www.google.ru/search?q=MC-ZB453&amp;newwindow=1&amp;tbm=isch","Еще фото")</f>
        <v>Еще фото</v>
      </c>
      <c r="F40" s="13"/>
      <c r="G40" s="23" t="s">
        <v>28</v>
      </c>
      <c r="H40" s="23" t="s">
        <v>27</v>
      </c>
      <c r="I40" s="23" t="s">
        <v>28</v>
      </c>
      <c r="J40" s="14" t="s">
        <v>29</v>
      </c>
      <c r="K40" s="15" t="s">
        <v>30</v>
      </c>
      <c r="L40" s="88"/>
      <c r="M40" s="14"/>
      <c r="N40" s="14" t="s">
        <v>70</v>
      </c>
      <c r="O40" s="14"/>
      <c r="P40" s="15" t="s">
        <v>108</v>
      </c>
      <c r="Q40" s="16">
        <v>3599</v>
      </c>
      <c r="R40" s="17">
        <v>45</v>
      </c>
      <c r="S40" s="18">
        <v>2276.3674999999998</v>
      </c>
      <c r="T40" s="19" t="s">
        <v>34</v>
      </c>
      <c r="U40" s="20" t="s">
        <v>37</v>
      </c>
      <c r="V40" s="21">
        <v>128</v>
      </c>
      <c r="W40" s="21">
        <v>2</v>
      </c>
      <c r="X40" s="22"/>
    </row>
    <row r="41" spans="1:24" s="1" customFormat="1" ht="108" customHeight="1" x14ac:dyDescent="0.3">
      <c r="A41" s="11" t="s">
        <v>44</v>
      </c>
      <c r="B41" s="11" t="s">
        <v>109</v>
      </c>
      <c r="C41" s="12" t="s">
        <v>110</v>
      </c>
      <c r="D41" s="24"/>
      <c r="E41" s="69" t="str">
        <f>HYPERLINK("https://www.google.ru/search?q=M7231010-RED&amp;newwindow=1&amp;tbm=isch","Еще фото")</f>
        <v>Еще фото</v>
      </c>
      <c r="F41" s="13"/>
      <c r="G41" s="11" t="s">
        <v>111</v>
      </c>
      <c r="H41" s="11" t="s">
        <v>112</v>
      </c>
      <c r="I41" s="14" t="s">
        <v>113</v>
      </c>
      <c r="J41" s="14" t="s">
        <v>29</v>
      </c>
      <c r="K41" s="15" t="s">
        <v>114</v>
      </c>
      <c r="L41" s="14" t="s">
        <v>115</v>
      </c>
      <c r="M41" s="14"/>
      <c r="N41" s="14" t="s">
        <v>116</v>
      </c>
      <c r="O41" s="14"/>
      <c r="P41" s="15" t="s">
        <v>74</v>
      </c>
      <c r="Q41" s="16">
        <v>2899</v>
      </c>
      <c r="R41" s="17">
        <v>54.2</v>
      </c>
      <c r="S41" s="18">
        <v>1526.9354999999998</v>
      </c>
      <c r="T41" s="19" t="s">
        <v>117</v>
      </c>
      <c r="U41" s="20" t="s">
        <v>118</v>
      </c>
      <c r="V41" s="25" t="s">
        <v>119</v>
      </c>
      <c r="W41" s="21">
        <v>3</v>
      </c>
      <c r="X41" s="22"/>
    </row>
    <row r="42" spans="1:24" s="1" customFormat="1" ht="51.95" customHeight="1" x14ac:dyDescent="0.3">
      <c r="A42" s="11" t="s">
        <v>23</v>
      </c>
      <c r="B42" s="11" t="s">
        <v>120</v>
      </c>
      <c r="C42" s="12" t="s">
        <v>121</v>
      </c>
      <c r="D42" s="89"/>
      <c r="E42" s="69" t="str">
        <f>HYPERLINK("https://www.google.ru/search?q=MC-BB494&amp;newwindow=1&amp;tbm=isch","Еще фото")</f>
        <v>Еще фото</v>
      </c>
      <c r="F42" s="13"/>
      <c r="G42" s="11" t="s">
        <v>122</v>
      </c>
      <c r="H42" s="11" t="s">
        <v>112</v>
      </c>
      <c r="I42" s="14" t="s">
        <v>113</v>
      </c>
      <c r="J42" s="14" t="s">
        <v>29</v>
      </c>
      <c r="K42" s="15" t="s">
        <v>30</v>
      </c>
      <c r="L42" s="86"/>
      <c r="M42" s="14"/>
      <c r="N42" s="14" t="s">
        <v>89</v>
      </c>
      <c r="O42" s="14"/>
      <c r="P42" s="15" t="s">
        <v>123</v>
      </c>
      <c r="Q42" s="16">
        <v>2499</v>
      </c>
      <c r="R42" s="17">
        <v>45</v>
      </c>
      <c r="S42" s="18">
        <v>1580.6174999999998</v>
      </c>
      <c r="T42" s="19" t="s">
        <v>34</v>
      </c>
      <c r="U42" s="20" t="s">
        <v>124</v>
      </c>
      <c r="V42" s="25" t="s">
        <v>125</v>
      </c>
      <c r="W42" s="21">
        <v>2</v>
      </c>
      <c r="X42" s="22"/>
    </row>
    <row r="43" spans="1:24" s="1" customFormat="1" ht="60.95" customHeight="1" x14ac:dyDescent="0.3">
      <c r="A43" s="23" t="s">
        <v>23</v>
      </c>
      <c r="B43" s="23" t="s">
        <v>120</v>
      </c>
      <c r="C43" s="12" t="s">
        <v>121</v>
      </c>
      <c r="D43" s="90"/>
      <c r="E43" s="69" t="str">
        <f>HYPERLINK("https://www.google.ru/search?q=MC-BB494&amp;newwindow=1&amp;tbm=isch","Еще фото")</f>
        <v>Еще фото</v>
      </c>
      <c r="F43" s="13"/>
      <c r="G43" s="23" t="s">
        <v>122</v>
      </c>
      <c r="H43" s="23" t="s">
        <v>112</v>
      </c>
      <c r="I43" s="23" t="s">
        <v>113</v>
      </c>
      <c r="J43" s="14" t="s">
        <v>29</v>
      </c>
      <c r="K43" s="15" t="s">
        <v>30</v>
      </c>
      <c r="L43" s="88"/>
      <c r="M43" s="14"/>
      <c r="N43" s="14" t="s">
        <v>89</v>
      </c>
      <c r="O43" s="14"/>
      <c r="P43" s="15" t="s">
        <v>123</v>
      </c>
      <c r="Q43" s="16">
        <v>2499</v>
      </c>
      <c r="R43" s="17">
        <v>45</v>
      </c>
      <c r="S43" s="18">
        <v>1580.6174999999998</v>
      </c>
      <c r="T43" s="19" t="s">
        <v>34</v>
      </c>
      <c r="U43" s="20" t="s">
        <v>126</v>
      </c>
      <c r="V43" s="25" t="s">
        <v>127</v>
      </c>
      <c r="W43" s="21">
        <v>2</v>
      </c>
      <c r="X43" s="22"/>
    </row>
    <row r="44" spans="1:24" s="1" customFormat="1" ht="51.95" customHeight="1" x14ac:dyDescent="0.3">
      <c r="A44" s="11" t="s">
        <v>23</v>
      </c>
      <c r="B44" s="11" t="s">
        <v>128</v>
      </c>
      <c r="C44" s="12" t="s">
        <v>129</v>
      </c>
      <c r="D44" s="89"/>
      <c r="E44" s="69" t="str">
        <f>HYPERLINK("https://www.google.ru/search?q=MC-BD869&amp;newwindow=1&amp;tbm=isch","Еще фото")</f>
        <v>Еще фото</v>
      </c>
      <c r="F44" s="13"/>
      <c r="G44" s="11" t="s">
        <v>130</v>
      </c>
      <c r="H44" s="11" t="s">
        <v>112</v>
      </c>
      <c r="I44" s="14" t="s">
        <v>113</v>
      </c>
      <c r="J44" s="14" t="s">
        <v>29</v>
      </c>
      <c r="K44" s="15" t="s">
        <v>30</v>
      </c>
      <c r="L44" s="86"/>
      <c r="M44" s="14"/>
      <c r="N44" s="14" t="s">
        <v>131</v>
      </c>
      <c r="O44" s="14"/>
      <c r="P44" s="15" t="s">
        <v>74</v>
      </c>
      <c r="Q44" s="16">
        <v>2099</v>
      </c>
      <c r="R44" s="17">
        <v>45</v>
      </c>
      <c r="S44" s="18">
        <v>1327.6174999999998</v>
      </c>
      <c r="T44" s="19" t="s">
        <v>34</v>
      </c>
      <c r="U44" s="20" t="s">
        <v>124</v>
      </c>
      <c r="V44" s="25" t="s">
        <v>125</v>
      </c>
      <c r="W44" s="21">
        <v>1</v>
      </c>
      <c r="X44" s="22"/>
    </row>
    <row r="45" spans="1:24" s="1" customFormat="1" ht="60.95" customHeight="1" x14ac:dyDescent="0.3">
      <c r="A45" s="23" t="s">
        <v>23</v>
      </c>
      <c r="B45" s="23" t="s">
        <v>128</v>
      </c>
      <c r="C45" s="12" t="s">
        <v>129</v>
      </c>
      <c r="D45" s="90"/>
      <c r="E45" s="69" t="str">
        <f>HYPERLINK("https://www.google.ru/search?q=MC-BD869&amp;newwindow=1&amp;tbm=isch","Еще фото")</f>
        <v>Еще фото</v>
      </c>
      <c r="F45" s="13"/>
      <c r="G45" s="23" t="s">
        <v>130</v>
      </c>
      <c r="H45" s="23" t="s">
        <v>112</v>
      </c>
      <c r="I45" s="23" t="s">
        <v>113</v>
      </c>
      <c r="J45" s="14" t="s">
        <v>29</v>
      </c>
      <c r="K45" s="15" t="s">
        <v>30</v>
      </c>
      <c r="L45" s="88"/>
      <c r="M45" s="14"/>
      <c r="N45" s="14" t="s">
        <v>131</v>
      </c>
      <c r="O45" s="14"/>
      <c r="P45" s="15" t="s">
        <v>74</v>
      </c>
      <c r="Q45" s="16">
        <v>2099</v>
      </c>
      <c r="R45" s="17">
        <v>45</v>
      </c>
      <c r="S45" s="18">
        <v>1327.6174999999998</v>
      </c>
      <c r="T45" s="19" t="s">
        <v>34</v>
      </c>
      <c r="U45" s="20" t="s">
        <v>126</v>
      </c>
      <c r="V45" s="25" t="s">
        <v>127</v>
      </c>
      <c r="W45" s="21">
        <v>1</v>
      </c>
      <c r="X45" s="22"/>
    </row>
    <row r="46" spans="1:24" s="1" customFormat="1" ht="51.95" customHeight="1" x14ac:dyDescent="0.3">
      <c r="A46" s="11" t="s">
        <v>23</v>
      </c>
      <c r="B46" s="11" t="s">
        <v>132</v>
      </c>
      <c r="C46" s="12" t="s">
        <v>133</v>
      </c>
      <c r="D46" s="89"/>
      <c r="E46" s="69" t="str">
        <f>HYPERLINK("https://www.google.ru/search?q=MC-VD378&amp;newwindow=1&amp;tbm=isch","Еще фото")</f>
        <v>Еще фото</v>
      </c>
      <c r="F46" s="13"/>
      <c r="G46" s="11" t="s">
        <v>111</v>
      </c>
      <c r="H46" s="11" t="s">
        <v>112</v>
      </c>
      <c r="I46" s="14" t="s">
        <v>113</v>
      </c>
      <c r="J46" s="14" t="s">
        <v>29</v>
      </c>
      <c r="K46" s="15" t="s">
        <v>30</v>
      </c>
      <c r="L46" s="86"/>
      <c r="M46" s="14"/>
      <c r="N46" s="14" t="s">
        <v>41</v>
      </c>
      <c r="O46" s="14"/>
      <c r="P46" s="15" t="s">
        <v>74</v>
      </c>
      <c r="Q46" s="16">
        <v>2299</v>
      </c>
      <c r="R46" s="17">
        <v>45</v>
      </c>
      <c r="S46" s="18">
        <v>1454.1174999999998</v>
      </c>
      <c r="T46" s="19" t="s">
        <v>117</v>
      </c>
      <c r="U46" s="20" t="s">
        <v>77</v>
      </c>
      <c r="V46" s="21">
        <v>53</v>
      </c>
      <c r="W46" s="21">
        <v>3</v>
      </c>
      <c r="X46" s="22"/>
    </row>
    <row r="47" spans="1:24" s="1" customFormat="1" ht="60.95" customHeight="1" x14ac:dyDescent="0.3">
      <c r="A47" s="23" t="s">
        <v>23</v>
      </c>
      <c r="B47" s="23" t="s">
        <v>132</v>
      </c>
      <c r="C47" s="12" t="s">
        <v>133</v>
      </c>
      <c r="D47" s="90"/>
      <c r="E47" s="69" t="str">
        <f>HYPERLINK("https://www.google.ru/search?q=MC-VD378&amp;newwindow=1&amp;tbm=isch","Еще фото")</f>
        <v>Еще фото</v>
      </c>
      <c r="F47" s="13"/>
      <c r="G47" s="23" t="s">
        <v>111</v>
      </c>
      <c r="H47" s="23" t="s">
        <v>112</v>
      </c>
      <c r="I47" s="23" t="s">
        <v>113</v>
      </c>
      <c r="J47" s="14" t="s">
        <v>29</v>
      </c>
      <c r="K47" s="15" t="s">
        <v>30</v>
      </c>
      <c r="L47" s="88"/>
      <c r="M47" s="14"/>
      <c r="N47" s="14" t="s">
        <v>41</v>
      </c>
      <c r="O47" s="14"/>
      <c r="P47" s="15" t="s">
        <v>74</v>
      </c>
      <c r="Q47" s="16">
        <v>2299</v>
      </c>
      <c r="R47" s="17">
        <v>45</v>
      </c>
      <c r="S47" s="18">
        <v>1454.1174999999998</v>
      </c>
      <c r="T47" s="19" t="s">
        <v>117</v>
      </c>
      <c r="U47" s="20" t="s">
        <v>124</v>
      </c>
      <c r="V47" s="25" t="s">
        <v>125</v>
      </c>
      <c r="W47" s="21">
        <v>1</v>
      </c>
      <c r="X47" s="22"/>
    </row>
    <row r="48" spans="1:24" s="1" customFormat="1" ht="108" customHeight="1" x14ac:dyDescent="0.3">
      <c r="A48" s="11" t="s">
        <v>134</v>
      </c>
      <c r="B48" s="11" t="s">
        <v>135</v>
      </c>
      <c r="C48" s="12" t="s">
        <v>136</v>
      </c>
      <c r="D48" s="24"/>
      <c r="E48" s="69" t="str">
        <f>HYPERLINK("https://www.google.ru/search?q=MT4B116877AS2LC1-DW&amp;newwindow=1&amp;tbm=isch","Еще фото")</f>
        <v>Еще фото</v>
      </c>
      <c r="F48" s="13"/>
      <c r="G48" s="11" t="s">
        <v>137</v>
      </c>
      <c r="H48" s="11" t="s">
        <v>27</v>
      </c>
      <c r="I48" s="14" t="s">
        <v>137</v>
      </c>
      <c r="J48" s="14" t="s">
        <v>138</v>
      </c>
      <c r="K48" s="15" t="s">
        <v>47</v>
      </c>
      <c r="L48" s="14" t="s">
        <v>139</v>
      </c>
      <c r="M48" s="14" t="s">
        <v>73</v>
      </c>
      <c r="N48" s="14" t="s">
        <v>140</v>
      </c>
      <c r="O48" s="14"/>
      <c r="P48" s="15" t="s">
        <v>141</v>
      </c>
      <c r="Q48" s="16">
        <v>9990</v>
      </c>
      <c r="R48" s="17">
        <v>59.68</v>
      </c>
      <c r="S48" s="18">
        <v>4631.9354999999996</v>
      </c>
      <c r="T48" s="19" t="s">
        <v>84</v>
      </c>
      <c r="U48" s="20" t="s">
        <v>142</v>
      </c>
      <c r="V48" s="21">
        <v>44</v>
      </c>
      <c r="W48" s="21">
        <v>1</v>
      </c>
      <c r="X48" s="22"/>
    </row>
    <row r="49" spans="1:24" s="1" customFormat="1" ht="14.1" customHeight="1" x14ac:dyDescent="0.3">
      <c r="A49" s="11" t="s">
        <v>23</v>
      </c>
      <c r="B49" s="11" t="s">
        <v>143</v>
      </c>
      <c r="C49" s="12" t="s">
        <v>144</v>
      </c>
      <c r="D49" s="83"/>
      <c r="E49" s="69" t="str">
        <f t="shared" ref="E49:E55" si="1">HYPERLINK("https://www.google.ru/search?q=MC-RA610&amp;newwindow=1&amp;tbm=isch","Еще фото")</f>
        <v>Еще фото</v>
      </c>
      <c r="F49" s="13"/>
      <c r="G49" s="11" t="s">
        <v>137</v>
      </c>
      <c r="H49" s="11" t="s">
        <v>27</v>
      </c>
      <c r="I49" s="14" t="s">
        <v>137</v>
      </c>
      <c r="J49" s="14" t="s">
        <v>29</v>
      </c>
      <c r="K49" s="15" t="s">
        <v>30</v>
      </c>
      <c r="L49" s="86"/>
      <c r="M49" s="14"/>
      <c r="N49" s="14" t="s">
        <v>32</v>
      </c>
      <c r="O49" s="14"/>
      <c r="P49" s="15" t="s">
        <v>145</v>
      </c>
      <c r="Q49" s="16">
        <v>5099</v>
      </c>
      <c r="R49" s="17">
        <v>45</v>
      </c>
      <c r="S49" s="18">
        <v>3225.1174999999994</v>
      </c>
      <c r="T49" s="19" t="s">
        <v>34</v>
      </c>
      <c r="U49" s="20" t="s">
        <v>77</v>
      </c>
      <c r="V49" s="21">
        <v>92</v>
      </c>
      <c r="W49" s="21">
        <v>3</v>
      </c>
      <c r="X49" s="22"/>
    </row>
    <row r="50" spans="1:24" s="1" customFormat="1" ht="14.1" customHeight="1" x14ac:dyDescent="0.3">
      <c r="A50" s="23" t="s">
        <v>23</v>
      </c>
      <c r="B50" s="23" t="s">
        <v>143</v>
      </c>
      <c r="C50" s="12" t="s">
        <v>144</v>
      </c>
      <c r="D50" s="84"/>
      <c r="E50" s="69" t="str">
        <f t="shared" si="1"/>
        <v>Еще фото</v>
      </c>
      <c r="F50" s="13"/>
      <c r="G50" s="23" t="s">
        <v>137</v>
      </c>
      <c r="H50" s="23" t="s">
        <v>27</v>
      </c>
      <c r="I50" s="23" t="s">
        <v>137</v>
      </c>
      <c r="J50" s="14" t="s">
        <v>29</v>
      </c>
      <c r="K50" s="15" t="s">
        <v>30</v>
      </c>
      <c r="L50" s="87"/>
      <c r="M50" s="14"/>
      <c r="N50" s="14" t="s">
        <v>32</v>
      </c>
      <c r="O50" s="14"/>
      <c r="P50" s="15" t="s">
        <v>145</v>
      </c>
      <c r="Q50" s="16">
        <v>5099</v>
      </c>
      <c r="R50" s="17">
        <v>45</v>
      </c>
      <c r="S50" s="18">
        <v>3225.1174999999994</v>
      </c>
      <c r="T50" s="19" t="s">
        <v>34</v>
      </c>
      <c r="U50" s="20" t="s">
        <v>78</v>
      </c>
      <c r="V50" s="21">
        <v>98</v>
      </c>
      <c r="W50" s="21">
        <v>4</v>
      </c>
      <c r="X50" s="22"/>
    </row>
    <row r="51" spans="1:24" s="1" customFormat="1" ht="14.1" customHeight="1" x14ac:dyDescent="0.3">
      <c r="A51" s="23" t="s">
        <v>23</v>
      </c>
      <c r="B51" s="23" t="s">
        <v>143</v>
      </c>
      <c r="C51" s="12" t="s">
        <v>144</v>
      </c>
      <c r="D51" s="84"/>
      <c r="E51" s="69" t="str">
        <f t="shared" si="1"/>
        <v>Еще фото</v>
      </c>
      <c r="F51" s="13"/>
      <c r="G51" s="23" t="s">
        <v>137</v>
      </c>
      <c r="H51" s="23" t="s">
        <v>27</v>
      </c>
      <c r="I51" s="23" t="s">
        <v>137</v>
      </c>
      <c r="J51" s="14" t="s">
        <v>29</v>
      </c>
      <c r="K51" s="15" t="s">
        <v>30</v>
      </c>
      <c r="L51" s="87"/>
      <c r="M51" s="14"/>
      <c r="N51" s="14" t="s">
        <v>32</v>
      </c>
      <c r="O51" s="14"/>
      <c r="P51" s="15" t="s">
        <v>145</v>
      </c>
      <c r="Q51" s="16">
        <v>5099</v>
      </c>
      <c r="R51" s="17">
        <v>45</v>
      </c>
      <c r="S51" s="18">
        <v>3225.1174999999994</v>
      </c>
      <c r="T51" s="19" t="s">
        <v>34</v>
      </c>
      <c r="U51" s="20" t="s">
        <v>94</v>
      </c>
      <c r="V51" s="21">
        <v>104</v>
      </c>
      <c r="W51" s="21">
        <v>4</v>
      </c>
      <c r="X51" s="22"/>
    </row>
    <row r="52" spans="1:24" s="1" customFormat="1" ht="14.1" customHeight="1" x14ac:dyDescent="0.3">
      <c r="A52" s="23" t="s">
        <v>23</v>
      </c>
      <c r="B52" s="23" t="s">
        <v>143</v>
      </c>
      <c r="C52" s="12" t="s">
        <v>144</v>
      </c>
      <c r="D52" s="84"/>
      <c r="E52" s="69" t="str">
        <f t="shared" si="1"/>
        <v>Еще фото</v>
      </c>
      <c r="F52" s="13"/>
      <c r="G52" s="23" t="s">
        <v>137</v>
      </c>
      <c r="H52" s="23" t="s">
        <v>27</v>
      </c>
      <c r="I52" s="23" t="s">
        <v>137</v>
      </c>
      <c r="J52" s="14" t="s">
        <v>29</v>
      </c>
      <c r="K52" s="15" t="s">
        <v>30</v>
      </c>
      <c r="L52" s="87"/>
      <c r="M52" s="14"/>
      <c r="N52" s="14" t="s">
        <v>32</v>
      </c>
      <c r="O52" s="14"/>
      <c r="P52" s="15" t="s">
        <v>145</v>
      </c>
      <c r="Q52" s="16">
        <v>5099</v>
      </c>
      <c r="R52" s="17">
        <v>45</v>
      </c>
      <c r="S52" s="18">
        <v>3225.1174999999994</v>
      </c>
      <c r="T52" s="19" t="s">
        <v>34</v>
      </c>
      <c r="U52" s="20" t="s">
        <v>43</v>
      </c>
      <c r="V52" s="21">
        <v>110</v>
      </c>
      <c r="W52" s="21">
        <v>4</v>
      </c>
      <c r="X52" s="22"/>
    </row>
    <row r="53" spans="1:24" s="1" customFormat="1" ht="14.1" customHeight="1" x14ac:dyDescent="0.3">
      <c r="A53" s="23" t="s">
        <v>23</v>
      </c>
      <c r="B53" s="23" t="s">
        <v>143</v>
      </c>
      <c r="C53" s="12" t="s">
        <v>144</v>
      </c>
      <c r="D53" s="84"/>
      <c r="E53" s="69" t="str">
        <f t="shared" si="1"/>
        <v>Еще фото</v>
      </c>
      <c r="F53" s="13"/>
      <c r="G53" s="23" t="s">
        <v>137</v>
      </c>
      <c r="H53" s="23" t="s">
        <v>27</v>
      </c>
      <c r="I53" s="23" t="s">
        <v>137</v>
      </c>
      <c r="J53" s="14" t="s">
        <v>29</v>
      </c>
      <c r="K53" s="15" t="s">
        <v>30</v>
      </c>
      <c r="L53" s="87"/>
      <c r="M53" s="14"/>
      <c r="N53" s="14" t="s">
        <v>32</v>
      </c>
      <c r="O53" s="14"/>
      <c r="P53" s="15" t="s">
        <v>145</v>
      </c>
      <c r="Q53" s="16">
        <v>5099</v>
      </c>
      <c r="R53" s="17">
        <v>45</v>
      </c>
      <c r="S53" s="18">
        <v>3225.1174999999994</v>
      </c>
      <c r="T53" s="19" t="s">
        <v>34</v>
      </c>
      <c r="U53" s="20" t="s">
        <v>35</v>
      </c>
      <c r="V53" s="21">
        <v>116</v>
      </c>
      <c r="W53" s="21">
        <v>4</v>
      </c>
      <c r="X53" s="22"/>
    </row>
    <row r="54" spans="1:24" s="1" customFormat="1" ht="14.1" customHeight="1" x14ac:dyDescent="0.3">
      <c r="A54" s="23" t="s">
        <v>23</v>
      </c>
      <c r="B54" s="23" t="s">
        <v>143</v>
      </c>
      <c r="C54" s="12" t="s">
        <v>144</v>
      </c>
      <c r="D54" s="84"/>
      <c r="E54" s="69" t="str">
        <f t="shared" si="1"/>
        <v>Еще фото</v>
      </c>
      <c r="F54" s="13"/>
      <c r="G54" s="23" t="s">
        <v>137</v>
      </c>
      <c r="H54" s="23" t="s">
        <v>27</v>
      </c>
      <c r="I54" s="23" t="s">
        <v>137</v>
      </c>
      <c r="J54" s="14" t="s">
        <v>29</v>
      </c>
      <c r="K54" s="15" t="s">
        <v>30</v>
      </c>
      <c r="L54" s="87"/>
      <c r="M54" s="14"/>
      <c r="N54" s="14" t="s">
        <v>32</v>
      </c>
      <c r="O54" s="14"/>
      <c r="P54" s="15" t="s">
        <v>145</v>
      </c>
      <c r="Q54" s="16">
        <v>5099</v>
      </c>
      <c r="R54" s="17">
        <v>45</v>
      </c>
      <c r="S54" s="18">
        <v>3225.1174999999994</v>
      </c>
      <c r="T54" s="19" t="s">
        <v>34</v>
      </c>
      <c r="U54" s="20" t="s">
        <v>36</v>
      </c>
      <c r="V54" s="21">
        <v>122</v>
      </c>
      <c r="W54" s="21">
        <v>4</v>
      </c>
      <c r="X54" s="22"/>
    </row>
    <row r="55" spans="1:24" s="1" customFormat="1" ht="17.100000000000001" customHeight="1" x14ac:dyDescent="0.3">
      <c r="A55" s="23" t="s">
        <v>23</v>
      </c>
      <c r="B55" s="23" t="s">
        <v>143</v>
      </c>
      <c r="C55" s="12" t="s">
        <v>144</v>
      </c>
      <c r="D55" s="85"/>
      <c r="E55" s="69" t="str">
        <f t="shared" si="1"/>
        <v>Еще фото</v>
      </c>
      <c r="F55" s="13"/>
      <c r="G55" s="23" t="s">
        <v>137</v>
      </c>
      <c r="H55" s="23" t="s">
        <v>27</v>
      </c>
      <c r="I55" s="23" t="s">
        <v>137</v>
      </c>
      <c r="J55" s="14" t="s">
        <v>29</v>
      </c>
      <c r="K55" s="15" t="s">
        <v>30</v>
      </c>
      <c r="L55" s="88"/>
      <c r="M55" s="14"/>
      <c r="N55" s="14" t="s">
        <v>32</v>
      </c>
      <c r="O55" s="14"/>
      <c r="P55" s="15" t="s">
        <v>145</v>
      </c>
      <c r="Q55" s="16">
        <v>5099</v>
      </c>
      <c r="R55" s="17">
        <v>45</v>
      </c>
      <c r="S55" s="18">
        <v>3225.1174999999994</v>
      </c>
      <c r="T55" s="19" t="s">
        <v>34</v>
      </c>
      <c r="U55" s="20" t="s">
        <v>37</v>
      </c>
      <c r="V55" s="21">
        <v>128</v>
      </c>
      <c r="W55" s="21">
        <v>4</v>
      </c>
      <c r="X55" s="22"/>
    </row>
    <row r="56" spans="1:24" s="1" customFormat="1" ht="21" customHeight="1" x14ac:dyDescent="0.3">
      <c r="A56" s="11" t="s">
        <v>23</v>
      </c>
      <c r="B56" s="11" t="s">
        <v>143</v>
      </c>
      <c r="C56" s="27" t="s">
        <v>146</v>
      </c>
      <c r="D56" s="83"/>
      <c r="E56" s="69" t="str">
        <f>HYPERLINK("https://www.google.ru/search?q=MC-WB895&amp;newwindow=1&amp;tbm=isch","Еще фото")</f>
        <v>Еще фото</v>
      </c>
      <c r="F56" s="13"/>
      <c r="G56" s="11" t="s">
        <v>137</v>
      </c>
      <c r="H56" s="11" t="s">
        <v>27</v>
      </c>
      <c r="I56" s="14" t="s">
        <v>137</v>
      </c>
      <c r="J56" s="14" t="s">
        <v>29</v>
      </c>
      <c r="K56" s="15" t="s">
        <v>30</v>
      </c>
      <c r="L56" s="86"/>
      <c r="M56" s="14"/>
      <c r="N56" s="14" t="s">
        <v>32</v>
      </c>
      <c r="O56" s="14"/>
      <c r="P56" s="15" t="s">
        <v>145</v>
      </c>
      <c r="Q56" s="16">
        <v>5099</v>
      </c>
      <c r="R56" s="17">
        <v>45</v>
      </c>
      <c r="S56" s="18">
        <v>3225.1174999999994</v>
      </c>
      <c r="T56" s="19" t="s">
        <v>34</v>
      </c>
      <c r="U56" s="20" t="s">
        <v>94</v>
      </c>
      <c r="V56" s="21">
        <v>104</v>
      </c>
      <c r="W56" s="21">
        <v>2</v>
      </c>
      <c r="X56" s="22"/>
    </row>
    <row r="57" spans="1:24" s="1" customFormat="1" ht="21" customHeight="1" x14ac:dyDescent="0.3">
      <c r="A57" s="23" t="s">
        <v>23</v>
      </c>
      <c r="B57" s="23" t="s">
        <v>143</v>
      </c>
      <c r="C57" s="28" t="s">
        <v>146</v>
      </c>
      <c r="D57" s="84"/>
      <c r="E57" s="69" t="str">
        <f>HYPERLINK("https://www.google.ru/search?q=MC-WB895&amp;newwindow=1&amp;tbm=isch","Еще фото")</f>
        <v>Еще фото</v>
      </c>
      <c r="F57" s="13"/>
      <c r="G57" s="23" t="s">
        <v>137</v>
      </c>
      <c r="H57" s="23" t="s">
        <v>27</v>
      </c>
      <c r="I57" s="23" t="s">
        <v>137</v>
      </c>
      <c r="J57" s="14" t="s">
        <v>29</v>
      </c>
      <c r="K57" s="15" t="s">
        <v>30</v>
      </c>
      <c r="L57" s="87"/>
      <c r="M57" s="14"/>
      <c r="N57" s="14" t="s">
        <v>32</v>
      </c>
      <c r="O57" s="14"/>
      <c r="P57" s="15" t="s">
        <v>145</v>
      </c>
      <c r="Q57" s="16">
        <v>5099</v>
      </c>
      <c r="R57" s="17">
        <v>45</v>
      </c>
      <c r="S57" s="18">
        <v>3225.1174999999994</v>
      </c>
      <c r="T57" s="19" t="s">
        <v>34</v>
      </c>
      <c r="U57" s="20" t="s">
        <v>43</v>
      </c>
      <c r="V57" s="21">
        <v>110</v>
      </c>
      <c r="W57" s="21">
        <v>1</v>
      </c>
      <c r="X57" s="22"/>
    </row>
    <row r="58" spans="1:24" s="1" customFormat="1" ht="21" customHeight="1" x14ac:dyDescent="0.3">
      <c r="A58" s="23" t="s">
        <v>23</v>
      </c>
      <c r="B58" s="23" t="s">
        <v>143</v>
      </c>
      <c r="C58" s="28" t="s">
        <v>146</v>
      </c>
      <c r="D58" s="84"/>
      <c r="E58" s="69" t="str">
        <f>HYPERLINK("https://www.google.ru/search?q=MC-WB895&amp;newwindow=1&amp;tbm=isch","Еще фото")</f>
        <v>Еще фото</v>
      </c>
      <c r="F58" s="13"/>
      <c r="G58" s="23" t="s">
        <v>137</v>
      </c>
      <c r="H58" s="23" t="s">
        <v>27</v>
      </c>
      <c r="I58" s="23" t="s">
        <v>137</v>
      </c>
      <c r="J58" s="14" t="s">
        <v>29</v>
      </c>
      <c r="K58" s="15" t="s">
        <v>30</v>
      </c>
      <c r="L58" s="87"/>
      <c r="M58" s="14"/>
      <c r="N58" s="14" t="s">
        <v>32</v>
      </c>
      <c r="O58" s="14"/>
      <c r="P58" s="15" t="s">
        <v>145</v>
      </c>
      <c r="Q58" s="16">
        <v>5099</v>
      </c>
      <c r="R58" s="17">
        <v>45</v>
      </c>
      <c r="S58" s="18">
        <v>3225.1174999999994</v>
      </c>
      <c r="T58" s="19" t="s">
        <v>34</v>
      </c>
      <c r="U58" s="20" t="s">
        <v>35</v>
      </c>
      <c r="V58" s="21">
        <v>116</v>
      </c>
      <c r="W58" s="21">
        <v>3</v>
      </c>
      <c r="X58" s="22"/>
    </row>
    <row r="59" spans="1:24" s="1" customFormat="1" ht="21" customHeight="1" x14ac:dyDescent="0.3">
      <c r="A59" s="23" t="s">
        <v>23</v>
      </c>
      <c r="B59" s="23" t="s">
        <v>143</v>
      </c>
      <c r="C59" s="28" t="s">
        <v>146</v>
      </c>
      <c r="D59" s="84"/>
      <c r="E59" s="69" t="str">
        <f>HYPERLINK("https://www.google.ru/search?q=MC-WB895&amp;newwindow=1&amp;tbm=isch","Еще фото")</f>
        <v>Еще фото</v>
      </c>
      <c r="F59" s="13"/>
      <c r="G59" s="23" t="s">
        <v>137</v>
      </c>
      <c r="H59" s="23" t="s">
        <v>27</v>
      </c>
      <c r="I59" s="23" t="s">
        <v>137</v>
      </c>
      <c r="J59" s="14" t="s">
        <v>29</v>
      </c>
      <c r="K59" s="15" t="s">
        <v>30</v>
      </c>
      <c r="L59" s="87"/>
      <c r="M59" s="14"/>
      <c r="N59" s="14" t="s">
        <v>32</v>
      </c>
      <c r="O59" s="14"/>
      <c r="P59" s="15" t="s">
        <v>145</v>
      </c>
      <c r="Q59" s="16">
        <v>5099</v>
      </c>
      <c r="R59" s="17">
        <v>45</v>
      </c>
      <c r="S59" s="18">
        <v>3225.1174999999994</v>
      </c>
      <c r="T59" s="19" t="s">
        <v>34</v>
      </c>
      <c r="U59" s="20" t="s">
        <v>36</v>
      </c>
      <c r="V59" s="21">
        <v>122</v>
      </c>
      <c r="W59" s="21">
        <v>3</v>
      </c>
      <c r="X59" s="22"/>
    </row>
    <row r="60" spans="1:24" s="1" customFormat="1" ht="32.1" customHeight="1" x14ac:dyDescent="0.3">
      <c r="A60" s="23" t="s">
        <v>23</v>
      </c>
      <c r="B60" s="23" t="s">
        <v>143</v>
      </c>
      <c r="C60" s="28" t="s">
        <v>146</v>
      </c>
      <c r="D60" s="85"/>
      <c r="E60" s="69" t="str">
        <f>HYPERLINK("https://www.google.ru/search?q=MC-WB895&amp;newwindow=1&amp;tbm=isch","Еще фото")</f>
        <v>Еще фото</v>
      </c>
      <c r="F60" s="13"/>
      <c r="G60" s="23" t="s">
        <v>137</v>
      </c>
      <c r="H60" s="23" t="s">
        <v>27</v>
      </c>
      <c r="I60" s="23" t="s">
        <v>137</v>
      </c>
      <c r="J60" s="14" t="s">
        <v>29</v>
      </c>
      <c r="K60" s="15" t="s">
        <v>30</v>
      </c>
      <c r="L60" s="88"/>
      <c r="M60" s="14"/>
      <c r="N60" s="14" t="s">
        <v>32</v>
      </c>
      <c r="O60" s="14"/>
      <c r="P60" s="15" t="s">
        <v>145</v>
      </c>
      <c r="Q60" s="16">
        <v>5099</v>
      </c>
      <c r="R60" s="17">
        <v>45</v>
      </c>
      <c r="S60" s="18">
        <v>3225.1174999999994</v>
      </c>
      <c r="T60" s="19" t="s">
        <v>34</v>
      </c>
      <c r="U60" s="20" t="s">
        <v>37</v>
      </c>
      <c r="V60" s="21">
        <v>128</v>
      </c>
      <c r="W60" s="21">
        <v>2</v>
      </c>
      <c r="X60" s="22"/>
    </row>
    <row r="61" spans="1:24" s="1" customFormat="1" ht="51.95" customHeight="1" x14ac:dyDescent="0.3">
      <c r="A61" s="11" t="s">
        <v>147</v>
      </c>
      <c r="B61" s="11" t="s">
        <v>148</v>
      </c>
      <c r="C61" s="12" t="s">
        <v>149</v>
      </c>
      <c r="D61" s="89"/>
      <c r="E61" s="69" t="str">
        <f>HYPERLINK("https://www.google.ru/search?q=NA4H71WA1&amp;newwindow=1&amp;tbm=isch","Еще фото")</f>
        <v>Еще фото</v>
      </c>
      <c r="F61" s="13"/>
      <c r="G61" s="11" t="s">
        <v>150</v>
      </c>
      <c r="H61" s="11" t="s">
        <v>151</v>
      </c>
      <c r="I61" s="14" t="s">
        <v>152</v>
      </c>
      <c r="J61" s="14" t="s">
        <v>29</v>
      </c>
      <c r="K61" s="15" t="s">
        <v>55</v>
      </c>
      <c r="L61" s="86" t="s">
        <v>153</v>
      </c>
      <c r="M61" s="14"/>
      <c r="N61" s="14" t="s">
        <v>154</v>
      </c>
      <c r="O61" s="14"/>
      <c r="P61" s="15" t="s">
        <v>155</v>
      </c>
      <c r="Q61" s="16">
        <v>25999</v>
      </c>
      <c r="R61" s="17">
        <v>85.43</v>
      </c>
      <c r="S61" s="18">
        <v>4355.9354999999996</v>
      </c>
      <c r="T61" s="19" t="s">
        <v>84</v>
      </c>
      <c r="U61" s="20" t="s">
        <v>156</v>
      </c>
      <c r="V61" s="21">
        <v>39</v>
      </c>
      <c r="W61" s="21">
        <v>3</v>
      </c>
      <c r="X61" s="22"/>
    </row>
    <row r="62" spans="1:24" s="1" customFormat="1" ht="60.95" customHeight="1" x14ac:dyDescent="0.3">
      <c r="A62" s="23" t="s">
        <v>147</v>
      </c>
      <c r="B62" s="23" t="s">
        <v>148</v>
      </c>
      <c r="C62" s="12" t="s">
        <v>149</v>
      </c>
      <c r="D62" s="90"/>
      <c r="E62" s="69" t="str">
        <f>HYPERLINK("https://www.google.ru/search?q=NA4H71WA1&amp;newwindow=1&amp;tbm=isch","Еще фото")</f>
        <v>Еще фото</v>
      </c>
      <c r="F62" s="13"/>
      <c r="G62" s="23" t="s">
        <v>150</v>
      </c>
      <c r="H62" s="23" t="s">
        <v>151</v>
      </c>
      <c r="I62" s="23" t="s">
        <v>152</v>
      </c>
      <c r="J62" s="14" t="s">
        <v>29</v>
      </c>
      <c r="K62" s="15" t="s">
        <v>55</v>
      </c>
      <c r="L62" s="88"/>
      <c r="M62" s="14"/>
      <c r="N62" s="14" t="s">
        <v>154</v>
      </c>
      <c r="O62" s="14"/>
      <c r="P62" s="15" t="s">
        <v>155</v>
      </c>
      <c r="Q62" s="16">
        <v>25999</v>
      </c>
      <c r="R62" s="17">
        <v>85.43</v>
      </c>
      <c r="S62" s="18">
        <v>4355.9354999999996</v>
      </c>
      <c r="T62" s="19" t="s">
        <v>84</v>
      </c>
      <c r="U62" s="20" t="s">
        <v>157</v>
      </c>
      <c r="V62" s="21">
        <v>40</v>
      </c>
      <c r="W62" s="21">
        <v>4</v>
      </c>
      <c r="X62" s="22"/>
    </row>
    <row r="63" spans="1:24" s="1" customFormat="1" ht="26.1" customHeight="1" x14ac:dyDescent="0.3">
      <c r="A63" s="11" t="s">
        <v>147</v>
      </c>
      <c r="B63" s="11" t="s">
        <v>158</v>
      </c>
      <c r="C63" s="12" t="s">
        <v>159</v>
      </c>
      <c r="D63" s="83"/>
      <c r="E63" s="69" t="str">
        <f>HYPERLINK("https://www.google.ru/search?q=NA4IJH041&amp;newwindow=1&amp;tbm=isch","Еще фото")</f>
        <v>Еще фото</v>
      </c>
      <c r="F63" s="13"/>
      <c r="G63" s="11" t="s">
        <v>150</v>
      </c>
      <c r="H63" s="11" t="s">
        <v>151</v>
      </c>
      <c r="I63" s="14" t="s">
        <v>152</v>
      </c>
      <c r="J63" s="14" t="s">
        <v>29</v>
      </c>
      <c r="K63" s="15" t="s">
        <v>55</v>
      </c>
      <c r="L63" s="86" t="s">
        <v>160</v>
      </c>
      <c r="M63" s="14"/>
      <c r="N63" s="14" t="s">
        <v>49</v>
      </c>
      <c r="O63" s="14"/>
      <c r="P63" s="15" t="s">
        <v>161</v>
      </c>
      <c r="Q63" s="16">
        <v>23999</v>
      </c>
      <c r="R63" s="17">
        <v>80.72</v>
      </c>
      <c r="S63" s="18">
        <v>5321.9355000000005</v>
      </c>
      <c r="T63" s="19" t="s">
        <v>84</v>
      </c>
      <c r="U63" s="20" t="s">
        <v>157</v>
      </c>
      <c r="V63" s="21">
        <v>40</v>
      </c>
      <c r="W63" s="21">
        <v>3</v>
      </c>
      <c r="X63" s="22"/>
    </row>
    <row r="64" spans="1:24" s="1" customFormat="1" ht="26.1" customHeight="1" x14ac:dyDescent="0.3">
      <c r="A64" s="23" t="s">
        <v>147</v>
      </c>
      <c r="B64" s="23" t="s">
        <v>158</v>
      </c>
      <c r="C64" s="12" t="s">
        <v>159</v>
      </c>
      <c r="D64" s="84"/>
      <c r="E64" s="69" t="str">
        <f>HYPERLINK("https://www.google.ru/search?q=NA4IJH041&amp;newwindow=1&amp;tbm=isch","Еще фото")</f>
        <v>Еще фото</v>
      </c>
      <c r="F64" s="13"/>
      <c r="G64" s="23" t="s">
        <v>150</v>
      </c>
      <c r="H64" s="23" t="s">
        <v>151</v>
      </c>
      <c r="I64" s="23" t="s">
        <v>152</v>
      </c>
      <c r="J64" s="14" t="s">
        <v>29</v>
      </c>
      <c r="K64" s="15" t="s">
        <v>55</v>
      </c>
      <c r="L64" s="87"/>
      <c r="M64" s="14"/>
      <c r="N64" s="14" t="s">
        <v>49</v>
      </c>
      <c r="O64" s="14"/>
      <c r="P64" s="15" t="s">
        <v>161</v>
      </c>
      <c r="Q64" s="16">
        <v>23999</v>
      </c>
      <c r="R64" s="17">
        <v>80.72</v>
      </c>
      <c r="S64" s="18">
        <v>5321.9355000000005</v>
      </c>
      <c r="T64" s="19" t="s">
        <v>84</v>
      </c>
      <c r="U64" s="20" t="s">
        <v>162</v>
      </c>
      <c r="V64" s="21">
        <v>41</v>
      </c>
      <c r="W64" s="21">
        <v>1</v>
      </c>
      <c r="X64" s="22"/>
    </row>
    <row r="65" spans="1:24" s="1" customFormat="1" ht="26.1" customHeight="1" x14ac:dyDescent="0.3">
      <c r="A65" s="23" t="s">
        <v>147</v>
      </c>
      <c r="B65" s="23" t="s">
        <v>158</v>
      </c>
      <c r="C65" s="12" t="s">
        <v>159</v>
      </c>
      <c r="D65" s="84"/>
      <c r="E65" s="69" t="str">
        <f>HYPERLINK("https://www.google.ru/search?q=NA4IJH041&amp;newwindow=1&amp;tbm=isch","Еще фото")</f>
        <v>Еще фото</v>
      </c>
      <c r="F65" s="13"/>
      <c r="G65" s="23" t="s">
        <v>150</v>
      </c>
      <c r="H65" s="23" t="s">
        <v>151</v>
      </c>
      <c r="I65" s="23" t="s">
        <v>152</v>
      </c>
      <c r="J65" s="14" t="s">
        <v>29</v>
      </c>
      <c r="K65" s="15" t="s">
        <v>55</v>
      </c>
      <c r="L65" s="87"/>
      <c r="M65" s="14"/>
      <c r="N65" s="14" t="s">
        <v>49</v>
      </c>
      <c r="O65" s="14"/>
      <c r="P65" s="15" t="s">
        <v>161</v>
      </c>
      <c r="Q65" s="16">
        <v>23999</v>
      </c>
      <c r="R65" s="17">
        <v>80.72</v>
      </c>
      <c r="S65" s="18">
        <v>5321.9355000000005</v>
      </c>
      <c r="T65" s="19" t="s">
        <v>84</v>
      </c>
      <c r="U65" s="20" t="s">
        <v>163</v>
      </c>
      <c r="V65" s="21">
        <v>42</v>
      </c>
      <c r="W65" s="21">
        <v>6</v>
      </c>
      <c r="X65" s="22"/>
    </row>
    <row r="66" spans="1:24" s="1" customFormat="1" ht="26.1" customHeight="1" x14ac:dyDescent="0.3">
      <c r="A66" s="23" t="s">
        <v>147</v>
      </c>
      <c r="B66" s="23" t="s">
        <v>158</v>
      </c>
      <c r="C66" s="12" t="s">
        <v>159</v>
      </c>
      <c r="D66" s="85"/>
      <c r="E66" s="69" t="str">
        <f>HYPERLINK("https://www.google.ru/search?q=NA4IJH041&amp;newwindow=1&amp;tbm=isch","Еще фото")</f>
        <v>Еще фото</v>
      </c>
      <c r="F66" s="13"/>
      <c r="G66" s="23" t="s">
        <v>150</v>
      </c>
      <c r="H66" s="23" t="s">
        <v>151</v>
      </c>
      <c r="I66" s="23" t="s">
        <v>152</v>
      </c>
      <c r="J66" s="14" t="s">
        <v>29</v>
      </c>
      <c r="K66" s="15" t="s">
        <v>55</v>
      </c>
      <c r="L66" s="88"/>
      <c r="M66" s="14"/>
      <c r="N66" s="14" t="s">
        <v>49</v>
      </c>
      <c r="O66" s="14"/>
      <c r="P66" s="15" t="s">
        <v>161</v>
      </c>
      <c r="Q66" s="16">
        <v>23999</v>
      </c>
      <c r="R66" s="17">
        <v>80.72</v>
      </c>
      <c r="S66" s="18">
        <v>5321.9355000000005</v>
      </c>
      <c r="T66" s="19" t="s">
        <v>84</v>
      </c>
      <c r="U66" s="20" t="s">
        <v>164</v>
      </c>
      <c r="V66" s="21">
        <v>43</v>
      </c>
      <c r="W66" s="21">
        <v>2</v>
      </c>
      <c r="X66" s="22"/>
    </row>
    <row r="67" spans="1:24" s="1" customFormat="1" ht="108" customHeight="1" x14ac:dyDescent="0.3">
      <c r="A67" s="11" t="s">
        <v>147</v>
      </c>
      <c r="B67" s="11" t="s">
        <v>165</v>
      </c>
      <c r="C67" s="12" t="s">
        <v>166</v>
      </c>
      <c r="D67" s="24"/>
      <c r="E67" s="69" t="str">
        <f>HYPERLINK("https://www.google.ru/search?q=NA4HUZWA1&amp;newwindow=1&amp;tbm=isch","Еще фото")</f>
        <v>Еще фото</v>
      </c>
      <c r="F67" s="13"/>
      <c r="G67" s="11" t="s">
        <v>150</v>
      </c>
      <c r="H67" s="11" t="s">
        <v>151</v>
      </c>
      <c r="I67" s="14" t="s">
        <v>152</v>
      </c>
      <c r="J67" s="14" t="s">
        <v>29</v>
      </c>
      <c r="K67" s="15" t="s">
        <v>55</v>
      </c>
      <c r="L67" s="14" t="s">
        <v>167</v>
      </c>
      <c r="M67" s="14"/>
      <c r="N67" s="14" t="s">
        <v>154</v>
      </c>
      <c r="O67" s="14"/>
      <c r="P67" s="15" t="s">
        <v>168</v>
      </c>
      <c r="Q67" s="16">
        <v>25999</v>
      </c>
      <c r="R67" s="17">
        <v>77.58</v>
      </c>
      <c r="S67" s="18">
        <v>6701.9354999999996</v>
      </c>
      <c r="T67" s="19" t="s">
        <v>84</v>
      </c>
      <c r="U67" s="20" t="s">
        <v>157</v>
      </c>
      <c r="V67" s="21">
        <v>40</v>
      </c>
      <c r="W67" s="21">
        <v>4</v>
      </c>
      <c r="X67" s="22"/>
    </row>
    <row r="68" spans="1:24" s="1" customFormat="1" ht="108" customHeight="1" x14ac:dyDescent="0.3">
      <c r="A68" s="11" t="s">
        <v>147</v>
      </c>
      <c r="B68" s="11" t="s">
        <v>148</v>
      </c>
      <c r="C68" s="12" t="s">
        <v>169</v>
      </c>
      <c r="D68" s="24"/>
      <c r="E68" s="69" t="str">
        <f>HYPERLINK("https://www.google.ru/search?q=NA4H71FC1&amp;newwindow=1&amp;tbm=isch","Еще фото")</f>
        <v>Еще фото</v>
      </c>
      <c r="F68" s="13"/>
      <c r="G68" s="11" t="s">
        <v>150</v>
      </c>
      <c r="H68" s="11" t="s">
        <v>151</v>
      </c>
      <c r="I68" s="14" t="s">
        <v>152</v>
      </c>
      <c r="J68" s="14" t="s">
        <v>29</v>
      </c>
      <c r="K68" s="15" t="s">
        <v>55</v>
      </c>
      <c r="L68" s="14" t="s">
        <v>170</v>
      </c>
      <c r="M68" s="14"/>
      <c r="N68" s="14" t="s">
        <v>41</v>
      </c>
      <c r="O68" s="14"/>
      <c r="P68" s="15" t="s">
        <v>171</v>
      </c>
      <c r="Q68" s="16">
        <v>25999</v>
      </c>
      <c r="R68" s="17">
        <v>59.74</v>
      </c>
      <c r="S68" s="18">
        <v>12037.9355</v>
      </c>
      <c r="T68" s="19" t="s">
        <v>84</v>
      </c>
      <c r="U68" s="20" t="s">
        <v>157</v>
      </c>
      <c r="V68" s="21">
        <v>40</v>
      </c>
      <c r="W68" s="21">
        <v>1</v>
      </c>
      <c r="X68" s="22"/>
    </row>
    <row r="69" spans="1:24" s="1" customFormat="1" ht="108" customHeight="1" x14ac:dyDescent="0.3">
      <c r="A69" s="11" t="s">
        <v>147</v>
      </c>
      <c r="B69" s="11" t="s">
        <v>172</v>
      </c>
      <c r="C69" s="12" t="s">
        <v>173</v>
      </c>
      <c r="D69" s="24"/>
      <c r="E69" s="69" t="str">
        <f>HYPERLINK("https://www.google.ru/search?q=NA4HVFGF2&amp;newwindow=1&amp;tbm=isch","Еще фото")</f>
        <v>Еще фото</v>
      </c>
      <c r="F69" s="13"/>
      <c r="G69" s="11" t="s">
        <v>150</v>
      </c>
      <c r="H69" s="11" t="s">
        <v>151</v>
      </c>
      <c r="I69" s="14" t="s">
        <v>152</v>
      </c>
      <c r="J69" s="14" t="s">
        <v>29</v>
      </c>
      <c r="K69" s="15" t="s">
        <v>55</v>
      </c>
      <c r="L69" s="14" t="s">
        <v>174</v>
      </c>
      <c r="M69" s="14"/>
      <c r="N69" s="14" t="s">
        <v>175</v>
      </c>
      <c r="O69" s="14"/>
      <c r="P69" s="15" t="s">
        <v>176</v>
      </c>
      <c r="Q69" s="16">
        <v>21999</v>
      </c>
      <c r="R69" s="17">
        <v>56.74</v>
      </c>
      <c r="S69" s="18">
        <v>10945.4355</v>
      </c>
      <c r="T69" s="19" t="s">
        <v>84</v>
      </c>
      <c r="U69" s="20" t="s">
        <v>162</v>
      </c>
      <c r="V69" s="21">
        <v>41</v>
      </c>
      <c r="W69" s="21">
        <v>1</v>
      </c>
      <c r="X69" s="22"/>
    </row>
    <row r="70" spans="1:24" s="1" customFormat="1" ht="108" customHeight="1" x14ac:dyDescent="0.3">
      <c r="A70" s="11" t="s">
        <v>147</v>
      </c>
      <c r="B70" s="11" t="s">
        <v>165</v>
      </c>
      <c r="C70" s="12" t="s">
        <v>177</v>
      </c>
      <c r="D70" s="24"/>
      <c r="E70" s="69" t="str">
        <f>HYPERLINK("https://www.google.ru/search?q=NA4HUZ041&amp;newwindow=1&amp;tbm=isch","Еще фото")</f>
        <v>Еще фото</v>
      </c>
      <c r="F70" s="13"/>
      <c r="G70" s="11" t="s">
        <v>150</v>
      </c>
      <c r="H70" s="11" t="s">
        <v>151</v>
      </c>
      <c r="I70" s="14" t="s">
        <v>152</v>
      </c>
      <c r="J70" s="14" t="s">
        <v>29</v>
      </c>
      <c r="K70" s="15" t="s">
        <v>55</v>
      </c>
      <c r="L70" s="14" t="s">
        <v>167</v>
      </c>
      <c r="M70" s="14"/>
      <c r="N70" s="14" t="s">
        <v>49</v>
      </c>
      <c r="O70" s="14"/>
      <c r="P70" s="15" t="s">
        <v>168</v>
      </c>
      <c r="Q70" s="16">
        <v>25999</v>
      </c>
      <c r="R70" s="17">
        <v>50</v>
      </c>
      <c r="S70" s="18">
        <v>14949.424999999999</v>
      </c>
      <c r="T70" s="19" t="s">
        <v>84</v>
      </c>
      <c r="U70" s="20" t="s">
        <v>162</v>
      </c>
      <c r="V70" s="21">
        <v>41</v>
      </c>
      <c r="W70" s="21">
        <v>1</v>
      </c>
      <c r="X70" s="22"/>
    </row>
    <row r="71" spans="1:24" s="1" customFormat="1" ht="108" customHeight="1" x14ac:dyDescent="0.3">
      <c r="A71" s="11" t="s">
        <v>178</v>
      </c>
      <c r="B71" s="11" t="s">
        <v>179</v>
      </c>
      <c r="C71" s="12" t="s">
        <v>180</v>
      </c>
      <c r="D71" s="24"/>
      <c r="E71" s="69" t="str">
        <f>HYPERLINK("https://www.google.ru/search?q=W5CT01BIP1-0019&amp;newwindow=1&amp;tbm=isch","Еще фото")</f>
        <v>Еще фото</v>
      </c>
      <c r="F71" s="13"/>
      <c r="G71" s="11" t="s">
        <v>181</v>
      </c>
      <c r="H71" s="11" t="s">
        <v>112</v>
      </c>
      <c r="I71" s="14" t="s">
        <v>182</v>
      </c>
      <c r="J71" s="14" t="s">
        <v>29</v>
      </c>
      <c r="K71" s="15" t="s">
        <v>55</v>
      </c>
      <c r="L71" s="14"/>
      <c r="M71" s="14"/>
      <c r="N71" s="14" t="s">
        <v>49</v>
      </c>
      <c r="O71" s="14"/>
      <c r="P71" s="15" t="s">
        <v>108</v>
      </c>
      <c r="Q71" s="16">
        <v>3399</v>
      </c>
      <c r="R71" s="17">
        <v>68</v>
      </c>
      <c r="S71" s="18">
        <v>1250.9354999999998</v>
      </c>
      <c r="T71" s="19" t="s">
        <v>117</v>
      </c>
      <c r="U71" s="20" t="s">
        <v>183</v>
      </c>
      <c r="V71" s="25" t="s">
        <v>119</v>
      </c>
      <c r="W71" s="21">
        <v>2</v>
      </c>
      <c r="X71" s="22"/>
    </row>
    <row r="72" spans="1:24" s="1" customFormat="1" ht="108" customHeight="1" x14ac:dyDescent="0.3">
      <c r="A72" s="11" t="s">
        <v>23</v>
      </c>
      <c r="B72" s="11" t="s">
        <v>120</v>
      </c>
      <c r="C72" s="12" t="s">
        <v>184</v>
      </c>
      <c r="D72" s="24"/>
      <c r="E72" s="69" t="str">
        <f>HYPERLINK("https://www.google.ru/search?q=MC-BB861&amp;newwindow=1&amp;tbm=isch","Еще фото")</f>
        <v>Еще фото</v>
      </c>
      <c r="F72" s="13"/>
      <c r="G72" s="11" t="s">
        <v>181</v>
      </c>
      <c r="H72" s="11" t="s">
        <v>112</v>
      </c>
      <c r="I72" s="14" t="s">
        <v>182</v>
      </c>
      <c r="J72" s="14" t="s">
        <v>29</v>
      </c>
      <c r="K72" s="15" t="s">
        <v>30</v>
      </c>
      <c r="L72" s="14"/>
      <c r="M72" s="14"/>
      <c r="N72" s="14" t="s">
        <v>70</v>
      </c>
      <c r="O72" s="14"/>
      <c r="P72" s="15" t="s">
        <v>74</v>
      </c>
      <c r="Q72" s="16">
        <v>2099</v>
      </c>
      <c r="R72" s="17">
        <v>45</v>
      </c>
      <c r="S72" s="18">
        <v>1327.6174999999998</v>
      </c>
      <c r="T72" s="19" t="s">
        <v>185</v>
      </c>
      <c r="U72" s="20" t="s">
        <v>186</v>
      </c>
      <c r="V72" s="25" t="s">
        <v>187</v>
      </c>
      <c r="W72" s="21">
        <v>2</v>
      </c>
      <c r="X72" s="22"/>
    </row>
    <row r="73" spans="1:24" s="1" customFormat="1" ht="21" customHeight="1" x14ac:dyDescent="0.3">
      <c r="A73" s="11" t="s">
        <v>23</v>
      </c>
      <c r="B73" s="11" t="s">
        <v>188</v>
      </c>
      <c r="C73" s="27" t="s">
        <v>189</v>
      </c>
      <c r="D73" s="83"/>
      <c r="E73" s="69" t="str">
        <f>HYPERLINK("https://www.google.ru/search?q=MC-CD330-1&amp;newwindow=1&amp;tbm=isch","Еще фото")</f>
        <v>Еще фото</v>
      </c>
      <c r="F73" s="13"/>
      <c r="G73" s="11" t="s">
        <v>190</v>
      </c>
      <c r="H73" s="11" t="s">
        <v>27</v>
      </c>
      <c r="I73" s="14" t="s">
        <v>191</v>
      </c>
      <c r="J73" s="14" t="s">
        <v>29</v>
      </c>
      <c r="K73" s="15" t="s">
        <v>30</v>
      </c>
      <c r="L73" s="86" t="s">
        <v>192</v>
      </c>
      <c r="M73" s="14"/>
      <c r="N73" s="14" t="s">
        <v>32</v>
      </c>
      <c r="O73" s="14"/>
      <c r="P73" s="15" t="s">
        <v>193</v>
      </c>
      <c r="Q73" s="16">
        <v>6999</v>
      </c>
      <c r="R73" s="17">
        <v>81.17</v>
      </c>
      <c r="S73" s="18">
        <v>1515.4354999999998</v>
      </c>
      <c r="T73" s="19" t="s">
        <v>34</v>
      </c>
      <c r="U73" s="20" t="s">
        <v>105</v>
      </c>
      <c r="V73" s="21">
        <v>62</v>
      </c>
      <c r="W73" s="21">
        <v>2</v>
      </c>
      <c r="X73" s="22"/>
    </row>
    <row r="74" spans="1:24" s="1" customFormat="1" ht="21" customHeight="1" x14ac:dyDescent="0.3">
      <c r="A74" s="23" t="s">
        <v>23</v>
      </c>
      <c r="B74" s="23" t="s">
        <v>188</v>
      </c>
      <c r="C74" s="28" t="s">
        <v>189</v>
      </c>
      <c r="D74" s="84"/>
      <c r="E74" s="69" t="str">
        <f>HYPERLINK("https://www.google.ru/search?q=MC-CD330-1&amp;newwindow=1&amp;tbm=isch","Еще фото")</f>
        <v>Еще фото</v>
      </c>
      <c r="F74" s="13"/>
      <c r="G74" s="23" t="s">
        <v>190</v>
      </c>
      <c r="H74" s="23" t="s">
        <v>27</v>
      </c>
      <c r="I74" s="23" t="s">
        <v>191</v>
      </c>
      <c r="J74" s="14" t="s">
        <v>29</v>
      </c>
      <c r="K74" s="15" t="s">
        <v>30</v>
      </c>
      <c r="L74" s="87"/>
      <c r="M74" s="14"/>
      <c r="N74" s="14" t="s">
        <v>32</v>
      </c>
      <c r="O74" s="14"/>
      <c r="P74" s="15" t="s">
        <v>193</v>
      </c>
      <c r="Q74" s="16">
        <v>6999</v>
      </c>
      <c r="R74" s="17">
        <v>81.17</v>
      </c>
      <c r="S74" s="18">
        <v>1515.4354999999998</v>
      </c>
      <c r="T74" s="19" t="s">
        <v>34</v>
      </c>
      <c r="U74" s="20" t="s">
        <v>194</v>
      </c>
      <c r="V74" s="21">
        <v>68</v>
      </c>
      <c r="W74" s="21">
        <v>5</v>
      </c>
      <c r="X74" s="22"/>
    </row>
    <row r="75" spans="1:24" s="1" customFormat="1" ht="21" customHeight="1" x14ac:dyDescent="0.3">
      <c r="A75" s="23" t="s">
        <v>23</v>
      </c>
      <c r="B75" s="23" t="s">
        <v>188</v>
      </c>
      <c r="C75" s="28" t="s">
        <v>189</v>
      </c>
      <c r="D75" s="84"/>
      <c r="E75" s="69" t="str">
        <f>HYPERLINK("https://www.google.ru/search?q=MC-CD330-1&amp;newwindow=1&amp;tbm=isch","Еще фото")</f>
        <v>Еще фото</v>
      </c>
      <c r="F75" s="13"/>
      <c r="G75" s="23" t="s">
        <v>190</v>
      </c>
      <c r="H75" s="23" t="s">
        <v>27</v>
      </c>
      <c r="I75" s="23" t="s">
        <v>191</v>
      </c>
      <c r="J75" s="14" t="s">
        <v>29</v>
      </c>
      <c r="K75" s="15" t="s">
        <v>30</v>
      </c>
      <c r="L75" s="87"/>
      <c r="M75" s="14"/>
      <c r="N75" s="14" t="s">
        <v>32</v>
      </c>
      <c r="O75" s="14"/>
      <c r="P75" s="15" t="s">
        <v>193</v>
      </c>
      <c r="Q75" s="16">
        <v>6999</v>
      </c>
      <c r="R75" s="17">
        <v>81.17</v>
      </c>
      <c r="S75" s="18">
        <v>1515.4354999999998</v>
      </c>
      <c r="T75" s="19" t="s">
        <v>34</v>
      </c>
      <c r="U75" s="20" t="s">
        <v>195</v>
      </c>
      <c r="V75" s="21">
        <v>74</v>
      </c>
      <c r="W75" s="21">
        <v>5</v>
      </c>
      <c r="X75" s="22"/>
    </row>
    <row r="76" spans="1:24" s="1" customFormat="1" ht="21" customHeight="1" x14ac:dyDescent="0.3">
      <c r="A76" s="23" t="s">
        <v>23</v>
      </c>
      <c r="B76" s="23" t="s">
        <v>188</v>
      </c>
      <c r="C76" s="28" t="s">
        <v>189</v>
      </c>
      <c r="D76" s="84"/>
      <c r="E76" s="69" t="str">
        <f>HYPERLINK("https://www.google.ru/search?q=MC-CD330-1&amp;newwindow=1&amp;tbm=isch","Еще фото")</f>
        <v>Еще фото</v>
      </c>
      <c r="F76" s="13"/>
      <c r="G76" s="23" t="s">
        <v>190</v>
      </c>
      <c r="H76" s="23" t="s">
        <v>27</v>
      </c>
      <c r="I76" s="23" t="s">
        <v>191</v>
      </c>
      <c r="J76" s="14" t="s">
        <v>29</v>
      </c>
      <c r="K76" s="15" t="s">
        <v>30</v>
      </c>
      <c r="L76" s="87"/>
      <c r="M76" s="14"/>
      <c r="N76" s="14" t="s">
        <v>32</v>
      </c>
      <c r="O76" s="14"/>
      <c r="P76" s="15" t="s">
        <v>193</v>
      </c>
      <c r="Q76" s="16">
        <v>6999</v>
      </c>
      <c r="R76" s="17">
        <v>81.17</v>
      </c>
      <c r="S76" s="18">
        <v>1515.4354999999998</v>
      </c>
      <c r="T76" s="19" t="s">
        <v>34</v>
      </c>
      <c r="U76" s="20" t="s">
        <v>106</v>
      </c>
      <c r="V76" s="21">
        <v>80</v>
      </c>
      <c r="W76" s="21">
        <v>8</v>
      </c>
      <c r="X76" s="22"/>
    </row>
    <row r="77" spans="1:24" s="1" customFormat="1" ht="32.1" customHeight="1" x14ac:dyDescent="0.3">
      <c r="A77" s="23" t="s">
        <v>23</v>
      </c>
      <c r="B77" s="23" t="s">
        <v>188</v>
      </c>
      <c r="C77" s="28" t="s">
        <v>189</v>
      </c>
      <c r="D77" s="85"/>
      <c r="E77" s="69" t="str">
        <f>HYPERLINK("https://www.google.ru/search?q=MC-CD330-1&amp;newwindow=1&amp;tbm=isch","Еще фото")</f>
        <v>Еще фото</v>
      </c>
      <c r="F77" s="13"/>
      <c r="G77" s="23" t="s">
        <v>190</v>
      </c>
      <c r="H77" s="23" t="s">
        <v>27</v>
      </c>
      <c r="I77" s="23" t="s">
        <v>191</v>
      </c>
      <c r="J77" s="14" t="s">
        <v>29</v>
      </c>
      <c r="K77" s="15" t="s">
        <v>30</v>
      </c>
      <c r="L77" s="88"/>
      <c r="M77" s="14"/>
      <c r="N77" s="14" t="s">
        <v>32</v>
      </c>
      <c r="O77" s="14"/>
      <c r="P77" s="15" t="s">
        <v>193</v>
      </c>
      <c r="Q77" s="16">
        <v>6999</v>
      </c>
      <c r="R77" s="17">
        <v>81.17</v>
      </c>
      <c r="S77" s="18">
        <v>1515.4354999999998</v>
      </c>
      <c r="T77" s="19" t="s">
        <v>34</v>
      </c>
      <c r="U77" s="20" t="s">
        <v>196</v>
      </c>
      <c r="V77" s="21">
        <v>86</v>
      </c>
      <c r="W77" s="21">
        <v>8</v>
      </c>
      <c r="X77" s="22"/>
    </row>
    <row r="78" spans="1:24" s="1" customFormat="1" ht="35.1" customHeight="1" x14ac:dyDescent="0.3">
      <c r="A78" s="11" t="s">
        <v>23</v>
      </c>
      <c r="B78" s="11" t="s">
        <v>188</v>
      </c>
      <c r="C78" s="12" t="s">
        <v>197</v>
      </c>
      <c r="D78" s="83"/>
      <c r="E78" s="69" t="str">
        <f>HYPERLINK("https://www.google.ru/search?q=MC-ZC561-1&amp;newwindow=1&amp;tbm=isch","Еще фото")</f>
        <v>Еще фото</v>
      </c>
      <c r="F78" s="13"/>
      <c r="G78" s="11" t="s">
        <v>190</v>
      </c>
      <c r="H78" s="11" t="s">
        <v>27</v>
      </c>
      <c r="I78" s="14" t="s">
        <v>191</v>
      </c>
      <c r="J78" s="14" t="s">
        <v>29</v>
      </c>
      <c r="K78" s="15" t="s">
        <v>30</v>
      </c>
      <c r="L78" s="86" t="s">
        <v>198</v>
      </c>
      <c r="M78" s="14"/>
      <c r="N78" s="14" t="s">
        <v>116</v>
      </c>
      <c r="O78" s="14"/>
      <c r="P78" s="15" t="s">
        <v>76</v>
      </c>
      <c r="Q78" s="16">
        <v>4599</v>
      </c>
      <c r="R78" s="17">
        <v>80.7</v>
      </c>
      <c r="S78" s="29">
        <v>1020.9354999999999</v>
      </c>
      <c r="T78" s="19" t="s">
        <v>34</v>
      </c>
      <c r="U78" s="20" t="s">
        <v>104</v>
      </c>
      <c r="V78" s="21">
        <v>50</v>
      </c>
      <c r="W78" s="21">
        <v>4</v>
      </c>
      <c r="X78" s="22"/>
    </row>
    <row r="79" spans="1:24" s="1" customFormat="1" ht="35.1" customHeight="1" x14ac:dyDescent="0.3">
      <c r="A79" s="23" t="s">
        <v>23</v>
      </c>
      <c r="B79" s="23" t="s">
        <v>188</v>
      </c>
      <c r="C79" s="12" t="s">
        <v>197</v>
      </c>
      <c r="D79" s="84"/>
      <c r="E79" s="69" t="str">
        <f>HYPERLINK("https://www.google.ru/search?q=MC-ZC561-1&amp;newwindow=1&amp;tbm=isch","Еще фото")</f>
        <v>Еще фото</v>
      </c>
      <c r="F79" s="13"/>
      <c r="G79" s="23" t="s">
        <v>190</v>
      </c>
      <c r="H79" s="23" t="s">
        <v>27</v>
      </c>
      <c r="I79" s="23" t="s">
        <v>191</v>
      </c>
      <c r="J79" s="14" t="s">
        <v>29</v>
      </c>
      <c r="K79" s="15" t="s">
        <v>30</v>
      </c>
      <c r="L79" s="87"/>
      <c r="M79" s="14"/>
      <c r="N79" s="14" t="s">
        <v>116</v>
      </c>
      <c r="O79" s="14"/>
      <c r="P79" s="15" t="s">
        <v>76</v>
      </c>
      <c r="Q79" s="16">
        <v>4599</v>
      </c>
      <c r="R79" s="17">
        <v>80.7</v>
      </c>
      <c r="S79" s="29">
        <v>1020.9354999999999</v>
      </c>
      <c r="T79" s="19" t="s">
        <v>34</v>
      </c>
      <c r="U79" s="20" t="s">
        <v>199</v>
      </c>
      <c r="V79" s="21">
        <v>56</v>
      </c>
      <c r="W79" s="21">
        <v>1</v>
      </c>
      <c r="X79" s="22"/>
    </row>
    <row r="80" spans="1:24" s="1" customFormat="1" ht="36.950000000000003" customHeight="1" x14ac:dyDescent="0.3">
      <c r="A80" s="23" t="s">
        <v>23</v>
      </c>
      <c r="B80" s="23" t="s">
        <v>188</v>
      </c>
      <c r="C80" s="12" t="s">
        <v>197</v>
      </c>
      <c r="D80" s="85"/>
      <c r="E80" s="69" t="str">
        <f>HYPERLINK("https://www.google.ru/search?q=MC-ZC561-1&amp;newwindow=1&amp;tbm=isch","Еще фото")</f>
        <v>Еще фото</v>
      </c>
      <c r="F80" s="13"/>
      <c r="G80" s="23" t="s">
        <v>190</v>
      </c>
      <c r="H80" s="23" t="s">
        <v>27</v>
      </c>
      <c r="I80" s="23" t="s">
        <v>191</v>
      </c>
      <c r="J80" s="14" t="s">
        <v>29</v>
      </c>
      <c r="K80" s="15" t="s">
        <v>30</v>
      </c>
      <c r="L80" s="88"/>
      <c r="M80" s="14"/>
      <c r="N80" s="14" t="s">
        <v>116</v>
      </c>
      <c r="O80" s="14"/>
      <c r="P80" s="15" t="s">
        <v>76</v>
      </c>
      <c r="Q80" s="16">
        <v>4599</v>
      </c>
      <c r="R80" s="17">
        <v>80.7</v>
      </c>
      <c r="S80" s="29">
        <v>1020.9354999999999</v>
      </c>
      <c r="T80" s="19" t="s">
        <v>34</v>
      </c>
      <c r="U80" s="20" t="s">
        <v>105</v>
      </c>
      <c r="V80" s="21">
        <v>62</v>
      </c>
      <c r="W80" s="21">
        <v>1</v>
      </c>
      <c r="X80" s="22"/>
    </row>
    <row r="81" spans="1:24" s="1" customFormat="1" ht="21" customHeight="1" x14ac:dyDescent="0.3">
      <c r="A81" s="11" t="s">
        <v>23</v>
      </c>
      <c r="B81" s="11" t="s">
        <v>188</v>
      </c>
      <c r="C81" s="27" t="s">
        <v>200</v>
      </c>
      <c r="D81" s="83"/>
      <c r="E81" s="69" t="str">
        <f>HYPERLINK("https://www.google.ru/search?q=MC-CD365-1&amp;newwindow=1&amp;tbm=isch","Еще фото")</f>
        <v>Еще фото</v>
      </c>
      <c r="F81" s="13"/>
      <c r="G81" s="11" t="s">
        <v>190</v>
      </c>
      <c r="H81" s="11" t="s">
        <v>27</v>
      </c>
      <c r="I81" s="14" t="s">
        <v>191</v>
      </c>
      <c r="J81" s="14" t="s">
        <v>29</v>
      </c>
      <c r="K81" s="15" t="s">
        <v>30</v>
      </c>
      <c r="L81" s="86" t="s">
        <v>201</v>
      </c>
      <c r="M81" s="14"/>
      <c r="N81" s="14" t="s">
        <v>32</v>
      </c>
      <c r="O81" s="14"/>
      <c r="P81" s="15" t="s">
        <v>193</v>
      </c>
      <c r="Q81" s="16">
        <v>6999</v>
      </c>
      <c r="R81" s="17">
        <v>79.739999999999995</v>
      </c>
      <c r="S81" s="18">
        <v>1630.4354999999998</v>
      </c>
      <c r="T81" s="19" t="s">
        <v>34</v>
      </c>
      <c r="U81" s="20" t="s">
        <v>105</v>
      </c>
      <c r="V81" s="21">
        <v>62</v>
      </c>
      <c r="W81" s="21">
        <v>6</v>
      </c>
      <c r="X81" s="22"/>
    </row>
    <row r="82" spans="1:24" s="1" customFormat="1" ht="21" customHeight="1" x14ac:dyDescent="0.3">
      <c r="A82" s="23" t="s">
        <v>23</v>
      </c>
      <c r="B82" s="23" t="s">
        <v>188</v>
      </c>
      <c r="C82" s="28" t="s">
        <v>200</v>
      </c>
      <c r="D82" s="84"/>
      <c r="E82" s="69" t="str">
        <f>HYPERLINK("https://www.google.ru/search?q=MC-CD365-1&amp;newwindow=1&amp;tbm=isch","Еще фото")</f>
        <v>Еще фото</v>
      </c>
      <c r="F82" s="13"/>
      <c r="G82" s="23" t="s">
        <v>190</v>
      </c>
      <c r="H82" s="23" t="s">
        <v>27</v>
      </c>
      <c r="I82" s="23" t="s">
        <v>191</v>
      </c>
      <c r="J82" s="14" t="s">
        <v>29</v>
      </c>
      <c r="K82" s="15" t="s">
        <v>30</v>
      </c>
      <c r="L82" s="87"/>
      <c r="M82" s="14"/>
      <c r="N82" s="14" t="s">
        <v>32</v>
      </c>
      <c r="O82" s="14"/>
      <c r="P82" s="15" t="s">
        <v>193</v>
      </c>
      <c r="Q82" s="16">
        <v>6999</v>
      </c>
      <c r="R82" s="17">
        <v>79.739999999999995</v>
      </c>
      <c r="S82" s="18">
        <v>1630.4354999999998</v>
      </c>
      <c r="T82" s="19" t="s">
        <v>34</v>
      </c>
      <c r="U82" s="20" t="s">
        <v>194</v>
      </c>
      <c r="V82" s="21">
        <v>68</v>
      </c>
      <c r="W82" s="21">
        <v>7</v>
      </c>
      <c r="X82" s="22"/>
    </row>
    <row r="83" spans="1:24" s="1" customFormat="1" ht="21" customHeight="1" x14ac:dyDescent="0.3">
      <c r="A83" s="23" t="s">
        <v>23</v>
      </c>
      <c r="B83" s="23" t="s">
        <v>188</v>
      </c>
      <c r="C83" s="28" t="s">
        <v>200</v>
      </c>
      <c r="D83" s="84"/>
      <c r="E83" s="69" t="str">
        <f>HYPERLINK("https://www.google.ru/search?q=MC-CD365-1&amp;newwindow=1&amp;tbm=isch","Еще фото")</f>
        <v>Еще фото</v>
      </c>
      <c r="F83" s="13"/>
      <c r="G83" s="23" t="s">
        <v>190</v>
      </c>
      <c r="H83" s="23" t="s">
        <v>27</v>
      </c>
      <c r="I83" s="23" t="s">
        <v>191</v>
      </c>
      <c r="J83" s="14" t="s">
        <v>29</v>
      </c>
      <c r="K83" s="15" t="s">
        <v>30</v>
      </c>
      <c r="L83" s="87"/>
      <c r="M83" s="14"/>
      <c r="N83" s="14" t="s">
        <v>32</v>
      </c>
      <c r="O83" s="14"/>
      <c r="P83" s="15" t="s">
        <v>193</v>
      </c>
      <c r="Q83" s="16">
        <v>6999</v>
      </c>
      <c r="R83" s="17">
        <v>79.739999999999995</v>
      </c>
      <c r="S83" s="18">
        <v>1630.4354999999998</v>
      </c>
      <c r="T83" s="19" t="s">
        <v>34</v>
      </c>
      <c r="U83" s="20" t="s">
        <v>195</v>
      </c>
      <c r="V83" s="21">
        <v>74</v>
      </c>
      <c r="W83" s="21">
        <v>7</v>
      </c>
      <c r="X83" s="22"/>
    </row>
    <row r="84" spans="1:24" s="1" customFormat="1" ht="21" customHeight="1" x14ac:dyDescent="0.3">
      <c r="A84" s="23" t="s">
        <v>23</v>
      </c>
      <c r="B84" s="23" t="s">
        <v>188</v>
      </c>
      <c r="C84" s="28" t="s">
        <v>200</v>
      </c>
      <c r="D84" s="84"/>
      <c r="E84" s="69" t="str">
        <f>HYPERLINK("https://www.google.ru/search?q=MC-CD365-1&amp;newwindow=1&amp;tbm=isch","Еще фото")</f>
        <v>Еще фото</v>
      </c>
      <c r="F84" s="13"/>
      <c r="G84" s="23" t="s">
        <v>190</v>
      </c>
      <c r="H84" s="23" t="s">
        <v>27</v>
      </c>
      <c r="I84" s="23" t="s">
        <v>191</v>
      </c>
      <c r="J84" s="14" t="s">
        <v>29</v>
      </c>
      <c r="K84" s="15" t="s">
        <v>30</v>
      </c>
      <c r="L84" s="87"/>
      <c r="M84" s="14"/>
      <c r="N84" s="14" t="s">
        <v>32</v>
      </c>
      <c r="O84" s="14"/>
      <c r="P84" s="15" t="s">
        <v>193</v>
      </c>
      <c r="Q84" s="16">
        <v>6999</v>
      </c>
      <c r="R84" s="17">
        <v>79.739999999999995</v>
      </c>
      <c r="S84" s="18">
        <v>1630.4354999999998</v>
      </c>
      <c r="T84" s="19" t="s">
        <v>34</v>
      </c>
      <c r="U84" s="20" t="s">
        <v>106</v>
      </c>
      <c r="V84" s="21">
        <v>80</v>
      </c>
      <c r="W84" s="21">
        <v>5</v>
      </c>
      <c r="X84" s="22"/>
    </row>
    <row r="85" spans="1:24" s="1" customFormat="1" ht="32.1" customHeight="1" x14ac:dyDescent="0.3">
      <c r="A85" s="23" t="s">
        <v>23</v>
      </c>
      <c r="B85" s="23" t="s">
        <v>188</v>
      </c>
      <c r="C85" s="28" t="s">
        <v>200</v>
      </c>
      <c r="D85" s="85"/>
      <c r="E85" s="69" t="str">
        <f>HYPERLINK("https://www.google.ru/search?q=MC-CD365-1&amp;newwindow=1&amp;tbm=isch","Еще фото")</f>
        <v>Еще фото</v>
      </c>
      <c r="F85" s="13"/>
      <c r="G85" s="23" t="s">
        <v>190</v>
      </c>
      <c r="H85" s="23" t="s">
        <v>27</v>
      </c>
      <c r="I85" s="23" t="s">
        <v>191</v>
      </c>
      <c r="J85" s="14" t="s">
        <v>29</v>
      </c>
      <c r="K85" s="15" t="s">
        <v>30</v>
      </c>
      <c r="L85" s="88"/>
      <c r="M85" s="14"/>
      <c r="N85" s="14" t="s">
        <v>32</v>
      </c>
      <c r="O85" s="14"/>
      <c r="P85" s="15" t="s">
        <v>193</v>
      </c>
      <c r="Q85" s="16">
        <v>6999</v>
      </c>
      <c r="R85" s="17">
        <v>79.739999999999995</v>
      </c>
      <c r="S85" s="18">
        <v>1630.4354999999998</v>
      </c>
      <c r="T85" s="19" t="s">
        <v>34</v>
      </c>
      <c r="U85" s="20" t="s">
        <v>196</v>
      </c>
      <c r="V85" s="21">
        <v>86</v>
      </c>
      <c r="W85" s="21">
        <v>10</v>
      </c>
      <c r="X85" s="22"/>
    </row>
    <row r="86" spans="1:24" s="1" customFormat="1" ht="108" customHeight="1" x14ac:dyDescent="0.3">
      <c r="A86" s="11" t="s">
        <v>23</v>
      </c>
      <c r="B86" s="11" t="s">
        <v>188</v>
      </c>
      <c r="C86" s="12" t="s">
        <v>202</v>
      </c>
      <c r="D86" s="24"/>
      <c r="E86" s="69" t="str">
        <f>HYPERLINK("https://www.google.ru/search?q=MC-ZC358-1&amp;newwindow=1&amp;tbm=isch","Еще фото")</f>
        <v>Еще фото</v>
      </c>
      <c r="F86" s="13"/>
      <c r="G86" s="11" t="s">
        <v>190</v>
      </c>
      <c r="H86" s="11" t="s">
        <v>27</v>
      </c>
      <c r="I86" s="14" t="s">
        <v>191</v>
      </c>
      <c r="J86" s="14" t="s">
        <v>29</v>
      </c>
      <c r="K86" s="15" t="s">
        <v>30</v>
      </c>
      <c r="L86" s="14" t="s">
        <v>203</v>
      </c>
      <c r="M86" s="14"/>
      <c r="N86" s="14" t="s">
        <v>116</v>
      </c>
      <c r="O86" s="14"/>
      <c r="P86" s="15" t="s">
        <v>76</v>
      </c>
      <c r="Q86" s="16">
        <v>7099</v>
      </c>
      <c r="R86" s="17">
        <v>58.62</v>
      </c>
      <c r="S86" s="18">
        <v>3378.4354999999996</v>
      </c>
      <c r="T86" s="19" t="s">
        <v>34</v>
      </c>
      <c r="U86" s="20" t="s">
        <v>199</v>
      </c>
      <c r="V86" s="21">
        <v>56</v>
      </c>
      <c r="W86" s="21">
        <v>5</v>
      </c>
      <c r="X86" s="22"/>
    </row>
    <row r="87" spans="1:24" s="1" customFormat="1" ht="108" customHeight="1" x14ac:dyDescent="0.3">
      <c r="A87" s="11" t="s">
        <v>23</v>
      </c>
      <c r="B87" s="11" t="s">
        <v>204</v>
      </c>
      <c r="C87" s="12" t="s">
        <v>205</v>
      </c>
      <c r="D87" s="24"/>
      <c r="E87" s="69" t="str">
        <f>HYPERLINK("https://www.google.ru/search?q=MC-ZA066-1&amp;newwindow=1&amp;tbm=isch","Еще фото")</f>
        <v>Еще фото</v>
      </c>
      <c r="F87" s="13"/>
      <c r="G87" s="11" t="s">
        <v>190</v>
      </c>
      <c r="H87" s="11" t="s">
        <v>27</v>
      </c>
      <c r="I87" s="14" t="s">
        <v>191</v>
      </c>
      <c r="J87" s="14" t="s">
        <v>29</v>
      </c>
      <c r="K87" s="15" t="s">
        <v>30</v>
      </c>
      <c r="L87" s="14" t="s">
        <v>206</v>
      </c>
      <c r="M87" s="14"/>
      <c r="N87" s="14" t="s">
        <v>32</v>
      </c>
      <c r="O87" s="14"/>
      <c r="P87" s="15" t="s">
        <v>76</v>
      </c>
      <c r="Q87" s="16">
        <v>2659</v>
      </c>
      <c r="R87" s="17">
        <v>58.34</v>
      </c>
      <c r="S87" s="18">
        <v>1273.9354999999998</v>
      </c>
      <c r="T87" s="19" t="s">
        <v>34</v>
      </c>
      <c r="U87" s="20" t="s">
        <v>199</v>
      </c>
      <c r="V87" s="21">
        <v>56</v>
      </c>
      <c r="W87" s="21">
        <v>1</v>
      </c>
      <c r="X87" s="22"/>
    </row>
    <row r="88" spans="1:24" s="1" customFormat="1" ht="51.95" customHeight="1" x14ac:dyDescent="0.3">
      <c r="A88" s="11" t="s">
        <v>23</v>
      </c>
      <c r="B88" s="11" t="s">
        <v>207</v>
      </c>
      <c r="C88" s="12" t="s">
        <v>208</v>
      </c>
      <c r="D88" s="89"/>
      <c r="E88" s="69" t="str">
        <f>HYPERLINK("https://www.google.ru/search?q=MC-CA269&amp;newwindow=1&amp;tbm=isch","Еще фото")</f>
        <v>Еще фото</v>
      </c>
      <c r="F88" s="13"/>
      <c r="G88" s="11" t="s">
        <v>209</v>
      </c>
      <c r="H88" s="11" t="s">
        <v>27</v>
      </c>
      <c r="I88" s="14" t="s">
        <v>191</v>
      </c>
      <c r="J88" s="14" t="s">
        <v>29</v>
      </c>
      <c r="K88" s="15" t="s">
        <v>30</v>
      </c>
      <c r="L88" s="86"/>
      <c r="M88" s="14"/>
      <c r="N88" s="14" t="s">
        <v>70</v>
      </c>
      <c r="O88" s="14"/>
      <c r="P88" s="15" t="s">
        <v>141</v>
      </c>
      <c r="Q88" s="16">
        <v>7299</v>
      </c>
      <c r="R88" s="17">
        <v>45</v>
      </c>
      <c r="S88" s="18">
        <v>4616.6174999999994</v>
      </c>
      <c r="T88" s="19" t="s">
        <v>34</v>
      </c>
      <c r="U88" s="20" t="s">
        <v>78</v>
      </c>
      <c r="V88" s="21">
        <v>98</v>
      </c>
      <c r="W88" s="21">
        <v>1</v>
      </c>
      <c r="X88" s="22"/>
    </row>
    <row r="89" spans="1:24" s="1" customFormat="1" ht="60.95" customHeight="1" x14ac:dyDescent="0.3">
      <c r="A89" s="23" t="s">
        <v>23</v>
      </c>
      <c r="B89" s="23" t="s">
        <v>207</v>
      </c>
      <c r="C89" s="12" t="s">
        <v>208</v>
      </c>
      <c r="D89" s="90"/>
      <c r="E89" s="69" t="str">
        <f>HYPERLINK("https://www.google.ru/search?q=MC-CA269&amp;newwindow=1&amp;tbm=isch","Еще фото")</f>
        <v>Еще фото</v>
      </c>
      <c r="F89" s="13"/>
      <c r="G89" s="23" t="s">
        <v>209</v>
      </c>
      <c r="H89" s="23" t="s">
        <v>27</v>
      </c>
      <c r="I89" s="23" t="s">
        <v>191</v>
      </c>
      <c r="J89" s="14" t="s">
        <v>29</v>
      </c>
      <c r="K89" s="15" t="s">
        <v>30</v>
      </c>
      <c r="L89" s="88"/>
      <c r="M89" s="14"/>
      <c r="N89" s="14" t="s">
        <v>70</v>
      </c>
      <c r="O89" s="14"/>
      <c r="P89" s="15" t="s">
        <v>141</v>
      </c>
      <c r="Q89" s="16">
        <v>7299</v>
      </c>
      <c r="R89" s="17">
        <v>45</v>
      </c>
      <c r="S89" s="18">
        <v>4616.6174999999994</v>
      </c>
      <c r="T89" s="19" t="s">
        <v>34</v>
      </c>
      <c r="U89" s="20" t="s">
        <v>35</v>
      </c>
      <c r="V89" s="21">
        <v>116</v>
      </c>
      <c r="W89" s="21">
        <v>3</v>
      </c>
      <c r="X89" s="22"/>
    </row>
    <row r="90" spans="1:24" s="1" customFormat="1" ht="108" customHeight="1" x14ac:dyDescent="0.3">
      <c r="A90" s="11" t="s">
        <v>23</v>
      </c>
      <c r="B90" s="11" t="s">
        <v>210</v>
      </c>
      <c r="C90" s="12" t="s">
        <v>211</v>
      </c>
      <c r="D90" s="24"/>
      <c r="E90" s="69" t="str">
        <f>HYPERLINK("https://www.google.ru/search?q=MC-CB240-1&amp;newwindow=1&amp;tbm=isch","Еще фото")</f>
        <v>Еще фото</v>
      </c>
      <c r="F90" s="13"/>
      <c r="G90" s="11" t="s">
        <v>212</v>
      </c>
      <c r="H90" s="11" t="s">
        <v>27</v>
      </c>
      <c r="I90" s="14" t="s">
        <v>191</v>
      </c>
      <c r="J90" s="14" t="s">
        <v>29</v>
      </c>
      <c r="K90" s="15" t="s">
        <v>30</v>
      </c>
      <c r="L90" s="14"/>
      <c r="M90" s="14" t="s">
        <v>73</v>
      </c>
      <c r="N90" s="14" t="s">
        <v>32</v>
      </c>
      <c r="O90" s="14"/>
      <c r="P90" s="15" t="s">
        <v>74</v>
      </c>
      <c r="Q90" s="16">
        <v>5399</v>
      </c>
      <c r="R90" s="17">
        <v>45</v>
      </c>
      <c r="S90" s="18">
        <v>3414.8674999999994</v>
      </c>
      <c r="T90" s="19" t="s">
        <v>34</v>
      </c>
      <c r="U90" s="20" t="s">
        <v>104</v>
      </c>
      <c r="V90" s="21">
        <v>50</v>
      </c>
      <c r="W90" s="21">
        <v>2</v>
      </c>
      <c r="X90" s="22"/>
    </row>
    <row r="91" spans="1:24" s="1" customFormat="1" ht="108" customHeight="1" x14ac:dyDescent="0.3">
      <c r="A91" s="11" t="s">
        <v>23</v>
      </c>
      <c r="B91" s="11" t="s">
        <v>213</v>
      </c>
      <c r="C91" s="12" t="s">
        <v>214</v>
      </c>
      <c r="D91" s="24"/>
      <c r="E91" s="69" t="str">
        <f>HYPERLINK("https://www.google.ru/search?q=MC-CB242-1&amp;newwindow=1&amp;tbm=isch","Еще фото")</f>
        <v>Еще фото</v>
      </c>
      <c r="F91" s="13"/>
      <c r="G91" s="11" t="s">
        <v>212</v>
      </c>
      <c r="H91" s="11" t="s">
        <v>27</v>
      </c>
      <c r="I91" s="14" t="s">
        <v>191</v>
      </c>
      <c r="J91" s="14" t="s">
        <v>29</v>
      </c>
      <c r="K91" s="15" t="s">
        <v>30</v>
      </c>
      <c r="L91" s="14"/>
      <c r="M91" s="14"/>
      <c r="N91" s="14" t="s">
        <v>32</v>
      </c>
      <c r="O91" s="14"/>
      <c r="P91" s="15" t="s">
        <v>74</v>
      </c>
      <c r="Q91" s="16">
        <v>5799</v>
      </c>
      <c r="R91" s="17">
        <v>45</v>
      </c>
      <c r="S91" s="18">
        <v>3667.8674999999994</v>
      </c>
      <c r="T91" s="19" t="s">
        <v>34</v>
      </c>
      <c r="U91" s="20" t="s">
        <v>104</v>
      </c>
      <c r="V91" s="21">
        <v>50</v>
      </c>
      <c r="W91" s="21">
        <v>6</v>
      </c>
      <c r="X91" s="22"/>
    </row>
    <row r="92" spans="1:24" s="1" customFormat="1" ht="108" customHeight="1" x14ac:dyDescent="0.3">
      <c r="A92" s="11" t="s">
        <v>23</v>
      </c>
      <c r="B92" s="11" t="s">
        <v>210</v>
      </c>
      <c r="C92" s="12" t="s">
        <v>215</v>
      </c>
      <c r="D92" s="24"/>
      <c r="E92" s="69" t="str">
        <f>HYPERLINK("https://www.google.ru/search?q=MC-CB257-1&amp;newwindow=1&amp;tbm=isch","Еще фото")</f>
        <v>Еще фото</v>
      </c>
      <c r="F92" s="13"/>
      <c r="G92" s="11" t="s">
        <v>212</v>
      </c>
      <c r="H92" s="11" t="s">
        <v>27</v>
      </c>
      <c r="I92" s="14" t="s">
        <v>191</v>
      </c>
      <c r="J92" s="14" t="s">
        <v>29</v>
      </c>
      <c r="K92" s="15" t="s">
        <v>30</v>
      </c>
      <c r="L92" s="14" t="s">
        <v>216</v>
      </c>
      <c r="M92" s="14"/>
      <c r="N92" s="14" t="s">
        <v>32</v>
      </c>
      <c r="O92" s="14"/>
      <c r="P92" s="15" t="s">
        <v>76</v>
      </c>
      <c r="Q92" s="16">
        <v>5299</v>
      </c>
      <c r="R92" s="17">
        <v>45</v>
      </c>
      <c r="S92" s="18">
        <v>3351.6174999999994</v>
      </c>
      <c r="T92" s="19" t="s">
        <v>34</v>
      </c>
      <c r="U92" s="20" t="s">
        <v>104</v>
      </c>
      <c r="V92" s="21">
        <v>50</v>
      </c>
      <c r="W92" s="21">
        <v>5</v>
      </c>
      <c r="X92" s="22"/>
    </row>
    <row r="93" spans="1:24" s="1" customFormat="1" ht="108" customHeight="1" x14ac:dyDescent="0.3">
      <c r="A93" s="11" t="s">
        <v>23</v>
      </c>
      <c r="B93" s="11" t="s">
        <v>213</v>
      </c>
      <c r="C93" s="12" t="s">
        <v>217</v>
      </c>
      <c r="D93" s="24"/>
      <c r="E93" s="69" t="str">
        <f>HYPERLINK("https://www.google.ru/search?q=MC-CB303-1&amp;newwindow=1&amp;tbm=isch","Еще фото")</f>
        <v>Еще фото</v>
      </c>
      <c r="F93" s="13"/>
      <c r="G93" s="11" t="s">
        <v>212</v>
      </c>
      <c r="H93" s="11" t="s">
        <v>27</v>
      </c>
      <c r="I93" s="14" t="s">
        <v>191</v>
      </c>
      <c r="J93" s="14" t="s">
        <v>29</v>
      </c>
      <c r="K93" s="15" t="s">
        <v>30</v>
      </c>
      <c r="L93" s="14"/>
      <c r="M93" s="14"/>
      <c r="N93" s="14" t="s">
        <v>32</v>
      </c>
      <c r="O93" s="14"/>
      <c r="P93" s="15" t="s">
        <v>74</v>
      </c>
      <c r="Q93" s="16">
        <v>6699</v>
      </c>
      <c r="R93" s="17">
        <v>45</v>
      </c>
      <c r="S93" s="18">
        <v>4237.1174999999994</v>
      </c>
      <c r="T93" s="19" t="s">
        <v>34</v>
      </c>
      <c r="U93" s="20" t="s">
        <v>104</v>
      </c>
      <c r="V93" s="21">
        <v>50</v>
      </c>
      <c r="W93" s="21">
        <v>3</v>
      </c>
      <c r="X93" s="22"/>
    </row>
    <row r="94" spans="1:24" s="1" customFormat="1" ht="108" customHeight="1" x14ac:dyDescent="0.3">
      <c r="A94" s="11" t="s">
        <v>23</v>
      </c>
      <c r="B94" s="11" t="s">
        <v>210</v>
      </c>
      <c r="C94" s="12" t="s">
        <v>218</v>
      </c>
      <c r="D94" s="24"/>
      <c r="E94" s="69" t="str">
        <f>HYPERLINK("https://www.google.ru/search?q=MC-CB306-1&amp;newwindow=1&amp;tbm=isch","Еще фото")</f>
        <v>Еще фото</v>
      </c>
      <c r="F94" s="13"/>
      <c r="G94" s="11" t="s">
        <v>212</v>
      </c>
      <c r="H94" s="11" t="s">
        <v>27</v>
      </c>
      <c r="I94" s="14" t="s">
        <v>191</v>
      </c>
      <c r="J94" s="14" t="s">
        <v>29</v>
      </c>
      <c r="K94" s="15" t="s">
        <v>30</v>
      </c>
      <c r="L94" s="14" t="s">
        <v>219</v>
      </c>
      <c r="M94" s="14"/>
      <c r="N94" s="14" t="s">
        <v>32</v>
      </c>
      <c r="O94" s="14"/>
      <c r="P94" s="15" t="s">
        <v>76</v>
      </c>
      <c r="Q94" s="16">
        <v>5299</v>
      </c>
      <c r="R94" s="17">
        <v>45</v>
      </c>
      <c r="S94" s="18">
        <v>3351.6174999999994</v>
      </c>
      <c r="T94" s="19" t="s">
        <v>34</v>
      </c>
      <c r="U94" s="20" t="s">
        <v>104</v>
      </c>
      <c r="V94" s="21">
        <v>50</v>
      </c>
      <c r="W94" s="21">
        <v>5</v>
      </c>
      <c r="X94" s="22"/>
    </row>
    <row r="95" spans="1:24" s="1" customFormat="1" ht="108" customHeight="1" x14ac:dyDescent="0.3">
      <c r="A95" s="11" t="s">
        <v>23</v>
      </c>
      <c r="B95" s="11" t="s">
        <v>213</v>
      </c>
      <c r="C95" s="12" t="s">
        <v>220</v>
      </c>
      <c r="D95" s="24"/>
      <c r="E95" s="69" t="str">
        <f>HYPERLINK("https://www.google.ru/search?q=MC-CB308-1&amp;newwindow=1&amp;tbm=isch","Еще фото")</f>
        <v>Еще фото</v>
      </c>
      <c r="F95" s="13"/>
      <c r="G95" s="11" t="s">
        <v>212</v>
      </c>
      <c r="H95" s="11" t="s">
        <v>27</v>
      </c>
      <c r="I95" s="14" t="s">
        <v>191</v>
      </c>
      <c r="J95" s="14" t="s">
        <v>29</v>
      </c>
      <c r="K95" s="15" t="s">
        <v>30</v>
      </c>
      <c r="L95" s="14"/>
      <c r="M95" s="14"/>
      <c r="N95" s="14" t="s">
        <v>32</v>
      </c>
      <c r="O95" s="14"/>
      <c r="P95" s="15" t="s">
        <v>74</v>
      </c>
      <c r="Q95" s="16">
        <v>5799</v>
      </c>
      <c r="R95" s="17">
        <v>45</v>
      </c>
      <c r="S95" s="18">
        <v>3667.8674999999994</v>
      </c>
      <c r="T95" s="19" t="s">
        <v>34</v>
      </c>
      <c r="U95" s="20" t="s">
        <v>104</v>
      </c>
      <c r="V95" s="21">
        <v>50</v>
      </c>
      <c r="W95" s="21">
        <v>3</v>
      </c>
      <c r="X95" s="22"/>
    </row>
    <row r="96" spans="1:24" s="1" customFormat="1" ht="108" customHeight="1" x14ac:dyDescent="0.3">
      <c r="A96" s="11" t="s">
        <v>23</v>
      </c>
      <c r="B96" s="11" t="s">
        <v>213</v>
      </c>
      <c r="C96" s="12" t="s">
        <v>221</v>
      </c>
      <c r="D96" s="24"/>
      <c r="E96" s="69" t="str">
        <f>HYPERLINK("https://www.google.ru/search?q=MC-CB347-1&amp;newwindow=1&amp;tbm=isch","Еще фото")</f>
        <v>Еще фото</v>
      </c>
      <c r="F96" s="13"/>
      <c r="G96" s="11" t="s">
        <v>212</v>
      </c>
      <c r="H96" s="11" t="s">
        <v>27</v>
      </c>
      <c r="I96" s="14" t="s">
        <v>191</v>
      </c>
      <c r="J96" s="14" t="s">
        <v>29</v>
      </c>
      <c r="K96" s="15" t="s">
        <v>30</v>
      </c>
      <c r="L96" s="14"/>
      <c r="M96" s="14"/>
      <c r="N96" s="14" t="s">
        <v>32</v>
      </c>
      <c r="O96" s="14"/>
      <c r="P96" s="15" t="s">
        <v>74</v>
      </c>
      <c r="Q96" s="16">
        <v>6099</v>
      </c>
      <c r="R96" s="17">
        <v>45</v>
      </c>
      <c r="S96" s="18">
        <v>3857.6174999999994</v>
      </c>
      <c r="T96" s="19" t="s">
        <v>34</v>
      </c>
      <c r="U96" s="20" t="s">
        <v>104</v>
      </c>
      <c r="V96" s="21">
        <v>50</v>
      </c>
      <c r="W96" s="21">
        <v>3</v>
      </c>
      <c r="X96" s="22"/>
    </row>
    <row r="97" spans="1:24" s="1" customFormat="1" ht="108" customHeight="1" x14ac:dyDescent="0.3">
      <c r="A97" s="11" t="s">
        <v>23</v>
      </c>
      <c r="B97" s="11" t="s">
        <v>213</v>
      </c>
      <c r="C97" s="12" t="s">
        <v>222</v>
      </c>
      <c r="D97" s="24"/>
      <c r="E97" s="69" t="str">
        <f>HYPERLINK("https://www.google.ru/search?q=MC-CB371-1&amp;newwindow=1&amp;tbm=isch","Еще фото")</f>
        <v>Еще фото</v>
      </c>
      <c r="F97" s="13"/>
      <c r="G97" s="11" t="s">
        <v>212</v>
      </c>
      <c r="H97" s="11" t="s">
        <v>27</v>
      </c>
      <c r="I97" s="14" t="s">
        <v>191</v>
      </c>
      <c r="J97" s="14" t="s">
        <v>29</v>
      </c>
      <c r="K97" s="15" t="s">
        <v>30</v>
      </c>
      <c r="L97" s="14"/>
      <c r="M97" s="14"/>
      <c r="N97" s="14" t="s">
        <v>32</v>
      </c>
      <c r="O97" s="14"/>
      <c r="P97" s="15" t="s">
        <v>74</v>
      </c>
      <c r="Q97" s="16">
        <v>6099</v>
      </c>
      <c r="R97" s="17">
        <v>45</v>
      </c>
      <c r="S97" s="18">
        <v>3857.6174999999994</v>
      </c>
      <c r="T97" s="19" t="s">
        <v>34</v>
      </c>
      <c r="U97" s="20" t="s">
        <v>104</v>
      </c>
      <c r="V97" s="21">
        <v>50</v>
      </c>
      <c r="W97" s="21">
        <v>3</v>
      </c>
      <c r="X97" s="22"/>
    </row>
    <row r="98" spans="1:24" s="1" customFormat="1" ht="108" customHeight="1" x14ac:dyDescent="0.3">
      <c r="A98" s="11" t="s">
        <v>23</v>
      </c>
      <c r="B98" s="11" t="s">
        <v>204</v>
      </c>
      <c r="C98" s="12" t="s">
        <v>223</v>
      </c>
      <c r="D98" s="24"/>
      <c r="E98" s="69" t="str">
        <f>HYPERLINK("https://www.google.ru/search?q=MC-CB375-1&amp;newwindow=1&amp;tbm=isch","Еще фото")</f>
        <v>Еще фото</v>
      </c>
      <c r="F98" s="13"/>
      <c r="G98" s="11" t="s">
        <v>190</v>
      </c>
      <c r="H98" s="11" t="s">
        <v>27</v>
      </c>
      <c r="I98" s="14" t="s">
        <v>191</v>
      </c>
      <c r="J98" s="14" t="s">
        <v>29</v>
      </c>
      <c r="K98" s="15" t="s">
        <v>30</v>
      </c>
      <c r="L98" s="14" t="s">
        <v>224</v>
      </c>
      <c r="M98" s="14"/>
      <c r="N98" s="14" t="s">
        <v>49</v>
      </c>
      <c r="O98" s="14"/>
      <c r="P98" s="15" t="s">
        <v>76</v>
      </c>
      <c r="Q98" s="16">
        <v>1499</v>
      </c>
      <c r="R98" s="17">
        <v>45</v>
      </c>
      <c r="S98" s="29">
        <v>948.11749999999995</v>
      </c>
      <c r="T98" s="19" t="s">
        <v>34</v>
      </c>
      <c r="U98" s="20" t="s">
        <v>104</v>
      </c>
      <c r="V98" s="21">
        <v>50</v>
      </c>
      <c r="W98" s="21">
        <v>1</v>
      </c>
      <c r="X98" s="22"/>
    </row>
    <row r="99" spans="1:24" s="1" customFormat="1" ht="51.95" customHeight="1" x14ac:dyDescent="0.3">
      <c r="A99" s="11" t="s">
        <v>23</v>
      </c>
      <c r="B99" s="11" t="s">
        <v>225</v>
      </c>
      <c r="C99" s="12" t="s">
        <v>226</v>
      </c>
      <c r="D99" s="89"/>
      <c r="E99" s="69" t="str">
        <f>HYPERLINK("https://www.google.ru/search?q=MC-CB629-1&amp;newwindow=1&amp;tbm=isch","Еще фото")</f>
        <v>Еще фото</v>
      </c>
      <c r="F99" s="13"/>
      <c r="G99" s="11" t="s">
        <v>227</v>
      </c>
      <c r="H99" s="11" t="s">
        <v>27</v>
      </c>
      <c r="I99" s="14" t="s">
        <v>191</v>
      </c>
      <c r="J99" s="14" t="s">
        <v>29</v>
      </c>
      <c r="K99" s="15" t="s">
        <v>30</v>
      </c>
      <c r="L99" s="86"/>
      <c r="M99" s="14"/>
      <c r="N99" s="14" t="s">
        <v>32</v>
      </c>
      <c r="O99" s="14"/>
      <c r="P99" s="15" t="s">
        <v>74</v>
      </c>
      <c r="Q99" s="16">
        <v>6699</v>
      </c>
      <c r="R99" s="17">
        <v>45</v>
      </c>
      <c r="S99" s="18">
        <v>4237.1174999999994</v>
      </c>
      <c r="T99" s="19" t="s">
        <v>34</v>
      </c>
      <c r="U99" s="20" t="s">
        <v>106</v>
      </c>
      <c r="V99" s="21">
        <v>80</v>
      </c>
      <c r="W99" s="21">
        <v>1</v>
      </c>
      <c r="X99" s="22"/>
    </row>
    <row r="100" spans="1:24" s="1" customFormat="1" ht="60.95" customHeight="1" x14ac:dyDescent="0.3">
      <c r="A100" s="23" t="s">
        <v>23</v>
      </c>
      <c r="B100" s="23" t="s">
        <v>225</v>
      </c>
      <c r="C100" s="12" t="s">
        <v>226</v>
      </c>
      <c r="D100" s="90"/>
      <c r="E100" s="69" t="str">
        <f>HYPERLINK("https://www.google.ru/search?q=MC-CB629-1&amp;newwindow=1&amp;tbm=isch","Еще фото")</f>
        <v>Еще фото</v>
      </c>
      <c r="F100" s="13"/>
      <c r="G100" s="23" t="s">
        <v>227</v>
      </c>
      <c r="H100" s="23" t="s">
        <v>27</v>
      </c>
      <c r="I100" s="23" t="s">
        <v>191</v>
      </c>
      <c r="J100" s="14" t="s">
        <v>29</v>
      </c>
      <c r="K100" s="15" t="s">
        <v>30</v>
      </c>
      <c r="L100" s="88"/>
      <c r="M100" s="14"/>
      <c r="N100" s="14" t="s">
        <v>32</v>
      </c>
      <c r="O100" s="14"/>
      <c r="P100" s="15" t="s">
        <v>74</v>
      </c>
      <c r="Q100" s="16">
        <v>6699</v>
      </c>
      <c r="R100" s="17">
        <v>45</v>
      </c>
      <c r="S100" s="18">
        <v>4237.1174999999994</v>
      </c>
      <c r="T100" s="19" t="s">
        <v>34</v>
      </c>
      <c r="U100" s="20" t="s">
        <v>196</v>
      </c>
      <c r="V100" s="21">
        <v>86</v>
      </c>
      <c r="W100" s="21">
        <v>1</v>
      </c>
      <c r="X100" s="22"/>
    </row>
    <row r="101" spans="1:24" s="1" customFormat="1" ht="51.95" customHeight="1" x14ac:dyDescent="0.3">
      <c r="A101" s="11" t="s">
        <v>23</v>
      </c>
      <c r="B101" s="11" t="s">
        <v>225</v>
      </c>
      <c r="C101" s="12" t="s">
        <v>228</v>
      </c>
      <c r="D101" s="89"/>
      <c r="E101" s="69" t="str">
        <f>HYPERLINK("https://www.google.ru/search?q=MC-CB825-1&amp;newwindow=1&amp;tbm=isch","Еще фото")</f>
        <v>Еще фото</v>
      </c>
      <c r="F101" s="13"/>
      <c r="G101" s="11" t="s">
        <v>227</v>
      </c>
      <c r="H101" s="11" t="s">
        <v>27</v>
      </c>
      <c r="I101" s="14" t="s">
        <v>191</v>
      </c>
      <c r="J101" s="14" t="s">
        <v>29</v>
      </c>
      <c r="K101" s="15" t="s">
        <v>30</v>
      </c>
      <c r="L101" s="86"/>
      <c r="M101" s="14"/>
      <c r="N101" s="14" t="s">
        <v>154</v>
      </c>
      <c r="O101" s="14"/>
      <c r="P101" s="15" t="s">
        <v>74</v>
      </c>
      <c r="Q101" s="16">
        <v>6599</v>
      </c>
      <c r="R101" s="17">
        <v>45</v>
      </c>
      <c r="S101" s="18">
        <v>4173.8674999999994</v>
      </c>
      <c r="T101" s="19" t="s">
        <v>34</v>
      </c>
      <c r="U101" s="20" t="s">
        <v>105</v>
      </c>
      <c r="V101" s="21">
        <v>62</v>
      </c>
      <c r="W101" s="21">
        <v>2</v>
      </c>
      <c r="X101" s="22"/>
    </row>
    <row r="102" spans="1:24" s="1" customFormat="1" ht="60.95" customHeight="1" x14ac:dyDescent="0.3">
      <c r="A102" s="23" t="s">
        <v>23</v>
      </c>
      <c r="B102" s="23" t="s">
        <v>225</v>
      </c>
      <c r="C102" s="12" t="s">
        <v>228</v>
      </c>
      <c r="D102" s="90"/>
      <c r="E102" s="69" t="str">
        <f>HYPERLINK("https://www.google.ru/search?q=MC-CB825-1&amp;newwindow=1&amp;tbm=isch","Еще фото")</f>
        <v>Еще фото</v>
      </c>
      <c r="F102" s="13"/>
      <c r="G102" s="23" t="s">
        <v>227</v>
      </c>
      <c r="H102" s="23" t="s">
        <v>27</v>
      </c>
      <c r="I102" s="23" t="s">
        <v>191</v>
      </c>
      <c r="J102" s="14" t="s">
        <v>29</v>
      </c>
      <c r="K102" s="15" t="s">
        <v>30</v>
      </c>
      <c r="L102" s="88"/>
      <c r="M102" s="14"/>
      <c r="N102" s="14" t="s">
        <v>154</v>
      </c>
      <c r="O102" s="14"/>
      <c r="P102" s="15" t="s">
        <v>74</v>
      </c>
      <c r="Q102" s="16">
        <v>6599</v>
      </c>
      <c r="R102" s="17">
        <v>45</v>
      </c>
      <c r="S102" s="18">
        <v>4173.8674999999994</v>
      </c>
      <c r="T102" s="19" t="s">
        <v>34</v>
      </c>
      <c r="U102" s="20" t="s">
        <v>195</v>
      </c>
      <c r="V102" s="21">
        <v>74</v>
      </c>
      <c r="W102" s="21">
        <v>1</v>
      </c>
      <c r="X102" s="22"/>
    </row>
    <row r="103" spans="1:24" s="1" customFormat="1" ht="108" customHeight="1" x14ac:dyDescent="0.3">
      <c r="A103" s="11" t="s">
        <v>23</v>
      </c>
      <c r="B103" s="11" t="s">
        <v>213</v>
      </c>
      <c r="C103" s="12" t="s">
        <v>229</v>
      </c>
      <c r="D103" s="24"/>
      <c r="E103" s="69" t="str">
        <f>HYPERLINK("https://www.google.ru/search?q=MC-CD327-1&amp;newwindow=1&amp;tbm=isch","Еще фото")</f>
        <v>Еще фото</v>
      </c>
      <c r="F103" s="13"/>
      <c r="G103" s="11" t="s">
        <v>212</v>
      </c>
      <c r="H103" s="11" t="s">
        <v>27</v>
      </c>
      <c r="I103" s="14" t="s">
        <v>191</v>
      </c>
      <c r="J103" s="14" t="s">
        <v>29</v>
      </c>
      <c r="K103" s="15" t="s">
        <v>30</v>
      </c>
      <c r="L103" s="14"/>
      <c r="M103" s="14"/>
      <c r="N103" s="14" t="s">
        <v>32</v>
      </c>
      <c r="O103" s="14"/>
      <c r="P103" s="15" t="s">
        <v>74</v>
      </c>
      <c r="Q103" s="16">
        <v>5799</v>
      </c>
      <c r="R103" s="17">
        <v>45</v>
      </c>
      <c r="S103" s="18">
        <v>3667.8674999999994</v>
      </c>
      <c r="T103" s="19" t="s">
        <v>34</v>
      </c>
      <c r="U103" s="20" t="s">
        <v>104</v>
      </c>
      <c r="V103" s="21">
        <v>50</v>
      </c>
      <c r="W103" s="21">
        <v>2</v>
      </c>
      <c r="X103" s="22"/>
    </row>
    <row r="104" spans="1:24" s="1" customFormat="1" ht="108" customHeight="1" x14ac:dyDescent="0.3">
      <c r="A104" s="11" t="s">
        <v>23</v>
      </c>
      <c r="B104" s="11" t="s">
        <v>230</v>
      </c>
      <c r="C104" s="12" t="s">
        <v>231</v>
      </c>
      <c r="D104" s="24"/>
      <c r="E104" s="69" t="str">
        <f>HYPERLINK("https://www.google.ru/search?q=MC-CD362-1&amp;newwindow=1&amp;tbm=isch","Еще фото")</f>
        <v>Еще фото</v>
      </c>
      <c r="F104" s="13"/>
      <c r="G104" s="11" t="s">
        <v>212</v>
      </c>
      <c r="H104" s="11" t="s">
        <v>27</v>
      </c>
      <c r="I104" s="14" t="s">
        <v>191</v>
      </c>
      <c r="J104" s="14" t="s">
        <v>29</v>
      </c>
      <c r="K104" s="15" t="s">
        <v>30</v>
      </c>
      <c r="L104" s="14" t="s">
        <v>232</v>
      </c>
      <c r="M104" s="14" t="s">
        <v>73</v>
      </c>
      <c r="N104" s="14" t="s">
        <v>233</v>
      </c>
      <c r="O104" s="14"/>
      <c r="P104" s="15" t="s">
        <v>76</v>
      </c>
      <c r="Q104" s="16">
        <v>5399</v>
      </c>
      <c r="R104" s="17">
        <v>45</v>
      </c>
      <c r="S104" s="18">
        <v>3414.8674999999994</v>
      </c>
      <c r="T104" s="19" t="s">
        <v>34</v>
      </c>
      <c r="U104" s="20" t="s">
        <v>104</v>
      </c>
      <c r="V104" s="21">
        <v>50</v>
      </c>
      <c r="W104" s="21">
        <v>3</v>
      </c>
      <c r="X104" s="22"/>
    </row>
    <row r="105" spans="1:24" s="1" customFormat="1" ht="108" customHeight="1" x14ac:dyDescent="0.3">
      <c r="A105" s="11" t="s">
        <v>23</v>
      </c>
      <c r="B105" s="11" t="s">
        <v>188</v>
      </c>
      <c r="C105" s="12" t="s">
        <v>234</v>
      </c>
      <c r="D105" s="24"/>
      <c r="E105" s="69" t="str">
        <f>HYPERLINK("https://www.google.ru/search?q=MC-WE139&amp;newwindow=1&amp;tbm=isch","Еще фото")</f>
        <v>Еще фото</v>
      </c>
      <c r="F105" s="13"/>
      <c r="G105" s="11" t="s">
        <v>235</v>
      </c>
      <c r="H105" s="11" t="s">
        <v>27</v>
      </c>
      <c r="I105" s="14" t="s">
        <v>191</v>
      </c>
      <c r="J105" s="14" t="s">
        <v>138</v>
      </c>
      <c r="K105" s="15" t="s">
        <v>30</v>
      </c>
      <c r="L105" s="14" t="s">
        <v>236</v>
      </c>
      <c r="M105" s="14" t="s">
        <v>73</v>
      </c>
      <c r="N105" s="14" t="s">
        <v>70</v>
      </c>
      <c r="O105" s="14"/>
      <c r="P105" s="15" t="s">
        <v>237</v>
      </c>
      <c r="Q105" s="16">
        <v>7299</v>
      </c>
      <c r="R105" s="17">
        <v>45</v>
      </c>
      <c r="S105" s="18">
        <v>4616.6174999999994</v>
      </c>
      <c r="T105" s="19" t="s">
        <v>34</v>
      </c>
      <c r="U105" s="20" t="s">
        <v>35</v>
      </c>
      <c r="V105" s="21">
        <v>116</v>
      </c>
      <c r="W105" s="21">
        <v>1</v>
      </c>
      <c r="X105" s="22"/>
    </row>
    <row r="106" spans="1:24" s="1" customFormat="1" ht="108" customHeight="1" x14ac:dyDescent="0.3">
      <c r="A106" s="11" t="s">
        <v>23</v>
      </c>
      <c r="B106" s="11" t="s">
        <v>207</v>
      </c>
      <c r="C106" s="12" t="s">
        <v>238</v>
      </c>
      <c r="D106" s="24"/>
      <c r="E106" s="69" t="str">
        <f>HYPERLINK("https://www.google.ru/search?q=MC-WE139-1&amp;newwindow=1&amp;tbm=isch","Еще фото")</f>
        <v>Еще фото</v>
      </c>
      <c r="F106" s="13"/>
      <c r="G106" s="11" t="s">
        <v>209</v>
      </c>
      <c r="H106" s="11" t="s">
        <v>27</v>
      </c>
      <c r="I106" s="14" t="s">
        <v>191</v>
      </c>
      <c r="J106" s="14" t="s">
        <v>29</v>
      </c>
      <c r="K106" s="15" t="s">
        <v>30</v>
      </c>
      <c r="L106" s="14"/>
      <c r="M106" s="14"/>
      <c r="N106" s="14" t="s">
        <v>32</v>
      </c>
      <c r="O106" s="14"/>
      <c r="P106" s="15" t="s">
        <v>145</v>
      </c>
      <c r="Q106" s="16">
        <v>7299</v>
      </c>
      <c r="R106" s="17">
        <v>45</v>
      </c>
      <c r="S106" s="18">
        <v>4616.6174999999994</v>
      </c>
      <c r="T106" s="19" t="s">
        <v>34</v>
      </c>
      <c r="U106" s="20" t="s">
        <v>106</v>
      </c>
      <c r="V106" s="21">
        <v>80</v>
      </c>
      <c r="W106" s="21">
        <v>1</v>
      </c>
      <c r="X106" s="22"/>
    </row>
    <row r="107" spans="1:24" s="1" customFormat="1" ht="108" customHeight="1" x14ac:dyDescent="0.3">
      <c r="A107" s="11" t="s">
        <v>23</v>
      </c>
      <c r="B107" s="11" t="s">
        <v>210</v>
      </c>
      <c r="C107" s="12" t="s">
        <v>239</v>
      </c>
      <c r="D107" s="24"/>
      <c r="E107" s="69" t="str">
        <f>HYPERLINK("https://www.google.ru/search?q=MC-YA059-1&amp;newwindow=1&amp;tbm=isch","Еще фото")</f>
        <v>Еще фото</v>
      </c>
      <c r="F107" s="13"/>
      <c r="G107" s="11" t="s">
        <v>212</v>
      </c>
      <c r="H107" s="11" t="s">
        <v>27</v>
      </c>
      <c r="I107" s="14" t="s">
        <v>191</v>
      </c>
      <c r="J107" s="14" t="s">
        <v>29</v>
      </c>
      <c r="K107" s="15" t="s">
        <v>30</v>
      </c>
      <c r="L107" s="14"/>
      <c r="M107" s="14" t="s">
        <v>73</v>
      </c>
      <c r="N107" s="14" t="s">
        <v>32</v>
      </c>
      <c r="O107" s="14"/>
      <c r="P107" s="15" t="s">
        <v>74</v>
      </c>
      <c r="Q107" s="16">
        <v>5399</v>
      </c>
      <c r="R107" s="17">
        <v>45</v>
      </c>
      <c r="S107" s="18">
        <v>3414.8674999999994</v>
      </c>
      <c r="T107" s="19" t="s">
        <v>34</v>
      </c>
      <c r="U107" s="20" t="s">
        <v>104</v>
      </c>
      <c r="V107" s="21">
        <v>50</v>
      </c>
      <c r="W107" s="21">
        <v>4</v>
      </c>
      <c r="X107" s="22"/>
    </row>
    <row r="108" spans="1:24" s="1" customFormat="1" ht="108" customHeight="1" x14ac:dyDescent="0.3">
      <c r="A108" s="11" t="s">
        <v>23</v>
      </c>
      <c r="B108" s="11" t="s">
        <v>204</v>
      </c>
      <c r="C108" s="12" t="s">
        <v>240</v>
      </c>
      <c r="D108" s="24"/>
      <c r="E108" s="69" t="str">
        <f>HYPERLINK("https://www.google.ru/search?q=MC-YD294-1&amp;newwindow=1&amp;tbm=isch","Еще фото")</f>
        <v>Еще фото</v>
      </c>
      <c r="F108" s="13"/>
      <c r="G108" s="11" t="s">
        <v>190</v>
      </c>
      <c r="H108" s="11" t="s">
        <v>27</v>
      </c>
      <c r="I108" s="14" t="s">
        <v>191</v>
      </c>
      <c r="J108" s="14" t="s">
        <v>29</v>
      </c>
      <c r="K108" s="15" t="s">
        <v>30</v>
      </c>
      <c r="L108" s="14" t="s">
        <v>241</v>
      </c>
      <c r="M108" s="14"/>
      <c r="N108" s="14" t="s">
        <v>242</v>
      </c>
      <c r="O108" s="14"/>
      <c r="P108" s="15" t="s">
        <v>76</v>
      </c>
      <c r="Q108" s="16">
        <v>3149</v>
      </c>
      <c r="R108" s="17">
        <v>45</v>
      </c>
      <c r="S108" s="18">
        <v>1991.7424999999998</v>
      </c>
      <c r="T108" s="19" t="s">
        <v>34</v>
      </c>
      <c r="U108" s="20" t="s">
        <v>199</v>
      </c>
      <c r="V108" s="21">
        <v>56</v>
      </c>
      <c r="W108" s="21">
        <v>5</v>
      </c>
      <c r="X108" s="22"/>
    </row>
    <row r="109" spans="1:24" s="1" customFormat="1" ht="51.95" customHeight="1" x14ac:dyDescent="0.3">
      <c r="A109" s="11" t="s">
        <v>23</v>
      </c>
      <c r="B109" s="11" t="s">
        <v>243</v>
      </c>
      <c r="C109" s="12" t="s">
        <v>244</v>
      </c>
      <c r="D109" s="89"/>
      <c r="E109" s="69" t="str">
        <f>HYPERLINK("https://www.google.ru/search?q=MC-ZC080&amp;newwindow=1&amp;tbm=isch","Еще фото")</f>
        <v>Еще фото</v>
      </c>
      <c r="F109" s="13"/>
      <c r="G109" s="11" t="s">
        <v>245</v>
      </c>
      <c r="H109" s="11" t="s">
        <v>27</v>
      </c>
      <c r="I109" s="14" t="s">
        <v>191</v>
      </c>
      <c r="J109" s="14" t="s">
        <v>29</v>
      </c>
      <c r="K109" s="15" t="s">
        <v>30</v>
      </c>
      <c r="L109" s="86" t="s">
        <v>246</v>
      </c>
      <c r="M109" s="14" t="s">
        <v>73</v>
      </c>
      <c r="N109" s="14" t="s">
        <v>70</v>
      </c>
      <c r="O109" s="14"/>
      <c r="P109" s="15" t="s">
        <v>247</v>
      </c>
      <c r="Q109" s="16">
        <v>7399</v>
      </c>
      <c r="R109" s="17">
        <v>45</v>
      </c>
      <c r="S109" s="18">
        <v>4679.8674999999994</v>
      </c>
      <c r="T109" s="19" t="s">
        <v>34</v>
      </c>
      <c r="U109" s="20" t="s">
        <v>43</v>
      </c>
      <c r="V109" s="21">
        <v>110</v>
      </c>
      <c r="W109" s="21">
        <v>1</v>
      </c>
      <c r="X109" s="22"/>
    </row>
    <row r="110" spans="1:24" s="1" customFormat="1" ht="60.95" customHeight="1" x14ac:dyDescent="0.3">
      <c r="A110" s="23" t="s">
        <v>23</v>
      </c>
      <c r="B110" s="23" t="s">
        <v>243</v>
      </c>
      <c r="C110" s="12" t="s">
        <v>244</v>
      </c>
      <c r="D110" s="90"/>
      <c r="E110" s="69" t="str">
        <f>HYPERLINK("https://www.google.ru/search?q=MC-ZC080&amp;newwindow=1&amp;tbm=isch","Еще фото")</f>
        <v>Еще фото</v>
      </c>
      <c r="F110" s="13"/>
      <c r="G110" s="23" t="s">
        <v>245</v>
      </c>
      <c r="H110" s="23" t="s">
        <v>27</v>
      </c>
      <c r="I110" s="23" t="s">
        <v>191</v>
      </c>
      <c r="J110" s="14" t="s">
        <v>29</v>
      </c>
      <c r="K110" s="15" t="s">
        <v>30</v>
      </c>
      <c r="L110" s="88"/>
      <c r="M110" s="14" t="s">
        <v>73</v>
      </c>
      <c r="N110" s="14" t="s">
        <v>70</v>
      </c>
      <c r="O110" s="14"/>
      <c r="P110" s="15" t="s">
        <v>247</v>
      </c>
      <c r="Q110" s="16">
        <v>7399</v>
      </c>
      <c r="R110" s="17">
        <v>45</v>
      </c>
      <c r="S110" s="18">
        <v>4679.8674999999994</v>
      </c>
      <c r="T110" s="19" t="s">
        <v>34</v>
      </c>
      <c r="U110" s="20" t="s">
        <v>36</v>
      </c>
      <c r="V110" s="21">
        <v>122</v>
      </c>
      <c r="W110" s="21">
        <v>1</v>
      </c>
      <c r="X110" s="22"/>
    </row>
    <row r="111" spans="1:24" s="1" customFormat="1" ht="108" customHeight="1" x14ac:dyDescent="0.3">
      <c r="A111" s="11" t="s">
        <v>23</v>
      </c>
      <c r="B111" s="11" t="s">
        <v>243</v>
      </c>
      <c r="C111" s="12" t="s">
        <v>248</v>
      </c>
      <c r="D111" s="24"/>
      <c r="E111" s="69" t="str">
        <f>HYPERLINK("https://www.google.ru/search?q=MC-ZC080-1&amp;newwindow=1&amp;tbm=isch","Еще фото")</f>
        <v>Еще фото</v>
      </c>
      <c r="F111" s="13"/>
      <c r="G111" s="11" t="s">
        <v>245</v>
      </c>
      <c r="H111" s="11" t="s">
        <v>27</v>
      </c>
      <c r="I111" s="14" t="s">
        <v>191</v>
      </c>
      <c r="J111" s="14" t="s">
        <v>29</v>
      </c>
      <c r="K111" s="15" t="s">
        <v>30</v>
      </c>
      <c r="L111" s="14" t="s">
        <v>246</v>
      </c>
      <c r="M111" s="14" t="s">
        <v>73</v>
      </c>
      <c r="N111" s="14" t="s">
        <v>70</v>
      </c>
      <c r="O111" s="14"/>
      <c r="P111" s="15" t="s">
        <v>247</v>
      </c>
      <c r="Q111" s="16">
        <v>7399</v>
      </c>
      <c r="R111" s="17">
        <v>45</v>
      </c>
      <c r="S111" s="18">
        <v>4679.8674999999994</v>
      </c>
      <c r="T111" s="19" t="s">
        <v>34</v>
      </c>
      <c r="U111" s="20" t="s">
        <v>196</v>
      </c>
      <c r="V111" s="21">
        <v>86</v>
      </c>
      <c r="W111" s="21">
        <v>1</v>
      </c>
      <c r="X111" s="22"/>
    </row>
    <row r="112" spans="1:24" s="1" customFormat="1" ht="108" customHeight="1" x14ac:dyDescent="0.3">
      <c r="A112" s="11" t="s">
        <v>23</v>
      </c>
      <c r="B112" s="11" t="s">
        <v>188</v>
      </c>
      <c r="C112" s="12" t="s">
        <v>249</v>
      </c>
      <c r="D112" s="24"/>
      <c r="E112" s="69" t="str">
        <f>HYPERLINK("https://www.google.ru/search?q=MC-ZC363-1&amp;newwindow=1&amp;tbm=isch","Еще фото")</f>
        <v>Еще фото</v>
      </c>
      <c r="F112" s="13"/>
      <c r="G112" s="11" t="s">
        <v>190</v>
      </c>
      <c r="H112" s="11" t="s">
        <v>27</v>
      </c>
      <c r="I112" s="14" t="s">
        <v>191</v>
      </c>
      <c r="J112" s="14" t="s">
        <v>29</v>
      </c>
      <c r="K112" s="15" t="s">
        <v>30</v>
      </c>
      <c r="L112" s="14" t="s">
        <v>250</v>
      </c>
      <c r="M112" s="14"/>
      <c r="N112" s="14" t="s">
        <v>116</v>
      </c>
      <c r="O112" s="14"/>
      <c r="P112" s="15" t="s">
        <v>76</v>
      </c>
      <c r="Q112" s="16">
        <v>4099</v>
      </c>
      <c r="R112" s="17">
        <v>45</v>
      </c>
      <c r="S112" s="18">
        <v>2592.6174999999994</v>
      </c>
      <c r="T112" s="19" t="s">
        <v>34</v>
      </c>
      <c r="U112" s="20" t="s">
        <v>104</v>
      </c>
      <c r="V112" s="21">
        <v>50</v>
      </c>
      <c r="W112" s="21">
        <v>1</v>
      </c>
      <c r="X112" s="22"/>
    </row>
    <row r="113" spans="1:24" s="1" customFormat="1" ht="26.1" customHeight="1" x14ac:dyDescent="0.3">
      <c r="A113" s="11" t="s">
        <v>178</v>
      </c>
      <c r="B113" s="11" t="s">
        <v>251</v>
      </c>
      <c r="C113" s="12" t="s">
        <v>252</v>
      </c>
      <c r="D113" s="83"/>
      <c r="E113" s="69" t="str">
        <f>HYPERLINK("https://www.google.ru/search?q=EBJWR03026-BQT0&amp;newwindow=1&amp;tbm=isch","Еще фото")</f>
        <v>Еще фото</v>
      </c>
      <c r="F113" s="13"/>
      <c r="G113" s="11" t="s">
        <v>253</v>
      </c>
      <c r="H113" s="11" t="s">
        <v>27</v>
      </c>
      <c r="I113" s="14" t="s">
        <v>254</v>
      </c>
      <c r="J113" s="14" t="s">
        <v>255</v>
      </c>
      <c r="K113" s="15" t="s">
        <v>47</v>
      </c>
      <c r="L113" s="86"/>
      <c r="M113" s="14"/>
      <c r="N113" s="14" t="s">
        <v>70</v>
      </c>
      <c r="O113" s="14"/>
      <c r="P113" s="15" t="s">
        <v>256</v>
      </c>
      <c r="Q113" s="16">
        <v>5699</v>
      </c>
      <c r="R113" s="17">
        <v>70.38</v>
      </c>
      <c r="S113" s="18">
        <v>1940.9354999999998</v>
      </c>
      <c r="T113" s="19" t="s">
        <v>51</v>
      </c>
      <c r="U113" s="20" t="s">
        <v>257</v>
      </c>
      <c r="V113" s="21">
        <v>40</v>
      </c>
      <c r="W113" s="21">
        <v>2</v>
      </c>
      <c r="X113" s="22"/>
    </row>
    <row r="114" spans="1:24" s="1" customFormat="1" ht="26.1" customHeight="1" x14ac:dyDescent="0.3">
      <c r="A114" s="23" t="s">
        <v>178</v>
      </c>
      <c r="B114" s="23" t="s">
        <v>251</v>
      </c>
      <c r="C114" s="12" t="s">
        <v>252</v>
      </c>
      <c r="D114" s="84"/>
      <c r="E114" s="69" t="str">
        <f>HYPERLINK("https://www.google.ru/search?q=EBJWR03026-BQT0&amp;newwindow=1&amp;tbm=isch","Еще фото")</f>
        <v>Еще фото</v>
      </c>
      <c r="F114" s="13"/>
      <c r="G114" s="23" t="s">
        <v>253</v>
      </c>
      <c r="H114" s="23" t="s">
        <v>27</v>
      </c>
      <c r="I114" s="23" t="s">
        <v>254</v>
      </c>
      <c r="J114" s="14" t="s">
        <v>255</v>
      </c>
      <c r="K114" s="15" t="s">
        <v>47</v>
      </c>
      <c r="L114" s="87"/>
      <c r="M114" s="14"/>
      <c r="N114" s="14" t="s">
        <v>70</v>
      </c>
      <c r="O114" s="14"/>
      <c r="P114" s="15" t="s">
        <v>256</v>
      </c>
      <c r="Q114" s="16">
        <v>5699</v>
      </c>
      <c r="R114" s="17">
        <v>70.38</v>
      </c>
      <c r="S114" s="18">
        <v>1940.9354999999998</v>
      </c>
      <c r="T114" s="19" t="s">
        <v>51</v>
      </c>
      <c r="U114" s="20" t="s">
        <v>258</v>
      </c>
      <c r="V114" s="21">
        <v>42</v>
      </c>
      <c r="W114" s="21">
        <v>3</v>
      </c>
      <c r="X114" s="22"/>
    </row>
    <row r="115" spans="1:24" s="1" customFormat="1" ht="26.1" customHeight="1" x14ac:dyDescent="0.3">
      <c r="A115" s="23" t="s">
        <v>178</v>
      </c>
      <c r="B115" s="23" t="s">
        <v>251</v>
      </c>
      <c r="C115" s="12" t="s">
        <v>252</v>
      </c>
      <c r="D115" s="84"/>
      <c r="E115" s="69" t="str">
        <f>HYPERLINK("https://www.google.ru/search?q=EBJWR03026-BQT0&amp;newwindow=1&amp;tbm=isch","Еще фото")</f>
        <v>Еще фото</v>
      </c>
      <c r="F115" s="13"/>
      <c r="G115" s="23" t="s">
        <v>253</v>
      </c>
      <c r="H115" s="23" t="s">
        <v>27</v>
      </c>
      <c r="I115" s="23" t="s">
        <v>254</v>
      </c>
      <c r="J115" s="14" t="s">
        <v>255</v>
      </c>
      <c r="K115" s="15" t="s">
        <v>47</v>
      </c>
      <c r="L115" s="87"/>
      <c r="M115" s="14"/>
      <c r="N115" s="14" t="s">
        <v>70</v>
      </c>
      <c r="O115" s="14"/>
      <c r="P115" s="15" t="s">
        <v>256</v>
      </c>
      <c r="Q115" s="16">
        <v>5699</v>
      </c>
      <c r="R115" s="17">
        <v>70.38</v>
      </c>
      <c r="S115" s="18">
        <v>1940.9354999999998</v>
      </c>
      <c r="T115" s="19" t="s">
        <v>51</v>
      </c>
      <c r="U115" s="20" t="s">
        <v>259</v>
      </c>
      <c r="V115" s="21">
        <v>44</v>
      </c>
      <c r="W115" s="21">
        <v>3</v>
      </c>
      <c r="X115" s="22"/>
    </row>
    <row r="116" spans="1:24" s="1" customFormat="1" ht="26.1" customHeight="1" x14ac:dyDescent="0.3">
      <c r="A116" s="23" t="s">
        <v>178</v>
      </c>
      <c r="B116" s="23" t="s">
        <v>251</v>
      </c>
      <c r="C116" s="12" t="s">
        <v>252</v>
      </c>
      <c r="D116" s="85"/>
      <c r="E116" s="69" t="str">
        <f>HYPERLINK("https://www.google.ru/search?q=EBJWR03026-BQT0&amp;newwindow=1&amp;tbm=isch","Еще фото")</f>
        <v>Еще фото</v>
      </c>
      <c r="F116" s="13"/>
      <c r="G116" s="23" t="s">
        <v>253</v>
      </c>
      <c r="H116" s="23" t="s">
        <v>27</v>
      </c>
      <c r="I116" s="23" t="s">
        <v>254</v>
      </c>
      <c r="J116" s="14" t="s">
        <v>255</v>
      </c>
      <c r="K116" s="15" t="s">
        <v>47</v>
      </c>
      <c r="L116" s="88"/>
      <c r="M116" s="14"/>
      <c r="N116" s="14" t="s">
        <v>70</v>
      </c>
      <c r="O116" s="14"/>
      <c r="P116" s="15" t="s">
        <v>256</v>
      </c>
      <c r="Q116" s="16">
        <v>5699</v>
      </c>
      <c r="R116" s="17">
        <v>70.38</v>
      </c>
      <c r="S116" s="18">
        <v>1940.9354999999998</v>
      </c>
      <c r="T116" s="19" t="s">
        <v>51</v>
      </c>
      <c r="U116" s="20" t="s">
        <v>260</v>
      </c>
      <c r="V116" s="21">
        <v>46</v>
      </c>
      <c r="W116" s="21">
        <v>2</v>
      </c>
      <c r="X116" s="22"/>
    </row>
    <row r="117" spans="1:24" s="1" customFormat="1" ht="108" customHeight="1" x14ac:dyDescent="0.3">
      <c r="A117" s="11" t="s">
        <v>261</v>
      </c>
      <c r="B117" s="11" t="s">
        <v>262</v>
      </c>
      <c r="C117" s="12" t="s">
        <v>263</v>
      </c>
      <c r="D117" s="24"/>
      <c r="E117" s="69" t="str">
        <f>HYPERLINK("https://www.google.ru/search?q=A19AJSWSK01-QW&amp;newwindow=1&amp;tbm=isch","Еще фото")</f>
        <v>Еще фото</v>
      </c>
      <c r="F117" s="13"/>
      <c r="G117" s="11" t="s">
        <v>264</v>
      </c>
      <c r="H117" s="11" t="s">
        <v>27</v>
      </c>
      <c r="I117" s="14" t="s">
        <v>254</v>
      </c>
      <c r="J117" s="14" t="s">
        <v>255</v>
      </c>
      <c r="K117" s="15" t="s">
        <v>30</v>
      </c>
      <c r="L117" s="14"/>
      <c r="M117" s="14"/>
      <c r="N117" s="14" t="s">
        <v>265</v>
      </c>
      <c r="O117" s="14"/>
      <c r="P117" s="15" t="s">
        <v>266</v>
      </c>
      <c r="Q117" s="16">
        <v>1190</v>
      </c>
      <c r="R117" s="17">
        <v>63.21</v>
      </c>
      <c r="S117" s="29">
        <v>503.43549999999993</v>
      </c>
      <c r="T117" s="19" t="s">
        <v>34</v>
      </c>
      <c r="U117" s="20" t="s">
        <v>94</v>
      </c>
      <c r="V117" s="21">
        <v>104</v>
      </c>
      <c r="W117" s="21">
        <v>1</v>
      </c>
      <c r="X117" s="22"/>
    </row>
    <row r="118" spans="1:24" s="1" customFormat="1" ht="21" customHeight="1" x14ac:dyDescent="0.3">
      <c r="A118" s="11" t="s">
        <v>23</v>
      </c>
      <c r="B118" s="11" t="s">
        <v>267</v>
      </c>
      <c r="C118" s="27" t="s">
        <v>268</v>
      </c>
      <c r="D118" s="83"/>
      <c r="E118" s="69" t="str">
        <f>HYPERLINK("https://www.google.ru/search?q=MC-BA024&amp;newwindow=1&amp;tbm=isch","Еще фото")</f>
        <v>Еще фото</v>
      </c>
      <c r="F118" s="13"/>
      <c r="G118" s="11" t="s">
        <v>269</v>
      </c>
      <c r="H118" s="11" t="s">
        <v>27</v>
      </c>
      <c r="I118" s="14" t="s">
        <v>254</v>
      </c>
      <c r="J118" s="14" t="s">
        <v>255</v>
      </c>
      <c r="K118" s="15" t="s">
        <v>30</v>
      </c>
      <c r="L118" s="86"/>
      <c r="M118" s="14"/>
      <c r="N118" s="14" t="s">
        <v>116</v>
      </c>
      <c r="O118" s="14"/>
      <c r="P118" s="15" t="s">
        <v>256</v>
      </c>
      <c r="Q118" s="16">
        <v>4499</v>
      </c>
      <c r="R118" s="17">
        <v>45</v>
      </c>
      <c r="S118" s="18">
        <v>2845.6174999999994</v>
      </c>
      <c r="T118" s="19" t="s">
        <v>34</v>
      </c>
      <c r="U118" s="20" t="s">
        <v>77</v>
      </c>
      <c r="V118" s="21">
        <v>92</v>
      </c>
      <c r="W118" s="21">
        <v>5</v>
      </c>
      <c r="X118" s="22"/>
    </row>
    <row r="119" spans="1:24" s="1" customFormat="1" ht="21" customHeight="1" x14ac:dyDescent="0.3">
      <c r="A119" s="23" t="s">
        <v>23</v>
      </c>
      <c r="B119" s="23" t="s">
        <v>267</v>
      </c>
      <c r="C119" s="28" t="s">
        <v>268</v>
      </c>
      <c r="D119" s="84"/>
      <c r="E119" s="69" t="str">
        <f>HYPERLINK("https://www.google.ru/search?q=MC-BA024&amp;newwindow=1&amp;tbm=isch","Еще фото")</f>
        <v>Еще фото</v>
      </c>
      <c r="F119" s="13"/>
      <c r="G119" s="23" t="s">
        <v>269</v>
      </c>
      <c r="H119" s="23" t="s">
        <v>27</v>
      </c>
      <c r="I119" s="23" t="s">
        <v>254</v>
      </c>
      <c r="J119" s="14" t="s">
        <v>255</v>
      </c>
      <c r="K119" s="15" t="s">
        <v>30</v>
      </c>
      <c r="L119" s="87"/>
      <c r="M119" s="14"/>
      <c r="N119" s="14" t="s">
        <v>116</v>
      </c>
      <c r="O119" s="14"/>
      <c r="P119" s="15" t="s">
        <v>256</v>
      </c>
      <c r="Q119" s="16">
        <v>4499</v>
      </c>
      <c r="R119" s="17">
        <v>45</v>
      </c>
      <c r="S119" s="18">
        <v>2845.6174999999994</v>
      </c>
      <c r="T119" s="19" t="s">
        <v>34</v>
      </c>
      <c r="U119" s="20" t="s">
        <v>78</v>
      </c>
      <c r="V119" s="21">
        <v>98</v>
      </c>
      <c r="W119" s="21">
        <v>5</v>
      </c>
      <c r="X119" s="22"/>
    </row>
    <row r="120" spans="1:24" s="1" customFormat="1" ht="21" customHeight="1" x14ac:dyDescent="0.3">
      <c r="A120" s="23" t="s">
        <v>23</v>
      </c>
      <c r="B120" s="23" t="s">
        <v>267</v>
      </c>
      <c r="C120" s="28" t="s">
        <v>268</v>
      </c>
      <c r="D120" s="84"/>
      <c r="E120" s="69" t="str">
        <f>HYPERLINK("https://www.google.ru/search?q=MC-BA024&amp;newwindow=1&amp;tbm=isch","Еще фото")</f>
        <v>Еще фото</v>
      </c>
      <c r="F120" s="13"/>
      <c r="G120" s="23" t="s">
        <v>269</v>
      </c>
      <c r="H120" s="23" t="s">
        <v>27</v>
      </c>
      <c r="I120" s="23" t="s">
        <v>254</v>
      </c>
      <c r="J120" s="14" t="s">
        <v>255</v>
      </c>
      <c r="K120" s="15" t="s">
        <v>30</v>
      </c>
      <c r="L120" s="87"/>
      <c r="M120" s="14"/>
      <c r="N120" s="14" t="s">
        <v>116</v>
      </c>
      <c r="O120" s="14"/>
      <c r="P120" s="15" t="s">
        <v>256</v>
      </c>
      <c r="Q120" s="16">
        <v>4499</v>
      </c>
      <c r="R120" s="17">
        <v>45</v>
      </c>
      <c r="S120" s="18">
        <v>2845.6174999999994</v>
      </c>
      <c r="T120" s="19" t="s">
        <v>34</v>
      </c>
      <c r="U120" s="20" t="s">
        <v>94</v>
      </c>
      <c r="V120" s="21">
        <v>104</v>
      </c>
      <c r="W120" s="21">
        <v>5</v>
      </c>
      <c r="X120" s="22"/>
    </row>
    <row r="121" spans="1:24" s="1" customFormat="1" ht="21" customHeight="1" x14ac:dyDescent="0.3">
      <c r="A121" s="23" t="s">
        <v>23</v>
      </c>
      <c r="B121" s="23" t="s">
        <v>267</v>
      </c>
      <c r="C121" s="28" t="s">
        <v>268</v>
      </c>
      <c r="D121" s="84"/>
      <c r="E121" s="69" t="str">
        <f>HYPERLINK("https://www.google.ru/search?q=MC-BA024&amp;newwindow=1&amp;tbm=isch","Еще фото")</f>
        <v>Еще фото</v>
      </c>
      <c r="F121" s="13"/>
      <c r="G121" s="23" t="s">
        <v>269</v>
      </c>
      <c r="H121" s="23" t="s">
        <v>27</v>
      </c>
      <c r="I121" s="23" t="s">
        <v>254</v>
      </c>
      <c r="J121" s="14" t="s">
        <v>255</v>
      </c>
      <c r="K121" s="15" t="s">
        <v>30</v>
      </c>
      <c r="L121" s="87"/>
      <c r="M121" s="14"/>
      <c r="N121" s="14" t="s">
        <v>116</v>
      </c>
      <c r="O121" s="14"/>
      <c r="P121" s="15" t="s">
        <v>256</v>
      </c>
      <c r="Q121" s="16">
        <v>4499</v>
      </c>
      <c r="R121" s="17">
        <v>45</v>
      </c>
      <c r="S121" s="18">
        <v>2845.6174999999994</v>
      </c>
      <c r="T121" s="19" t="s">
        <v>34</v>
      </c>
      <c r="U121" s="20" t="s">
        <v>43</v>
      </c>
      <c r="V121" s="21">
        <v>110</v>
      </c>
      <c r="W121" s="21">
        <v>4</v>
      </c>
      <c r="X121" s="22"/>
    </row>
    <row r="122" spans="1:24" s="1" customFormat="1" ht="32.1" customHeight="1" x14ac:dyDescent="0.3">
      <c r="A122" s="23" t="s">
        <v>23</v>
      </c>
      <c r="B122" s="23" t="s">
        <v>267</v>
      </c>
      <c r="C122" s="28" t="s">
        <v>268</v>
      </c>
      <c r="D122" s="85"/>
      <c r="E122" s="69" t="str">
        <f>HYPERLINK("https://www.google.ru/search?q=MC-BA024&amp;newwindow=1&amp;tbm=isch","Еще фото")</f>
        <v>Еще фото</v>
      </c>
      <c r="F122" s="13"/>
      <c r="G122" s="23" t="s">
        <v>269</v>
      </c>
      <c r="H122" s="23" t="s">
        <v>27</v>
      </c>
      <c r="I122" s="23" t="s">
        <v>254</v>
      </c>
      <c r="J122" s="14" t="s">
        <v>255</v>
      </c>
      <c r="K122" s="15" t="s">
        <v>30</v>
      </c>
      <c r="L122" s="88"/>
      <c r="M122" s="14"/>
      <c r="N122" s="14" t="s">
        <v>116</v>
      </c>
      <c r="O122" s="14"/>
      <c r="P122" s="15" t="s">
        <v>256</v>
      </c>
      <c r="Q122" s="16">
        <v>4499</v>
      </c>
      <c r="R122" s="17">
        <v>45</v>
      </c>
      <c r="S122" s="18">
        <v>2845.6174999999994</v>
      </c>
      <c r="T122" s="19" t="s">
        <v>34</v>
      </c>
      <c r="U122" s="20" t="s">
        <v>35</v>
      </c>
      <c r="V122" s="21">
        <v>116</v>
      </c>
      <c r="W122" s="21">
        <v>2</v>
      </c>
      <c r="X122" s="22"/>
    </row>
    <row r="123" spans="1:24" s="1" customFormat="1" ht="108" customHeight="1" x14ac:dyDescent="0.3">
      <c r="A123" s="11" t="s">
        <v>23</v>
      </c>
      <c r="B123" s="11" t="s">
        <v>267</v>
      </c>
      <c r="C123" s="12" t="s">
        <v>270</v>
      </c>
      <c r="D123" s="24"/>
      <c r="E123" s="69" t="str">
        <f>HYPERLINK("https://www.google.ru/search?q=MC-BA024-1&amp;newwindow=1&amp;tbm=isch","Еще фото")</f>
        <v>Еще фото</v>
      </c>
      <c r="F123" s="13"/>
      <c r="G123" s="11" t="s">
        <v>269</v>
      </c>
      <c r="H123" s="11" t="s">
        <v>27</v>
      </c>
      <c r="I123" s="14" t="s">
        <v>254</v>
      </c>
      <c r="J123" s="14" t="s">
        <v>255</v>
      </c>
      <c r="K123" s="15" t="s">
        <v>30</v>
      </c>
      <c r="L123" s="14"/>
      <c r="M123" s="14"/>
      <c r="N123" s="14" t="s">
        <v>116</v>
      </c>
      <c r="O123" s="14"/>
      <c r="P123" s="15" t="s">
        <v>256</v>
      </c>
      <c r="Q123" s="16">
        <v>4499</v>
      </c>
      <c r="R123" s="17">
        <v>45</v>
      </c>
      <c r="S123" s="18">
        <v>2845.6174999999994</v>
      </c>
      <c r="T123" s="19" t="s">
        <v>34</v>
      </c>
      <c r="U123" s="20" t="s">
        <v>196</v>
      </c>
      <c r="V123" s="21">
        <v>86</v>
      </c>
      <c r="W123" s="21">
        <v>5</v>
      </c>
      <c r="X123" s="22"/>
    </row>
    <row r="124" spans="1:24" s="1" customFormat="1" ht="21" customHeight="1" x14ac:dyDescent="0.3">
      <c r="A124" s="11" t="s">
        <v>23</v>
      </c>
      <c r="B124" s="11" t="s">
        <v>267</v>
      </c>
      <c r="C124" s="27" t="s">
        <v>271</v>
      </c>
      <c r="D124" s="83"/>
      <c r="E124" s="69" t="str">
        <f>HYPERLINK("https://www.google.ru/search?q=MC-BA027&amp;newwindow=1&amp;tbm=isch","Еще фото")</f>
        <v>Еще фото</v>
      </c>
      <c r="F124" s="13"/>
      <c r="G124" s="11" t="s">
        <v>272</v>
      </c>
      <c r="H124" s="11" t="s">
        <v>27</v>
      </c>
      <c r="I124" s="14" t="s">
        <v>254</v>
      </c>
      <c r="J124" s="14" t="s">
        <v>255</v>
      </c>
      <c r="K124" s="15" t="s">
        <v>30</v>
      </c>
      <c r="L124" s="86"/>
      <c r="M124" s="14"/>
      <c r="N124" s="14" t="s">
        <v>116</v>
      </c>
      <c r="O124" s="14"/>
      <c r="P124" s="15" t="s">
        <v>256</v>
      </c>
      <c r="Q124" s="16">
        <v>2899</v>
      </c>
      <c r="R124" s="17">
        <v>45</v>
      </c>
      <c r="S124" s="18">
        <v>1833.6174999999998</v>
      </c>
      <c r="T124" s="19" t="s">
        <v>34</v>
      </c>
      <c r="U124" s="20" t="s">
        <v>77</v>
      </c>
      <c r="V124" s="21">
        <v>92</v>
      </c>
      <c r="W124" s="21">
        <v>2</v>
      </c>
      <c r="X124" s="22"/>
    </row>
    <row r="125" spans="1:24" s="1" customFormat="1" ht="21" customHeight="1" x14ac:dyDescent="0.3">
      <c r="A125" s="23" t="s">
        <v>23</v>
      </c>
      <c r="B125" s="23" t="s">
        <v>267</v>
      </c>
      <c r="C125" s="28" t="s">
        <v>271</v>
      </c>
      <c r="D125" s="84"/>
      <c r="E125" s="69" t="str">
        <f>HYPERLINK("https://www.google.ru/search?q=MC-BA027&amp;newwindow=1&amp;tbm=isch","Еще фото")</f>
        <v>Еще фото</v>
      </c>
      <c r="F125" s="13"/>
      <c r="G125" s="23" t="s">
        <v>272</v>
      </c>
      <c r="H125" s="23" t="s">
        <v>27</v>
      </c>
      <c r="I125" s="23" t="s">
        <v>254</v>
      </c>
      <c r="J125" s="14" t="s">
        <v>255</v>
      </c>
      <c r="K125" s="15" t="s">
        <v>30</v>
      </c>
      <c r="L125" s="87"/>
      <c r="M125" s="14"/>
      <c r="N125" s="14" t="s">
        <v>116</v>
      </c>
      <c r="O125" s="14"/>
      <c r="P125" s="15" t="s">
        <v>256</v>
      </c>
      <c r="Q125" s="16">
        <v>2899</v>
      </c>
      <c r="R125" s="17">
        <v>45</v>
      </c>
      <c r="S125" s="18">
        <v>1833.6174999999998</v>
      </c>
      <c r="T125" s="19" t="s">
        <v>34</v>
      </c>
      <c r="U125" s="20" t="s">
        <v>78</v>
      </c>
      <c r="V125" s="21">
        <v>98</v>
      </c>
      <c r="W125" s="21">
        <v>4</v>
      </c>
      <c r="X125" s="22"/>
    </row>
    <row r="126" spans="1:24" s="1" customFormat="1" ht="21" customHeight="1" x14ac:dyDescent="0.3">
      <c r="A126" s="23" t="s">
        <v>23</v>
      </c>
      <c r="B126" s="23" t="s">
        <v>267</v>
      </c>
      <c r="C126" s="28" t="s">
        <v>271</v>
      </c>
      <c r="D126" s="84"/>
      <c r="E126" s="69" t="str">
        <f>HYPERLINK("https://www.google.ru/search?q=MC-BA027&amp;newwindow=1&amp;tbm=isch","Еще фото")</f>
        <v>Еще фото</v>
      </c>
      <c r="F126" s="13"/>
      <c r="G126" s="23" t="s">
        <v>272</v>
      </c>
      <c r="H126" s="23" t="s">
        <v>27</v>
      </c>
      <c r="I126" s="23" t="s">
        <v>254</v>
      </c>
      <c r="J126" s="14" t="s">
        <v>255</v>
      </c>
      <c r="K126" s="15" t="s">
        <v>30</v>
      </c>
      <c r="L126" s="87"/>
      <c r="M126" s="14"/>
      <c r="N126" s="14" t="s">
        <v>116</v>
      </c>
      <c r="O126" s="14"/>
      <c r="P126" s="15" t="s">
        <v>256</v>
      </c>
      <c r="Q126" s="16">
        <v>2899</v>
      </c>
      <c r="R126" s="17">
        <v>45</v>
      </c>
      <c r="S126" s="18">
        <v>1833.6174999999998</v>
      </c>
      <c r="T126" s="19" t="s">
        <v>34</v>
      </c>
      <c r="U126" s="20" t="s">
        <v>94</v>
      </c>
      <c r="V126" s="21">
        <v>104</v>
      </c>
      <c r="W126" s="21">
        <v>5</v>
      </c>
      <c r="X126" s="22"/>
    </row>
    <row r="127" spans="1:24" s="1" customFormat="1" ht="21" customHeight="1" x14ac:dyDescent="0.3">
      <c r="A127" s="23" t="s">
        <v>23</v>
      </c>
      <c r="B127" s="23" t="s">
        <v>267</v>
      </c>
      <c r="C127" s="28" t="s">
        <v>271</v>
      </c>
      <c r="D127" s="84"/>
      <c r="E127" s="69" t="str">
        <f>HYPERLINK("https://www.google.ru/search?q=MC-BA027&amp;newwindow=1&amp;tbm=isch","Еще фото")</f>
        <v>Еще фото</v>
      </c>
      <c r="F127" s="13"/>
      <c r="G127" s="23" t="s">
        <v>272</v>
      </c>
      <c r="H127" s="23" t="s">
        <v>27</v>
      </c>
      <c r="I127" s="23" t="s">
        <v>254</v>
      </c>
      <c r="J127" s="14" t="s">
        <v>255</v>
      </c>
      <c r="K127" s="15" t="s">
        <v>30</v>
      </c>
      <c r="L127" s="87"/>
      <c r="M127" s="14"/>
      <c r="N127" s="14" t="s">
        <v>116</v>
      </c>
      <c r="O127" s="14"/>
      <c r="P127" s="15" t="s">
        <v>256</v>
      </c>
      <c r="Q127" s="16">
        <v>2899</v>
      </c>
      <c r="R127" s="17">
        <v>45</v>
      </c>
      <c r="S127" s="18">
        <v>1833.6174999999998</v>
      </c>
      <c r="T127" s="19" t="s">
        <v>34</v>
      </c>
      <c r="U127" s="20" t="s">
        <v>43</v>
      </c>
      <c r="V127" s="21">
        <v>110</v>
      </c>
      <c r="W127" s="21">
        <v>5</v>
      </c>
      <c r="X127" s="22"/>
    </row>
    <row r="128" spans="1:24" s="1" customFormat="1" ht="32.1" customHeight="1" x14ac:dyDescent="0.3">
      <c r="A128" s="23" t="s">
        <v>23</v>
      </c>
      <c r="B128" s="23" t="s">
        <v>267</v>
      </c>
      <c r="C128" s="28" t="s">
        <v>271</v>
      </c>
      <c r="D128" s="85"/>
      <c r="E128" s="69" t="str">
        <f>HYPERLINK("https://www.google.ru/search?q=MC-BA027&amp;newwindow=1&amp;tbm=isch","Еще фото")</f>
        <v>Еще фото</v>
      </c>
      <c r="F128" s="13"/>
      <c r="G128" s="23" t="s">
        <v>272</v>
      </c>
      <c r="H128" s="23" t="s">
        <v>27</v>
      </c>
      <c r="I128" s="23" t="s">
        <v>254</v>
      </c>
      <c r="J128" s="14" t="s">
        <v>255</v>
      </c>
      <c r="K128" s="15" t="s">
        <v>30</v>
      </c>
      <c r="L128" s="88"/>
      <c r="M128" s="14"/>
      <c r="N128" s="14" t="s">
        <v>116</v>
      </c>
      <c r="O128" s="14"/>
      <c r="P128" s="15" t="s">
        <v>256</v>
      </c>
      <c r="Q128" s="16">
        <v>2899</v>
      </c>
      <c r="R128" s="17">
        <v>45</v>
      </c>
      <c r="S128" s="18">
        <v>1833.6174999999998</v>
      </c>
      <c r="T128" s="19" t="s">
        <v>34</v>
      </c>
      <c r="U128" s="20" t="s">
        <v>35</v>
      </c>
      <c r="V128" s="21">
        <v>116</v>
      </c>
      <c r="W128" s="21">
        <v>5</v>
      </c>
      <c r="X128" s="22"/>
    </row>
    <row r="129" spans="1:24" s="1" customFormat="1" ht="35.1" customHeight="1" x14ac:dyDescent="0.3">
      <c r="A129" s="11" t="s">
        <v>23</v>
      </c>
      <c r="B129" s="11" t="s">
        <v>267</v>
      </c>
      <c r="C129" s="12" t="s">
        <v>273</v>
      </c>
      <c r="D129" s="83"/>
      <c r="E129" s="69" t="str">
        <f>HYPERLINK("https://www.google.ru/search?q=MC-BA029&amp;newwindow=1&amp;tbm=isch","Еще фото")</f>
        <v>Еще фото</v>
      </c>
      <c r="F129" s="13"/>
      <c r="G129" s="11" t="s">
        <v>269</v>
      </c>
      <c r="H129" s="11" t="s">
        <v>27</v>
      </c>
      <c r="I129" s="14" t="s">
        <v>254</v>
      </c>
      <c r="J129" s="14" t="s">
        <v>255</v>
      </c>
      <c r="K129" s="15" t="s">
        <v>30</v>
      </c>
      <c r="L129" s="86"/>
      <c r="M129" s="14"/>
      <c r="N129" s="14" t="s">
        <v>32</v>
      </c>
      <c r="O129" s="14"/>
      <c r="P129" s="15" t="s">
        <v>256</v>
      </c>
      <c r="Q129" s="16">
        <v>4499</v>
      </c>
      <c r="R129" s="17">
        <v>45</v>
      </c>
      <c r="S129" s="18">
        <v>2845.6174999999994</v>
      </c>
      <c r="T129" s="19" t="s">
        <v>34</v>
      </c>
      <c r="U129" s="20" t="s">
        <v>77</v>
      </c>
      <c r="V129" s="21">
        <v>92</v>
      </c>
      <c r="W129" s="21">
        <v>2</v>
      </c>
      <c r="X129" s="22"/>
    </row>
    <row r="130" spans="1:24" s="1" customFormat="1" ht="35.1" customHeight="1" x14ac:dyDescent="0.3">
      <c r="A130" s="23" t="s">
        <v>23</v>
      </c>
      <c r="B130" s="23" t="s">
        <v>267</v>
      </c>
      <c r="C130" s="12" t="s">
        <v>273</v>
      </c>
      <c r="D130" s="84"/>
      <c r="E130" s="69" t="str">
        <f>HYPERLINK("https://www.google.ru/search?q=MC-BA029&amp;newwindow=1&amp;tbm=isch","Еще фото")</f>
        <v>Еще фото</v>
      </c>
      <c r="F130" s="13"/>
      <c r="G130" s="23" t="s">
        <v>269</v>
      </c>
      <c r="H130" s="23" t="s">
        <v>27</v>
      </c>
      <c r="I130" s="23" t="s">
        <v>254</v>
      </c>
      <c r="J130" s="14" t="s">
        <v>255</v>
      </c>
      <c r="K130" s="15" t="s">
        <v>30</v>
      </c>
      <c r="L130" s="87"/>
      <c r="M130" s="14"/>
      <c r="N130" s="14" t="s">
        <v>32</v>
      </c>
      <c r="O130" s="14"/>
      <c r="P130" s="15" t="s">
        <v>256</v>
      </c>
      <c r="Q130" s="16">
        <v>4499</v>
      </c>
      <c r="R130" s="17">
        <v>45</v>
      </c>
      <c r="S130" s="18">
        <v>2845.6174999999994</v>
      </c>
      <c r="T130" s="19" t="s">
        <v>34</v>
      </c>
      <c r="U130" s="20" t="s">
        <v>94</v>
      </c>
      <c r="V130" s="21">
        <v>104</v>
      </c>
      <c r="W130" s="21">
        <v>1</v>
      </c>
      <c r="X130" s="22"/>
    </row>
    <row r="131" spans="1:24" s="1" customFormat="1" ht="36.950000000000003" customHeight="1" x14ac:dyDescent="0.3">
      <c r="A131" s="23" t="s">
        <v>23</v>
      </c>
      <c r="B131" s="23" t="s">
        <v>267</v>
      </c>
      <c r="C131" s="12" t="s">
        <v>273</v>
      </c>
      <c r="D131" s="85"/>
      <c r="E131" s="69" t="str">
        <f>HYPERLINK("https://www.google.ru/search?q=MC-BA029&amp;newwindow=1&amp;tbm=isch","Еще фото")</f>
        <v>Еще фото</v>
      </c>
      <c r="F131" s="13"/>
      <c r="G131" s="23" t="s">
        <v>269</v>
      </c>
      <c r="H131" s="23" t="s">
        <v>27</v>
      </c>
      <c r="I131" s="23" t="s">
        <v>254</v>
      </c>
      <c r="J131" s="14" t="s">
        <v>255</v>
      </c>
      <c r="K131" s="15" t="s">
        <v>30</v>
      </c>
      <c r="L131" s="88"/>
      <c r="M131" s="14"/>
      <c r="N131" s="14" t="s">
        <v>32</v>
      </c>
      <c r="O131" s="14"/>
      <c r="P131" s="15" t="s">
        <v>256</v>
      </c>
      <c r="Q131" s="16">
        <v>4499</v>
      </c>
      <c r="R131" s="17">
        <v>45</v>
      </c>
      <c r="S131" s="18">
        <v>2845.6174999999994</v>
      </c>
      <c r="T131" s="19" t="s">
        <v>34</v>
      </c>
      <c r="U131" s="20" t="s">
        <v>43</v>
      </c>
      <c r="V131" s="21">
        <v>110</v>
      </c>
      <c r="W131" s="21">
        <v>5</v>
      </c>
      <c r="X131" s="22"/>
    </row>
    <row r="132" spans="1:24" s="1" customFormat="1" ht="26.1" customHeight="1" x14ac:dyDescent="0.3">
      <c r="A132" s="11" t="s">
        <v>23</v>
      </c>
      <c r="B132" s="11" t="s">
        <v>267</v>
      </c>
      <c r="C132" s="12" t="s">
        <v>274</v>
      </c>
      <c r="D132" s="83"/>
      <c r="E132" s="69" t="str">
        <f>HYPERLINK("https://www.google.ru/search?q=MC-BA032&amp;newwindow=1&amp;tbm=isch","Еще фото")</f>
        <v>Еще фото</v>
      </c>
      <c r="F132" s="13"/>
      <c r="G132" s="11" t="s">
        <v>272</v>
      </c>
      <c r="H132" s="11" t="s">
        <v>27</v>
      </c>
      <c r="I132" s="14" t="s">
        <v>254</v>
      </c>
      <c r="J132" s="14" t="s">
        <v>255</v>
      </c>
      <c r="K132" s="15" t="s">
        <v>30</v>
      </c>
      <c r="L132" s="86"/>
      <c r="M132" s="14"/>
      <c r="N132" s="14" t="s">
        <v>275</v>
      </c>
      <c r="O132" s="14"/>
      <c r="P132" s="15" t="s">
        <v>256</v>
      </c>
      <c r="Q132" s="16">
        <v>2899</v>
      </c>
      <c r="R132" s="17">
        <v>45</v>
      </c>
      <c r="S132" s="18">
        <v>1833.6174999999998</v>
      </c>
      <c r="T132" s="19" t="s">
        <v>34</v>
      </c>
      <c r="U132" s="20" t="s">
        <v>78</v>
      </c>
      <c r="V132" s="21">
        <v>98</v>
      </c>
      <c r="W132" s="21">
        <v>1</v>
      </c>
      <c r="X132" s="22"/>
    </row>
    <row r="133" spans="1:24" s="1" customFormat="1" ht="26.1" customHeight="1" x14ac:dyDescent="0.3">
      <c r="A133" s="23" t="s">
        <v>23</v>
      </c>
      <c r="B133" s="23" t="s">
        <v>267</v>
      </c>
      <c r="C133" s="12" t="s">
        <v>274</v>
      </c>
      <c r="D133" s="84"/>
      <c r="E133" s="69" t="str">
        <f>HYPERLINK("https://www.google.ru/search?q=MC-BA032&amp;newwindow=1&amp;tbm=isch","Еще фото")</f>
        <v>Еще фото</v>
      </c>
      <c r="F133" s="13"/>
      <c r="G133" s="23" t="s">
        <v>272</v>
      </c>
      <c r="H133" s="23" t="s">
        <v>27</v>
      </c>
      <c r="I133" s="23" t="s">
        <v>254</v>
      </c>
      <c r="J133" s="14" t="s">
        <v>255</v>
      </c>
      <c r="K133" s="15" t="s">
        <v>30</v>
      </c>
      <c r="L133" s="87"/>
      <c r="M133" s="14"/>
      <c r="N133" s="14" t="s">
        <v>275</v>
      </c>
      <c r="O133" s="14"/>
      <c r="P133" s="15" t="s">
        <v>256</v>
      </c>
      <c r="Q133" s="16">
        <v>2899</v>
      </c>
      <c r="R133" s="17">
        <v>45</v>
      </c>
      <c r="S133" s="18">
        <v>1833.6174999999998</v>
      </c>
      <c r="T133" s="19" t="s">
        <v>34</v>
      </c>
      <c r="U133" s="20" t="s">
        <v>94</v>
      </c>
      <c r="V133" s="21">
        <v>104</v>
      </c>
      <c r="W133" s="21">
        <v>2</v>
      </c>
      <c r="X133" s="22"/>
    </row>
    <row r="134" spans="1:24" s="1" customFormat="1" ht="26.1" customHeight="1" x14ac:dyDescent="0.3">
      <c r="A134" s="23" t="s">
        <v>23</v>
      </c>
      <c r="B134" s="23" t="s">
        <v>267</v>
      </c>
      <c r="C134" s="12" t="s">
        <v>274</v>
      </c>
      <c r="D134" s="84"/>
      <c r="E134" s="69" t="str">
        <f>HYPERLINK("https://www.google.ru/search?q=MC-BA032&amp;newwindow=1&amp;tbm=isch","Еще фото")</f>
        <v>Еще фото</v>
      </c>
      <c r="F134" s="13"/>
      <c r="G134" s="23" t="s">
        <v>272</v>
      </c>
      <c r="H134" s="23" t="s">
        <v>27</v>
      </c>
      <c r="I134" s="23" t="s">
        <v>254</v>
      </c>
      <c r="J134" s="14" t="s">
        <v>255</v>
      </c>
      <c r="K134" s="15" t="s">
        <v>30</v>
      </c>
      <c r="L134" s="87"/>
      <c r="M134" s="14"/>
      <c r="N134" s="14" t="s">
        <v>275</v>
      </c>
      <c r="O134" s="14"/>
      <c r="P134" s="15" t="s">
        <v>256</v>
      </c>
      <c r="Q134" s="16">
        <v>2899</v>
      </c>
      <c r="R134" s="17">
        <v>45</v>
      </c>
      <c r="S134" s="18">
        <v>1833.6174999999998</v>
      </c>
      <c r="T134" s="19" t="s">
        <v>34</v>
      </c>
      <c r="U134" s="20" t="s">
        <v>43</v>
      </c>
      <c r="V134" s="21">
        <v>110</v>
      </c>
      <c r="W134" s="21">
        <v>4</v>
      </c>
      <c r="X134" s="22"/>
    </row>
    <row r="135" spans="1:24" s="1" customFormat="1" ht="26.1" customHeight="1" x14ac:dyDescent="0.3">
      <c r="A135" s="23" t="s">
        <v>23</v>
      </c>
      <c r="B135" s="23" t="s">
        <v>267</v>
      </c>
      <c r="C135" s="12" t="s">
        <v>274</v>
      </c>
      <c r="D135" s="85"/>
      <c r="E135" s="69" t="str">
        <f>HYPERLINK("https://www.google.ru/search?q=MC-BA032&amp;newwindow=1&amp;tbm=isch","Еще фото")</f>
        <v>Еще фото</v>
      </c>
      <c r="F135" s="13"/>
      <c r="G135" s="23" t="s">
        <v>272</v>
      </c>
      <c r="H135" s="23" t="s">
        <v>27</v>
      </c>
      <c r="I135" s="23" t="s">
        <v>254</v>
      </c>
      <c r="J135" s="14" t="s">
        <v>255</v>
      </c>
      <c r="K135" s="15" t="s">
        <v>30</v>
      </c>
      <c r="L135" s="88"/>
      <c r="M135" s="14"/>
      <c r="N135" s="14" t="s">
        <v>275</v>
      </c>
      <c r="O135" s="14"/>
      <c r="P135" s="15" t="s">
        <v>256</v>
      </c>
      <c r="Q135" s="16">
        <v>2899</v>
      </c>
      <c r="R135" s="17">
        <v>45</v>
      </c>
      <c r="S135" s="18">
        <v>1833.6174999999998</v>
      </c>
      <c r="T135" s="19" t="s">
        <v>34</v>
      </c>
      <c r="U135" s="20" t="s">
        <v>35</v>
      </c>
      <c r="V135" s="21">
        <v>116</v>
      </c>
      <c r="W135" s="21">
        <v>3</v>
      </c>
      <c r="X135" s="22"/>
    </row>
    <row r="136" spans="1:24" s="1" customFormat="1" ht="21" customHeight="1" x14ac:dyDescent="0.3">
      <c r="A136" s="11" t="s">
        <v>23</v>
      </c>
      <c r="B136" s="11" t="s">
        <v>267</v>
      </c>
      <c r="C136" s="27" t="s">
        <v>276</v>
      </c>
      <c r="D136" s="83"/>
      <c r="E136" s="69" t="str">
        <f>HYPERLINK("https://www.google.ru/search?q=MC-BA034&amp;newwindow=1&amp;tbm=isch","Еще фото")</f>
        <v>Еще фото</v>
      </c>
      <c r="F136" s="13"/>
      <c r="G136" s="11" t="s">
        <v>277</v>
      </c>
      <c r="H136" s="11" t="s">
        <v>27</v>
      </c>
      <c r="I136" s="14" t="s">
        <v>254</v>
      </c>
      <c r="J136" s="14" t="s">
        <v>255</v>
      </c>
      <c r="K136" s="15" t="s">
        <v>30</v>
      </c>
      <c r="L136" s="86"/>
      <c r="M136" s="14"/>
      <c r="N136" s="14" t="s">
        <v>70</v>
      </c>
      <c r="O136" s="14"/>
      <c r="P136" s="15" t="s">
        <v>256</v>
      </c>
      <c r="Q136" s="16">
        <v>4499</v>
      </c>
      <c r="R136" s="17">
        <v>45</v>
      </c>
      <c r="S136" s="18">
        <v>2845.6174999999994</v>
      </c>
      <c r="T136" s="19" t="s">
        <v>34</v>
      </c>
      <c r="U136" s="20" t="s">
        <v>77</v>
      </c>
      <c r="V136" s="21">
        <v>92</v>
      </c>
      <c r="W136" s="21">
        <v>3</v>
      </c>
      <c r="X136" s="22"/>
    </row>
    <row r="137" spans="1:24" s="1" customFormat="1" ht="21" customHeight="1" x14ac:dyDescent="0.3">
      <c r="A137" s="23" t="s">
        <v>23</v>
      </c>
      <c r="B137" s="23" t="s">
        <v>267</v>
      </c>
      <c r="C137" s="28" t="s">
        <v>276</v>
      </c>
      <c r="D137" s="84"/>
      <c r="E137" s="69" t="str">
        <f>HYPERLINK("https://www.google.ru/search?q=MC-BA034&amp;newwindow=1&amp;tbm=isch","Еще фото")</f>
        <v>Еще фото</v>
      </c>
      <c r="F137" s="13"/>
      <c r="G137" s="23" t="s">
        <v>277</v>
      </c>
      <c r="H137" s="23" t="s">
        <v>27</v>
      </c>
      <c r="I137" s="23" t="s">
        <v>254</v>
      </c>
      <c r="J137" s="14" t="s">
        <v>255</v>
      </c>
      <c r="K137" s="15" t="s">
        <v>30</v>
      </c>
      <c r="L137" s="87"/>
      <c r="M137" s="14"/>
      <c r="N137" s="14" t="s">
        <v>70</v>
      </c>
      <c r="O137" s="14"/>
      <c r="P137" s="15" t="s">
        <v>256</v>
      </c>
      <c r="Q137" s="16">
        <v>4499</v>
      </c>
      <c r="R137" s="17">
        <v>45</v>
      </c>
      <c r="S137" s="18">
        <v>2845.6174999999994</v>
      </c>
      <c r="T137" s="19" t="s">
        <v>34</v>
      </c>
      <c r="U137" s="20" t="s">
        <v>78</v>
      </c>
      <c r="V137" s="21">
        <v>98</v>
      </c>
      <c r="W137" s="21">
        <v>2</v>
      </c>
      <c r="X137" s="22"/>
    </row>
    <row r="138" spans="1:24" s="1" customFormat="1" ht="21" customHeight="1" x14ac:dyDescent="0.3">
      <c r="A138" s="23" t="s">
        <v>23</v>
      </c>
      <c r="B138" s="23" t="s">
        <v>267</v>
      </c>
      <c r="C138" s="28" t="s">
        <v>276</v>
      </c>
      <c r="D138" s="84"/>
      <c r="E138" s="69" t="str">
        <f>HYPERLINK("https://www.google.ru/search?q=MC-BA034&amp;newwindow=1&amp;tbm=isch","Еще фото")</f>
        <v>Еще фото</v>
      </c>
      <c r="F138" s="13"/>
      <c r="G138" s="23" t="s">
        <v>277</v>
      </c>
      <c r="H138" s="23" t="s">
        <v>27</v>
      </c>
      <c r="I138" s="23" t="s">
        <v>254</v>
      </c>
      <c r="J138" s="14" t="s">
        <v>255</v>
      </c>
      <c r="K138" s="15" t="s">
        <v>30</v>
      </c>
      <c r="L138" s="87"/>
      <c r="M138" s="14"/>
      <c r="N138" s="14" t="s">
        <v>70</v>
      </c>
      <c r="O138" s="14"/>
      <c r="P138" s="15" t="s">
        <v>256</v>
      </c>
      <c r="Q138" s="16">
        <v>4499</v>
      </c>
      <c r="R138" s="17">
        <v>45</v>
      </c>
      <c r="S138" s="18">
        <v>2845.6174999999994</v>
      </c>
      <c r="T138" s="19" t="s">
        <v>34</v>
      </c>
      <c r="U138" s="20" t="s">
        <v>94</v>
      </c>
      <c r="V138" s="21">
        <v>104</v>
      </c>
      <c r="W138" s="21">
        <v>5</v>
      </c>
      <c r="X138" s="22"/>
    </row>
    <row r="139" spans="1:24" s="1" customFormat="1" ht="21" customHeight="1" x14ac:dyDescent="0.3">
      <c r="A139" s="23" t="s">
        <v>23</v>
      </c>
      <c r="B139" s="23" t="s">
        <v>267</v>
      </c>
      <c r="C139" s="28" t="s">
        <v>276</v>
      </c>
      <c r="D139" s="84"/>
      <c r="E139" s="69" t="str">
        <f>HYPERLINK("https://www.google.ru/search?q=MC-BA034&amp;newwindow=1&amp;tbm=isch","Еще фото")</f>
        <v>Еще фото</v>
      </c>
      <c r="F139" s="13"/>
      <c r="G139" s="23" t="s">
        <v>277</v>
      </c>
      <c r="H139" s="23" t="s">
        <v>27</v>
      </c>
      <c r="I139" s="23" t="s">
        <v>254</v>
      </c>
      <c r="J139" s="14" t="s">
        <v>255</v>
      </c>
      <c r="K139" s="15" t="s">
        <v>30</v>
      </c>
      <c r="L139" s="87"/>
      <c r="M139" s="14"/>
      <c r="N139" s="14" t="s">
        <v>70</v>
      </c>
      <c r="O139" s="14"/>
      <c r="P139" s="15" t="s">
        <v>256</v>
      </c>
      <c r="Q139" s="16">
        <v>4499</v>
      </c>
      <c r="R139" s="17">
        <v>45</v>
      </c>
      <c r="S139" s="18">
        <v>2845.6174999999994</v>
      </c>
      <c r="T139" s="19" t="s">
        <v>34</v>
      </c>
      <c r="U139" s="20" t="s">
        <v>43</v>
      </c>
      <c r="V139" s="21">
        <v>110</v>
      </c>
      <c r="W139" s="21">
        <v>4</v>
      </c>
      <c r="X139" s="22"/>
    </row>
    <row r="140" spans="1:24" s="1" customFormat="1" ht="32.1" customHeight="1" x14ac:dyDescent="0.3">
      <c r="A140" s="23" t="s">
        <v>23</v>
      </c>
      <c r="B140" s="23" t="s">
        <v>267</v>
      </c>
      <c r="C140" s="28" t="s">
        <v>276</v>
      </c>
      <c r="D140" s="85"/>
      <c r="E140" s="69" t="str">
        <f>HYPERLINK("https://www.google.ru/search?q=MC-BA034&amp;newwindow=1&amp;tbm=isch","Еще фото")</f>
        <v>Еще фото</v>
      </c>
      <c r="F140" s="13"/>
      <c r="G140" s="23" t="s">
        <v>277</v>
      </c>
      <c r="H140" s="23" t="s">
        <v>27</v>
      </c>
      <c r="I140" s="23" t="s">
        <v>254</v>
      </c>
      <c r="J140" s="14" t="s">
        <v>255</v>
      </c>
      <c r="K140" s="15" t="s">
        <v>30</v>
      </c>
      <c r="L140" s="88"/>
      <c r="M140" s="14"/>
      <c r="N140" s="14" t="s">
        <v>70</v>
      </c>
      <c r="O140" s="14"/>
      <c r="P140" s="15" t="s">
        <v>256</v>
      </c>
      <c r="Q140" s="16">
        <v>4499</v>
      </c>
      <c r="R140" s="17">
        <v>45</v>
      </c>
      <c r="S140" s="18">
        <v>2845.6174999999994</v>
      </c>
      <c r="T140" s="19" t="s">
        <v>34</v>
      </c>
      <c r="U140" s="20" t="s">
        <v>35</v>
      </c>
      <c r="V140" s="21">
        <v>116</v>
      </c>
      <c r="W140" s="21">
        <v>4</v>
      </c>
      <c r="X140" s="22"/>
    </row>
    <row r="141" spans="1:24" s="1" customFormat="1" ht="21" customHeight="1" x14ac:dyDescent="0.3">
      <c r="A141" s="11" t="s">
        <v>23</v>
      </c>
      <c r="B141" s="11" t="s">
        <v>267</v>
      </c>
      <c r="C141" s="27" t="s">
        <v>278</v>
      </c>
      <c r="D141" s="83"/>
      <c r="E141" s="69" t="str">
        <f>HYPERLINK("https://www.google.ru/search?q=MC-BA035&amp;newwindow=1&amp;tbm=isch","Еще фото")</f>
        <v>Еще фото</v>
      </c>
      <c r="F141" s="13"/>
      <c r="G141" s="11" t="s">
        <v>269</v>
      </c>
      <c r="H141" s="11" t="s">
        <v>27</v>
      </c>
      <c r="I141" s="14" t="s">
        <v>254</v>
      </c>
      <c r="J141" s="14" t="s">
        <v>255</v>
      </c>
      <c r="K141" s="15" t="s">
        <v>30</v>
      </c>
      <c r="L141" s="86"/>
      <c r="M141" s="14"/>
      <c r="N141" s="14" t="s">
        <v>275</v>
      </c>
      <c r="O141" s="14"/>
      <c r="P141" s="15" t="s">
        <v>256</v>
      </c>
      <c r="Q141" s="16">
        <v>4499</v>
      </c>
      <c r="R141" s="17">
        <v>45</v>
      </c>
      <c r="S141" s="18">
        <v>2845.6174999999994</v>
      </c>
      <c r="T141" s="19" t="s">
        <v>34</v>
      </c>
      <c r="U141" s="20" t="s">
        <v>77</v>
      </c>
      <c r="V141" s="21">
        <v>92</v>
      </c>
      <c r="W141" s="21">
        <v>10</v>
      </c>
      <c r="X141" s="22"/>
    </row>
    <row r="142" spans="1:24" s="1" customFormat="1" ht="21" customHeight="1" x14ac:dyDescent="0.3">
      <c r="A142" s="23" t="s">
        <v>23</v>
      </c>
      <c r="B142" s="23" t="s">
        <v>267</v>
      </c>
      <c r="C142" s="28" t="s">
        <v>278</v>
      </c>
      <c r="D142" s="84"/>
      <c r="E142" s="69" t="str">
        <f>HYPERLINK("https://www.google.ru/search?q=MC-BA035&amp;newwindow=1&amp;tbm=isch","Еще фото")</f>
        <v>Еще фото</v>
      </c>
      <c r="F142" s="13"/>
      <c r="G142" s="23" t="s">
        <v>269</v>
      </c>
      <c r="H142" s="23" t="s">
        <v>27</v>
      </c>
      <c r="I142" s="23" t="s">
        <v>254</v>
      </c>
      <c r="J142" s="14" t="s">
        <v>255</v>
      </c>
      <c r="K142" s="15" t="s">
        <v>30</v>
      </c>
      <c r="L142" s="87"/>
      <c r="M142" s="14"/>
      <c r="N142" s="14" t="s">
        <v>275</v>
      </c>
      <c r="O142" s="14"/>
      <c r="P142" s="15" t="s">
        <v>256</v>
      </c>
      <c r="Q142" s="16">
        <v>4499</v>
      </c>
      <c r="R142" s="17">
        <v>45</v>
      </c>
      <c r="S142" s="18">
        <v>2845.6174999999994</v>
      </c>
      <c r="T142" s="19" t="s">
        <v>34</v>
      </c>
      <c r="U142" s="20" t="s">
        <v>78</v>
      </c>
      <c r="V142" s="21">
        <v>98</v>
      </c>
      <c r="W142" s="21">
        <v>7</v>
      </c>
      <c r="X142" s="22"/>
    </row>
    <row r="143" spans="1:24" s="1" customFormat="1" ht="21" customHeight="1" x14ac:dyDescent="0.3">
      <c r="A143" s="23" t="s">
        <v>23</v>
      </c>
      <c r="B143" s="23" t="s">
        <v>267</v>
      </c>
      <c r="C143" s="28" t="s">
        <v>278</v>
      </c>
      <c r="D143" s="84"/>
      <c r="E143" s="69" t="str">
        <f>HYPERLINK("https://www.google.ru/search?q=MC-BA035&amp;newwindow=1&amp;tbm=isch","Еще фото")</f>
        <v>Еще фото</v>
      </c>
      <c r="F143" s="13"/>
      <c r="G143" s="23" t="s">
        <v>269</v>
      </c>
      <c r="H143" s="23" t="s">
        <v>27</v>
      </c>
      <c r="I143" s="23" t="s">
        <v>254</v>
      </c>
      <c r="J143" s="14" t="s">
        <v>255</v>
      </c>
      <c r="K143" s="15" t="s">
        <v>30</v>
      </c>
      <c r="L143" s="87"/>
      <c r="M143" s="14"/>
      <c r="N143" s="14" t="s">
        <v>275</v>
      </c>
      <c r="O143" s="14"/>
      <c r="P143" s="15" t="s">
        <v>256</v>
      </c>
      <c r="Q143" s="16">
        <v>4499</v>
      </c>
      <c r="R143" s="17">
        <v>45</v>
      </c>
      <c r="S143" s="18">
        <v>2845.6174999999994</v>
      </c>
      <c r="T143" s="19" t="s">
        <v>34</v>
      </c>
      <c r="U143" s="20" t="s">
        <v>94</v>
      </c>
      <c r="V143" s="21">
        <v>104</v>
      </c>
      <c r="W143" s="21">
        <v>8</v>
      </c>
      <c r="X143" s="22"/>
    </row>
    <row r="144" spans="1:24" s="1" customFormat="1" ht="21" customHeight="1" x14ac:dyDescent="0.3">
      <c r="A144" s="23" t="s">
        <v>23</v>
      </c>
      <c r="B144" s="23" t="s">
        <v>267</v>
      </c>
      <c r="C144" s="28" t="s">
        <v>278</v>
      </c>
      <c r="D144" s="84"/>
      <c r="E144" s="69" t="str">
        <f>HYPERLINK("https://www.google.ru/search?q=MC-BA035&amp;newwindow=1&amp;tbm=isch","Еще фото")</f>
        <v>Еще фото</v>
      </c>
      <c r="F144" s="13"/>
      <c r="G144" s="23" t="s">
        <v>269</v>
      </c>
      <c r="H144" s="23" t="s">
        <v>27</v>
      </c>
      <c r="I144" s="23" t="s">
        <v>254</v>
      </c>
      <c r="J144" s="14" t="s">
        <v>255</v>
      </c>
      <c r="K144" s="15" t="s">
        <v>30</v>
      </c>
      <c r="L144" s="87"/>
      <c r="M144" s="14"/>
      <c r="N144" s="14" t="s">
        <v>275</v>
      </c>
      <c r="O144" s="14"/>
      <c r="P144" s="15" t="s">
        <v>256</v>
      </c>
      <c r="Q144" s="16">
        <v>4499</v>
      </c>
      <c r="R144" s="17">
        <v>45</v>
      </c>
      <c r="S144" s="18">
        <v>2845.6174999999994</v>
      </c>
      <c r="T144" s="19" t="s">
        <v>34</v>
      </c>
      <c r="U144" s="20" t="s">
        <v>43</v>
      </c>
      <c r="V144" s="21">
        <v>110</v>
      </c>
      <c r="W144" s="21">
        <v>10</v>
      </c>
      <c r="X144" s="22"/>
    </row>
    <row r="145" spans="1:24" s="1" customFormat="1" ht="32.1" customHeight="1" x14ac:dyDescent="0.3">
      <c r="A145" s="23" t="s">
        <v>23</v>
      </c>
      <c r="B145" s="23" t="s">
        <v>267</v>
      </c>
      <c r="C145" s="28" t="s">
        <v>278</v>
      </c>
      <c r="D145" s="85"/>
      <c r="E145" s="69" t="str">
        <f>HYPERLINK("https://www.google.ru/search?q=MC-BA035&amp;newwindow=1&amp;tbm=isch","Еще фото")</f>
        <v>Еще фото</v>
      </c>
      <c r="F145" s="13"/>
      <c r="G145" s="23" t="s">
        <v>269</v>
      </c>
      <c r="H145" s="23" t="s">
        <v>27</v>
      </c>
      <c r="I145" s="23" t="s">
        <v>254</v>
      </c>
      <c r="J145" s="14" t="s">
        <v>255</v>
      </c>
      <c r="K145" s="15" t="s">
        <v>30</v>
      </c>
      <c r="L145" s="88"/>
      <c r="M145" s="14"/>
      <c r="N145" s="14" t="s">
        <v>275</v>
      </c>
      <c r="O145" s="14"/>
      <c r="P145" s="15" t="s">
        <v>256</v>
      </c>
      <c r="Q145" s="16">
        <v>4499</v>
      </c>
      <c r="R145" s="17">
        <v>45</v>
      </c>
      <c r="S145" s="18">
        <v>2845.6174999999994</v>
      </c>
      <c r="T145" s="19" t="s">
        <v>34</v>
      </c>
      <c r="U145" s="20" t="s">
        <v>35</v>
      </c>
      <c r="V145" s="21">
        <v>116</v>
      </c>
      <c r="W145" s="21">
        <v>8</v>
      </c>
      <c r="X145" s="22"/>
    </row>
    <row r="146" spans="1:24" s="1" customFormat="1" ht="108" customHeight="1" x14ac:dyDescent="0.3">
      <c r="A146" s="11" t="s">
        <v>23</v>
      </c>
      <c r="B146" s="11" t="s">
        <v>267</v>
      </c>
      <c r="C146" s="12" t="s">
        <v>279</v>
      </c>
      <c r="D146" s="24"/>
      <c r="E146" s="69" t="str">
        <f>HYPERLINK("https://www.google.ru/search?q=MC-BA035-1&amp;newwindow=1&amp;tbm=isch","Еще фото")</f>
        <v>Еще фото</v>
      </c>
      <c r="F146" s="13"/>
      <c r="G146" s="11" t="s">
        <v>269</v>
      </c>
      <c r="H146" s="11" t="s">
        <v>27</v>
      </c>
      <c r="I146" s="14" t="s">
        <v>254</v>
      </c>
      <c r="J146" s="14" t="s">
        <v>255</v>
      </c>
      <c r="K146" s="15" t="s">
        <v>30</v>
      </c>
      <c r="L146" s="14"/>
      <c r="M146" s="14"/>
      <c r="N146" s="14" t="s">
        <v>275</v>
      </c>
      <c r="O146" s="14"/>
      <c r="P146" s="15" t="s">
        <v>256</v>
      </c>
      <c r="Q146" s="16">
        <v>4499</v>
      </c>
      <c r="R146" s="17">
        <v>45</v>
      </c>
      <c r="S146" s="18">
        <v>2845.6174999999994</v>
      </c>
      <c r="T146" s="19" t="s">
        <v>34</v>
      </c>
      <c r="U146" s="20" t="s">
        <v>196</v>
      </c>
      <c r="V146" s="21">
        <v>86</v>
      </c>
      <c r="W146" s="21">
        <v>8</v>
      </c>
      <c r="X146" s="22"/>
    </row>
    <row r="147" spans="1:24" s="1" customFormat="1" ht="35.1" customHeight="1" x14ac:dyDescent="0.3">
      <c r="A147" s="11" t="s">
        <v>23</v>
      </c>
      <c r="B147" s="11" t="s">
        <v>267</v>
      </c>
      <c r="C147" s="12" t="s">
        <v>280</v>
      </c>
      <c r="D147" s="83"/>
      <c r="E147" s="69" t="str">
        <f>HYPERLINK("https://www.google.ru/search?q=MC-BA037&amp;newwindow=1&amp;tbm=isch","Еще фото")</f>
        <v>Еще фото</v>
      </c>
      <c r="F147" s="13"/>
      <c r="G147" s="11" t="s">
        <v>269</v>
      </c>
      <c r="H147" s="11" t="s">
        <v>27</v>
      </c>
      <c r="I147" s="14" t="s">
        <v>254</v>
      </c>
      <c r="J147" s="14" t="s">
        <v>255</v>
      </c>
      <c r="K147" s="15" t="s">
        <v>30</v>
      </c>
      <c r="L147" s="86"/>
      <c r="M147" s="14"/>
      <c r="N147" s="14" t="s">
        <v>70</v>
      </c>
      <c r="O147" s="14"/>
      <c r="P147" s="15" t="s">
        <v>256</v>
      </c>
      <c r="Q147" s="16">
        <v>4499</v>
      </c>
      <c r="R147" s="17">
        <v>45</v>
      </c>
      <c r="S147" s="18">
        <v>2845.6174999999994</v>
      </c>
      <c r="T147" s="19" t="s">
        <v>34</v>
      </c>
      <c r="U147" s="20" t="s">
        <v>77</v>
      </c>
      <c r="V147" s="21">
        <v>92</v>
      </c>
      <c r="W147" s="21">
        <v>4</v>
      </c>
      <c r="X147" s="22"/>
    </row>
    <row r="148" spans="1:24" s="1" customFormat="1" ht="35.1" customHeight="1" x14ac:dyDescent="0.3">
      <c r="A148" s="23" t="s">
        <v>23</v>
      </c>
      <c r="B148" s="23" t="s">
        <v>267</v>
      </c>
      <c r="C148" s="12" t="s">
        <v>280</v>
      </c>
      <c r="D148" s="84"/>
      <c r="E148" s="69" t="str">
        <f>HYPERLINK("https://www.google.ru/search?q=MC-BA037&amp;newwindow=1&amp;tbm=isch","Еще фото")</f>
        <v>Еще фото</v>
      </c>
      <c r="F148" s="13"/>
      <c r="G148" s="23" t="s">
        <v>269</v>
      </c>
      <c r="H148" s="23" t="s">
        <v>27</v>
      </c>
      <c r="I148" s="23" t="s">
        <v>254</v>
      </c>
      <c r="J148" s="14" t="s">
        <v>255</v>
      </c>
      <c r="K148" s="15" t="s">
        <v>30</v>
      </c>
      <c r="L148" s="87"/>
      <c r="M148" s="14"/>
      <c r="N148" s="14" t="s">
        <v>70</v>
      </c>
      <c r="O148" s="14"/>
      <c r="P148" s="15" t="s">
        <v>256</v>
      </c>
      <c r="Q148" s="16">
        <v>4499</v>
      </c>
      <c r="R148" s="17">
        <v>45</v>
      </c>
      <c r="S148" s="18">
        <v>2845.6174999999994</v>
      </c>
      <c r="T148" s="19" t="s">
        <v>34</v>
      </c>
      <c r="U148" s="20" t="s">
        <v>43</v>
      </c>
      <c r="V148" s="21">
        <v>110</v>
      </c>
      <c r="W148" s="21">
        <v>5</v>
      </c>
      <c r="X148" s="22"/>
    </row>
    <row r="149" spans="1:24" s="1" customFormat="1" ht="36.950000000000003" customHeight="1" x14ac:dyDescent="0.3">
      <c r="A149" s="23" t="s">
        <v>23</v>
      </c>
      <c r="B149" s="23" t="s">
        <v>267</v>
      </c>
      <c r="C149" s="12" t="s">
        <v>280</v>
      </c>
      <c r="D149" s="85"/>
      <c r="E149" s="69" t="str">
        <f>HYPERLINK("https://www.google.ru/search?q=MC-BA037&amp;newwindow=1&amp;tbm=isch","Еще фото")</f>
        <v>Еще фото</v>
      </c>
      <c r="F149" s="13"/>
      <c r="G149" s="23" t="s">
        <v>269</v>
      </c>
      <c r="H149" s="23" t="s">
        <v>27</v>
      </c>
      <c r="I149" s="23" t="s">
        <v>254</v>
      </c>
      <c r="J149" s="14" t="s">
        <v>255</v>
      </c>
      <c r="K149" s="15" t="s">
        <v>30</v>
      </c>
      <c r="L149" s="88"/>
      <c r="M149" s="14"/>
      <c r="N149" s="14" t="s">
        <v>70</v>
      </c>
      <c r="O149" s="14"/>
      <c r="P149" s="15" t="s">
        <v>256</v>
      </c>
      <c r="Q149" s="16">
        <v>4499</v>
      </c>
      <c r="R149" s="17">
        <v>45</v>
      </c>
      <c r="S149" s="18">
        <v>2845.6174999999994</v>
      </c>
      <c r="T149" s="19" t="s">
        <v>34</v>
      </c>
      <c r="U149" s="20" t="s">
        <v>35</v>
      </c>
      <c r="V149" s="21">
        <v>116</v>
      </c>
      <c r="W149" s="21">
        <v>4</v>
      </c>
      <c r="X149" s="22"/>
    </row>
    <row r="150" spans="1:24" s="1" customFormat="1" ht="108" customHeight="1" x14ac:dyDescent="0.3">
      <c r="A150" s="11" t="s">
        <v>23</v>
      </c>
      <c r="B150" s="11" t="s">
        <v>267</v>
      </c>
      <c r="C150" s="12" t="s">
        <v>281</v>
      </c>
      <c r="D150" s="24"/>
      <c r="E150" s="69" t="str">
        <f>HYPERLINK("https://www.google.ru/search?q=MC-BA037-1&amp;newwindow=1&amp;tbm=isch","Еще фото")</f>
        <v>Еще фото</v>
      </c>
      <c r="F150" s="13"/>
      <c r="G150" s="11" t="s">
        <v>269</v>
      </c>
      <c r="H150" s="11" t="s">
        <v>27</v>
      </c>
      <c r="I150" s="14" t="s">
        <v>254</v>
      </c>
      <c r="J150" s="14" t="s">
        <v>255</v>
      </c>
      <c r="K150" s="15" t="s">
        <v>30</v>
      </c>
      <c r="L150" s="14"/>
      <c r="M150" s="14"/>
      <c r="N150" s="14" t="s">
        <v>70</v>
      </c>
      <c r="O150" s="14"/>
      <c r="P150" s="15" t="s">
        <v>256</v>
      </c>
      <c r="Q150" s="16">
        <v>4499</v>
      </c>
      <c r="R150" s="17">
        <v>45</v>
      </c>
      <c r="S150" s="18">
        <v>2845.6174999999994</v>
      </c>
      <c r="T150" s="19" t="s">
        <v>34</v>
      </c>
      <c r="U150" s="20" t="s">
        <v>196</v>
      </c>
      <c r="V150" s="21">
        <v>86</v>
      </c>
      <c r="W150" s="21">
        <v>4</v>
      </c>
      <c r="X150" s="22"/>
    </row>
    <row r="151" spans="1:24" s="1" customFormat="1" ht="21" customHeight="1" x14ac:dyDescent="0.3">
      <c r="A151" s="11" t="s">
        <v>23</v>
      </c>
      <c r="B151" s="11" t="s">
        <v>267</v>
      </c>
      <c r="C151" s="27" t="s">
        <v>282</v>
      </c>
      <c r="D151" s="83"/>
      <c r="E151" s="69" t="str">
        <f>HYPERLINK("https://www.google.ru/search?q=MC-BA047&amp;newwindow=1&amp;tbm=isch","Еще фото")</f>
        <v>Еще фото</v>
      </c>
      <c r="F151" s="13"/>
      <c r="G151" s="11" t="s">
        <v>269</v>
      </c>
      <c r="H151" s="11" t="s">
        <v>27</v>
      </c>
      <c r="I151" s="14" t="s">
        <v>254</v>
      </c>
      <c r="J151" s="14" t="s">
        <v>255</v>
      </c>
      <c r="K151" s="15" t="s">
        <v>30</v>
      </c>
      <c r="L151" s="86"/>
      <c r="M151" s="14"/>
      <c r="N151" s="14" t="s">
        <v>275</v>
      </c>
      <c r="O151" s="14"/>
      <c r="P151" s="15" t="s">
        <v>256</v>
      </c>
      <c r="Q151" s="16">
        <v>4499</v>
      </c>
      <c r="R151" s="17">
        <v>45</v>
      </c>
      <c r="S151" s="18">
        <v>2845.6174999999994</v>
      </c>
      <c r="T151" s="19" t="s">
        <v>34</v>
      </c>
      <c r="U151" s="20" t="s">
        <v>77</v>
      </c>
      <c r="V151" s="21">
        <v>92</v>
      </c>
      <c r="W151" s="21">
        <v>5</v>
      </c>
      <c r="X151" s="22"/>
    </row>
    <row r="152" spans="1:24" s="1" customFormat="1" ht="21" customHeight="1" x14ac:dyDescent="0.3">
      <c r="A152" s="23" t="s">
        <v>23</v>
      </c>
      <c r="B152" s="23" t="s">
        <v>267</v>
      </c>
      <c r="C152" s="28" t="s">
        <v>282</v>
      </c>
      <c r="D152" s="84"/>
      <c r="E152" s="69" t="str">
        <f>HYPERLINK("https://www.google.ru/search?q=MC-BA047&amp;newwindow=1&amp;tbm=isch","Еще фото")</f>
        <v>Еще фото</v>
      </c>
      <c r="F152" s="13"/>
      <c r="G152" s="23" t="s">
        <v>269</v>
      </c>
      <c r="H152" s="23" t="s">
        <v>27</v>
      </c>
      <c r="I152" s="23" t="s">
        <v>254</v>
      </c>
      <c r="J152" s="14" t="s">
        <v>255</v>
      </c>
      <c r="K152" s="15" t="s">
        <v>30</v>
      </c>
      <c r="L152" s="87"/>
      <c r="M152" s="14"/>
      <c r="N152" s="14" t="s">
        <v>275</v>
      </c>
      <c r="O152" s="14"/>
      <c r="P152" s="15" t="s">
        <v>256</v>
      </c>
      <c r="Q152" s="16">
        <v>4499</v>
      </c>
      <c r="R152" s="17">
        <v>45</v>
      </c>
      <c r="S152" s="18">
        <v>2845.6174999999994</v>
      </c>
      <c r="T152" s="19" t="s">
        <v>34</v>
      </c>
      <c r="U152" s="20" t="s">
        <v>78</v>
      </c>
      <c r="V152" s="21">
        <v>98</v>
      </c>
      <c r="W152" s="21">
        <v>5</v>
      </c>
      <c r="X152" s="22"/>
    </row>
    <row r="153" spans="1:24" s="1" customFormat="1" ht="21" customHeight="1" x14ac:dyDescent="0.3">
      <c r="A153" s="23" t="s">
        <v>23</v>
      </c>
      <c r="B153" s="23" t="s">
        <v>267</v>
      </c>
      <c r="C153" s="28" t="s">
        <v>282</v>
      </c>
      <c r="D153" s="84"/>
      <c r="E153" s="69" t="str">
        <f>HYPERLINK("https://www.google.ru/search?q=MC-BA047&amp;newwindow=1&amp;tbm=isch","Еще фото")</f>
        <v>Еще фото</v>
      </c>
      <c r="F153" s="13"/>
      <c r="G153" s="23" t="s">
        <v>269</v>
      </c>
      <c r="H153" s="23" t="s">
        <v>27</v>
      </c>
      <c r="I153" s="23" t="s">
        <v>254</v>
      </c>
      <c r="J153" s="14" t="s">
        <v>255</v>
      </c>
      <c r="K153" s="15" t="s">
        <v>30</v>
      </c>
      <c r="L153" s="87"/>
      <c r="M153" s="14"/>
      <c r="N153" s="14" t="s">
        <v>275</v>
      </c>
      <c r="O153" s="14"/>
      <c r="P153" s="15" t="s">
        <v>256</v>
      </c>
      <c r="Q153" s="16">
        <v>4499</v>
      </c>
      <c r="R153" s="17">
        <v>45</v>
      </c>
      <c r="S153" s="18">
        <v>2845.6174999999994</v>
      </c>
      <c r="T153" s="19" t="s">
        <v>34</v>
      </c>
      <c r="U153" s="20" t="s">
        <v>94</v>
      </c>
      <c r="V153" s="21">
        <v>104</v>
      </c>
      <c r="W153" s="21">
        <v>5</v>
      </c>
      <c r="X153" s="22"/>
    </row>
    <row r="154" spans="1:24" s="1" customFormat="1" ht="21" customHeight="1" x14ac:dyDescent="0.3">
      <c r="A154" s="23" t="s">
        <v>23</v>
      </c>
      <c r="B154" s="23" t="s">
        <v>267</v>
      </c>
      <c r="C154" s="28" t="s">
        <v>282</v>
      </c>
      <c r="D154" s="84"/>
      <c r="E154" s="69" t="str">
        <f>HYPERLINK("https://www.google.ru/search?q=MC-BA047&amp;newwindow=1&amp;tbm=isch","Еще фото")</f>
        <v>Еще фото</v>
      </c>
      <c r="F154" s="13"/>
      <c r="G154" s="23" t="s">
        <v>269</v>
      </c>
      <c r="H154" s="23" t="s">
        <v>27</v>
      </c>
      <c r="I154" s="23" t="s">
        <v>254</v>
      </c>
      <c r="J154" s="14" t="s">
        <v>255</v>
      </c>
      <c r="K154" s="15" t="s">
        <v>30</v>
      </c>
      <c r="L154" s="87"/>
      <c r="M154" s="14"/>
      <c r="N154" s="14" t="s">
        <v>275</v>
      </c>
      <c r="O154" s="14"/>
      <c r="P154" s="15" t="s">
        <v>256</v>
      </c>
      <c r="Q154" s="16">
        <v>4499</v>
      </c>
      <c r="R154" s="17">
        <v>45</v>
      </c>
      <c r="S154" s="18">
        <v>2845.6174999999994</v>
      </c>
      <c r="T154" s="19" t="s">
        <v>34</v>
      </c>
      <c r="U154" s="20" t="s">
        <v>43</v>
      </c>
      <c r="V154" s="21">
        <v>110</v>
      </c>
      <c r="W154" s="21">
        <v>6</v>
      </c>
      <c r="X154" s="22"/>
    </row>
    <row r="155" spans="1:24" s="1" customFormat="1" ht="32.1" customHeight="1" x14ac:dyDescent="0.3">
      <c r="A155" s="23" t="s">
        <v>23</v>
      </c>
      <c r="B155" s="23" t="s">
        <v>267</v>
      </c>
      <c r="C155" s="28" t="s">
        <v>282</v>
      </c>
      <c r="D155" s="85"/>
      <c r="E155" s="69" t="str">
        <f>HYPERLINK("https://www.google.ru/search?q=MC-BA047&amp;newwindow=1&amp;tbm=isch","Еще фото")</f>
        <v>Еще фото</v>
      </c>
      <c r="F155" s="13"/>
      <c r="G155" s="23" t="s">
        <v>269</v>
      </c>
      <c r="H155" s="23" t="s">
        <v>27</v>
      </c>
      <c r="I155" s="23" t="s">
        <v>254</v>
      </c>
      <c r="J155" s="14" t="s">
        <v>255</v>
      </c>
      <c r="K155" s="15" t="s">
        <v>30</v>
      </c>
      <c r="L155" s="88"/>
      <c r="M155" s="14"/>
      <c r="N155" s="14" t="s">
        <v>275</v>
      </c>
      <c r="O155" s="14"/>
      <c r="P155" s="15" t="s">
        <v>256</v>
      </c>
      <c r="Q155" s="16">
        <v>4499</v>
      </c>
      <c r="R155" s="17">
        <v>45</v>
      </c>
      <c r="S155" s="18">
        <v>2845.6174999999994</v>
      </c>
      <c r="T155" s="19" t="s">
        <v>34</v>
      </c>
      <c r="U155" s="20" t="s">
        <v>35</v>
      </c>
      <c r="V155" s="21">
        <v>116</v>
      </c>
      <c r="W155" s="21">
        <v>2</v>
      </c>
      <c r="X155" s="22"/>
    </row>
    <row r="156" spans="1:24" s="1" customFormat="1" ht="108" customHeight="1" x14ac:dyDescent="0.3">
      <c r="A156" s="11" t="s">
        <v>23</v>
      </c>
      <c r="B156" s="11" t="s">
        <v>267</v>
      </c>
      <c r="C156" s="12" t="s">
        <v>283</v>
      </c>
      <c r="D156" s="24"/>
      <c r="E156" s="69" t="str">
        <f>HYPERLINK("https://www.google.ru/search?q=MC-BA047-1&amp;newwindow=1&amp;tbm=isch","Еще фото")</f>
        <v>Еще фото</v>
      </c>
      <c r="F156" s="13"/>
      <c r="G156" s="11" t="s">
        <v>269</v>
      </c>
      <c r="H156" s="11" t="s">
        <v>27</v>
      </c>
      <c r="I156" s="14" t="s">
        <v>254</v>
      </c>
      <c r="J156" s="14" t="s">
        <v>255</v>
      </c>
      <c r="K156" s="15" t="s">
        <v>30</v>
      </c>
      <c r="L156" s="14"/>
      <c r="M156" s="14"/>
      <c r="N156" s="14" t="s">
        <v>275</v>
      </c>
      <c r="O156" s="14"/>
      <c r="P156" s="15" t="s">
        <v>256</v>
      </c>
      <c r="Q156" s="16">
        <v>4499</v>
      </c>
      <c r="R156" s="17">
        <v>45</v>
      </c>
      <c r="S156" s="18">
        <v>2845.6174999999994</v>
      </c>
      <c r="T156" s="19" t="s">
        <v>34</v>
      </c>
      <c r="U156" s="20" t="s">
        <v>196</v>
      </c>
      <c r="V156" s="21">
        <v>86</v>
      </c>
      <c r="W156" s="21">
        <v>3</v>
      </c>
      <c r="X156" s="22"/>
    </row>
    <row r="157" spans="1:24" s="1" customFormat="1" ht="35.1" customHeight="1" x14ac:dyDescent="0.3">
      <c r="A157" s="11" t="s">
        <v>23</v>
      </c>
      <c r="B157" s="11" t="s">
        <v>284</v>
      </c>
      <c r="C157" s="12" t="s">
        <v>285</v>
      </c>
      <c r="D157" s="83"/>
      <c r="E157" s="69" t="str">
        <f>HYPERLINK("https://www.google.ru/search?q=MC-BA053&amp;newwindow=1&amp;tbm=isch","Еще фото")</f>
        <v>Еще фото</v>
      </c>
      <c r="F157" s="13"/>
      <c r="G157" s="11" t="s">
        <v>264</v>
      </c>
      <c r="H157" s="11" t="s">
        <v>27</v>
      </c>
      <c r="I157" s="14" t="s">
        <v>254</v>
      </c>
      <c r="J157" s="14" t="s">
        <v>29</v>
      </c>
      <c r="K157" s="15" t="s">
        <v>30</v>
      </c>
      <c r="L157" s="86"/>
      <c r="M157" s="14" t="s">
        <v>73</v>
      </c>
      <c r="N157" s="14" t="s">
        <v>70</v>
      </c>
      <c r="O157" s="14"/>
      <c r="P157" s="15" t="s">
        <v>286</v>
      </c>
      <c r="Q157" s="16">
        <v>4099</v>
      </c>
      <c r="R157" s="17">
        <v>45</v>
      </c>
      <c r="S157" s="18">
        <v>2592.6174999999994</v>
      </c>
      <c r="T157" s="19" t="s">
        <v>34</v>
      </c>
      <c r="U157" s="20" t="s">
        <v>77</v>
      </c>
      <c r="V157" s="21">
        <v>92</v>
      </c>
      <c r="W157" s="21">
        <v>3</v>
      </c>
      <c r="X157" s="22"/>
    </row>
    <row r="158" spans="1:24" s="1" customFormat="1" ht="35.1" customHeight="1" x14ac:dyDescent="0.3">
      <c r="A158" s="23" t="s">
        <v>23</v>
      </c>
      <c r="B158" s="23" t="s">
        <v>284</v>
      </c>
      <c r="C158" s="12" t="s">
        <v>285</v>
      </c>
      <c r="D158" s="84"/>
      <c r="E158" s="69" t="str">
        <f>HYPERLINK("https://www.google.ru/search?q=MC-BA053&amp;newwindow=1&amp;tbm=isch","Еще фото")</f>
        <v>Еще фото</v>
      </c>
      <c r="F158" s="13"/>
      <c r="G158" s="23" t="s">
        <v>264</v>
      </c>
      <c r="H158" s="23" t="s">
        <v>27</v>
      </c>
      <c r="I158" s="23" t="s">
        <v>254</v>
      </c>
      <c r="J158" s="14" t="s">
        <v>29</v>
      </c>
      <c r="K158" s="15" t="s">
        <v>30</v>
      </c>
      <c r="L158" s="87"/>
      <c r="M158" s="14" t="s">
        <v>73</v>
      </c>
      <c r="N158" s="14" t="s">
        <v>70</v>
      </c>
      <c r="O158" s="14"/>
      <c r="P158" s="15" t="s">
        <v>286</v>
      </c>
      <c r="Q158" s="16">
        <v>4099</v>
      </c>
      <c r="R158" s="17">
        <v>45</v>
      </c>
      <c r="S158" s="18">
        <v>2592.6174999999994</v>
      </c>
      <c r="T158" s="19" t="s">
        <v>34</v>
      </c>
      <c r="U158" s="20" t="s">
        <v>78</v>
      </c>
      <c r="V158" s="21">
        <v>98</v>
      </c>
      <c r="W158" s="21">
        <v>6</v>
      </c>
      <c r="X158" s="22"/>
    </row>
    <row r="159" spans="1:24" s="1" customFormat="1" ht="36.950000000000003" customHeight="1" x14ac:dyDescent="0.3">
      <c r="A159" s="23" t="s">
        <v>23</v>
      </c>
      <c r="B159" s="23" t="s">
        <v>284</v>
      </c>
      <c r="C159" s="12" t="s">
        <v>285</v>
      </c>
      <c r="D159" s="85"/>
      <c r="E159" s="69" t="str">
        <f>HYPERLINK("https://www.google.ru/search?q=MC-BA053&amp;newwindow=1&amp;tbm=isch","Еще фото")</f>
        <v>Еще фото</v>
      </c>
      <c r="F159" s="13"/>
      <c r="G159" s="23" t="s">
        <v>264</v>
      </c>
      <c r="H159" s="23" t="s">
        <v>27</v>
      </c>
      <c r="I159" s="23" t="s">
        <v>254</v>
      </c>
      <c r="J159" s="14" t="s">
        <v>29</v>
      </c>
      <c r="K159" s="15" t="s">
        <v>30</v>
      </c>
      <c r="L159" s="88"/>
      <c r="M159" s="14" t="s">
        <v>73</v>
      </c>
      <c r="N159" s="14" t="s">
        <v>70</v>
      </c>
      <c r="O159" s="14"/>
      <c r="P159" s="15" t="s">
        <v>286</v>
      </c>
      <c r="Q159" s="16">
        <v>4099</v>
      </c>
      <c r="R159" s="17">
        <v>45</v>
      </c>
      <c r="S159" s="18">
        <v>2592.6174999999994</v>
      </c>
      <c r="T159" s="19" t="s">
        <v>34</v>
      </c>
      <c r="U159" s="20" t="s">
        <v>94</v>
      </c>
      <c r="V159" s="21">
        <v>104</v>
      </c>
      <c r="W159" s="21">
        <v>3</v>
      </c>
      <c r="X159" s="22"/>
    </row>
    <row r="160" spans="1:24" s="1" customFormat="1" ht="108" customHeight="1" x14ac:dyDescent="0.3">
      <c r="A160" s="11" t="s">
        <v>23</v>
      </c>
      <c r="B160" s="11" t="s">
        <v>284</v>
      </c>
      <c r="C160" s="12" t="s">
        <v>287</v>
      </c>
      <c r="D160" s="24"/>
      <c r="E160" s="69" t="str">
        <f>HYPERLINK("https://www.google.ru/search?q=MC-BA053-1&amp;newwindow=1&amp;tbm=isch","Еще фото")</f>
        <v>Еще фото</v>
      </c>
      <c r="F160" s="13"/>
      <c r="G160" s="11" t="s">
        <v>264</v>
      </c>
      <c r="H160" s="11" t="s">
        <v>27</v>
      </c>
      <c r="I160" s="14" t="s">
        <v>254</v>
      </c>
      <c r="J160" s="14" t="s">
        <v>29</v>
      </c>
      <c r="K160" s="15" t="s">
        <v>30</v>
      </c>
      <c r="L160" s="14"/>
      <c r="M160" s="14" t="s">
        <v>73</v>
      </c>
      <c r="N160" s="14" t="s">
        <v>70</v>
      </c>
      <c r="O160" s="14"/>
      <c r="P160" s="15" t="s">
        <v>286</v>
      </c>
      <c r="Q160" s="16">
        <v>4099</v>
      </c>
      <c r="R160" s="17">
        <v>45</v>
      </c>
      <c r="S160" s="18">
        <v>2592.6174999999994</v>
      </c>
      <c r="T160" s="19" t="s">
        <v>34</v>
      </c>
      <c r="U160" s="20" t="s">
        <v>196</v>
      </c>
      <c r="V160" s="21">
        <v>86</v>
      </c>
      <c r="W160" s="21">
        <v>8</v>
      </c>
      <c r="X160" s="22"/>
    </row>
    <row r="161" spans="1:24" s="1" customFormat="1" ht="17.100000000000001" customHeight="1" x14ac:dyDescent="0.3">
      <c r="A161" s="11" t="s">
        <v>23</v>
      </c>
      <c r="B161" s="11" t="s">
        <v>267</v>
      </c>
      <c r="C161" s="12" t="s">
        <v>288</v>
      </c>
      <c r="D161" s="83"/>
      <c r="E161" s="69" t="str">
        <f t="shared" ref="E161:E166" si="2">HYPERLINK("https://www.google.ru/search?q=MC-BA225&amp;newwindow=1&amp;tbm=isch","Еще фото")</f>
        <v>Еще фото</v>
      </c>
      <c r="F161" s="13"/>
      <c r="G161" s="11" t="s">
        <v>269</v>
      </c>
      <c r="H161" s="11" t="s">
        <v>27</v>
      </c>
      <c r="I161" s="14" t="s">
        <v>254</v>
      </c>
      <c r="J161" s="14" t="s">
        <v>255</v>
      </c>
      <c r="K161" s="15" t="s">
        <v>30</v>
      </c>
      <c r="L161" s="86"/>
      <c r="M161" s="14"/>
      <c r="N161" s="14" t="s">
        <v>32</v>
      </c>
      <c r="O161" s="14"/>
      <c r="P161" s="15" t="s">
        <v>256</v>
      </c>
      <c r="Q161" s="16">
        <v>4499</v>
      </c>
      <c r="R161" s="17">
        <v>45</v>
      </c>
      <c r="S161" s="18">
        <v>2845.6174999999994</v>
      </c>
      <c r="T161" s="19" t="s">
        <v>34</v>
      </c>
      <c r="U161" s="20" t="s">
        <v>77</v>
      </c>
      <c r="V161" s="21">
        <v>92</v>
      </c>
      <c r="W161" s="21">
        <v>5</v>
      </c>
      <c r="X161" s="22"/>
    </row>
    <row r="162" spans="1:24" s="1" customFormat="1" ht="17.100000000000001" customHeight="1" x14ac:dyDescent="0.3">
      <c r="A162" s="23" t="s">
        <v>23</v>
      </c>
      <c r="B162" s="23" t="s">
        <v>267</v>
      </c>
      <c r="C162" s="12" t="s">
        <v>288</v>
      </c>
      <c r="D162" s="84"/>
      <c r="E162" s="69" t="str">
        <f t="shared" si="2"/>
        <v>Еще фото</v>
      </c>
      <c r="F162" s="13"/>
      <c r="G162" s="23" t="s">
        <v>269</v>
      </c>
      <c r="H162" s="23" t="s">
        <v>27</v>
      </c>
      <c r="I162" s="23" t="s">
        <v>254</v>
      </c>
      <c r="J162" s="14" t="s">
        <v>255</v>
      </c>
      <c r="K162" s="15" t="s">
        <v>30</v>
      </c>
      <c r="L162" s="87"/>
      <c r="M162" s="14"/>
      <c r="N162" s="14" t="s">
        <v>32</v>
      </c>
      <c r="O162" s="14"/>
      <c r="P162" s="15" t="s">
        <v>256</v>
      </c>
      <c r="Q162" s="16">
        <v>4499</v>
      </c>
      <c r="R162" s="17">
        <v>45</v>
      </c>
      <c r="S162" s="18">
        <v>2845.6174999999994</v>
      </c>
      <c r="T162" s="19" t="s">
        <v>34</v>
      </c>
      <c r="U162" s="20" t="s">
        <v>78</v>
      </c>
      <c r="V162" s="21">
        <v>98</v>
      </c>
      <c r="W162" s="21">
        <v>5</v>
      </c>
      <c r="X162" s="22"/>
    </row>
    <row r="163" spans="1:24" s="1" customFormat="1" ht="17.100000000000001" customHeight="1" x14ac:dyDescent="0.3">
      <c r="A163" s="23" t="s">
        <v>23</v>
      </c>
      <c r="B163" s="23" t="s">
        <v>267</v>
      </c>
      <c r="C163" s="12" t="s">
        <v>288</v>
      </c>
      <c r="D163" s="84"/>
      <c r="E163" s="69" t="str">
        <f t="shared" si="2"/>
        <v>Еще фото</v>
      </c>
      <c r="F163" s="13"/>
      <c r="G163" s="23" t="s">
        <v>269</v>
      </c>
      <c r="H163" s="23" t="s">
        <v>27</v>
      </c>
      <c r="I163" s="23" t="s">
        <v>254</v>
      </c>
      <c r="J163" s="14" t="s">
        <v>255</v>
      </c>
      <c r="K163" s="15" t="s">
        <v>30</v>
      </c>
      <c r="L163" s="87"/>
      <c r="M163" s="14"/>
      <c r="N163" s="14" t="s">
        <v>32</v>
      </c>
      <c r="O163" s="14"/>
      <c r="P163" s="15" t="s">
        <v>256</v>
      </c>
      <c r="Q163" s="16">
        <v>4499</v>
      </c>
      <c r="R163" s="17">
        <v>45</v>
      </c>
      <c r="S163" s="18">
        <v>2845.6174999999994</v>
      </c>
      <c r="T163" s="19" t="s">
        <v>34</v>
      </c>
      <c r="U163" s="20" t="s">
        <v>94</v>
      </c>
      <c r="V163" s="21">
        <v>104</v>
      </c>
      <c r="W163" s="21">
        <v>5</v>
      </c>
      <c r="X163" s="22"/>
    </row>
    <row r="164" spans="1:24" s="1" customFormat="1" ht="17.100000000000001" customHeight="1" x14ac:dyDescent="0.3">
      <c r="A164" s="23" t="s">
        <v>23</v>
      </c>
      <c r="B164" s="23" t="s">
        <v>267</v>
      </c>
      <c r="C164" s="12" t="s">
        <v>288</v>
      </c>
      <c r="D164" s="84"/>
      <c r="E164" s="69" t="str">
        <f t="shared" si="2"/>
        <v>Еще фото</v>
      </c>
      <c r="F164" s="13"/>
      <c r="G164" s="23" t="s">
        <v>269</v>
      </c>
      <c r="H164" s="23" t="s">
        <v>27</v>
      </c>
      <c r="I164" s="23" t="s">
        <v>254</v>
      </c>
      <c r="J164" s="14" t="s">
        <v>255</v>
      </c>
      <c r="K164" s="15" t="s">
        <v>30</v>
      </c>
      <c r="L164" s="87"/>
      <c r="M164" s="14"/>
      <c r="N164" s="14" t="s">
        <v>32</v>
      </c>
      <c r="O164" s="14"/>
      <c r="P164" s="15" t="s">
        <v>256</v>
      </c>
      <c r="Q164" s="16">
        <v>4499</v>
      </c>
      <c r="R164" s="17">
        <v>45</v>
      </c>
      <c r="S164" s="18">
        <v>2845.6174999999994</v>
      </c>
      <c r="T164" s="19" t="s">
        <v>34</v>
      </c>
      <c r="U164" s="20" t="s">
        <v>43</v>
      </c>
      <c r="V164" s="21">
        <v>110</v>
      </c>
      <c r="W164" s="21">
        <v>4</v>
      </c>
      <c r="X164" s="22"/>
    </row>
    <row r="165" spans="1:24" s="1" customFormat="1" ht="17.100000000000001" customHeight="1" x14ac:dyDescent="0.3">
      <c r="A165" s="23" t="s">
        <v>23</v>
      </c>
      <c r="B165" s="23" t="s">
        <v>267</v>
      </c>
      <c r="C165" s="12" t="s">
        <v>288</v>
      </c>
      <c r="D165" s="84"/>
      <c r="E165" s="69" t="str">
        <f t="shared" si="2"/>
        <v>Еще фото</v>
      </c>
      <c r="F165" s="13"/>
      <c r="G165" s="23" t="s">
        <v>269</v>
      </c>
      <c r="H165" s="23" t="s">
        <v>27</v>
      </c>
      <c r="I165" s="23" t="s">
        <v>254</v>
      </c>
      <c r="J165" s="14" t="s">
        <v>255</v>
      </c>
      <c r="K165" s="15" t="s">
        <v>30</v>
      </c>
      <c r="L165" s="87"/>
      <c r="M165" s="14"/>
      <c r="N165" s="14" t="s">
        <v>32</v>
      </c>
      <c r="O165" s="14"/>
      <c r="P165" s="15" t="s">
        <v>256</v>
      </c>
      <c r="Q165" s="16">
        <v>4499</v>
      </c>
      <c r="R165" s="17">
        <v>45</v>
      </c>
      <c r="S165" s="18">
        <v>2845.6174999999994</v>
      </c>
      <c r="T165" s="19" t="s">
        <v>34</v>
      </c>
      <c r="U165" s="20" t="s">
        <v>35</v>
      </c>
      <c r="V165" s="21">
        <v>116</v>
      </c>
      <c r="W165" s="21">
        <v>5</v>
      </c>
      <c r="X165" s="22"/>
    </row>
    <row r="166" spans="1:24" s="1" customFormat="1" ht="21.95" customHeight="1" x14ac:dyDescent="0.3">
      <c r="A166" s="23" t="s">
        <v>23</v>
      </c>
      <c r="B166" s="23" t="s">
        <v>267</v>
      </c>
      <c r="C166" s="12" t="s">
        <v>288</v>
      </c>
      <c r="D166" s="85"/>
      <c r="E166" s="69" t="str">
        <f t="shared" si="2"/>
        <v>Еще фото</v>
      </c>
      <c r="F166" s="13"/>
      <c r="G166" s="23" t="s">
        <v>269</v>
      </c>
      <c r="H166" s="23" t="s">
        <v>27</v>
      </c>
      <c r="I166" s="23" t="s">
        <v>254</v>
      </c>
      <c r="J166" s="14" t="s">
        <v>255</v>
      </c>
      <c r="K166" s="15" t="s">
        <v>30</v>
      </c>
      <c r="L166" s="88"/>
      <c r="M166" s="14"/>
      <c r="N166" s="14" t="s">
        <v>32</v>
      </c>
      <c r="O166" s="14"/>
      <c r="P166" s="15" t="s">
        <v>256</v>
      </c>
      <c r="Q166" s="16">
        <v>4499</v>
      </c>
      <c r="R166" s="17">
        <v>45</v>
      </c>
      <c r="S166" s="18">
        <v>2845.6174999999994</v>
      </c>
      <c r="T166" s="19" t="s">
        <v>34</v>
      </c>
      <c r="U166" s="20" t="s">
        <v>36</v>
      </c>
      <c r="V166" s="21">
        <v>122</v>
      </c>
      <c r="W166" s="21">
        <v>3</v>
      </c>
      <c r="X166" s="22"/>
    </row>
    <row r="167" spans="1:24" s="1" customFormat="1" ht="11.1" customHeight="1" x14ac:dyDescent="0.3">
      <c r="A167" s="11" t="s">
        <v>23</v>
      </c>
      <c r="B167" s="11" t="s">
        <v>267</v>
      </c>
      <c r="C167" s="12" t="s">
        <v>289</v>
      </c>
      <c r="D167" s="83"/>
      <c r="E167" s="69" t="str">
        <f t="shared" ref="E167:E175" si="3">HYPERLINK("https://www.google.ru/search?q=MC-BA226&amp;newwindow=1&amp;tbm=isch","Еще фото")</f>
        <v>Еще фото</v>
      </c>
      <c r="F167" s="13"/>
      <c r="G167" s="11" t="s">
        <v>269</v>
      </c>
      <c r="H167" s="11" t="s">
        <v>27</v>
      </c>
      <c r="I167" s="14" t="s">
        <v>254</v>
      </c>
      <c r="J167" s="14" t="s">
        <v>255</v>
      </c>
      <c r="K167" s="15" t="s">
        <v>30</v>
      </c>
      <c r="L167" s="86"/>
      <c r="M167" s="14"/>
      <c r="N167" s="14" t="s">
        <v>70</v>
      </c>
      <c r="O167" s="14"/>
      <c r="P167" s="15" t="s">
        <v>256</v>
      </c>
      <c r="Q167" s="16">
        <v>4499</v>
      </c>
      <c r="R167" s="17">
        <v>45</v>
      </c>
      <c r="S167" s="18">
        <v>2845.6174999999994</v>
      </c>
      <c r="T167" s="19" t="s">
        <v>34</v>
      </c>
      <c r="U167" s="20" t="s">
        <v>77</v>
      </c>
      <c r="V167" s="21">
        <v>92</v>
      </c>
      <c r="W167" s="21">
        <v>5</v>
      </c>
      <c r="X167" s="22"/>
    </row>
    <row r="168" spans="1:24" s="1" customFormat="1" ht="11.1" customHeight="1" x14ac:dyDescent="0.3">
      <c r="A168" s="23" t="s">
        <v>23</v>
      </c>
      <c r="B168" s="23" t="s">
        <v>267</v>
      </c>
      <c r="C168" s="12" t="s">
        <v>289</v>
      </c>
      <c r="D168" s="84"/>
      <c r="E168" s="69" t="str">
        <f t="shared" si="3"/>
        <v>Еще фото</v>
      </c>
      <c r="F168" s="13"/>
      <c r="G168" s="23" t="s">
        <v>269</v>
      </c>
      <c r="H168" s="23" t="s">
        <v>27</v>
      </c>
      <c r="I168" s="23" t="s">
        <v>254</v>
      </c>
      <c r="J168" s="14" t="s">
        <v>255</v>
      </c>
      <c r="K168" s="15" t="s">
        <v>30</v>
      </c>
      <c r="L168" s="87"/>
      <c r="M168" s="14"/>
      <c r="N168" s="14" t="s">
        <v>70</v>
      </c>
      <c r="O168" s="14"/>
      <c r="P168" s="15" t="s">
        <v>256</v>
      </c>
      <c r="Q168" s="16">
        <v>4499</v>
      </c>
      <c r="R168" s="17">
        <v>45</v>
      </c>
      <c r="S168" s="18">
        <v>2845.6174999999994</v>
      </c>
      <c r="T168" s="19" t="s">
        <v>34</v>
      </c>
      <c r="U168" s="20" t="s">
        <v>78</v>
      </c>
      <c r="V168" s="21">
        <v>98</v>
      </c>
      <c r="W168" s="21">
        <v>5</v>
      </c>
      <c r="X168" s="22"/>
    </row>
    <row r="169" spans="1:24" s="1" customFormat="1" ht="11.1" customHeight="1" x14ac:dyDescent="0.3">
      <c r="A169" s="23" t="s">
        <v>23</v>
      </c>
      <c r="B169" s="23" t="s">
        <v>267</v>
      </c>
      <c r="C169" s="12" t="s">
        <v>289</v>
      </c>
      <c r="D169" s="84"/>
      <c r="E169" s="69" t="str">
        <f t="shared" si="3"/>
        <v>Еще фото</v>
      </c>
      <c r="F169" s="13"/>
      <c r="G169" s="23" t="s">
        <v>269</v>
      </c>
      <c r="H169" s="23" t="s">
        <v>27</v>
      </c>
      <c r="I169" s="23" t="s">
        <v>254</v>
      </c>
      <c r="J169" s="14" t="s">
        <v>255</v>
      </c>
      <c r="K169" s="15" t="s">
        <v>30</v>
      </c>
      <c r="L169" s="87"/>
      <c r="M169" s="14"/>
      <c r="N169" s="14" t="s">
        <v>70</v>
      </c>
      <c r="O169" s="14"/>
      <c r="P169" s="15" t="s">
        <v>256</v>
      </c>
      <c r="Q169" s="16">
        <v>4499</v>
      </c>
      <c r="R169" s="17">
        <v>45</v>
      </c>
      <c r="S169" s="18">
        <v>2845.6174999999994</v>
      </c>
      <c r="T169" s="19" t="s">
        <v>34</v>
      </c>
      <c r="U169" s="20" t="s">
        <v>94</v>
      </c>
      <c r="V169" s="21">
        <v>104</v>
      </c>
      <c r="W169" s="21">
        <v>5</v>
      </c>
      <c r="X169" s="22"/>
    </row>
    <row r="170" spans="1:24" s="1" customFormat="1" ht="11.1" customHeight="1" x14ac:dyDescent="0.3">
      <c r="A170" s="23" t="s">
        <v>23</v>
      </c>
      <c r="B170" s="23" t="s">
        <v>267</v>
      </c>
      <c r="C170" s="12" t="s">
        <v>289</v>
      </c>
      <c r="D170" s="84"/>
      <c r="E170" s="69" t="str">
        <f t="shared" si="3"/>
        <v>Еще фото</v>
      </c>
      <c r="F170" s="13"/>
      <c r="G170" s="23" t="s">
        <v>269</v>
      </c>
      <c r="H170" s="23" t="s">
        <v>27</v>
      </c>
      <c r="I170" s="23" t="s">
        <v>254</v>
      </c>
      <c r="J170" s="14" t="s">
        <v>255</v>
      </c>
      <c r="K170" s="15" t="s">
        <v>30</v>
      </c>
      <c r="L170" s="87"/>
      <c r="M170" s="14"/>
      <c r="N170" s="14" t="s">
        <v>70</v>
      </c>
      <c r="O170" s="14"/>
      <c r="P170" s="15" t="s">
        <v>256</v>
      </c>
      <c r="Q170" s="16">
        <v>4499</v>
      </c>
      <c r="R170" s="17">
        <v>45</v>
      </c>
      <c r="S170" s="18">
        <v>2845.6174999999994</v>
      </c>
      <c r="T170" s="19" t="s">
        <v>34</v>
      </c>
      <c r="U170" s="20" t="s">
        <v>43</v>
      </c>
      <c r="V170" s="21">
        <v>110</v>
      </c>
      <c r="W170" s="21">
        <v>4</v>
      </c>
      <c r="X170" s="22"/>
    </row>
    <row r="171" spans="1:24" s="1" customFormat="1" ht="11.1" customHeight="1" x14ac:dyDescent="0.3">
      <c r="A171" s="23" t="s">
        <v>23</v>
      </c>
      <c r="B171" s="23" t="s">
        <v>267</v>
      </c>
      <c r="C171" s="12" t="s">
        <v>289</v>
      </c>
      <c r="D171" s="84"/>
      <c r="E171" s="69" t="str">
        <f t="shared" si="3"/>
        <v>Еще фото</v>
      </c>
      <c r="F171" s="13"/>
      <c r="G171" s="23" t="s">
        <v>269</v>
      </c>
      <c r="H171" s="23" t="s">
        <v>27</v>
      </c>
      <c r="I171" s="23" t="s">
        <v>254</v>
      </c>
      <c r="J171" s="14" t="s">
        <v>255</v>
      </c>
      <c r="K171" s="15" t="s">
        <v>30</v>
      </c>
      <c r="L171" s="87"/>
      <c r="M171" s="14"/>
      <c r="N171" s="14" t="s">
        <v>70</v>
      </c>
      <c r="O171" s="14"/>
      <c r="P171" s="15" t="s">
        <v>256</v>
      </c>
      <c r="Q171" s="16">
        <v>4499</v>
      </c>
      <c r="R171" s="17">
        <v>45</v>
      </c>
      <c r="S171" s="18">
        <v>2845.6174999999994</v>
      </c>
      <c r="T171" s="19" t="s">
        <v>34</v>
      </c>
      <c r="U171" s="20" t="s">
        <v>35</v>
      </c>
      <c r="V171" s="21">
        <v>116</v>
      </c>
      <c r="W171" s="21">
        <v>4</v>
      </c>
      <c r="X171" s="22"/>
    </row>
    <row r="172" spans="1:24" s="1" customFormat="1" ht="11.1" customHeight="1" x14ac:dyDescent="0.3">
      <c r="A172" s="23" t="s">
        <v>23</v>
      </c>
      <c r="B172" s="23" t="s">
        <v>267</v>
      </c>
      <c r="C172" s="12" t="s">
        <v>289</v>
      </c>
      <c r="D172" s="84"/>
      <c r="E172" s="69" t="str">
        <f t="shared" si="3"/>
        <v>Еще фото</v>
      </c>
      <c r="F172" s="13"/>
      <c r="G172" s="23" t="s">
        <v>269</v>
      </c>
      <c r="H172" s="23" t="s">
        <v>27</v>
      </c>
      <c r="I172" s="23" t="s">
        <v>254</v>
      </c>
      <c r="J172" s="14" t="s">
        <v>255</v>
      </c>
      <c r="K172" s="15" t="s">
        <v>30</v>
      </c>
      <c r="L172" s="87"/>
      <c r="M172" s="14"/>
      <c r="N172" s="14" t="s">
        <v>70</v>
      </c>
      <c r="O172" s="14"/>
      <c r="P172" s="15" t="s">
        <v>256</v>
      </c>
      <c r="Q172" s="16">
        <v>4499</v>
      </c>
      <c r="R172" s="17">
        <v>45</v>
      </c>
      <c r="S172" s="18">
        <v>2845.6174999999994</v>
      </c>
      <c r="T172" s="19" t="s">
        <v>34</v>
      </c>
      <c r="U172" s="20" t="s">
        <v>36</v>
      </c>
      <c r="V172" s="21">
        <v>122</v>
      </c>
      <c r="W172" s="21">
        <v>3</v>
      </c>
      <c r="X172" s="22"/>
    </row>
    <row r="173" spans="1:24" s="1" customFormat="1" ht="11.1" customHeight="1" x14ac:dyDescent="0.3">
      <c r="A173" s="23" t="s">
        <v>23</v>
      </c>
      <c r="B173" s="23" t="s">
        <v>267</v>
      </c>
      <c r="C173" s="12" t="s">
        <v>289</v>
      </c>
      <c r="D173" s="84"/>
      <c r="E173" s="69" t="str">
        <f t="shared" si="3"/>
        <v>Еще фото</v>
      </c>
      <c r="F173" s="13"/>
      <c r="G173" s="23" t="s">
        <v>269</v>
      </c>
      <c r="H173" s="23" t="s">
        <v>27</v>
      </c>
      <c r="I173" s="23" t="s">
        <v>254</v>
      </c>
      <c r="J173" s="14" t="s">
        <v>255</v>
      </c>
      <c r="K173" s="15" t="s">
        <v>30</v>
      </c>
      <c r="L173" s="87"/>
      <c r="M173" s="14"/>
      <c r="N173" s="14" t="s">
        <v>70</v>
      </c>
      <c r="O173" s="14"/>
      <c r="P173" s="15" t="s">
        <v>256</v>
      </c>
      <c r="Q173" s="16">
        <v>4499</v>
      </c>
      <c r="R173" s="17">
        <v>45</v>
      </c>
      <c r="S173" s="18">
        <v>2845.6174999999994</v>
      </c>
      <c r="T173" s="19" t="s">
        <v>34</v>
      </c>
      <c r="U173" s="20" t="s">
        <v>37</v>
      </c>
      <c r="V173" s="21">
        <v>128</v>
      </c>
      <c r="W173" s="21">
        <v>4</v>
      </c>
      <c r="X173" s="22"/>
    </row>
    <row r="174" spans="1:24" s="1" customFormat="1" ht="11.1" customHeight="1" x14ac:dyDescent="0.3">
      <c r="A174" s="23" t="s">
        <v>23</v>
      </c>
      <c r="B174" s="23" t="s">
        <v>267</v>
      </c>
      <c r="C174" s="12" t="s">
        <v>289</v>
      </c>
      <c r="D174" s="84"/>
      <c r="E174" s="69" t="str">
        <f t="shared" si="3"/>
        <v>Еще фото</v>
      </c>
      <c r="F174" s="13"/>
      <c r="G174" s="23" t="s">
        <v>269</v>
      </c>
      <c r="H174" s="23" t="s">
        <v>27</v>
      </c>
      <c r="I174" s="23" t="s">
        <v>254</v>
      </c>
      <c r="J174" s="14" t="s">
        <v>255</v>
      </c>
      <c r="K174" s="15" t="s">
        <v>30</v>
      </c>
      <c r="L174" s="87"/>
      <c r="M174" s="14"/>
      <c r="N174" s="14" t="s">
        <v>70</v>
      </c>
      <c r="O174" s="14"/>
      <c r="P174" s="15" t="s">
        <v>256</v>
      </c>
      <c r="Q174" s="16">
        <v>4499</v>
      </c>
      <c r="R174" s="17">
        <v>45</v>
      </c>
      <c r="S174" s="18">
        <v>2845.6174999999994</v>
      </c>
      <c r="T174" s="19" t="s">
        <v>34</v>
      </c>
      <c r="U174" s="20" t="s">
        <v>91</v>
      </c>
      <c r="V174" s="21">
        <v>134</v>
      </c>
      <c r="W174" s="21">
        <v>5</v>
      </c>
      <c r="X174" s="22"/>
    </row>
    <row r="175" spans="1:24" s="1" customFormat="1" ht="11.1" customHeight="1" x14ac:dyDescent="0.3">
      <c r="A175" s="23" t="s">
        <v>23</v>
      </c>
      <c r="B175" s="23" t="s">
        <v>267</v>
      </c>
      <c r="C175" s="12" t="s">
        <v>289</v>
      </c>
      <c r="D175" s="85"/>
      <c r="E175" s="69" t="str">
        <f t="shared" si="3"/>
        <v>Еще фото</v>
      </c>
      <c r="F175" s="13"/>
      <c r="G175" s="23" t="s">
        <v>269</v>
      </c>
      <c r="H175" s="23" t="s">
        <v>27</v>
      </c>
      <c r="I175" s="23" t="s">
        <v>254</v>
      </c>
      <c r="J175" s="14" t="s">
        <v>255</v>
      </c>
      <c r="K175" s="15" t="s">
        <v>30</v>
      </c>
      <c r="L175" s="88"/>
      <c r="M175" s="14"/>
      <c r="N175" s="14" t="s">
        <v>70</v>
      </c>
      <c r="O175" s="14"/>
      <c r="P175" s="15" t="s">
        <v>256</v>
      </c>
      <c r="Q175" s="16">
        <v>4499</v>
      </c>
      <c r="R175" s="17">
        <v>45</v>
      </c>
      <c r="S175" s="18">
        <v>2845.6174999999994</v>
      </c>
      <c r="T175" s="19" t="s">
        <v>34</v>
      </c>
      <c r="U175" s="20" t="s">
        <v>290</v>
      </c>
      <c r="V175" s="21">
        <v>140</v>
      </c>
      <c r="W175" s="21">
        <v>4</v>
      </c>
      <c r="X175" s="22"/>
    </row>
    <row r="176" spans="1:24" s="1" customFormat="1" ht="11.1" customHeight="1" x14ac:dyDescent="0.3">
      <c r="A176" s="11" t="s">
        <v>23</v>
      </c>
      <c r="B176" s="11" t="s">
        <v>267</v>
      </c>
      <c r="C176" s="12" t="s">
        <v>291</v>
      </c>
      <c r="D176" s="83"/>
      <c r="E176" s="69" t="str">
        <f t="shared" ref="E176:E184" si="4">HYPERLINK("https://www.google.ru/search?q=MC-BA229&amp;newwindow=1&amp;tbm=isch","Еще фото")</f>
        <v>Еще фото</v>
      </c>
      <c r="F176" s="13"/>
      <c r="G176" s="11" t="s">
        <v>269</v>
      </c>
      <c r="H176" s="11" t="s">
        <v>27</v>
      </c>
      <c r="I176" s="14" t="s">
        <v>254</v>
      </c>
      <c r="J176" s="14" t="s">
        <v>255</v>
      </c>
      <c r="K176" s="15" t="s">
        <v>30</v>
      </c>
      <c r="L176" s="86"/>
      <c r="M176" s="14"/>
      <c r="N176" s="14" t="s">
        <v>32</v>
      </c>
      <c r="O176" s="14"/>
      <c r="P176" s="15" t="s">
        <v>256</v>
      </c>
      <c r="Q176" s="16">
        <v>4499</v>
      </c>
      <c r="R176" s="17">
        <v>45</v>
      </c>
      <c r="S176" s="18">
        <v>2845.6174999999994</v>
      </c>
      <c r="T176" s="19" t="s">
        <v>34</v>
      </c>
      <c r="U176" s="20" t="s">
        <v>77</v>
      </c>
      <c r="V176" s="21">
        <v>92</v>
      </c>
      <c r="W176" s="21">
        <v>8</v>
      </c>
      <c r="X176" s="22"/>
    </row>
    <row r="177" spans="1:24" s="1" customFormat="1" ht="11.1" customHeight="1" x14ac:dyDescent="0.3">
      <c r="A177" s="23" t="s">
        <v>23</v>
      </c>
      <c r="B177" s="23" t="s">
        <v>267</v>
      </c>
      <c r="C177" s="12" t="s">
        <v>291</v>
      </c>
      <c r="D177" s="84"/>
      <c r="E177" s="69" t="str">
        <f t="shared" si="4"/>
        <v>Еще фото</v>
      </c>
      <c r="F177" s="13"/>
      <c r="G177" s="23" t="s">
        <v>269</v>
      </c>
      <c r="H177" s="23" t="s">
        <v>27</v>
      </c>
      <c r="I177" s="23" t="s">
        <v>254</v>
      </c>
      <c r="J177" s="14" t="s">
        <v>255</v>
      </c>
      <c r="K177" s="15" t="s">
        <v>30</v>
      </c>
      <c r="L177" s="87"/>
      <c r="M177" s="14"/>
      <c r="N177" s="14" t="s">
        <v>32</v>
      </c>
      <c r="O177" s="14"/>
      <c r="P177" s="15" t="s">
        <v>256</v>
      </c>
      <c r="Q177" s="16">
        <v>4499</v>
      </c>
      <c r="R177" s="17">
        <v>45</v>
      </c>
      <c r="S177" s="18">
        <v>2845.6174999999994</v>
      </c>
      <c r="T177" s="19" t="s">
        <v>34</v>
      </c>
      <c r="U177" s="20" t="s">
        <v>78</v>
      </c>
      <c r="V177" s="21">
        <v>98</v>
      </c>
      <c r="W177" s="21">
        <v>8</v>
      </c>
      <c r="X177" s="22"/>
    </row>
    <row r="178" spans="1:24" s="1" customFormat="1" ht="11.1" customHeight="1" x14ac:dyDescent="0.3">
      <c r="A178" s="23" t="s">
        <v>23</v>
      </c>
      <c r="B178" s="23" t="s">
        <v>267</v>
      </c>
      <c r="C178" s="12" t="s">
        <v>291</v>
      </c>
      <c r="D178" s="84"/>
      <c r="E178" s="69" t="str">
        <f t="shared" si="4"/>
        <v>Еще фото</v>
      </c>
      <c r="F178" s="13"/>
      <c r="G178" s="23" t="s">
        <v>269</v>
      </c>
      <c r="H178" s="23" t="s">
        <v>27</v>
      </c>
      <c r="I178" s="23" t="s">
        <v>254</v>
      </c>
      <c r="J178" s="14" t="s">
        <v>255</v>
      </c>
      <c r="K178" s="15" t="s">
        <v>30</v>
      </c>
      <c r="L178" s="87"/>
      <c r="M178" s="14"/>
      <c r="N178" s="14" t="s">
        <v>32</v>
      </c>
      <c r="O178" s="14"/>
      <c r="P178" s="15" t="s">
        <v>256</v>
      </c>
      <c r="Q178" s="16">
        <v>4499</v>
      </c>
      <c r="R178" s="17">
        <v>45</v>
      </c>
      <c r="S178" s="18">
        <v>2845.6174999999994</v>
      </c>
      <c r="T178" s="19" t="s">
        <v>34</v>
      </c>
      <c r="U178" s="20" t="s">
        <v>94</v>
      </c>
      <c r="V178" s="21">
        <v>104</v>
      </c>
      <c r="W178" s="21">
        <v>7</v>
      </c>
      <c r="X178" s="22"/>
    </row>
    <row r="179" spans="1:24" s="1" customFormat="1" ht="11.1" customHeight="1" x14ac:dyDescent="0.3">
      <c r="A179" s="23" t="s">
        <v>23</v>
      </c>
      <c r="B179" s="23" t="s">
        <v>267</v>
      </c>
      <c r="C179" s="12" t="s">
        <v>291</v>
      </c>
      <c r="D179" s="84"/>
      <c r="E179" s="69" t="str">
        <f t="shared" si="4"/>
        <v>Еще фото</v>
      </c>
      <c r="F179" s="13"/>
      <c r="G179" s="23" t="s">
        <v>269</v>
      </c>
      <c r="H179" s="23" t="s">
        <v>27</v>
      </c>
      <c r="I179" s="23" t="s">
        <v>254</v>
      </c>
      <c r="J179" s="14" t="s">
        <v>255</v>
      </c>
      <c r="K179" s="15" t="s">
        <v>30</v>
      </c>
      <c r="L179" s="87"/>
      <c r="M179" s="14"/>
      <c r="N179" s="14" t="s">
        <v>32</v>
      </c>
      <c r="O179" s="14"/>
      <c r="P179" s="15" t="s">
        <v>256</v>
      </c>
      <c r="Q179" s="16">
        <v>4499</v>
      </c>
      <c r="R179" s="17">
        <v>45</v>
      </c>
      <c r="S179" s="18">
        <v>2845.6174999999994</v>
      </c>
      <c r="T179" s="19" t="s">
        <v>34</v>
      </c>
      <c r="U179" s="20" t="s">
        <v>43</v>
      </c>
      <c r="V179" s="21">
        <v>110</v>
      </c>
      <c r="W179" s="21">
        <v>7</v>
      </c>
      <c r="X179" s="22"/>
    </row>
    <row r="180" spans="1:24" s="1" customFormat="1" ht="11.1" customHeight="1" x14ac:dyDescent="0.3">
      <c r="A180" s="23" t="s">
        <v>23</v>
      </c>
      <c r="B180" s="23" t="s">
        <v>267</v>
      </c>
      <c r="C180" s="12" t="s">
        <v>291</v>
      </c>
      <c r="D180" s="84"/>
      <c r="E180" s="69" t="str">
        <f t="shared" si="4"/>
        <v>Еще фото</v>
      </c>
      <c r="F180" s="13"/>
      <c r="G180" s="23" t="s">
        <v>269</v>
      </c>
      <c r="H180" s="23" t="s">
        <v>27</v>
      </c>
      <c r="I180" s="23" t="s">
        <v>254</v>
      </c>
      <c r="J180" s="14" t="s">
        <v>255</v>
      </c>
      <c r="K180" s="15" t="s">
        <v>30</v>
      </c>
      <c r="L180" s="87"/>
      <c r="M180" s="14"/>
      <c r="N180" s="14" t="s">
        <v>32</v>
      </c>
      <c r="O180" s="14"/>
      <c r="P180" s="15" t="s">
        <v>256</v>
      </c>
      <c r="Q180" s="16">
        <v>4499</v>
      </c>
      <c r="R180" s="17">
        <v>45</v>
      </c>
      <c r="S180" s="18">
        <v>2845.6174999999994</v>
      </c>
      <c r="T180" s="19" t="s">
        <v>34</v>
      </c>
      <c r="U180" s="20" t="s">
        <v>35</v>
      </c>
      <c r="V180" s="21">
        <v>116</v>
      </c>
      <c r="W180" s="21">
        <v>6</v>
      </c>
      <c r="X180" s="22"/>
    </row>
    <row r="181" spans="1:24" s="1" customFormat="1" ht="11.1" customHeight="1" x14ac:dyDescent="0.3">
      <c r="A181" s="23" t="s">
        <v>23</v>
      </c>
      <c r="B181" s="23" t="s">
        <v>267</v>
      </c>
      <c r="C181" s="12" t="s">
        <v>291</v>
      </c>
      <c r="D181" s="84"/>
      <c r="E181" s="69" t="str">
        <f t="shared" si="4"/>
        <v>Еще фото</v>
      </c>
      <c r="F181" s="13"/>
      <c r="G181" s="23" t="s">
        <v>269</v>
      </c>
      <c r="H181" s="23" t="s">
        <v>27</v>
      </c>
      <c r="I181" s="23" t="s">
        <v>254</v>
      </c>
      <c r="J181" s="14" t="s">
        <v>255</v>
      </c>
      <c r="K181" s="15" t="s">
        <v>30</v>
      </c>
      <c r="L181" s="87"/>
      <c r="M181" s="14"/>
      <c r="N181" s="14" t="s">
        <v>32</v>
      </c>
      <c r="O181" s="14"/>
      <c r="P181" s="15" t="s">
        <v>256</v>
      </c>
      <c r="Q181" s="16">
        <v>4499</v>
      </c>
      <c r="R181" s="17">
        <v>45</v>
      </c>
      <c r="S181" s="18">
        <v>2845.6174999999994</v>
      </c>
      <c r="T181" s="19" t="s">
        <v>34</v>
      </c>
      <c r="U181" s="20" t="s">
        <v>36</v>
      </c>
      <c r="V181" s="21">
        <v>122</v>
      </c>
      <c r="W181" s="21">
        <v>8</v>
      </c>
      <c r="X181" s="22"/>
    </row>
    <row r="182" spans="1:24" s="1" customFormat="1" ht="11.1" customHeight="1" x14ac:dyDescent="0.3">
      <c r="A182" s="23" t="s">
        <v>23</v>
      </c>
      <c r="B182" s="23" t="s">
        <v>267</v>
      </c>
      <c r="C182" s="12" t="s">
        <v>291</v>
      </c>
      <c r="D182" s="84"/>
      <c r="E182" s="69" t="str">
        <f t="shared" si="4"/>
        <v>Еще фото</v>
      </c>
      <c r="F182" s="13"/>
      <c r="G182" s="23" t="s">
        <v>269</v>
      </c>
      <c r="H182" s="23" t="s">
        <v>27</v>
      </c>
      <c r="I182" s="23" t="s">
        <v>254</v>
      </c>
      <c r="J182" s="14" t="s">
        <v>255</v>
      </c>
      <c r="K182" s="15" t="s">
        <v>30</v>
      </c>
      <c r="L182" s="87"/>
      <c r="M182" s="14"/>
      <c r="N182" s="14" t="s">
        <v>32</v>
      </c>
      <c r="O182" s="14"/>
      <c r="P182" s="15" t="s">
        <v>256</v>
      </c>
      <c r="Q182" s="16">
        <v>4499</v>
      </c>
      <c r="R182" s="17">
        <v>45</v>
      </c>
      <c r="S182" s="18">
        <v>2845.6174999999994</v>
      </c>
      <c r="T182" s="19" t="s">
        <v>34</v>
      </c>
      <c r="U182" s="20" t="s">
        <v>37</v>
      </c>
      <c r="V182" s="21">
        <v>128</v>
      </c>
      <c r="W182" s="21">
        <v>7</v>
      </c>
      <c r="X182" s="22"/>
    </row>
    <row r="183" spans="1:24" s="1" customFormat="1" ht="11.1" customHeight="1" x14ac:dyDescent="0.3">
      <c r="A183" s="23" t="s">
        <v>23</v>
      </c>
      <c r="B183" s="23" t="s">
        <v>267</v>
      </c>
      <c r="C183" s="12" t="s">
        <v>291</v>
      </c>
      <c r="D183" s="84"/>
      <c r="E183" s="69" t="str">
        <f t="shared" si="4"/>
        <v>Еще фото</v>
      </c>
      <c r="F183" s="13"/>
      <c r="G183" s="23" t="s">
        <v>269</v>
      </c>
      <c r="H183" s="23" t="s">
        <v>27</v>
      </c>
      <c r="I183" s="23" t="s">
        <v>254</v>
      </c>
      <c r="J183" s="14" t="s">
        <v>255</v>
      </c>
      <c r="K183" s="15" t="s">
        <v>30</v>
      </c>
      <c r="L183" s="87"/>
      <c r="M183" s="14"/>
      <c r="N183" s="14" t="s">
        <v>32</v>
      </c>
      <c r="O183" s="14"/>
      <c r="P183" s="15" t="s">
        <v>256</v>
      </c>
      <c r="Q183" s="16">
        <v>4499</v>
      </c>
      <c r="R183" s="17">
        <v>45</v>
      </c>
      <c r="S183" s="18">
        <v>2845.6174999999994</v>
      </c>
      <c r="T183" s="19" t="s">
        <v>34</v>
      </c>
      <c r="U183" s="20" t="s">
        <v>91</v>
      </c>
      <c r="V183" s="21">
        <v>134</v>
      </c>
      <c r="W183" s="21">
        <v>8</v>
      </c>
      <c r="X183" s="22"/>
    </row>
    <row r="184" spans="1:24" s="1" customFormat="1" ht="11.1" customHeight="1" x14ac:dyDescent="0.3">
      <c r="A184" s="23" t="s">
        <v>23</v>
      </c>
      <c r="B184" s="23" t="s">
        <v>267</v>
      </c>
      <c r="C184" s="12" t="s">
        <v>291</v>
      </c>
      <c r="D184" s="85"/>
      <c r="E184" s="69" t="str">
        <f t="shared" si="4"/>
        <v>Еще фото</v>
      </c>
      <c r="F184" s="13"/>
      <c r="G184" s="23" t="s">
        <v>269</v>
      </c>
      <c r="H184" s="23" t="s">
        <v>27</v>
      </c>
      <c r="I184" s="23" t="s">
        <v>254</v>
      </c>
      <c r="J184" s="14" t="s">
        <v>255</v>
      </c>
      <c r="K184" s="15" t="s">
        <v>30</v>
      </c>
      <c r="L184" s="88"/>
      <c r="M184" s="14"/>
      <c r="N184" s="14" t="s">
        <v>32</v>
      </c>
      <c r="O184" s="14"/>
      <c r="P184" s="15" t="s">
        <v>256</v>
      </c>
      <c r="Q184" s="16">
        <v>4499</v>
      </c>
      <c r="R184" s="17">
        <v>45</v>
      </c>
      <c r="S184" s="18">
        <v>2845.6174999999994</v>
      </c>
      <c r="T184" s="19" t="s">
        <v>34</v>
      </c>
      <c r="U184" s="20" t="s">
        <v>290</v>
      </c>
      <c r="V184" s="21">
        <v>140</v>
      </c>
      <c r="W184" s="21">
        <v>8</v>
      </c>
      <c r="X184" s="22"/>
    </row>
    <row r="185" spans="1:24" s="1" customFormat="1" ht="21" customHeight="1" x14ac:dyDescent="0.3">
      <c r="A185" s="11" t="s">
        <v>23</v>
      </c>
      <c r="B185" s="11" t="s">
        <v>267</v>
      </c>
      <c r="C185" s="27" t="s">
        <v>292</v>
      </c>
      <c r="D185" s="83"/>
      <c r="E185" s="69" t="str">
        <f>HYPERLINK("https://www.google.ru/search?q=MC-BA460&amp;newwindow=1&amp;tbm=isch","Еще фото")</f>
        <v>Еще фото</v>
      </c>
      <c r="F185" s="13"/>
      <c r="G185" s="11" t="s">
        <v>293</v>
      </c>
      <c r="H185" s="11" t="s">
        <v>27</v>
      </c>
      <c r="I185" s="14" t="s">
        <v>254</v>
      </c>
      <c r="J185" s="14" t="s">
        <v>255</v>
      </c>
      <c r="K185" s="15" t="s">
        <v>30</v>
      </c>
      <c r="L185" s="86"/>
      <c r="M185" s="14"/>
      <c r="N185" s="14" t="s">
        <v>242</v>
      </c>
      <c r="O185" s="14"/>
      <c r="P185" s="15" t="s">
        <v>256</v>
      </c>
      <c r="Q185" s="16">
        <v>2899</v>
      </c>
      <c r="R185" s="17">
        <v>45</v>
      </c>
      <c r="S185" s="18">
        <v>1833.6174999999998</v>
      </c>
      <c r="T185" s="19" t="s">
        <v>34</v>
      </c>
      <c r="U185" s="20" t="s">
        <v>77</v>
      </c>
      <c r="V185" s="21">
        <v>92</v>
      </c>
      <c r="W185" s="21">
        <v>3</v>
      </c>
      <c r="X185" s="22"/>
    </row>
    <row r="186" spans="1:24" s="1" customFormat="1" ht="21" customHeight="1" x14ac:dyDescent="0.3">
      <c r="A186" s="23" t="s">
        <v>23</v>
      </c>
      <c r="B186" s="23" t="s">
        <v>267</v>
      </c>
      <c r="C186" s="28" t="s">
        <v>292</v>
      </c>
      <c r="D186" s="84"/>
      <c r="E186" s="69" t="str">
        <f>HYPERLINK("https://www.google.ru/search?q=MC-BA460&amp;newwindow=1&amp;tbm=isch","Еще фото")</f>
        <v>Еще фото</v>
      </c>
      <c r="F186" s="13"/>
      <c r="G186" s="23" t="s">
        <v>293</v>
      </c>
      <c r="H186" s="23" t="s">
        <v>27</v>
      </c>
      <c r="I186" s="23" t="s">
        <v>254</v>
      </c>
      <c r="J186" s="14" t="s">
        <v>255</v>
      </c>
      <c r="K186" s="15" t="s">
        <v>30</v>
      </c>
      <c r="L186" s="87"/>
      <c r="M186" s="14"/>
      <c r="N186" s="14" t="s">
        <v>242</v>
      </c>
      <c r="O186" s="14"/>
      <c r="P186" s="15" t="s">
        <v>256</v>
      </c>
      <c r="Q186" s="16">
        <v>2899</v>
      </c>
      <c r="R186" s="17">
        <v>45</v>
      </c>
      <c r="S186" s="18">
        <v>1833.6174999999998</v>
      </c>
      <c r="T186" s="19" t="s">
        <v>34</v>
      </c>
      <c r="U186" s="20" t="s">
        <v>78</v>
      </c>
      <c r="V186" s="21">
        <v>98</v>
      </c>
      <c r="W186" s="21">
        <v>3</v>
      </c>
      <c r="X186" s="22"/>
    </row>
    <row r="187" spans="1:24" s="1" customFormat="1" ht="21" customHeight="1" x14ac:dyDescent="0.3">
      <c r="A187" s="23" t="s">
        <v>23</v>
      </c>
      <c r="B187" s="23" t="s">
        <v>267</v>
      </c>
      <c r="C187" s="28" t="s">
        <v>292</v>
      </c>
      <c r="D187" s="84"/>
      <c r="E187" s="69" t="str">
        <f>HYPERLINK("https://www.google.ru/search?q=MC-BA460&amp;newwindow=1&amp;tbm=isch","Еще фото")</f>
        <v>Еще фото</v>
      </c>
      <c r="F187" s="13"/>
      <c r="G187" s="23" t="s">
        <v>293</v>
      </c>
      <c r="H187" s="23" t="s">
        <v>27</v>
      </c>
      <c r="I187" s="23" t="s">
        <v>254</v>
      </c>
      <c r="J187" s="14" t="s">
        <v>255</v>
      </c>
      <c r="K187" s="15" t="s">
        <v>30</v>
      </c>
      <c r="L187" s="87"/>
      <c r="M187" s="14"/>
      <c r="N187" s="14" t="s">
        <v>242</v>
      </c>
      <c r="O187" s="14"/>
      <c r="P187" s="15" t="s">
        <v>256</v>
      </c>
      <c r="Q187" s="16">
        <v>2899</v>
      </c>
      <c r="R187" s="17">
        <v>45</v>
      </c>
      <c r="S187" s="18">
        <v>1833.6174999999998</v>
      </c>
      <c r="T187" s="19" t="s">
        <v>34</v>
      </c>
      <c r="U187" s="20" t="s">
        <v>94</v>
      </c>
      <c r="V187" s="21">
        <v>104</v>
      </c>
      <c r="W187" s="21">
        <v>2</v>
      </c>
      <c r="X187" s="22"/>
    </row>
    <row r="188" spans="1:24" s="1" customFormat="1" ht="21" customHeight="1" x14ac:dyDescent="0.3">
      <c r="A188" s="23" t="s">
        <v>23</v>
      </c>
      <c r="B188" s="23" t="s">
        <v>267</v>
      </c>
      <c r="C188" s="28" t="s">
        <v>292</v>
      </c>
      <c r="D188" s="84"/>
      <c r="E188" s="69" t="str">
        <f>HYPERLINK("https://www.google.ru/search?q=MC-BA460&amp;newwindow=1&amp;tbm=isch","Еще фото")</f>
        <v>Еще фото</v>
      </c>
      <c r="F188" s="13"/>
      <c r="G188" s="23" t="s">
        <v>293</v>
      </c>
      <c r="H188" s="23" t="s">
        <v>27</v>
      </c>
      <c r="I188" s="23" t="s">
        <v>254</v>
      </c>
      <c r="J188" s="14" t="s">
        <v>255</v>
      </c>
      <c r="K188" s="15" t="s">
        <v>30</v>
      </c>
      <c r="L188" s="87"/>
      <c r="M188" s="14"/>
      <c r="N188" s="14" t="s">
        <v>242</v>
      </c>
      <c r="O188" s="14"/>
      <c r="P188" s="15" t="s">
        <v>256</v>
      </c>
      <c r="Q188" s="16">
        <v>2899</v>
      </c>
      <c r="R188" s="17">
        <v>45</v>
      </c>
      <c r="S188" s="18">
        <v>1833.6174999999998</v>
      </c>
      <c r="T188" s="19" t="s">
        <v>34</v>
      </c>
      <c r="U188" s="20" t="s">
        <v>43</v>
      </c>
      <c r="V188" s="21">
        <v>110</v>
      </c>
      <c r="W188" s="21">
        <v>3</v>
      </c>
      <c r="X188" s="22"/>
    </row>
    <row r="189" spans="1:24" s="1" customFormat="1" ht="32.1" customHeight="1" x14ac:dyDescent="0.3">
      <c r="A189" s="23" t="s">
        <v>23</v>
      </c>
      <c r="B189" s="23" t="s">
        <v>267</v>
      </c>
      <c r="C189" s="28" t="s">
        <v>292</v>
      </c>
      <c r="D189" s="85"/>
      <c r="E189" s="69" t="str">
        <f>HYPERLINK("https://www.google.ru/search?q=MC-BA460&amp;newwindow=1&amp;tbm=isch","Еще фото")</f>
        <v>Еще фото</v>
      </c>
      <c r="F189" s="13"/>
      <c r="G189" s="23" t="s">
        <v>293</v>
      </c>
      <c r="H189" s="23" t="s">
        <v>27</v>
      </c>
      <c r="I189" s="23" t="s">
        <v>254</v>
      </c>
      <c r="J189" s="14" t="s">
        <v>255</v>
      </c>
      <c r="K189" s="15" t="s">
        <v>30</v>
      </c>
      <c r="L189" s="88"/>
      <c r="M189" s="14"/>
      <c r="N189" s="14" t="s">
        <v>242</v>
      </c>
      <c r="O189" s="14"/>
      <c r="P189" s="15" t="s">
        <v>256</v>
      </c>
      <c r="Q189" s="16">
        <v>2899</v>
      </c>
      <c r="R189" s="17">
        <v>45</v>
      </c>
      <c r="S189" s="18">
        <v>1833.6174999999998</v>
      </c>
      <c r="T189" s="19" t="s">
        <v>34</v>
      </c>
      <c r="U189" s="20" t="s">
        <v>35</v>
      </c>
      <c r="V189" s="21">
        <v>116</v>
      </c>
      <c r="W189" s="21">
        <v>4</v>
      </c>
      <c r="X189" s="22"/>
    </row>
    <row r="190" spans="1:24" s="1" customFormat="1" ht="108" customHeight="1" x14ac:dyDescent="0.3">
      <c r="A190" s="11" t="s">
        <v>23</v>
      </c>
      <c r="B190" s="11" t="s">
        <v>267</v>
      </c>
      <c r="C190" s="12" t="s">
        <v>294</v>
      </c>
      <c r="D190" s="24"/>
      <c r="E190" s="69" t="str">
        <f>HYPERLINK("https://www.google.ru/search?q=MC-BA460-1&amp;newwindow=1&amp;tbm=isch","Еще фото")</f>
        <v>Еще фото</v>
      </c>
      <c r="F190" s="13"/>
      <c r="G190" s="11" t="s">
        <v>293</v>
      </c>
      <c r="H190" s="11" t="s">
        <v>27</v>
      </c>
      <c r="I190" s="14" t="s">
        <v>254</v>
      </c>
      <c r="J190" s="14" t="s">
        <v>255</v>
      </c>
      <c r="K190" s="15" t="s">
        <v>30</v>
      </c>
      <c r="L190" s="14"/>
      <c r="M190" s="14"/>
      <c r="N190" s="14" t="s">
        <v>242</v>
      </c>
      <c r="O190" s="14"/>
      <c r="P190" s="15" t="s">
        <v>256</v>
      </c>
      <c r="Q190" s="16">
        <v>2899</v>
      </c>
      <c r="R190" s="17">
        <v>45</v>
      </c>
      <c r="S190" s="18">
        <v>1833.6174999999998</v>
      </c>
      <c r="T190" s="19" t="s">
        <v>34</v>
      </c>
      <c r="U190" s="20" t="s">
        <v>196</v>
      </c>
      <c r="V190" s="21">
        <v>86</v>
      </c>
      <c r="W190" s="21">
        <v>1</v>
      </c>
      <c r="X190" s="22"/>
    </row>
    <row r="191" spans="1:24" s="1" customFormat="1" ht="26.1" customHeight="1" x14ac:dyDescent="0.3">
      <c r="A191" s="11" t="s">
        <v>23</v>
      </c>
      <c r="B191" s="11" t="s">
        <v>267</v>
      </c>
      <c r="C191" s="12" t="s">
        <v>295</v>
      </c>
      <c r="D191" s="83"/>
      <c r="E191" s="69" t="str">
        <f>HYPERLINK("https://www.google.ru/search?q=MC-BA466&amp;newwindow=1&amp;tbm=isch","Еще фото")</f>
        <v>Еще фото</v>
      </c>
      <c r="F191" s="13"/>
      <c r="G191" s="11" t="s">
        <v>293</v>
      </c>
      <c r="H191" s="11" t="s">
        <v>27</v>
      </c>
      <c r="I191" s="14" t="s">
        <v>254</v>
      </c>
      <c r="J191" s="14" t="s">
        <v>255</v>
      </c>
      <c r="K191" s="15" t="s">
        <v>30</v>
      </c>
      <c r="L191" s="86"/>
      <c r="M191" s="14"/>
      <c r="N191" s="14" t="s">
        <v>70</v>
      </c>
      <c r="O191" s="14"/>
      <c r="P191" s="15" t="s">
        <v>256</v>
      </c>
      <c r="Q191" s="16">
        <v>2899</v>
      </c>
      <c r="R191" s="17">
        <v>45</v>
      </c>
      <c r="S191" s="18">
        <v>1833.6174999999998</v>
      </c>
      <c r="T191" s="19" t="s">
        <v>34</v>
      </c>
      <c r="U191" s="20" t="s">
        <v>77</v>
      </c>
      <c r="V191" s="21">
        <v>92</v>
      </c>
      <c r="W191" s="21">
        <v>3</v>
      </c>
      <c r="X191" s="22"/>
    </row>
    <row r="192" spans="1:24" s="1" customFormat="1" ht="26.1" customHeight="1" x14ac:dyDescent="0.3">
      <c r="A192" s="23" t="s">
        <v>23</v>
      </c>
      <c r="B192" s="23" t="s">
        <v>267</v>
      </c>
      <c r="C192" s="12" t="s">
        <v>295</v>
      </c>
      <c r="D192" s="84"/>
      <c r="E192" s="69" t="str">
        <f>HYPERLINK("https://www.google.ru/search?q=MC-BA466&amp;newwindow=1&amp;tbm=isch","Еще фото")</f>
        <v>Еще фото</v>
      </c>
      <c r="F192" s="13"/>
      <c r="G192" s="23" t="s">
        <v>293</v>
      </c>
      <c r="H192" s="23" t="s">
        <v>27</v>
      </c>
      <c r="I192" s="23" t="s">
        <v>254</v>
      </c>
      <c r="J192" s="14" t="s">
        <v>255</v>
      </c>
      <c r="K192" s="15" t="s">
        <v>30</v>
      </c>
      <c r="L192" s="87"/>
      <c r="M192" s="14"/>
      <c r="N192" s="14" t="s">
        <v>70</v>
      </c>
      <c r="O192" s="14"/>
      <c r="P192" s="15" t="s">
        <v>256</v>
      </c>
      <c r="Q192" s="16">
        <v>2899</v>
      </c>
      <c r="R192" s="17">
        <v>45</v>
      </c>
      <c r="S192" s="18">
        <v>1833.6174999999998</v>
      </c>
      <c r="T192" s="19" t="s">
        <v>34</v>
      </c>
      <c r="U192" s="20" t="s">
        <v>94</v>
      </c>
      <c r="V192" s="21">
        <v>104</v>
      </c>
      <c r="W192" s="21">
        <v>4</v>
      </c>
      <c r="X192" s="22"/>
    </row>
    <row r="193" spans="1:24" s="1" customFormat="1" ht="26.1" customHeight="1" x14ac:dyDescent="0.3">
      <c r="A193" s="23" t="s">
        <v>23</v>
      </c>
      <c r="B193" s="23" t="s">
        <v>267</v>
      </c>
      <c r="C193" s="12" t="s">
        <v>295</v>
      </c>
      <c r="D193" s="84"/>
      <c r="E193" s="69" t="str">
        <f>HYPERLINK("https://www.google.ru/search?q=MC-BA466&amp;newwindow=1&amp;tbm=isch","Еще фото")</f>
        <v>Еще фото</v>
      </c>
      <c r="F193" s="13"/>
      <c r="G193" s="23" t="s">
        <v>293</v>
      </c>
      <c r="H193" s="23" t="s">
        <v>27</v>
      </c>
      <c r="I193" s="23" t="s">
        <v>254</v>
      </c>
      <c r="J193" s="14" t="s">
        <v>255</v>
      </c>
      <c r="K193" s="15" t="s">
        <v>30</v>
      </c>
      <c r="L193" s="87"/>
      <c r="M193" s="14"/>
      <c r="N193" s="14" t="s">
        <v>70</v>
      </c>
      <c r="O193" s="14"/>
      <c r="P193" s="15" t="s">
        <v>256</v>
      </c>
      <c r="Q193" s="16">
        <v>2899</v>
      </c>
      <c r="R193" s="17">
        <v>45</v>
      </c>
      <c r="S193" s="18">
        <v>1833.6174999999998</v>
      </c>
      <c r="T193" s="19" t="s">
        <v>34</v>
      </c>
      <c r="U193" s="20" t="s">
        <v>43</v>
      </c>
      <c r="V193" s="21">
        <v>110</v>
      </c>
      <c r="W193" s="21">
        <v>3</v>
      </c>
      <c r="X193" s="22"/>
    </row>
    <row r="194" spans="1:24" s="1" customFormat="1" ht="26.1" customHeight="1" x14ac:dyDescent="0.3">
      <c r="A194" s="23" t="s">
        <v>23</v>
      </c>
      <c r="B194" s="23" t="s">
        <v>267</v>
      </c>
      <c r="C194" s="12" t="s">
        <v>295</v>
      </c>
      <c r="D194" s="85"/>
      <c r="E194" s="69" t="str">
        <f>HYPERLINK("https://www.google.ru/search?q=MC-BA466&amp;newwindow=1&amp;tbm=isch","Еще фото")</f>
        <v>Еще фото</v>
      </c>
      <c r="F194" s="13"/>
      <c r="G194" s="23" t="s">
        <v>293</v>
      </c>
      <c r="H194" s="23" t="s">
        <v>27</v>
      </c>
      <c r="I194" s="23" t="s">
        <v>254</v>
      </c>
      <c r="J194" s="14" t="s">
        <v>255</v>
      </c>
      <c r="K194" s="15" t="s">
        <v>30</v>
      </c>
      <c r="L194" s="88"/>
      <c r="M194" s="14"/>
      <c r="N194" s="14" t="s">
        <v>70</v>
      </c>
      <c r="O194" s="14"/>
      <c r="P194" s="15" t="s">
        <v>256</v>
      </c>
      <c r="Q194" s="16">
        <v>2899</v>
      </c>
      <c r="R194" s="17">
        <v>45</v>
      </c>
      <c r="S194" s="18">
        <v>1833.6174999999998</v>
      </c>
      <c r="T194" s="19" t="s">
        <v>34</v>
      </c>
      <c r="U194" s="20" t="s">
        <v>35</v>
      </c>
      <c r="V194" s="21">
        <v>116</v>
      </c>
      <c r="W194" s="21">
        <v>4</v>
      </c>
      <c r="X194" s="22"/>
    </row>
    <row r="195" spans="1:24" s="1" customFormat="1" ht="14.1" customHeight="1" x14ac:dyDescent="0.3">
      <c r="A195" s="11" t="s">
        <v>23</v>
      </c>
      <c r="B195" s="11" t="s">
        <v>267</v>
      </c>
      <c r="C195" s="12" t="s">
        <v>296</v>
      </c>
      <c r="D195" s="83"/>
      <c r="E195" s="69" t="str">
        <f t="shared" ref="E195:E201" si="5">HYPERLINK("https://www.google.ru/search?q=MC-BA925&amp;newwindow=1&amp;tbm=isch","Еще фото")</f>
        <v>Еще фото</v>
      </c>
      <c r="F195" s="13"/>
      <c r="G195" s="11" t="s">
        <v>297</v>
      </c>
      <c r="H195" s="11" t="s">
        <v>27</v>
      </c>
      <c r="I195" s="14" t="s">
        <v>254</v>
      </c>
      <c r="J195" s="14" t="s">
        <v>255</v>
      </c>
      <c r="K195" s="15" t="s">
        <v>30</v>
      </c>
      <c r="L195" s="86"/>
      <c r="M195" s="14"/>
      <c r="N195" s="14" t="s">
        <v>32</v>
      </c>
      <c r="O195" s="14"/>
      <c r="P195" s="15" t="s">
        <v>256</v>
      </c>
      <c r="Q195" s="16">
        <v>4499</v>
      </c>
      <c r="R195" s="17">
        <v>45</v>
      </c>
      <c r="S195" s="18">
        <v>2845.6174999999994</v>
      </c>
      <c r="T195" s="19" t="s">
        <v>34</v>
      </c>
      <c r="U195" s="20" t="s">
        <v>77</v>
      </c>
      <c r="V195" s="21">
        <v>92</v>
      </c>
      <c r="W195" s="21">
        <v>1</v>
      </c>
      <c r="X195" s="22"/>
    </row>
    <row r="196" spans="1:24" s="1" customFormat="1" ht="14.1" customHeight="1" x14ac:dyDescent="0.3">
      <c r="A196" s="23" t="s">
        <v>23</v>
      </c>
      <c r="B196" s="23" t="s">
        <v>267</v>
      </c>
      <c r="C196" s="12" t="s">
        <v>296</v>
      </c>
      <c r="D196" s="84"/>
      <c r="E196" s="69" t="str">
        <f t="shared" si="5"/>
        <v>Еще фото</v>
      </c>
      <c r="F196" s="13"/>
      <c r="G196" s="23" t="s">
        <v>297</v>
      </c>
      <c r="H196" s="23" t="s">
        <v>27</v>
      </c>
      <c r="I196" s="23" t="s">
        <v>254</v>
      </c>
      <c r="J196" s="14" t="s">
        <v>255</v>
      </c>
      <c r="K196" s="15" t="s">
        <v>30</v>
      </c>
      <c r="L196" s="87"/>
      <c r="M196" s="14"/>
      <c r="N196" s="14" t="s">
        <v>32</v>
      </c>
      <c r="O196" s="14"/>
      <c r="P196" s="15" t="s">
        <v>256</v>
      </c>
      <c r="Q196" s="16">
        <v>4499</v>
      </c>
      <c r="R196" s="17">
        <v>45</v>
      </c>
      <c r="S196" s="18">
        <v>2845.6174999999994</v>
      </c>
      <c r="T196" s="19" t="s">
        <v>34</v>
      </c>
      <c r="U196" s="20" t="s">
        <v>78</v>
      </c>
      <c r="V196" s="21">
        <v>98</v>
      </c>
      <c r="W196" s="21">
        <v>3</v>
      </c>
      <c r="X196" s="22"/>
    </row>
    <row r="197" spans="1:24" s="1" customFormat="1" ht="14.1" customHeight="1" x14ac:dyDescent="0.3">
      <c r="A197" s="23" t="s">
        <v>23</v>
      </c>
      <c r="B197" s="23" t="s">
        <v>267</v>
      </c>
      <c r="C197" s="12" t="s">
        <v>296</v>
      </c>
      <c r="D197" s="84"/>
      <c r="E197" s="69" t="str">
        <f t="shared" si="5"/>
        <v>Еще фото</v>
      </c>
      <c r="F197" s="13"/>
      <c r="G197" s="23" t="s">
        <v>297</v>
      </c>
      <c r="H197" s="23" t="s">
        <v>27</v>
      </c>
      <c r="I197" s="23" t="s">
        <v>254</v>
      </c>
      <c r="J197" s="14" t="s">
        <v>255</v>
      </c>
      <c r="K197" s="15" t="s">
        <v>30</v>
      </c>
      <c r="L197" s="87"/>
      <c r="M197" s="14"/>
      <c r="N197" s="14" t="s">
        <v>32</v>
      </c>
      <c r="O197" s="14"/>
      <c r="P197" s="15" t="s">
        <v>256</v>
      </c>
      <c r="Q197" s="16">
        <v>4499</v>
      </c>
      <c r="R197" s="17">
        <v>45</v>
      </c>
      <c r="S197" s="18">
        <v>2845.6174999999994</v>
      </c>
      <c r="T197" s="19" t="s">
        <v>34</v>
      </c>
      <c r="U197" s="20" t="s">
        <v>94</v>
      </c>
      <c r="V197" s="21">
        <v>104</v>
      </c>
      <c r="W197" s="21">
        <v>1</v>
      </c>
      <c r="X197" s="22"/>
    </row>
    <row r="198" spans="1:24" s="1" customFormat="1" ht="14.1" customHeight="1" x14ac:dyDescent="0.3">
      <c r="A198" s="23" t="s">
        <v>23</v>
      </c>
      <c r="B198" s="23" t="s">
        <v>267</v>
      </c>
      <c r="C198" s="12" t="s">
        <v>296</v>
      </c>
      <c r="D198" s="84"/>
      <c r="E198" s="69" t="str">
        <f t="shared" si="5"/>
        <v>Еще фото</v>
      </c>
      <c r="F198" s="13"/>
      <c r="G198" s="23" t="s">
        <v>297</v>
      </c>
      <c r="H198" s="23" t="s">
        <v>27</v>
      </c>
      <c r="I198" s="23" t="s">
        <v>254</v>
      </c>
      <c r="J198" s="14" t="s">
        <v>255</v>
      </c>
      <c r="K198" s="15" t="s">
        <v>30</v>
      </c>
      <c r="L198" s="87"/>
      <c r="M198" s="14"/>
      <c r="N198" s="14" t="s">
        <v>32</v>
      </c>
      <c r="O198" s="14"/>
      <c r="P198" s="15" t="s">
        <v>256</v>
      </c>
      <c r="Q198" s="16">
        <v>4499</v>
      </c>
      <c r="R198" s="17">
        <v>45</v>
      </c>
      <c r="S198" s="18">
        <v>2845.6174999999994</v>
      </c>
      <c r="T198" s="19" t="s">
        <v>34</v>
      </c>
      <c r="U198" s="20" t="s">
        <v>43</v>
      </c>
      <c r="V198" s="21">
        <v>110</v>
      </c>
      <c r="W198" s="21">
        <v>3</v>
      </c>
      <c r="X198" s="22"/>
    </row>
    <row r="199" spans="1:24" s="1" customFormat="1" ht="14.1" customHeight="1" x14ac:dyDescent="0.3">
      <c r="A199" s="23" t="s">
        <v>23</v>
      </c>
      <c r="B199" s="23" t="s">
        <v>267</v>
      </c>
      <c r="C199" s="12" t="s">
        <v>296</v>
      </c>
      <c r="D199" s="84"/>
      <c r="E199" s="69" t="str">
        <f t="shared" si="5"/>
        <v>Еще фото</v>
      </c>
      <c r="F199" s="13"/>
      <c r="G199" s="23" t="s">
        <v>297</v>
      </c>
      <c r="H199" s="23" t="s">
        <v>27</v>
      </c>
      <c r="I199" s="23" t="s">
        <v>254</v>
      </c>
      <c r="J199" s="14" t="s">
        <v>255</v>
      </c>
      <c r="K199" s="15" t="s">
        <v>30</v>
      </c>
      <c r="L199" s="87"/>
      <c r="M199" s="14"/>
      <c r="N199" s="14" t="s">
        <v>32</v>
      </c>
      <c r="O199" s="14"/>
      <c r="P199" s="15" t="s">
        <v>256</v>
      </c>
      <c r="Q199" s="16">
        <v>4499</v>
      </c>
      <c r="R199" s="17">
        <v>45</v>
      </c>
      <c r="S199" s="18">
        <v>2845.6174999999994</v>
      </c>
      <c r="T199" s="19" t="s">
        <v>34</v>
      </c>
      <c r="U199" s="20" t="s">
        <v>35</v>
      </c>
      <c r="V199" s="21">
        <v>116</v>
      </c>
      <c r="W199" s="21">
        <v>1</v>
      </c>
      <c r="X199" s="22"/>
    </row>
    <row r="200" spans="1:24" s="1" customFormat="1" ht="14.1" customHeight="1" x14ac:dyDescent="0.3">
      <c r="A200" s="23" t="s">
        <v>23</v>
      </c>
      <c r="B200" s="23" t="s">
        <v>267</v>
      </c>
      <c r="C200" s="12" t="s">
        <v>296</v>
      </c>
      <c r="D200" s="84"/>
      <c r="E200" s="69" t="str">
        <f t="shared" si="5"/>
        <v>Еще фото</v>
      </c>
      <c r="F200" s="13"/>
      <c r="G200" s="23" t="s">
        <v>297</v>
      </c>
      <c r="H200" s="23" t="s">
        <v>27</v>
      </c>
      <c r="I200" s="23" t="s">
        <v>254</v>
      </c>
      <c r="J200" s="14" t="s">
        <v>255</v>
      </c>
      <c r="K200" s="15" t="s">
        <v>30</v>
      </c>
      <c r="L200" s="87"/>
      <c r="M200" s="14"/>
      <c r="N200" s="14" t="s">
        <v>32</v>
      </c>
      <c r="O200" s="14"/>
      <c r="P200" s="15" t="s">
        <v>256</v>
      </c>
      <c r="Q200" s="16">
        <v>4499</v>
      </c>
      <c r="R200" s="17">
        <v>45</v>
      </c>
      <c r="S200" s="18">
        <v>2845.6174999999994</v>
      </c>
      <c r="T200" s="19" t="s">
        <v>34</v>
      </c>
      <c r="U200" s="20" t="s">
        <v>36</v>
      </c>
      <c r="V200" s="21">
        <v>122</v>
      </c>
      <c r="W200" s="21">
        <v>2</v>
      </c>
      <c r="X200" s="22"/>
    </row>
    <row r="201" spans="1:24" s="1" customFormat="1" ht="17.100000000000001" customHeight="1" x14ac:dyDescent="0.3">
      <c r="A201" s="23" t="s">
        <v>23</v>
      </c>
      <c r="B201" s="23" t="s">
        <v>267</v>
      </c>
      <c r="C201" s="12" t="s">
        <v>296</v>
      </c>
      <c r="D201" s="85"/>
      <c r="E201" s="69" t="str">
        <f t="shared" si="5"/>
        <v>Еще фото</v>
      </c>
      <c r="F201" s="13"/>
      <c r="G201" s="23" t="s">
        <v>297</v>
      </c>
      <c r="H201" s="23" t="s">
        <v>27</v>
      </c>
      <c r="I201" s="23" t="s">
        <v>254</v>
      </c>
      <c r="J201" s="14" t="s">
        <v>255</v>
      </c>
      <c r="K201" s="15" t="s">
        <v>30</v>
      </c>
      <c r="L201" s="88"/>
      <c r="M201" s="14"/>
      <c r="N201" s="14" t="s">
        <v>32</v>
      </c>
      <c r="O201" s="14"/>
      <c r="P201" s="15" t="s">
        <v>256</v>
      </c>
      <c r="Q201" s="16">
        <v>4499</v>
      </c>
      <c r="R201" s="17">
        <v>45</v>
      </c>
      <c r="S201" s="18">
        <v>2845.6174999999994</v>
      </c>
      <c r="T201" s="19" t="s">
        <v>34</v>
      </c>
      <c r="U201" s="20" t="s">
        <v>37</v>
      </c>
      <c r="V201" s="21">
        <v>128</v>
      </c>
      <c r="W201" s="21">
        <v>4</v>
      </c>
      <c r="X201" s="22"/>
    </row>
    <row r="202" spans="1:24" s="1" customFormat="1" ht="21" customHeight="1" x14ac:dyDescent="0.3">
      <c r="A202" s="11" t="s">
        <v>23</v>
      </c>
      <c r="B202" s="11" t="s">
        <v>267</v>
      </c>
      <c r="C202" s="27" t="s">
        <v>298</v>
      </c>
      <c r="D202" s="83"/>
      <c r="E202" s="69" t="str">
        <f>HYPERLINK("https://www.google.ru/search?q=MC-BB208&amp;newwindow=1&amp;tbm=isch","Еще фото")</f>
        <v>Еще фото</v>
      </c>
      <c r="F202" s="13"/>
      <c r="G202" s="11" t="s">
        <v>272</v>
      </c>
      <c r="H202" s="11" t="s">
        <v>27</v>
      </c>
      <c r="I202" s="14" t="s">
        <v>254</v>
      </c>
      <c r="J202" s="14" t="s">
        <v>255</v>
      </c>
      <c r="K202" s="15" t="s">
        <v>30</v>
      </c>
      <c r="L202" s="86"/>
      <c r="M202" s="14"/>
      <c r="N202" s="14" t="s">
        <v>32</v>
      </c>
      <c r="O202" s="14"/>
      <c r="P202" s="15" t="s">
        <v>256</v>
      </c>
      <c r="Q202" s="16">
        <v>2899</v>
      </c>
      <c r="R202" s="17">
        <v>45</v>
      </c>
      <c r="S202" s="18">
        <v>1833.6174999999998</v>
      </c>
      <c r="T202" s="19" t="s">
        <v>34</v>
      </c>
      <c r="U202" s="20" t="s">
        <v>77</v>
      </c>
      <c r="V202" s="21">
        <v>92</v>
      </c>
      <c r="W202" s="21">
        <v>3</v>
      </c>
      <c r="X202" s="22"/>
    </row>
    <row r="203" spans="1:24" s="1" customFormat="1" ht="21" customHeight="1" x14ac:dyDescent="0.3">
      <c r="A203" s="23" t="s">
        <v>23</v>
      </c>
      <c r="B203" s="23" t="s">
        <v>267</v>
      </c>
      <c r="C203" s="28" t="s">
        <v>298</v>
      </c>
      <c r="D203" s="84"/>
      <c r="E203" s="69" t="str">
        <f>HYPERLINK("https://www.google.ru/search?q=MC-BB208&amp;newwindow=1&amp;tbm=isch","Еще фото")</f>
        <v>Еще фото</v>
      </c>
      <c r="F203" s="13"/>
      <c r="G203" s="23" t="s">
        <v>272</v>
      </c>
      <c r="H203" s="23" t="s">
        <v>27</v>
      </c>
      <c r="I203" s="23" t="s">
        <v>254</v>
      </c>
      <c r="J203" s="14" t="s">
        <v>255</v>
      </c>
      <c r="K203" s="15" t="s">
        <v>30</v>
      </c>
      <c r="L203" s="87"/>
      <c r="M203" s="14"/>
      <c r="N203" s="14" t="s">
        <v>32</v>
      </c>
      <c r="O203" s="14"/>
      <c r="P203" s="15" t="s">
        <v>256</v>
      </c>
      <c r="Q203" s="16">
        <v>2899</v>
      </c>
      <c r="R203" s="17">
        <v>45</v>
      </c>
      <c r="S203" s="18">
        <v>1833.6174999999998</v>
      </c>
      <c r="T203" s="19" t="s">
        <v>34</v>
      </c>
      <c r="U203" s="20" t="s">
        <v>78</v>
      </c>
      <c r="V203" s="21">
        <v>98</v>
      </c>
      <c r="W203" s="21">
        <v>4</v>
      </c>
      <c r="X203" s="22"/>
    </row>
    <row r="204" spans="1:24" s="1" customFormat="1" ht="21" customHeight="1" x14ac:dyDescent="0.3">
      <c r="A204" s="23" t="s">
        <v>23</v>
      </c>
      <c r="B204" s="23" t="s">
        <v>267</v>
      </c>
      <c r="C204" s="28" t="s">
        <v>298</v>
      </c>
      <c r="D204" s="84"/>
      <c r="E204" s="69" t="str">
        <f>HYPERLINK("https://www.google.ru/search?q=MC-BB208&amp;newwindow=1&amp;tbm=isch","Еще фото")</f>
        <v>Еще фото</v>
      </c>
      <c r="F204" s="13"/>
      <c r="G204" s="23" t="s">
        <v>272</v>
      </c>
      <c r="H204" s="23" t="s">
        <v>27</v>
      </c>
      <c r="I204" s="23" t="s">
        <v>254</v>
      </c>
      <c r="J204" s="14" t="s">
        <v>255</v>
      </c>
      <c r="K204" s="15" t="s">
        <v>30</v>
      </c>
      <c r="L204" s="87"/>
      <c r="M204" s="14"/>
      <c r="N204" s="14" t="s">
        <v>32</v>
      </c>
      <c r="O204" s="14"/>
      <c r="P204" s="15" t="s">
        <v>256</v>
      </c>
      <c r="Q204" s="16">
        <v>2899</v>
      </c>
      <c r="R204" s="17">
        <v>45</v>
      </c>
      <c r="S204" s="18">
        <v>1833.6174999999998</v>
      </c>
      <c r="T204" s="19" t="s">
        <v>34</v>
      </c>
      <c r="U204" s="20" t="s">
        <v>94</v>
      </c>
      <c r="V204" s="21">
        <v>104</v>
      </c>
      <c r="W204" s="21">
        <v>4</v>
      </c>
      <c r="X204" s="22"/>
    </row>
    <row r="205" spans="1:24" s="1" customFormat="1" ht="21" customHeight="1" x14ac:dyDescent="0.3">
      <c r="A205" s="23" t="s">
        <v>23</v>
      </c>
      <c r="B205" s="23" t="s">
        <v>267</v>
      </c>
      <c r="C205" s="28" t="s">
        <v>298</v>
      </c>
      <c r="D205" s="84"/>
      <c r="E205" s="69" t="str">
        <f>HYPERLINK("https://www.google.ru/search?q=MC-BB208&amp;newwindow=1&amp;tbm=isch","Еще фото")</f>
        <v>Еще фото</v>
      </c>
      <c r="F205" s="13"/>
      <c r="G205" s="23" t="s">
        <v>272</v>
      </c>
      <c r="H205" s="23" t="s">
        <v>27</v>
      </c>
      <c r="I205" s="23" t="s">
        <v>254</v>
      </c>
      <c r="J205" s="14" t="s">
        <v>255</v>
      </c>
      <c r="K205" s="15" t="s">
        <v>30</v>
      </c>
      <c r="L205" s="87"/>
      <c r="M205" s="14"/>
      <c r="N205" s="14" t="s">
        <v>32</v>
      </c>
      <c r="O205" s="14"/>
      <c r="P205" s="15" t="s">
        <v>256</v>
      </c>
      <c r="Q205" s="16">
        <v>2899</v>
      </c>
      <c r="R205" s="17">
        <v>45</v>
      </c>
      <c r="S205" s="18">
        <v>1833.6174999999998</v>
      </c>
      <c r="T205" s="19" t="s">
        <v>34</v>
      </c>
      <c r="U205" s="20" t="s">
        <v>43</v>
      </c>
      <c r="V205" s="21">
        <v>110</v>
      </c>
      <c r="W205" s="21">
        <v>2</v>
      </c>
      <c r="X205" s="22"/>
    </row>
    <row r="206" spans="1:24" s="1" customFormat="1" ht="32.1" customHeight="1" x14ac:dyDescent="0.3">
      <c r="A206" s="23" t="s">
        <v>23</v>
      </c>
      <c r="B206" s="23" t="s">
        <v>267</v>
      </c>
      <c r="C206" s="28" t="s">
        <v>298</v>
      </c>
      <c r="D206" s="85"/>
      <c r="E206" s="69" t="str">
        <f>HYPERLINK("https://www.google.ru/search?q=MC-BB208&amp;newwindow=1&amp;tbm=isch","Еще фото")</f>
        <v>Еще фото</v>
      </c>
      <c r="F206" s="13"/>
      <c r="G206" s="23" t="s">
        <v>272</v>
      </c>
      <c r="H206" s="23" t="s">
        <v>27</v>
      </c>
      <c r="I206" s="23" t="s">
        <v>254</v>
      </c>
      <c r="J206" s="14" t="s">
        <v>255</v>
      </c>
      <c r="K206" s="15" t="s">
        <v>30</v>
      </c>
      <c r="L206" s="88"/>
      <c r="M206" s="14"/>
      <c r="N206" s="14" t="s">
        <v>32</v>
      </c>
      <c r="O206" s="14"/>
      <c r="P206" s="15" t="s">
        <v>256</v>
      </c>
      <c r="Q206" s="16">
        <v>2899</v>
      </c>
      <c r="R206" s="17">
        <v>45</v>
      </c>
      <c r="S206" s="18">
        <v>1833.6174999999998</v>
      </c>
      <c r="T206" s="19" t="s">
        <v>34</v>
      </c>
      <c r="U206" s="20" t="s">
        <v>35</v>
      </c>
      <c r="V206" s="21">
        <v>116</v>
      </c>
      <c r="W206" s="21">
        <v>2</v>
      </c>
      <c r="X206" s="22"/>
    </row>
    <row r="207" spans="1:24" s="1" customFormat="1" ht="108" customHeight="1" x14ac:dyDescent="0.3">
      <c r="A207" s="11" t="s">
        <v>23</v>
      </c>
      <c r="B207" s="11" t="s">
        <v>267</v>
      </c>
      <c r="C207" s="12" t="s">
        <v>299</v>
      </c>
      <c r="D207" s="24"/>
      <c r="E207" s="69" t="str">
        <f>HYPERLINK("https://www.google.ru/search?q=MC-BB208-1&amp;newwindow=1&amp;tbm=isch","Еще фото")</f>
        <v>Еще фото</v>
      </c>
      <c r="F207" s="13"/>
      <c r="G207" s="11" t="s">
        <v>272</v>
      </c>
      <c r="H207" s="11" t="s">
        <v>27</v>
      </c>
      <c r="I207" s="14" t="s">
        <v>254</v>
      </c>
      <c r="J207" s="14" t="s">
        <v>255</v>
      </c>
      <c r="K207" s="15" t="s">
        <v>30</v>
      </c>
      <c r="L207" s="14"/>
      <c r="M207" s="14"/>
      <c r="N207" s="14" t="s">
        <v>32</v>
      </c>
      <c r="O207" s="14"/>
      <c r="P207" s="15" t="s">
        <v>256</v>
      </c>
      <c r="Q207" s="16">
        <v>2899</v>
      </c>
      <c r="R207" s="17">
        <v>45</v>
      </c>
      <c r="S207" s="18">
        <v>1833.6174999999998</v>
      </c>
      <c r="T207" s="19" t="s">
        <v>34</v>
      </c>
      <c r="U207" s="20" t="s">
        <v>196</v>
      </c>
      <c r="V207" s="21">
        <v>86</v>
      </c>
      <c r="W207" s="21">
        <v>2</v>
      </c>
      <c r="X207" s="22"/>
    </row>
    <row r="208" spans="1:24" s="1" customFormat="1" ht="51.95" customHeight="1" x14ac:dyDescent="0.3">
      <c r="A208" s="11" t="s">
        <v>23</v>
      </c>
      <c r="B208" s="11" t="s">
        <v>267</v>
      </c>
      <c r="C208" s="12" t="s">
        <v>300</v>
      </c>
      <c r="D208" s="89"/>
      <c r="E208" s="69" t="str">
        <f>HYPERLINK("https://www.google.ru/search?q=MC-BB209&amp;newwindow=1&amp;tbm=isch","Еще фото")</f>
        <v>Еще фото</v>
      </c>
      <c r="F208" s="13"/>
      <c r="G208" s="11" t="s">
        <v>272</v>
      </c>
      <c r="H208" s="11" t="s">
        <v>27</v>
      </c>
      <c r="I208" s="14" t="s">
        <v>254</v>
      </c>
      <c r="J208" s="14" t="s">
        <v>255</v>
      </c>
      <c r="K208" s="15" t="s">
        <v>30</v>
      </c>
      <c r="L208" s="86"/>
      <c r="M208" s="14"/>
      <c r="N208" s="14" t="s">
        <v>275</v>
      </c>
      <c r="O208" s="14"/>
      <c r="P208" s="15" t="s">
        <v>256</v>
      </c>
      <c r="Q208" s="16">
        <v>2899</v>
      </c>
      <c r="R208" s="17">
        <v>45</v>
      </c>
      <c r="S208" s="18">
        <v>1833.6174999999998</v>
      </c>
      <c r="T208" s="19" t="s">
        <v>34</v>
      </c>
      <c r="U208" s="20" t="s">
        <v>43</v>
      </c>
      <c r="V208" s="21">
        <v>110</v>
      </c>
      <c r="W208" s="21">
        <v>3</v>
      </c>
      <c r="X208" s="22"/>
    </row>
    <row r="209" spans="1:24" s="1" customFormat="1" ht="60.95" customHeight="1" x14ac:dyDescent="0.3">
      <c r="A209" s="23" t="s">
        <v>23</v>
      </c>
      <c r="B209" s="23" t="s">
        <v>267</v>
      </c>
      <c r="C209" s="12" t="s">
        <v>300</v>
      </c>
      <c r="D209" s="90"/>
      <c r="E209" s="69" t="str">
        <f>HYPERLINK("https://www.google.ru/search?q=MC-BB209&amp;newwindow=1&amp;tbm=isch","Еще фото")</f>
        <v>Еще фото</v>
      </c>
      <c r="F209" s="13"/>
      <c r="G209" s="23" t="s">
        <v>272</v>
      </c>
      <c r="H209" s="23" t="s">
        <v>27</v>
      </c>
      <c r="I209" s="23" t="s">
        <v>254</v>
      </c>
      <c r="J209" s="14" t="s">
        <v>255</v>
      </c>
      <c r="K209" s="15" t="s">
        <v>30</v>
      </c>
      <c r="L209" s="88"/>
      <c r="M209" s="14"/>
      <c r="N209" s="14" t="s">
        <v>275</v>
      </c>
      <c r="O209" s="14"/>
      <c r="P209" s="15" t="s">
        <v>256</v>
      </c>
      <c r="Q209" s="16">
        <v>2899</v>
      </c>
      <c r="R209" s="17">
        <v>45</v>
      </c>
      <c r="S209" s="18">
        <v>1833.6174999999998</v>
      </c>
      <c r="T209" s="19" t="s">
        <v>34</v>
      </c>
      <c r="U209" s="20" t="s">
        <v>35</v>
      </c>
      <c r="V209" s="21">
        <v>116</v>
      </c>
      <c r="W209" s="21">
        <v>1</v>
      </c>
      <c r="X209" s="22"/>
    </row>
    <row r="210" spans="1:24" s="1" customFormat="1" ht="108" customHeight="1" x14ac:dyDescent="0.3">
      <c r="A210" s="11" t="s">
        <v>23</v>
      </c>
      <c r="B210" s="11" t="s">
        <v>267</v>
      </c>
      <c r="C210" s="12" t="s">
        <v>301</v>
      </c>
      <c r="D210" s="24"/>
      <c r="E210" s="69" t="str">
        <f>HYPERLINK("https://www.google.ru/search?q=MC-BB209-1&amp;newwindow=1&amp;tbm=isch","Еще фото")</f>
        <v>Еще фото</v>
      </c>
      <c r="F210" s="13"/>
      <c r="G210" s="11" t="s">
        <v>272</v>
      </c>
      <c r="H210" s="11" t="s">
        <v>27</v>
      </c>
      <c r="I210" s="14" t="s">
        <v>254</v>
      </c>
      <c r="J210" s="14" t="s">
        <v>255</v>
      </c>
      <c r="K210" s="15" t="s">
        <v>30</v>
      </c>
      <c r="L210" s="14"/>
      <c r="M210" s="14"/>
      <c r="N210" s="14" t="s">
        <v>275</v>
      </c>
      <c r="O210" s="14"/>
      <c r="P210" s="15" t="s">
        <v>256</v>
      </c>
      <c r="Q210" s="16">
        <v>2899</v>
      </c>
      <c r="R210" s="17">
        <v>45</v>
      </c>
      <c r="S210" s="18">
        <v>1833.6174999999998</v>
      </c>
      <c r="T210" s="19" t="s">
        <v>34</v>
      </c>
      <c r="U210" s="20" t="s">
        <v>196</v>
      </c>
      <c r="V210" s="21">
        <v>86</v>
      </c>
      <c r="W210" s="21">
        <v>1</v>
      </c>
      <c r="X210" s="22"/>
    </row>
    <row r="211" spans="1:24" s="1" customFormat="1" ht="26.1" customHeight="1" x14ac:dyDescent="0.3">
      <c r="A211" s="11" t="s">
        <v>23</v>
      </c>
      <c r="B211" s="11" t="s">
        <v>267</v>
      </c>
      <c r="C211" s="12" t="s">
        <v>302</v>
      </c>
      <c r="D211" s="83"/>
      <c r="E211" s="69" t="str">
        <f>HYPERLINK("https://www.google.ru/search?q=MC-BC672&amp;newwindow=1&amp;tbm=isch","Еще фото")</f>
        <v>Еще фото</v>
      </c>
      <c r="F211" s="13"/>
      <c r="G211" s="11" t="s">
        <v>269</v>
      </c>
      <c r="H211" s="11" t="s">
        <v>27</v>
      </c>
      <c r="I211" s="14" t="s">
        <v>254</v>
      </c>
      <c r="J211" s="14" t="s">
        <v>255</v>
      </c>
      <c r="K211" s="15" t="s">
        <v>30</v>
      </c>
      <c r="L211" s="86"/>
      <c r="M211" s="14"/>
      <c r="N211" s="14" t="s">
        <v>32</v>
      </c>
      <c r="O211" s="14"/>
      <c r="P211" s="15" t="s">
        <v>256</v>
      </c>
      <c r="Q211" s="16">
        <v>5899</v>
      </c>
      <c r="R211" s="17">
        <v>45</v>
      </c>
      <c r="S211" s="18">
        <v>3731.1174999999994</v>
      </c>
      <c r="T211" s="19" t="s">
        <v>34</v>
      </c>
      <c r="U211" s="20" t="s">
        <v>77</v>
      </c>
      <c r="V211" s="21">
        <v>92</v>
      </c>
      <c r="W211" s="21">
        <v>3</v>
      </c>
      <c r="X211" s="22"/>
    </row>
    <row r="212" spans="1:24" s="1" customFormat="1" ht="26.1" customHeight="1" x14ac:dyDescent="0.3">
      <c r="A212" s="23" t="s">
        <v>23</v>
      </c>
      <c r="B212" s="23" t="s">
        <v>267</v>
      </c>
      <c r="C212" s="12" t="s">
        <v>302</v>
      </c>
      <c r="D212" s="84"/>
      <c r="E212" s="69" t="str">
        <f>HYPERLINK("https://www.google.ru/search?q=MC-BC672&amp;newwindow=1&amp;tbm=isch","Еще фото")</f>
        <v>Еще фото</v>
      </c>
      <c r="F212" s="13"/>
      <c r="G212" s="23" t="s">
        <v>269</v>
      </c>
      <c r="H212" s="23" t="s">
        <v>27</v>
      </c>
      <c r="I212" s="23" t="s">
        <v>254</v>
      </c>
      <c r="J212" s="14" t="s">
        <v>255</v>
      </c>
      <c r="K212" s="15" t="s">
        <v>30</v>
      </c>
      <c r="L212" s="87"/>
      <c r="M212" s="14"/>
      <c r="N212" s="14" t="s">
        <v>32</v>
      </c>
      <c r="O212" s="14"/>
      <c r="P212" s="15" t="s">
        <v>256</v>
      </c>
      <c r="Q212" s="16">
        <v>5899</v>
      </c>
      <c r="R212" s="17">
        <v>45</v>
      </c>
      <c r="S212" s="18">
        <v>3731.1174999999994</v>
      </c>
      <c r="T212" s="19" t="s">
        <v>34</v>
      </c>
      <c r="U212" s="20" t="s">
        <v>78</v>
      </c>
      <c r="V212" s="21">
        <v>98</v>
      </c>
      <c r="W212" s="21">
        <v>4</v>
      </c>
      <c r="X212" s="22"/>
    </row>
    <row r="213" spans="1:24" s="1" customFormat="1" ht="26.1" customHeight="1" x14ac:dyDescent="0.3">
      <c r="A213" s="23" t="s">
        <v>23</v>
      </c>
      <c r="B213" s="23" t="s">
        <v>267</v>
      </c>
      <c r="C213" s="12" t="s">
        <v>302</v>
      </c>
      <c r="D213" s="84"/>
      <c r="E213" s="69" t="str">
        <f>HYPERLINK("https://www.google.ru/search?q=MC-BC672&amp;newwindow=1&amp;tbm=isch","Еще фото")</f>
        <v>Еще фото</v>
      </c>
      <c r="F213" s="13"/>
      <c r="G213" s="23" t="s">
        <v>269</v>
      </c>
      <c r="H213" s="23" t="s">
        <v>27</v>
      </c>
      <c r="I213" s="23" t="s">
        <v>254</v>
      </c>
      <c r="J213" s="14" t="s">
        <v>255</v>
      </c>
      <c r="K213" s="15" t="s">
        <v>30</v>
      </c>
      <c r="L213" s="87"/>
      <c r="M213" s="14"/>
      <c r="N213" s="14" t="s">
        <v>32</v>
      </c>
      <c r="O213" s="14"/>
      <c r="P213" s="15" t="s">
        <v>256</v>
      </c>
      <c r="Q213" s="16">
        <v>5899</v>
      </c>
      <c r="R213" s="17">
        <v>45</v>
      </c>
      <c r="S213" s="18">
        <v>3731.1174999999994</v>
      </c>
      <c r="T213" s="19" t="s">
        <v>34</v>
      </c>
      <c r="U213" s="20" t="s">
        <v>94</v>
      </c>
      <c r="V213" s="21">
        <v>104</v>
      </c>
      <c r="W213" s="21">
        <v>4</v>
      </c>
      <c r="X213" s="22"/>
    </row>
    <row r="214" spans="1:24" s="1" customFormat="1" ht="26.1" customHeight="1" x14ac:dyDescent="0.3">
      <c r="A214" s="23" t="s">
        <v>23</v>
      </c>
      <c r="B214" s="23" t="s">
        <v>267</v>
      </c>
      <c r="C214" s="12" t="s">
        <v>302</v>
      </c>
      <c r="D214" s="85"/>
      <c r="E214" s="69" t="str">
        <f>HYPERLINK("https://www.google.ru/search?q=MC-BC672&amp;newwindow=1&amp;tbm=isch","Еще фото")</f>
        <v>Еще фото</v>
      </c>
      <c r="F214" s="13"/>
      <c r="G214" s="23" t="s">
        <v>269</v>
      </c>
      <c r="H214" s="23" t="s">
        <v>27</v>
      </c>
      <c r="I214" s="23" t="s">
        <v>254</v>
      </c>
      <c r="J214" s="14" t="s">
        <v>255</v>
      </c>
      <c r="K214" s="15" t="s">
        <v>30</v>
      </c>
      <c r="L214" s="88"/>
      <c r="M214" s="14"/>
      <c r="N214" s="14" t="s">
        <v>32</v>
      </c>
      <c r="O214" s="14"/>
      <c r="P214" s="15" t="s">
        <v>256</v>
      </c>
      <c r="Q214" s="16">
        <v>5899</v>
      </c>
      <c r="R214" s="17">
        <v>45</v>
      </c>
      <c r="S214" s="18">
        <v>3731.1174999999994</v>
      </c>
      <c r="T214" s="19" t="s">
        <v>34</v>
      </c>
      <c r="U214" s="20" t="s">
        <v>43</v>
      </c>
      <c r="V214" s="21">
        <v>110</v>
      </c>
      <c r="W214" s="21">
        <v>4</v>
      </c>
      <c r="X214" s="22"/>
    </row>
    <row r="215" spans="1:24" s="1" customFormat="1" ht="14.1" customHeight="1" x14ac:dyDescent="0.3">
      <c r="A215" s="11" t="s">
        <v>23</v>
      </c>
      <c r="B215" s="11" t="s">
        <v>267</v>
      </c>
      <c r="C215" s="12" t="s">
        <v>303</v>
      </c>
      <c r="D215" s="83"/>
      <c r="E215" s="69" t="str">
        <f t="shared" ref="E215:E221" si="6">HYPERLINK("https://www.google.ru/search?q=MC-YA180&amp;newwindow=1&amp;tbm=isch","Еще фото")</f>
        <v>Еще фото</v>
      </c>
      <c r="F215" s="13"/>
      <c r="G215" s="11" t="s">
        <v>269</v>
      </c>
      <c r="H215" s="11" t="s">
        <v>27</v>
      </c>
      <c r="I215" s="14" t="s">
        <v>254</v>
      </c>
      <c r="J215" s="14" t="s">
        <v>255</v>
      </c>
      <c r="K215" s="15" t="s">
        <v>30</v>
      </c>
      <c r="L215" s="86"/>
      <c r="M215" s="14"/>
      <c r="N215" s="14" t="s">
        <v>70</v>
      </c>
      <c r="O215" s="14"/>
      <c r="P215" s="15" t="s">
        <v>256</v>
      </c>
      <c r="Q215" s="16">
        <v>4499</v>
      </c>
      <c r="R215" s="17">
        <v>45</v>
      </c>
      <c r="S215" s="18">
        <v>2845.6174999999994</v>
      </c>
      <c r="T215" s="19" t="s">
        <v>34</v>
      </c>
      <c r="U215" s="20" t="s">
        <v>78</v>
      </c>
      <c r="V215" s="21">
        <v>98</v>
      </c>
      <c r="W215" s="21">
        <v>3</v>
      </c>
      <c r="X215" s="22"/>
    </row>
    <row r="216" spans="1:24" s="1" customFormat="1" ht="14.1" customHeight="1" x14ac:dyDescent="0.3">
      <c r="A216" s="23" t="s">
        <v>23</v>
      </c>
      <c r="B216" s="23" t="s">
        <v>267</v>
      </c>
      <c r="C216" s="12" t="s">
        <v>303</v>
      </c>
      <c r="D216" s="84"/>
      <c r="E216" s="69" t="str">
        <f t="shared" si="6"/>
        <v>Еще фото</v>
      </c>
      <c r="F216" s="13"/>
      <c r="G216" s="23" t="s">
        <v>269</v>
      </c>
      <c r="H216" s="23" t="s">
        <v>27</v>
      </c>
      <c r="I216" s="23" t="s">
        <v>254</v>
      </c>
      <c r="J216" s="14" t="s">
        <v>255</v>
      </c>
      <c r="K216" s="15" t="s">
        <v>30</v>
      </c>
      <c r="L216" s="87"/>
      <c r="M216" s="14"/>
      <c r="N216" s="14" t="s">
        <v>70</v>
      </c>
      <c r="O216" s="14"/>
      <c r="P216" s="15" t="s">
        <v>256</v>
      </c>
      <c r="Q216" s="16">
        <v>4499</v>
      </c>
      <c r="R216" s="17">
        <v>45</v>
      </c>
      <c r="S216" s="18">
        <v>2845.6174999999994</v>
      </c>
      <c r="T216" s="19" t="s">
        <v>34</v>
      </c>
      <c r="U216" s="20" t="s">
        <v>94</v>
      </c>
      <c r="V216" s="21">
        <v>104</v>
      </c>
      <c r="W216" s="21">
        <v>4</v>
      </c>
      <c r="X216" s="22"/>
    </row>
    <row r="217" spans="1:24" s="1" customFormat="1" ht="14.1" customHeight="1" x14ac:dyDescent="0.3">
      <c r="A217" s="23" t="s">
        <v>23</v>
      </c>
      <c r="B217" s="23" t="s">
        <v>267</v>
      </c>
      <c r="C217" s="12" t="s">
        <v>303</v>
      </c>
      <c r="D217" s="84"/>
      <c r="E217" s="69" t="str">
        <f t="shared" si="6"/>
        <v>Еще фото</v>
      </c>
      <c r="F217" s="13"/>
      <c r="G217" s="23" t="s">
        <v>269</v>
      </c>
      <c r="H217" s="23" t="s">
        <v>27</v>
      </c>
      <c r="I217" s="23" t="s">
        <v>254</v>
      </c>
      <c r="J217" s="14" t="s">
        <v>255</v>
      </c>
      <c r="K217" s="15" t="s">
        <v>30</v>
      </c>
      <c r="L217" s="87"/>
      <c r="M217" s="14"/>
      <c r="N217" s="14" t="s">
        <v>70</v>
      </c>
      <c r="O217" s="14"/>
      <c r="P217" s="15" t="s">
        <v>256</v>
      </c>
      <c r="Q217" s="16">
        <v>4499</v>
      </c>
      <c r="R217" s="17">
        <v>45</v>
      </c>
      <c r="S217" s="18">
        <v>2845.6174999999994</v>
      </c>
      <c r="T217" s="19" t="s">
        <v>34</v>
      </c>
      <c r="U217" s="20" t="s">
        <v>43</v>
      </c>
      <c r="V217" s="21">
        <v>110</v>
      </c>
      <c r="W217" s="21">
        <v>4</v>
      </c>
      <c r="X217" s="22"/>
    </row>
    <row r="218" spans="1:24" s="1" customFormat="1" ht="14.1" customHeight="1" x14ac:dyDescent="0.3">
      <c r="A218" s="23" t="s">
        <v>23</v>
      </c>
      <c r="B218" s="23" t="s">
        <v>267</v>
      </c>
      <c r="C218" s="12" t="s">
        <v>303</v>
      </c>
      <c r="D218" s="84"/>
      <c r="E218" s="69" t="str">
        <f t="shared" si="6"/>
        <v>Еще фото</v>
      </c>
      <c r="F218" s="13"/>
      <c r="G218" s="23" t="s">
        <v>269</v>
      </c>
      <c r="H218" s="23" t="s">
        <v>27</v>
      </c>
      <c r="I218" s="23" t="s">
        <v>254</v>
      </c>
      <c r="J218" s="14" t="s">
        <v>255</v>
      </c>
      <c r="K218" s="15" t="s">
        <v>30</v>
      </c>
      <c r="L218" s="87"/>
      <c r="M218" s="14"/>
      <c r="N218" s="14" t="s">
        <v>70</v>
      </c>
      <c r="O218" s="14"/>
      <c r="P218" s="15" t="s">
        <v>256</v>
      </c>
      <c r="Q218" s="16">
        <v>4499</v>
      </c>
      <c r="R218" s="17">
        <v>45</v>
      </c>
      <c r="S218" s="18">
        <v>2845.6174999999994</v>
      </c>
      <c r="T218" s="19" t="s">
        <v>34</v>
      </c>
      <c r="U218" s="20" t="s">
        <v>35</v>
      </c>
      <c r="V218" s="21">
        <v>116</v>
      </c>
      <c r="W218" s="21">
        <v>3</v>
      </c>
      <c r="X218" s="22"/>
    </row>
    <row r="219" spans="1:24" s="1" customFormat="1" ht="14.1" customHeight="1" x14ac:dyDescent="0.3">
      <c r="A219" s="23" t="s">
        <v>23</v>
      </c>
      <c r="B219" s="23" t="s">
        <v>267</v>
      </c>
      <c r="C219" s="12" t="s">
        <v>303</v>
      </c>
      <c r="D219" s="84"/>
      <c r="E219" s="69" t="str">
        <f t="shared" si="6"/>
        <v>Еще фото</v>
      </c>
      <c r="F219" s="13"/>
      <c r="G219" s="23" t="s">
        <v>269</v>
      </c>
      <c r="H219" s="23" t="s">
        <v>27</v>
      </c>
      <c r="I219" s="23" t="s">
        <v>254</v>
      </c>
      <c r="J219" s="14" t="s">
        <v>255</v>
      </c>
      <c r="K219" s="15" t="s">
        <v>30</v>
      </c>
      <c r="L219" s="87"/>
      <c r="M219" s="14"/>
      <c r="N219" s="14" t="s">
        <v>70</v>
      </c>
      <c r="O219" s="14"/>
      <c r="P219" s="15" t="s">
        <v>256</v>
      </c>
      <c r="Q219" s="16">
        <v>4499</v>
      </c>
      <c r="R219" s="17">
        <v>45</v>
      </c>
      <c r="S219" s="18">
        <v>2845.6174999999994</v>
      </c>
      <c r="T219" s="19" t="s">
        <v>34</v>
      </c>
      <c r="U219" s="20" t="s">
        <v>36</v>
      </c>
      <c r="V219" s="21">
        <v>122</v>
      </c>
      <c r="W219" s="21">
        <v>2</v>
      </c>
      <c r="X219" s="22"/>
    </row>
    <row r="220" spans="1:24" s="1" customFormat="1" ht="14.1" customHeight="1" x14ac:dyDescent="0.3">
      <c r="A220" s="23" t="s">
        <v>23</v>
      </c>
      <c r="B220" s="23" t="s">
        <v>267</v>
      </c>
      <c r="C220" s="12" t="s">
        <v>303</v>
      </c>
      <c r="D220" s="84"/>
      <c r="E220" s="69" t="str">
        <f t="shared" si="6"/>
        <v>Еще фото</v>
      </c>
      <c r="F220" s="13"/>
      <c r="G220" s="23" t="s">
        <v>269</v>
      </c>
      <c r="H220" s="23" t="s">
        <v>27</v>
      </c>
      <c r="I220" s="23" t="s">
        <v>254</v>
      </c>
      <c r="J220" s="14" t="s">
        <v>255</v>
      </c>
      <c r="K220" s="15" t="s">
        <v>30</v>
      </c>
      <c r="L220" s="87"/>
      <c r="M220" s="14"/>
      <c r="N220" s="14" t="s">
        <v>70</v>
      </c>
      <c r="O220" s="14"/>
      <c r="P220" s="15" t="s">
        <v>256</v>
      </c>
      <c r="Q220" s="16">
        <v>4499</v>
      </c>
      <c r="R220" s="17">
        <v>45</v>
      </c>
      <c r="S220" s="18">
        <v>2845.6174999999994</v>
      </c>
      <c r="T220" s="19" t="s">
        <v>34</v>
      </c>
      <c r="U220" s="20" t="s">
        <v>37</v>
      </c>
      <c r="V220" s="21">
        <v>128</v>
      </c>
      <c r="W220" s="21">
        <v>4</v>
      </c>
      <c r="X220" s="22"/>
    </row>
    <row r="221" spans="1:24" s="1" customFormat="1" ht="17.100000000000001" customHeight="1" x14ac:dyDescent="0.3">
      <c r="A221" s="23" t="s">
        <v>23</v>
      </c>
      <c r="B221" s="23" t="s">
        <v>267</v>
      </c>
      <c r="C221" s="12" t="s">
        <v>303</v>
      </c>
      <c r="D221" s="85"/>
      <c r="E221" s="69" t="str">
        <f t="shared" si="6"/>
        <v>Еще фото</v>
      </c>
      <c r="F221" s="13"/>
      <c r="G221" s="23" t="s">
        <v>269</v>
      </c>
      <c r="H221" s="23" t="s">
        <v>27</v>
      </c>
      <c r="I221" s="23" t="s">
        <v>254</v>
      </c>
      <c r="J221" s="14" t="s">
        <v>255</v>
      </c>
      <c r="K221" s="15" t="s">
        <v>30</v>
      </c>
      <c r="L221" s="88"/>
      <c r="M221" s="14"/>
      <c r="N221" s="14" t="s">
        <v>70</v>
      </c>
      <c r="O221" s="14"/>
      <c r="P221" s="15" t="s">
        <v>256</v>
      </c>
      <c r="Q221" s="16">
        <v>4499</v>
      </c>
      <c r="R221" s="17">
        <v>45</v>
      </c>
      <c r="S221" s="18">
        <v>2845.6174999999994</v>
      </c>
      <c r="T221" s="19" t="s">
        <v>34</v>
      </c>
      <c r="U221" s="20" t="s">
        <v>91</v>
      </c>
      <c r="V221" s="21">
        <v>134</v>
      </c>
      <c r="W221" s="21">
        <v>3</v>
      </c>
      <c r="X221" s="22"/>
    </row>
    <row r="222" spans="1:24" s="1" customFormat="1" ht="21" customHeight="1" x14ac:dyDescent="0.3">
      <c r="A222" s="11" t="s">
        <v>23</v>
      </c>
      <c r="B222" s="11" t="s">
        <v>267</v>
      </c>
      <c r="C222" s="27" t="s">
        <v>304</v>
      </c>
      <c r="D222" s="83"/>
      <c r="E222" s="69" t="str">
        <f>HYPERLINK("https://www.google.ru/search?q=MC-YA197&amp;newwindow=1&amp;tbm=isch","Еще фото")</f>
        <v>Еще фото</v>
      </c>
      <c r="F222" s="13"/>
      <c r="G222" s="11" t="s">
        <v>269</v>
      </c>
      <c r="H222" s="11" t="s">
        <v>27</v>
      </c>
      <c r="I222" s="14" t="s">
        <v>254</v>
      </c>
      <c r="J222" s="14" t="s">
        <v>255</v>
      </c>
      <c r="K222" s="15" t="s">
        <v>30</v>
      </c>
      <c r="L222" s="86"/>
      <c r="M222" s="14"/>
      <c r="N222" s="14" t="s">
        <v>70</v>
      </c>
      <c r="O222" s="14"/>
      <c r="P222" s="15" t="s">
        <v>256</v>
      </c>
      <c r="Q222" s="16">
        <v>4499</v>
      </c>
      <c r="R222" s="17">
        <v>45</v>
      </c>
      <c r="S222" s="18">
        <v>2845.6174999999994</v>
      </c>
      <c r="T222" s="19" t="s">
        <v>34</v>
      </c>
      <c r="U222" s="20" t="s">
        <v>94</v>
      </c>
      <c r="V222" s="21">
        <v>104</v>
      </c>
      <c r="W222" s="21">
        <v>3</v>
      </c>
      <c r="X222" s="22"/>
    </row>
    <row r="223" spans="1:24" s="1" customFormat="1" ht="21" customHeight="1" x14ac:dyDescent="0.3">
      <c r="A223" s="23" t="s">
        <v>23</v>
      </c>
      <c r="B223" s="23" t="s">
        <v>267</v>
      </c>
      <c r="C223" s="28" t="s">
        <v>304</v>
      </c>
      <c r="D223" s="84"/>
      <c r="E223" s="69" t="str">
        <f>HYPERLINK("https://www.google.ru/search?q=MC-YA197&amp;newwindow=1&amp;tbm=isch","Еще фото")</f>
        <v>Еще фото</v>
      </c>
      <c r="F223" s="13"/>
      <c r="G223" s="23" t="s">
        <v>269</v>
      </c>
      <c r="H223" s="23" t="s">
        <v>27</v>
      </c>
      <c r="I223" s="23" t="s">
        <v>254</v>
      </c>
      <c r="J223" s="14" t="s">
        <v>255</v>
      </c>
      <c r="K223" s="15" t="s">
        <v>30</v>
      </c>
      <c r="L223" s="87"/>
      <c r="M223" s="14"/>
      <c r="N223" s="14" t="s">
        <v>70</v>
      </c>
      <c r="O223" s="14"/>
      <c r="P223" s="15" t="s">
        <v>256</v>
      </c>
      <c r="Q223" s="16">
        <v>4499</v>
      </c>
      <c r="R223" s="17">
        <v>45</v>
      </c>
      <c r="S223" s="18">
        <v>2845.6174999999994</v>
      </c>
      <c r="T223" s="19" t="s">
        <v>34</v>
      </c>
      <c r="U223" s="20" t="s">
        <v>43</v>
      </c>
      <c r="V223" s="21">
        <v>110</v>
      </c>
      <c r="W223" s="21">
        <v>3</v>
      </c>
      <c r="X223" s="22"/>
    </row>
    <row r="224" spans="1:24" s="1" customFormat="1" ht="21" customHeight="1" x14ac:dyDescent="0.3">
      <c r="A224" s="23" t="s">
        <v>23</v>
      </c>
      <c r="B224" s="23" t="s">
        <v>267</v>
      </c>
      <c r="C224" s="28" t="s">
        <v>304</v>
      </c>
      <c r="D224" s="84"/>
      <c r="E224" s="69" t="str">
        <f>HYPERLINK("https://www.google.ru/search?q=MC-YA197&amp;newwindow=1&amp;tbm=isch","Еще фото")</f>
        <v>Еще фото</v>
      </c>
      <c r="F224" s="13"/>
      <c r="G224" s="23" t="s">
        <v>269</v>
      </c>
      <c r="H224" s="23" t="s">
        <v>27</v>
      </c>
      <c r="I224" s="23" t="s">
        <v>254</v>
      </c>
      <c r="J224" s="14" t="s">
        <v>255</v>
      </c>
      <c r="K224" s="15" t="s">
        <v>30</v>
      </c>
      <c r="L224" s="87"/>
      <c r="M224" s="14"/>
      <c r="N224" s="14" t="s">
        <v>70</v>
      </c>
      <c r="O224" s="14"/>
      <c r="P224" s="15" t="s">
        <v>256</v>
      </c>
      <c r="Q224" s="16">
        <v>4499</v>
      </c>
      <c r="R224" s="17">
        <v>45</v>
      </c>
      <c r="S224" s="18">
        <v>2845.6174999999994</v>
      </c>
      <c r="T224" s="19" t="s">
        <v>34</v>
      </c>
      <c r="U224" s="20" t="s">
        <v>35</v>
      </c>
      <c r="V224" s="21">
        <v>116</v>
      </c>
      <c r="W224" s="21">
        <v>3</v>
      </c>
      <c r="X224" s="22"/>
    </row>
    <row r="225" spans="1:24" s="1" customFormat="1" ht="21" customHeight="1" x14ac:dyDescent="0.3">
      <c r="A225" s="23" t="s">
        <v>23</v>
      </c>
      <c r="B225" s="23" t="s">
        <v>267</v>
      </c>
      <c r="C225" s="28" t="s">
        <v>304</v>
      </c>
      <c r="D225" s="84"/>
      <c r="E225" s="69" t="str">
        <f>HYPERLINK("https://www.google.ru/search?q=MC-YA197&amp;newwindow=1&amp;tbm=isch","Еще фото")</f>
        <v>Еще фото</v>
      </c>
      <c r="F225" s="13"/>
      <c r="G225" s="23" t="s">
        <v>269</v>
      </c>
      <c r="H225" s="23" t="s">
        <v>27</v>
      </c>
      <c r="I225" s="23" t="s">
        <v>254</v>
      </c>
      <c r="J225" s="14" t="s">
        <v>255</v>
      </c>
      <c r="K225" s="15" t="s">
        <v>30</v>
      </c>
      <c r="L225" s="87"/>
      <c r="M225" s="14"/>
      <c r="N225" s="14" t="s">
        <v>70</v>
      </c>
      <c r="O225" s="14"/>
      <c r="P225" s="15" t="s">
        <v>256</v>
      </c>
      <c r="Q225" s="16">
        <v>4499</v>
      </c>
      <c r="R225" s="17">
        <v>45</v>
      </c>
      <c r="S225" s="18">
        <v>2845.6174999999994</v>
      </c>
      <c r="T225" s="19" t="s">
        <v>34</v>
      </c>
      <c r="U225" s="20" t="s">
        <v>91</v>
      </c>
      <c r="V225" s="21">
        <v>134</v>
      </c>
      <c r="W225" s="21">
        <v>3</v>
      </c>
      <c r="X225" s="22"/>
    </row>
    <row r="226" spans="1:24" s="1" customFormat="1" ht="32.1" customHeight="1" x14ac:dyDescent="0.3">
      <c r="A226" s="23" t="s">
        <v>23</v>
      </c>
      <c r="B226" s="23" t="s">
        <v>267</v>
      </c>
      <c r="C226" s="28" t="s">
        <v>304</v>
      </c>
      <c r="D226" s="85"/>
      <c r="E226" s="69" t="str">
        <f>HYPERLINK("https://www.google.ru/search?q=MC-YA197&amp;newwindow=1&amp;tbm=isch","Еще фото")</f>
        <v>Еще фото</v>
      </c>
      <c r="F226" s="13"/>
      <c r="G226" s="23" t="s">
        <v>269</v>
      </c>
      <c r="H226" s="23" t="s">
        <v>27</v>
      </c>
      <c r="I226" s="23" t="s">
        <v>254</v>
      </c>
      <c r="J226" s="14" t="s">
        <v>255</v>
      </c>
      <c r="K226" s="15" t="s">
        <v>30</v>
      </c>
      <c r="L226" s="88"/>
      <c r="M226" s="14"/>
      <c r="N226" s="14" t="s">
        <v>70</v>
      </c>
      <c r="O226" s="14"/>
      <c r="P226" s="15" t="s">
        <v>256</v>
      </c>
      <c r="Q226" s="16">
        <v>4499</v>
      </c>
      <c r="R226" s="17">
        <v>45</v>
      </c>
      <c r="S226" s="18">
        <v>2845.6174999999994</v>
      </c>
      <c r="T226" s="19" t="s">
        <v>34</v>
      </c>
      <c r="U226" s="20" t="s">
        <v>290</v>
      </c>
      <c r="V226" s="21">
        <v>140</v>
      </c>
      <c r="W226" s="21">
        <v>2</v>
      </c>
      <c r="X226" s="22"/>
    </row>
    <row r="227" spans="1:24" s="1" customFormat="1" ht="26.1" customHeight="1" x14ac:dyDescent="0.3">
      <c r="A227" s="11" t="s">
        <v>23</v>
      </c>
      <c r="B227" s="11" t="s">
        <v>305</v>
      </c>
      <c r="C227" s="12" t="s">
        <v>306</v>
      </c>
      <c r="D227" s="83"/>
      <c r="E227" s="69" t="str">
        <f>HYPERLINK("https://www.google.ru/search?q=MC-CB199&amp;newwindow=1&amp;tbm=isch","Еще фото")</f>
        <v>Еще фото</v>
      </c>
      <c r="F227" s="13"/>
      <c r="G227" s="11" t="s">
        <v>307</v>
      </c>
      <c r="H227" s="11" t="s">
        <v>27</v>
      </c>
      <c r="I227" s="14" t="s">
        <v>308</v>
      </c>
      <c r="J227" s="14" t="s">
        <v>29</v>
      </c>
      <c r="K227" s="15" t="s">
        <v>30</v>
      </c>
      <c r="L227" s="86" t="s">
        <v>309</v>
      </c>
      <c r="M227" s="14"/>
      <c r="N227" s="14" t="s">
        <v>154</v>
      </c>
      <c r="O227" s="14"/>
      <c r="P227" s="15" t="s">
        <v>310</v>
      </c>
      <c r="Q227" s="16">
        <v>9699</v>
      </c>
      <c r="R227" s="17">
        <v>81.16</v>
      </c>
      <c r="S227" s="18">
        <v>2101.9354999999996</v>
      </c>
      <c r="T227" s="19" t="s">
        <v>34</v>
      </c>
      <c r="U227" s="20" t="s">
        <v>35</v>
      </c>
      <c r="V227" s="21">
        <v>116</v>
      </c>
      <c r="W227" s="21">
        <v>1</v>
      </c>
      <c r="X227" s="22"/>
    </row>
    <row r="228" spans="1:24" s="1" customFormat="1" ht="26.1" customHeight="1" x14ac:dyDescent="0.3">
      <c r="A228" s="23" t="s">
        <v>23</v>
      </c>
      <c r="B228" s="23" t="s">
        <v>305</v>
      </c>
      <c r="C228" s="12" t="s">
        <v>306</v>
      </c>
      <c r="D228" s="84"/>
      <c r="E228" s="69" t="str">
        <f>HYPERLINK("https://www.google.ru/search?q=MC-CB199&amp;newwindow=1&amp;tbm=isch","Еще фото")</f>
        <v>Еще фото</v>
      </c>
      <c r="F228" s="13"/>
      <c r="G228" s="23" t="s">
        <v>307</v>
      </c>
      <c r="H228" s="23" t="s">
        <v>27</v>
      </c>
      <c r="I228" s="23" t="s">
        <v>308</v>
      </c>
      <c r="J228" s="14" t="s">
        <v>29</v>
      </c>
      <c r="K228" s="15" t="s">
        <v>30</v>
      </c>
      <c r="L228" s="87"/>
      <c r="M228" s="14"/>
      <c r="N228" s="14" t="s">
        <v>154</v>
      </c>
      <c r="O228" s="14"/>
      <c r="P228" s="15" t="s">
        <v>310</v>
      </c>
      <c r="Q228" s="16">
        <v>9699</v>
      </c>
      <c r="R228" s="17">
        <v>81.16</v>
      </c>
      <c r="S228" s="18">
        <v>2101.9354999999996</v>
      </c>
      <c r="T228" s="19" t="s">
        <v>34</v>
      </c>
      <c r="U228" s="20" t="s">
        <v>36</v>
      </c>
      <c r="V228" s="21">
        <v>122</v>
      </c>
      <c r="W228" s="21">
        <v>2</v>
      </c>
      <c r="X228" s="22"/>
    </row>
    <row r="229" spans="1:24" s="1" customFormat="1" ht="26.1" customHeight="1" x14ac:dyDescent="0.3">
      <c r="A229" s="23" t="s">
        <v>23</v>
      </c>
      <c r="B229" s="23" t="s">
        <v>305</v>
      </c>
      <c r="C229" s="12" t="s">
        <v>306</v>
      </c>
      <c r="D229" s="84"/>
      <c r="E229" s="69" t="str">
        <f>HYPERLINK("https://www.google.ru/search?q=MC-CB199&amp;newwindow=1&amp;tbm=isch","Еще фото")</f>
        <v>Еще фото</v>
      </c>
      <c r="F229" s="13"/>
      <c r="G229" s="23" t="s">
        <v>307</v>
      </c>
      <c r="H229" s="23" t="s">
        <v>27</v>
      </c>
      <c r="I229" s="23" t="s">
        <v>308</v>
      </c>
      <c r="J229" s="14" t="s">
        <v>29</v>
      </c>
      <c r="K229" s="15" t="s">
        <v>30</v>
      </c>
      <c r="L229" s="87"/>
      <c r="M229" s="14"/>
      <c r="N229" s="14" t="s">
        <v>154</v>
      </c>
      <c r="O229" s="14"/>
      <c r="P229" s="15" t="s">
        <v>310</v>
      </c>
      <c r="Q229" s="16">
        <v>9699</v>
      </c>
      <c r="R229" s="17">
        <v>81.16</v>
      </c>
      <c r="S229" s="18">
        <v>2101.9354999999996</v>
      </c>
      <c r="T229" s="19" t="s">
        <v>34</v>
      </c>
      <c r="U229" s="20" t="s">
        <v>91</v>
      </c>
      <c r="V229" s="21">
        <v>134</v>
      </c>
      <c r="W229" s="21">
        <v>2</v>
      </c>
      <c r="X229" s="22"/>
    </row>
    <row r="230" spans="1:24" s="1" customFormat="1" ht="26.1" customHeight="1" x14ac:dyDescent="0.3">
      <c r="A230" s="23" t="s">
        <v>23</v>
      </c>
      <c r="B230" s="23" t="s">
        <v>305</v>
      </c>
      <c r="C230" s="12" t="s">
        <v>306</v>
      </c>
      <c r="D230" s="85"/>
      <c r="E230" s="69" t="str">
        <f>HYPERLINK("https://www.google.ru/search?q=MC-CB199&amp;newwindow=1&amp;tbm=isch","Еще фото")</f>
        <v>Еще фото</v>
      </c>
      <c r="F230" s="13"/>
      <c r="G230" s="23" t="s">
        <v>307</v>
      </c>
      <c r="H230" s="23" t="s">
        <v>27</v>
      </c>
      <c r="I230" s="23" t="s">
        <v>308</v>
      </c>
      <c r="J230" s="14" t="s">
        <v>29</v>
      </c>
      <c r="K230" s="15" t="s">
        <v>30</v>
      </c>
      <c r="L230" s="88"/>
      <c r="M230" s="14"/>
      <c r="N230" s="14" t="s">
        <v>154</v>
      </c>
      <c r="O230" s="14"/>
      <c r="P230" s="15" t="s">
        <v>310</v>
      </c>
      <c r="Q230" s="16">
        <v>9699</v>
      </c>
      <c r="R230" s="17">
        <v>81.16</v>
      </c>
      <c r="S230" s="18">
        <v>2101.9354999999996</v>
      </c>
      <c r="T230" s="19" t="s">
        <v>34</v>
      </c>
      <c r="U230" s="20" t="s">
        <v>290</v>
      </c>
      <c r="V230" s="21">
        <v>140</v>
      </c>
      <c r="W230" s="21">
        <v>2</v>
      </c>
      <c r="X230" s="22"/>
    </row>
    <row r="231" spans="1:24" s="1" customFormat="1" ht="17.100000000000001" customHeight="1" x14ac:dyDescent="0.3">
      <c r="A231" s="11" t="s">
        <v>23</v>
      </c>
      <c r="B231" s="11" t="s">
        <v>305</v>
      </c>
      <c r="C231" s="12" t="s">
        <v>311</v>
      </c>
      <c r="D231" s="83"/>
      <c r="E231" s="69" t="str">
        <f t="shared" ref="E231:E236" si="7">HYPERLINK("https://www.google.ru/search?q=MC-CB195&amp;newwindow=1&amp;tbm=isch","Еще фото")</f>
        <v>Еще фото</v>
      </c>
      <c r="F231" s="13"/>
      <c r="G231" s="11" t="s">
        <v>307</v>
      </c>
      <c r="H231" s="11" t="s">
        <v>27</v>
      </c>
      <c r="I231" s="14" t="s">
        <v>308</v>
      </c>
      <c r="J231" s="14" t="s">
        <v>29</v>
      </c>
      <c r="K231" s="15" t="s">
        <v>30</v>
      </c>
      <c r="L231" s="86" t="s">
        <v>312</v>
      </c>
      <c r="M231" s="14"/>
      <c r="N231" s="14" t="s">
        <v>313</v>
      </c>
      <c r="O231" s="14"/>
      <c r="P231" s="15" t="s">
        <v>193</v>
      </c>
      <c r="Q231" s="16">
        <v>9699</v>
      </c>
      <c r="R231" s="17">
        <v>79.81</v>
      </c>
      <c r="S231" s="18">
        <v>2251.4354999999996</v>
      </c>
      <c r="T231" s="19" t="s">
        <v>34</v>
      </c>
      <c r="U231" s="20" t="s">
        <v>94</v>
      </c>
      <c r="V231" s="21">
        <v>104</v>
      </c>
      <c r="W231" s="21">
        <v>1</v>
      </c>
      <c r="X231" s="22"/>
    </row>
    <row r="232" spans="1:24" s="1" customFormat="1" ht="17.100000000000001" customHeight="1" x14ac:dyDescent="0.3">
      <c r="A232" s="23" t="s">
        <v>23</v>
      </c>
      <c r="B232" s="23" t="s">
        <v>305</v>
      </c>
      <c r="C232" s="12" t="s">
        <v>311</v>
      </c>
      <c r="D232" s="84"/>
      <c r="E232" s="69" t="str">
        <f t="shared" si="7"/>
        <v>Еще фото</v>
      </c>
      <c r="F232" s="13"/>
      <c r="G232" s="23" t="s">
        <v>307</v>
      </c>
      <c r="H232" s="23" t="s">
        <v>27</v>
      </c>
      <c r="I232" s="23" t="s">
        <v>308</v>
      </c>
      <c r="J232" s="14" t="s">
        <v>29</v>
      </c>
      <c r="K232" s="15" t="s">
        <v>30</v>
      </c>
      <c r="L232" s="87"/>
      <c r="M232" s="14"/>
      <c r="N232" s="14" t="s">
        <v>313</v>
      </c>
      <c r="O232" s="14"/>
      <c r="P232" s="15" t="s">
        <v>193</v>
      </c>
      <c r="Q232" s="16">
        <v>9699</v>
      </c>
      <c r="R232" s="17">
        <v>79.81</v>
      </c>
      <c r="S232" s="18">
        <v>2251.4354999999996</v>
      </c>
      <c r="T232" s="19" t="s">
        <v>34</v>
      </c>
      <c r="U232" s="20" t="s">
        <v>43</v>
      </c>
      <c r="V232" s="21">
        <v>110</v>
      </c>
      <c r="W232" s="21">
        <v>4</v>
      </c>
      <c r="X232" s="22"/>
    </row>
    <row r="233" spans="1:24" s="1" customFormat="1" ht="17.100000000000001" customHeight="1" x14ac:dyDescent="0.3">
      <c r="A233" s="23" t="s">
        <v>23</v>
      </c>
      <c r="B233" s="23" t="s">
        <v>305</v>
      </c>
      <c r="C233" s="12" t="s">
        <v>311</v>
      </c>
      <c r="D233" s="84"/>
      <c r="E233" s="69" t="str">
        <f t="shared" si="7"/>
        <v>Еще фото</v>
      </c>
      <c r="F233" s="13"/>
      <c r="G233" s="23" t="s">
        <v>307</v>
      </c>
      <c r="H233" s="23" t="s">
        <v>27</v>
      </c>
      <c r="I233" s="23" t="s">
        <v>308</v>
      </c>
      <c r="J233" s="14" t="s">
        <v>29</v>
      </c>
      <c r="K233" s="15" t="s">
        <v>30</v>
      </c>
      <c r="L233" s="87"/>
      <c r="M233" s="14"/>
      <c r="N233" s="14" t="s">
        <v>313</v>
      </c>
      <c r="O233" s="14"/>
      <c r="P233" s="15" t="s">
        <v>193</v>
      </c>
      <c r="Q233" s="16">
        <v>9699</v>
      </c>
      <c r="R233" s="17">
        <v>79.81</v>
      </c>
      <c r="S233" s="18">
        <v>2251.4354999999996</v>
      </c>
      <c r="T233" s="19" t="s">
        <v>34</v>
      </c>
      <c r="U233" s="20" t="s">
        <v>35</v>
      </c>
      <c r="V233" s="21">
        <v>116</v>
      </c>
      <c r="W233" s="21">
        <v>2</v>
      </c>
      <c r="X233" s="22"/>
    </row>
    <row r="234" spans="1:24" s="1" customFormat="1" ht="17.100000000000001" customHeight="1" x14ac:dyDescent="0.3">
      <c r="A234" s="23" t="s">
        <v>23</v>
      </c>
      <c r="B234" s="23" t="s">
        <v>305</v>
      </c>
      <c r="C234" s="12" t="s">
        <v>311</v>
      </c>
      <c r="D234" s="84"/>
      <c r="E234" s="69" t="str">
        <f t="shared" si="7"/>
        <v>Еще фото</v>
      </c>
      <c r="F234" s="13"/>
      <c r="G234" s="23" t="s">
        <v>307</v>
      </c>
      <c r="H234" s="23" t="s">
        <v>27</v>
      </c>
      <c r="I234" s="23" t="s">
        <v>308</v>
      </c>
      <c r="J234" s="14" t="s">
        <v>29</v>
      </c>
      <c r="K234" s="15" t="s">
        <v>30</v>
      </c>
      <c r="L234" s="87"/>
      <c r="M234" s="14"/>
      <c r="N234" s="14" t="s">
        <v>313</v>
      </c>
      <c r="O234" s="14"/>
      <c r="P234" s="15" t="s">
        <v>193</v>
      </c>
      <c r="Q234" s="16">
        <v>9699</v>
      </c>
      <c r="R234" s="17">
        <v>79.81</v>
      </c>
      <c r="S234" s="18">
        <v>2251.4354999999996</v>
      </c>
      <c r="T234" s="19" t="s">
        <v>34</v>
      </c>
      <c r="U234" s="20" t="s">
        <v>36</v>
      </c>
      <c r="V234" s="21">
        <v>122</v>
      </c>
      <c r="W234" s="21">
        <v>4</v>
      </c>
      <c r="X234" s="22"/>
    </row>
    <row r="235" spans="1:24" s="1" customFormat="1" ht="17.100000000000001" customHeight="1" x14ac:dyDescent="0.3">
      <c r="A235" s="23" t="s">
        <v>23</v>
      </c>
      <c r="B235" s="23" t="s">
        <v>305</v>
      </c>
      <c r="C235" s="12" t="s">
        <v>311</v>
      </c>
      <c r="D235" s="84"/>
      <c r="E235" s="69" t="str">
        <f t="shared" si="7"/>
        <v>Еще фото</v>
      </c>
      <c r="F235" s="13"/>
      <c r="G235" s="23" t="s">
        <v>307</v>
      </c>
      <c r="H235" s="23" t="s">
        <v>27</v>
      </c>
      <c r="I235" s="23" t="s">
        <v>308</v>
      </c>
      <c r="J235" s="14" t="s">
        <v>29</v>
      </c>
      <c r="K235" s="15" t="s">
        <v>30</v>
      </c>
      <c r="L235" s="87"/>
      <c r="M235" s="14"/>
      <c r="N235" s="14" t="s">
        <v>313</v>
      </c>
      <c r="O235" s="14"/>
      <c r="P235" s="15" t="s">
        <v>193</v>
      </c>
      <c r="Q235" s="16">
        <v>9699</v>
      </c>
      <c r="R235" s="17">
        <v>79.81</v>
      </c>
      <c r="S235" s="18">
        <v>2251.4354999999996</v>
      </c>
      <c r="T235" s="19" t="s">
        <v>34</v>
      </c>
      <c r="U235" s="20" t="s">
        <v>37</v>
      </c>
      <c r="V235" s="21">
        <v>128</v>
      </c>
      <c r="W235" s="21">
        <v>3</v>
      </c>
      <c r="X235" s="22"/>
    </row>
    <row r="236" spans="1:24" s="1" customFormat="1" ht="21.95" customHeight="1" x14ac:dyDescent="0.3">
      <c r="A236" s="23" t="s">
        <v>23</v>
      </c>
      <c r="B236" s="23" t="s">
        <v>305</v>
      </c>
      <c r="C236" s="12" t="s">
        <v>311</v>
      </c>
      <c r="D236" s="85"/>
      <c r="E236" s="69" t="str">
        <f t="shared" si="7"/>
        <v>Еще фото</v>
      </c>
      <c r="F236" s="13"/>
      <c r="G236" s="23" t="s">
        <v>307</v>
      </c>
      <c r="H236" s="23" t="s">
        <v>27</v>
      </c>
      <c r="I236" s="23" t="s">
        <v>308</v>
      </c>
      <c r="J236" s="14" t="s">
        <v>29</v>
      </c>
      <c r="K236" s="15" t="s">
        <v>30</v>
      </c>
      <c r="L236" s="88"/>
      <c r="M236" s="14"/>
      <c r="N236" s="14" t="s">
        <v>313</v>
      </c>
      <c r="O236" s="14"/>
      <c r="P236" s="15" t="s">
        <v>193</v>
      </c>
      <c r="Q236" s="16">
        <v>9699</v>
      </c>
      <c r="R236" s="17">
        <v>79.81</v>
      </c>
      <c r="S236" s="18">
        <v>2251.4354999999996</v>
      </c>
      <c r="T236" s="19" t="s">
        <v>34</v>
      </c>
      <c r="U236" s="20" t="s">
        <v>91</v>
      </c>
      <c r="V236" s="21">
        <v>134</v>
      </c>
      <c r="W236" s="21">
        <v>3</v>
      </c>
      <c r="X236" s="22"/>
    </row>
    <row r="237" spans="1:24" s="1" customFormat="1" ht="21" customHeight="1" x14ac:dyDescent="0.3">
      <c r="A237" s="11" t="s">
        <v>23</v>
      </c>
      <c r="B237" s="11" t="s">
        <v>305</v>
      </c>
      <c r="C237" s="27" t="s">
        <v>314</v>
      </c>
      <c r="D237" s="83"/>
      <c r="E237" s="69" t="str">
        <f>HYPERLINK("https://www.google.ru/search?q=MC-BB203&amp;newwindow=1&amp;tbm=isch","Еще фото")</f>
        <v>Еще фото</v>
      </c>
      <c r="F237" s="13"/>
      <c r="G237" s="11" t="s">
        <v>307</v>
      </c>
      <c r="H237" s="11" t="s">
        <v>27</v>
      </c>
      <c r="I237" s="14" t="s">
        <v>308</v>
      </c>
      <c r="J237" s="14" t="s">
        <v>29</v>
      </c>
      <c r="K237" s="15" t="s">
        <v>30</v>
      </c>
      <c r="L237" s="86" t="s">
        <v>315</v>
      </c>
      <c r="M237" s="14"/>
      <c r="N237" s="14" t="s">
        <v>275</v>
      </c>
      <c r="O237" s="14"/>
      <c r="P237" s="15" t="s">
        <v>316</v>
      </c>
      <c r="Q237" s="16">
        <v>7099</v>
      </c>
      <c r="R237" s="17">
        <v>79.61</v>
      </c>
      <c r="S237" s="18">
        <v>1664.9354999999998</v>
      </c>
      <c r="T237" s="19" t="s">
        <v>34</v>
      </c>
      <c r="U237" s="20" t="s">
        <v>94</v>
      </c>
      <c r="V237" s="21">
        <v>104</v>
      </c>
      <c r="W237" s="21">
        <v>1</v>
      </c>
      <c r="X237" s="22"/>
    </row>
    <row r="238" spans="1:24" s="1" customFormat="1" ht="21" customHeight="1" x14ac:dyDescent="0.3">
      <c r="A238" s="23" t="s">
        <v>23</v>
      </c>
      <c r="B238" s="23" t="s">
        <v>305</v>
      </c>
      <c r="C238" s="28" t="s">
        <v>314</v>
      </c>
      <c r="D238" s="84"/>
      <c r="E238" s="69" t="str">
        <f>HYPERLINK("https://www.google.ru/search?q=MC-BB203&amp;newwindow=1&amp;tbm=isch","Еще фото")</f>
        <v>Еще фото</v>
      </c>
      <c r="F238" s="13"/>
      <c r="G238" s="23" t="s">
        <v>307</v>
      </c>
      <c r="H238" s="23" t="s">
        <v>27</v>
      </c>
      <c r="I238" s="23" t="s">
        <v>308</v>
      </c>
      <c r="J238" s="14" t="s">
        <v>29</v>
      </c>
      <c r="K238" s="15" t="s">
        <v>30</v>
      </c>
      <c r="L238" s="87"/>
      <c r="M238" s="14"/>
      <c r="N238" s="14" t="s">
        <v>275</v>
      </c>
      <c r="O238" s="14"/>
      <c r="P238" s="15" t="s">
        <v>316</v>
      </c>
      <c r="Q238" s="16">
        <v>7099</v>
      </c>
      <c r="R238" s="17">
        <v>79.61</v>
      </c>
      <c r="S238" s="18">
        <v>1664.9354999999998</v>
      </c>
      <c r="T238" s="19" t="s">
        <v>34</v>
      </c>
      <c r="U238" s="20" t="s">
        <v>35</v>
      </c>
      <c r="V238" s="21">
        <v>116</v>
      </c>
      <c r="W238" s="21">
        <v>2</v>
      </c>
      <c r="X238" s="22"/>
    </row>
    <row r="239" spans="1:24" s="1" customFormat="1" ht="21" customHeight="1" x14ac:dyDescent="0.3">
      <c r="A239" s="23" t="s">
        <v>23</v>
      </c>
      <c r="B239" s="23" t="s">
        <v>305</v>
      </c>
      <c r="C239" s="28" t="s">
        <v>314</v>
      </c>
      <c r="D239" s="84"/>
      <c r="E239" s="69" t="str">
        <f>HYPERLINK("https://www.google.ru/search?q=MC-BB203&amp;newwindow=1&amp;tbm=isch","Еще фото")</f>
        <v>Еще фото</v>
      </c>
      <c r="F239" s="13"/>
      <c r="G239" s="23" t="s">
        <v>307</v>
      </c>
      <c r="H239" s="23" t="s">
        <v>27</v>
      </c>
      <c r="I239" s="23" t="s">
        <v>308</v>
      </c>
      <c r="J239" s="14" t="s">
        <v>29</v>
      </c>
      <c r="K239" s="15" t="s">
        <v>30</v>
      </c>
      <c r="L239" s="87"/>
      <c r="M239" s="14"/>
      <c r="N239" s="14" t="s">
        <v>275</v>
      </c>
      <c r="O239" s="14"/>
      <c r="P239" s="15" t="s">
        <v>316</v>
      </c>
      <c r="Q239" s="16">
        <v>7099</v>
      </c>
      <c r="R239" s="17">
        <v>79.61</v>
      </c>
      <c r="S239" s="18">
        <v>1664.9354999999998</v>
      </c>
      <c r="T239" s="19" t="s">
        <v>34</v>
      </c>
      <c r="U239" s="20" t="s">
        <v>36</v>
      </c>
      <c r="V239" s="21">
        <v>122</v>
      </c>
      <c r="W239" s="21">
        <v>1</v>
      </c>
      <c r="X239" s="22"/>
    </row>
    <row r="240" spans="1:24" s="1" customFormat="1" ht="21" customHeight="1" x14ac:dyDescent="0.3">
      <c r="A240" s="23" t="s">
        <v>23</v>
      </c>
      <c r="B240" s="23" t="s">
        <v>305</v>
      </c>
      <c r="C240" s="28" t="s">
        <v>314</v>
      </c>
      <c r="D240" s="84"/>
      <c r="E240" s="69" t="str">
        <f>HYPERLINK("https://www.google.ru/search?q=MC-BB203&amp;newwindow=1&amp;tbm=isch","Еще фото")</f>
        <v>Еще фото</v>
      </c>
      <c r="F240" s="13"/>
      <c r="G240" s="23" t="s">
        <v>307</v>
      </c>
      <c r="H240" s="23" t="s">
        <v>27</v>
      </c>
      <c r="I240" s="23" t="s">
        <v>308</v>
      </c>
      <c r="J240" s="14" t="s">
        <v>29</v>
      </c>
      <c r="K240" s="15" t="s">
        <v>30</v>
      </c>
      <c r="L240" s="87"/>
      <c r="M240" s="14"/>
      <c r="N240" s="14" t="s">
        <v>275</v>
      </c>
      <c r="O240" s="14"/>
      <c r="P240" s="15" t="s">
        <v>316</v>
      </c>
      <c r="Q240" s="16">
        <v>7099</v>
      </c>
      <c r="R240" s="17">
        <v>79.61</v>
      </c>
      <c r="S240" s="18">
        <v>1664.9354999999998</v>
      </c>
      <c r="T240" s="19" t="s">
        <v>34</v>
      </c>
      <c r="U240" s="20" t="s">
        <v>37</v>
      </c>
      <c r="V240" s="21">
        <v>128</v>
      </c>
      <c r="W240" s="21">
        <v>1</v>
      </c>
      <c r="X240" s="22"/>
    </row>
    <row r="241" spans="1:24" s="1" customFormat="1" ht="32.1" customHeight="1" x14ac:dyDescent="0.3">
      <c r="A241" s="23" t="s">
        <v>23</v>
      </c>
      <c r="B241" s="23" t="s">
        <v>305</v>
      </c>
      <c r="C241" s="28" t="s">
        <v>314</v>
      </c>
      <c r="D241" s="85"/>
      <c r="E241" s="69" t="str">
        <f>HYPERLINK("https://www.google.ru/search?q=MC-BB203&amp;newwindow=1&amp;tbm=isch","Еще фото")</f>
        <v>Еще фото</v>
      </c>
      <c r="F241" s="13"/>
      <c r="G241" s="23" t="s">
        <v>307</v>
      </c>
      <c r="H241" s="23" t="s">
        <v>27</v>
      </c>
      <c r="I241" s="23" t="s">
        <v>308</v>
      </c>
      <c r="J241" s="14" t="s">
        <v>29</v>
      </c>
      <c r="K241" s="15" t="s">
        <v>30</v>
      </c>
      <c r="L241" s="88"/>
      <c r="M241" s="14"/>
      <c r="N241" s="14" t="s">
        <v>275</v>
      </c>
      <c r="O241" s="14"/>
      <c r="P241" s="15" t="s">
        <v>316</v>
      </c>
      <c r="Q241" s="16">
        <v>7099</v>
      </c>
      <c r="R241" s="17">
        <v>79.61</v>
      </c>
      <c r="S241" s="18">
        <v>1664.9354999999998</v>
      </c>
      <c r="T241" s="19" t="s">
        <v>34</v>
      </c>
      <c r="U241" s="20" t="s">
        <v>290</v>
      </c>
      <c r="V241" s="21">
        <v>140</v>
      </c>
      <c r="W241" s="21">
        <v>1</v>
      </c>
      <c r="X241" s="22"/>
    </row>
    <row r="242" spans="1:24" s="1" customFormat="1" ht="35.1" customHeight="1" x14ac:dyDescent="0.3">
      <c r="A242" s="11" t="s">
        <v>23</v>
      </c>
      <c r="B242" s="11" t="s">
        <v>305</v>
      </c>
      <c r="C242" s="12" t="s">
        <v>317</v>
      </c>
      <c r="D242" s="83"/>
      <c r="E242" s="69" t="str">
        <f>HYPERLINK("https://www.google.ru/search?q=MC-ZA883&amp;newwindow=1&amp;tbm=isch","Еще фото")</f>
        <v>Еще фото</v>
      </c>
      <c r="F242" s="13"/>
      <c r="G242" s="11" t="s">
        <v>307</v>
      </c>
      <c r="H242" s="11" t="s">
        <v>27</v>
      </c>
      <c r="I242" s="14" t="s">
        <v>308</v>
      </c>
      <c r="J242" s="14" t="s">
        <v>29</v>
      </c>
      <c r="K242" s="15" t="s">
        <v>30</v>
      </c>
      <c r="L242" s="86" t="s">
        <v>318</v>
      </c>
      <c r="M242" s="14"/>
      <c r="N242" s="14" t="s">
        <v>70</v>
      </c>
      <c r="O242" s="14"/>
      <c r="P242" s="15" t="s">
        <v>193</v>
      </c>
      <c r="Q242" s="16">
        <v>9599</v>
      </c>
      <c r="R242" s="17">
        <v>78.349999999999994</v>
      </c>
      <c r="S242" s="18">
        <v>2389.4354999999996</v>
      </c>
      <c r="T242" s="19" t="s">
        <v>34</v>
      </c>
      <c r="U242" s="20" t="s">
        <v>35</v>
      </c>
      <c r="V242" s="21">
        <v>116</v>
      </c>
      <c r="W242" s="21">
        <v>4</v>
      </c>
      <c r="X242" s="22"/>
    </row>
    <row r="243" spans="1:24" s="1" customFormat="1" ht="35.1" customHeight="1" x14ac:dyDescent="0.3">
      <c r="A243" s="23" t="s">
        <v>23</v>
      </c>
      <c r="B243" s="23" t="s">
        <v>305</v>
      </c>
      <c r="C243" s="12" t="s">
        <v>317</v>
      </c>
      <c r="D243" s="84"/>
      <c r="E243" s="69" t="str">
        <f>HYPERLINK("https://www.google.ru/search?q=MC-ZA883&amp;newwindow=1&amp;tbm=isch","Еще фото")</f>
        <v>Еще фото</v>
      </c>
      <c r="F243" s="13"/>
      <c r="G243" s="23" t="s">
        <v>307</v>
      </c>
      <c r="H243" s="23" t="s">
        <v>27</v>
      </c>
      <c r="I243" s="23" t="s">
        <v>308</v>
      </c>
      <c r="J243" s="14" t="s">
        <v>29</v>
      </c>
      <c r="K243" s="15" t="s">
        <v>30</v>
      </c>
      <c r="L243" s="87"/>
      <c r="M243" s="14"/>
      <c r="N243" s="14" t="s">
        <v>70</v>
      </c>
      <c r="O243" s="14"/>
      <c r="P243" s="15" t="s">
        <v>193</v>
      </c>
      <c r="Q243" s="16">
        <v>9599</v>
      </c>
      <c r="R243" s="17">
        <v>78.349999999999994</v>
      </c>
      <c r="S243" s="18">
        <v>2389.4354999999996</v>
      </c>
      <c r="T243" s="19" t="s">
        <v>34</v>
      </c>
      <c r="U243" s="20" t="s">
        <v>36</v>
      </c>
      <c r="V243" s="21">
        <v>122</v>
      </c>
      <c r="W243" s="21">
        <v>4</v>
      </c>
      <c r="X243" s="22"/>
    </row>
    <row r="244" spans="1:24" s="1" customFormat="1" ht="36.950000000000003" customHeight="1" x14ac:dyDescent="0.3">
      <c r="A244" s="23" t="s">
        <v>23</v>
      </c>
      <c r="B244" s="23" t="s">
        <v>305</v>
      </c>
      <c r="C244" s="12" t="s">
        <v>317</v>
      </c>
      <c r="D244" s="85"/>
      <c r="E244" s="69" t="str">
        <f>HYPERLINK("https://www.google.ru/search?q=MC-ZA883&amp;newwindow=1&amp;tbm=isch","Еще фото")</f>
        <v>Еще фото</v>
      </c>
      <c r="F244" s="13"/>
      <c r="G244" s="23" t="s">
        <v>307</v>
      </c>
      <c r="H244" s="23" t="s">
        <v>27</v>
      </c>
      <c r="I244" s="23" t="s">
        <v>308</v>
      </c>
      <c r="J244" s="14" t="s">
        <v>29</v>
      </c>
      <c r="K244" s="15" t="s">
        <v>30</v>
      </c>
      <c r="L244" s="88"/>
      <c r="M244" s="14"/>
      <c r="N244" s="14" t="s">
        <v>70</v>
      </c>
      <c r="O244" s="14"/>
      <c r="P244" s="15" t="s">
        <v>193</v>
      </c>
      <c r="Q244" s="16">
        <v>9599</v>
      </c>
      <c r="R244" s="17">
        <v>78.349999999999994</v>
      </c>
      <c r="S244" s="18">
        <v>2389.4354999999996</v>
      </c>
      <c r="T244" s="19" t="s">
        <v>34</v>
      </c>
      <c r="U244" s="20" t="s">
        <v>37</v>
      </c>
      <c r="V244" s="21">
        <v>128</v>
      </c>
      <c r="W244" s="21">
        <v>1</v>
      </c>
      <c r="X244" s="22"/>
    </row>
    <row r="245" spans="1:24" s="1" customFormat="1" ht="26.1" customHeight="1" x14ac:dyDescent="0.3">
      <c r="A245" s="11" t="s">
        <v>23</v>
      </c>
      <c r="B245" s="11" t="s">
        <v>305</v>
      </c>
      <c r="C245" s="12" t="s">
        <v>319</v>
      </c>
      <c r="D245" s="83"/>
      <c r="E245" s="69" t="str">
        <f>HYPERLINK("https://www.google.ru/search?q=MC-CB214&amp;newwindow=1&amp;tbm=isch","Еще фото")</f>
        <v>Еще фото</v>
      </c>
      <c r="F245" s="13"/>
      <c r="G245" s="11" t="s">
        <v>307</v>
      </c>
      <c r="H245" s="11" t="s">
        <v>27</v>
      </c>
      <c r="I245" s="14" t="s">
        <v>308</v>
      </c>
      <c r="J245" s="14" t="s">
        <v>29</v>
      </c>
      <c r="K245" s="15" t="s">
        <v>30</v>
      </c>
      <c r="L245" s="86" t="s">
        <v>320</v>
      </c>
      <c r="M245" s="14"/>
      <c r="N245" s="14" t="s">
        <v>242</v>
      </c>
      <c r="O245" s="14"/>
      <c r="P245" s="15" t="s">
        <v>310</v>
      </c>
      <c r="Q245" s="16">
        <v>9399</v>
      </c>
      <c r="R245" s="17">
        <v>71.94</v>
      </c>
      <c r="S245" s="18">
        <v>3033.4354999999996</v>
      </c>
      <c r="T245" s="19" t="s">
        <v>34</v>
      </c>
      <c r="U245" s="20" t="s">
        <v>77</v>
      </c>
      <c r="V245" s="21">
        <v>92</v>
      </c>
      <c r="W245" s="21">
        <v>4</v>
      </c>
      <c r="X245" s="22"/>
    </row>
    <row r="246" spans="1:24" s="1" customFormat="1" ht="26.1" customHeight="1" x14ac:dyDescent="0.3">
      <c r="A246" s="23" t="s">
        <v>23</v>
      </c>
      <c r="B246" s="23" t="s">
        <v>305</v>
      </c>
      <c r="C246" s="12" t="s">
        <v>319</v>
      </c>
      <c r="D246" s="84"/>
      <c r="E246" s="69" t="str">
        <f>HYPERLINK("https://www.google.ru/search?q=MC-CB214&amp;newwindow=1&amp;tbm=isch","Еще фото")</f>
        <v>Еще фото</v>
      </c>
      <c r="F246" s="13"/>
      <c r="G246" s="23" t="s">
        <v>307</v>
      </c>
      <c r="H246" s="23" t="s">
        <v>27</v>
      </c>
      <c r="I246" s="23" t="s">
        <v>308</v>
      </c>
      <c r="J246" s="14" t="s">
        <v>29</v>
      </c>
      <c r="K246" s="15" t="s">
        <v>30</v>
      </c>
      <c r="L246" s="87"/>
      <c r="M246" s="14"/>
      <c r="N246" s="14" t="s">
        <v>242</v>
      </c>
      <c r="O246" s="14"/>
      <c r="P246" s="15" t="s">
        <v>310</v>
      </c>
      <c r="Q246" s="16">
        <v>9399</v>
      </c>
      <c r="R246" s="17">
        <v>71.94</v>
      </c>
      <c r="S246" s="18">
        <v>3033.4354999999996</v>
      </c>
      <c r="T246" s="19" t="s">
        <v>34</v>
      </c>
      <c r="U246" s="20" t="s">
        <v>78</v>
      </c>
      <c r="V246" s="21">
        <v>98</v>
      </c>
      <c r="W246" s="21">
        <v>2</v>
      </c>
      <c r="X246" s="22"/>
    </row>
    <row r="247" spans="1:24" s="1" customFormat="1" ht="26.1" customHeight="1" x14ac:dyDescent="0.3">
      <c r="A247" s="23" t="s">
        <v>23</v>
      </c>
      <c r="B247" s="23" t="s">
        <v>305</v>
      </c>
      <c r="C247" s="12" t="s">
        <v>319</v>
      </c>
      <c r="D247" s="84"/>
      <c r="E247" s="69" t="str">
        <f>HYPERLINK("https://www.google.ru/search?q=MC-CB214&amp;newwindow=1&amp;tbm=isch","Еще фото")</f>
        <v>Еще фото</v>
      </c>
      <c r="F247" s="13"/>
      <c r="G247" s="23" t="s">
        <v>307</v>
      </c>
      <c r="H247" s="23" t="s">
        <v>27</v>
      </c>
      <c r="I247" s="23" t="s">
        <v>308</v>
      </c>
      <c r="J247" s="14" t="s">
        <v>29</v>
      </c>
      <c r="K247" s="15" t="s">
        <v>30</v>
      </c>
      <c r="L247" s="87"/>
      <c r="M247" s="14"/>
      <c r="N247" s="14" t="s">
        <v>242</v>
      </c>
      <c r="O247" s="14"/>
      <c r="P247" s="15" t="s">
        <v>310</v>
      </c>
      <c r="Q247" s="16">
        <v>9399</v>
      </c>
      <c r="R247" s="17">
        <v>71.94</v>
      </c>
      <c r="S247" s="18">
        <v>3033.4354999999996</v>
      </c>
      <c r="T247" s="19" t="s">
        <v>34</v>
      </c>
      <c r="U247" s="20" t="s">
        <v>35</v>
      </c>
      <c r="V247" s="21">
        <v>116</v>
      </c>
      <c r="W247" s="21">
        <v>1</v>
      </c>
      <c r="X247" s="22"/>
    </row>
    <row r="248" spans="1:24" s="1" customFormat="1" ht="26.1" customHeight="1" x14ac:dyDescent="0.3">
      <c r="A248" s="23" t="s">
        <v>23</v>
      </c>
      <c r="B248" s="23" t="s">
        <v>305</v>
      </c>
      <c r="C248" s="12" t="s">
        <v>319</v>
      </c>
      <c r="D248" s="85"/>
      <c r="E248" s="69" t="str">
        <f>HYPERLINK("https://www.google.ru/search?q=MC-CB214&amp;newwindow=1&amp;tbm=isch","Еще фото")</f>
        <v>Еще фото</v>
      </c>
      <c r="F248" s="13"/>
      <c r="G248" s="23" t="s">
        <v>307</v>
      </c>
      <c r="H248" s="23" t="s">
        <v>27</v>
      </c>
      <c r="I248" s="23" t="s">
        <v>308</v>
      </c>
      <c r="J248" s="14" t="s">
        <v>29</v>
      </c>
      <c r="K248" s="15" t="s">
        <v>30</v>
      </c>
      <c r="L248" s="88"/>
      <c r="M248" s="14"/>
      <c r="N248" s="14" t="s">
        <v>242</v>
      </c>
      <c r="O248" s="14"/>
      <c r="P248" s="15" t="s">
        <v>310</v>
      </c>
      <c r="Q248" s="16">
        <v>9399</v>
      </c>
      <c r="R248" s="17">
        <v>71.94</v>
      </c>
      <c r="S248" s="18">
        <v>3033.4354999999996</v>
      </c>
      <c r="T248" s="19" t="s">
        <v>34</v>
      </c>
      <c r="U248" s="20" t="s">
        <v>37</v>
      </c>
      <c r="V248" s="21">
        <v>128</v>
      </c>
      <c r="W248" s="21">
        <v>1</v>
      </c>
      <c r="X248" s="22"/>
    </row>
    <row r="249" spans="1:24" s="1" customFormat="1" ht="108" customHeight="1" x14ac:dyDescent="0.3">
      <c r="A249" s="11" t="s">
        <v>321</v>
      </c>
      <c r="B249" s="11" t="s">
        <v>322</v>
      </c>
      <c r="C249" s="12" t="s">
        <v>323</v>
      </c>
      <c r="D249" s="24"/>
      <c r="E249" s="69" t="str">
        <f>HYPERLINK("https://www.google.ru/search?q=FBS2345BJ&amp;newwindow=1&amp;tbm=isch","Еще фото")</f>
        <v>Еще фото</v>
      </c>
      <c r="F249" s="13"/>
      <c r="G249" s="11" t="s">
        <v>324</v>
      </c>
      <c r="H249" s="11" t="s">
        <v>27</v>
      </c>
      <c r="I249" s="14" t="s">
        <v>308</v>
      </c>
      <c r="J249" s="14" t="s">
        <v>29</v>
      </c>
      <c r="K249" s="15" t="s">
        <v>55</v>
      </c>
      <c r="L249" s="14" t="s">
        <v>325</v>
      </c>
      <c r="M249" s="14" t="s">
        <v>73</v>
      </c>
      <c r="N249" s="14" t="s">
        <v>326</v>
      </c>
      <c r="O249" s="14"/>
      <c r="P249" s="15" t="s">
        <v>327</v>
      </c>
      <c r="Q249" s="16">
        <v>19799</v>
      </c>
      <c r="R249" s="17">
        <v>71.52</v>
      </c>
      <c r="S249" s="18">
        <v>6483.4354999999996</v>
      </c>
      <c r="T249" s="19" t="s">
        <v>328</v>
      </c>
      <c r="U249" s="20" t="s">
        <v>329</v>
      </c>
      <c r="V249" s="25" t="s">
        <v>68</v>
      </c>
      <c r="W249" s="21">
        <v>15</v>
      </c>
      <c r="X249" s="22"/>
    </row>
    <row r="250" spans="1:24" s="1" customFormat="1" ht="35.1" customHeight="1" x14ac:dyDescent="0.3">
      <c r="A250" s="11" t="s">
        <v>23</v>
      </c>
      <c r="B250" s="11" t="s">
        <v>330</v>
      </c>
      <c r="C250" s="12" t="s">
        <v>331</v>
      </c>
      <c r="D250" s="83"/>
      <c r="E250" s="69" t="str">
        <f>HYPERLINK("https://www.google.ru/search?q=MC-BB202&amp;newwindow=1&amp;tbm=isch","Еще фото")</f>
        <v>Еще фото</v>
      </c>
      <c r="F250" s="13"/>
      <c r="G250" s="11" t="s">
        <v>332</v>
      </c>
      <c r="H250" s="11" t="s">
        <v>27</v>
      </c>
      <c r="I250" s="14" t="s">
        <v>308</v>
      </c>
      <c r="J250" s="14" t="s">
        <v>29</v>
      </c>
      <c r="K250" s="15" t="s">
        <v>30</v>
      </c>
      <c r="L250" s="86" t="s">
        <v>333</v>
      </c>
      <c r="M250" s="14"/>
      <c r="N250" s="14" t="s">
        <v>275</v>
      </c>
      <c r="O250" s="14"/>
      <c r="P250" s="15" t="s">
        <v>334</v>
      </c>
      <c r="Q250" s="16">
        <v>6099</v>
      </c>
      <c r="R250" s="17">
        <v>70.52</v>
      </c>
      <c r="S250" s="18">
        <v>2067.4354999999996</v>
      </c>
      <c r="T250" s="19" t="s">
        <v>34</v>
      </c>
      <c r="U250" s="20" t="s">
        <v>43</v>
      </c>
      <c r="V250" s="21">
        <v>110</v>
      </c>
      <c r="W250" s="21">
        <v>1</v>
      </c>
      <c r="X250" s="22"/>
    </row>
    <row r="251" spans="1:24" s="1" customFormat="1" ht="35.1" customHeight="1" x14ac:dyDescent="0.3">
      <c r="A251" s="23" t="s">
        <v>23</v>
      </c>
      <c r="B251" s="23" t="s">
        <v>330</v>
      </c>
      <c r="C251" s="12" t="s">
        <v>331</v>
      </c>
      <c r="D251" s="84"/>
      <c r="E251" s="69" t="str">
        <f>HYPERLINK("https://www.google.ru/search?q=MC-BB202&amp;newwindow=1&amp;tbm=isch","Еще фото")</f>
        <v>Еще фото</v>
      </c>
      <c r="F251" s="13"/>
      <c r="G251" s="23" t="s">
        <v>332</v>
      </c>
      <c r="H251" s="23" t="s">
        <v>27</v>
      </c>
      <c r="I251" s="23" t="s">
        <v>308</v>
      </c>
      <c r="J251" s="14" t="s">
        <v>29</v>
      </c>
      <c r="K251" s="15" t="s">
        <v>30</v>
      </c>
      <c r="L251" s="87"/>
      <c r="M251" s="14"/>
      <c r="N251" s="14" t="s">
        <v>275</v>
      </c>
      <c r="O251" s="14"/>
      <c r="P251" s="15" t="s">
        <v>334</v>
      </c>
      <c r="Q251" s="16">
        <v>6099</v>
      </c>
      <c r="R251" s="17">
        <v>70.52</v>
      </c>
      <c r="S251" s="18">
        <v>2067.4354999999996</v>
      </c>
      <c r="T251" s="19" t="s">
        <v>34</v>
      </c>
      <c r="U251" s="20" t="s">
        <v>35</v>
      </c>
      <c r="V251" s="21">
        <v>116</v>
      </c>
      <c r="W251" s="21">
        <v>3</v>
      </c>
      <c r="X251" s="22"/>
    </row>
    <row r="252" spans="1:24" s="1" customFormat="1" ht="36.950000000000003" customHeight="1" x14ac:dyDescent="0.3">
      <c r="A252" s="23" t="s">
        <v>23</v>
      </c>
      <c r="B252" s="23" t="s">
        <v>330</v>
      </c>
      <c r="C252" s="12" t="s">
        <v>331</v>
      </c>
      <c r="D252" s="85"/>
      <c r="E252" s="69" t="str">
        <f>HYPERLINK("https://www.google.ru/search?q=MC-BB202&amp;newwindow=1&amp;tbm=isch","Еще фото")</f>
        <v>Еще фото</v>
      </c>
      <c r="F252" s="13"/>
      <c r="G252" s="23" t="s">
        <v>332</v>
      </c>
      <c r="H252" s="23" t="s">
        <v>27</v>
      </c>
      <c r="I252" s="23" t="s">
        <v>308</v>
      </c>
      <c r="J252" s="14" t="s">
        <v>29</v>
      </c>
      <c r="K252" s="15" t="s">
        <v>30</v>
      </c>
      <c r="L252" s="88"/>
      <c r="M252" s="14"/>
      <c r="N252" s="14" t="s">
        <v>275</v>
      </c>
      <c r="O252" s="14"/>
      <c r="P252" s="15" t="s">
        <v>334</v>
      </c>
      <c r="Q252" s="16">
        <v>6099</v>
      </c>
      <c r="R252" s="17">
        <v>70.52</v>
      </c>
      <c r="S252" s="18">
        <v>2067.4354999999996</v>
      </c>
      <c r="T252" s="19" t="s">
        <v>34</v>
      </c>
      <c r="U252" s="20" t="s">
        <v>91</v>
      </c>
      <c r="V252" s="21">
        <v>134</v>
      </c>
      <c r="W252" s="21">
        <v>3</v>
      </c>
      <c r="X252" s="22"/>
    </row>
    <row r="253" spans="1:24" s="1" customFormat="1" ht="21" customHeight="1" x14ac:dyDescent="0.3">
      <c r="A253" s="11" t="s">
        <v>23</v>
      </c>
      <c r="B253" s="11" t="s">
        <v>305</v>
      </c>
      <c r="C253" s="27" t="s">
        <v>335</v>
      </c>
      <c r="D253" s="83"/>
      <c r="E253" s="69" t="str">
        <f>HYPERLINK("https://www.google.ru/search?q=MC-ZA884&amp;newwindow=1&amp;tbm=isch","Еще фото")</f>
        <v>Еще фото</v>
      </c>
      <c r="F253" s="13"/>
      <c r="G253" s="11" t="s">
        <v>307</v>
      </c>
      <c r="H253" s="11" t="s">
        <v>27</v>
      </c>
      <c r="I253" s="14" t="s">
        <v>308</v>
      </c>
      <c r="J253" s="14" t="s">
        <v>29</v>
      </c>
      <c r="K253" s="15" t="s">
        <v>30</v>
      </c>
      <c r="L253" s="86" t="s">
        <v>336</v>
      </c>
      <c r="M253" s="14"/>
      <c r="N253" s="14" t="s">
        <v>313</v>
      </c>
      <c r="O253" s="14"/>
      <c r="P253" s="15" t="s">
        <v>193</v>
      </c>
      <c r="Q253" s="16">
        <v>9099</v>
      </c>
      <c r="R253" s="17">
        <v>69.03</v>
      </c>
      <c r="S253" s="18">
        <v>3240.4354999999996</v>
      </c>
      <c r="T253" s="19" t="s">
        <v>34</v>
      </c>
      <c r="U253" s="20" t="s">
        <v>94</v>
      </c>
      <c r="V253" s="21">
        <v>104</v>
      </c>
      <c r="W253" s="21">
        <v>2</v>
      </c>
      <c r="X253" s="22"/>
    </row>
    <row r="254" spans="1:24" s="1" customFormat="1" ht="21" customHeight="1" x14ac:dyDescent="0.3">
      <c r="A254" s="23" t="s">
        <v>23</v>
      </c>
      <c r="B254" s="23" t="s">
        <v>305</v>
      </c>
      <c r="C254" s="28" t="s">
        <v>335</v>
      </c>
      <c r="D254" s="84"/>
      <c r="E254" s="69" t="str">
        <f>HYPERLINK("https://www.google.ru/search?q=MC-ZA884&amp;newwindow=1&amp;tbm=isch","Еще фото")</f>
        <v>Еще фото</v>
      </c>
      <c r="F254" s="13"/>
      <c r="G254" s="23" t="s">
        <v>307</v>
      </c>
      <c r="H254" s="23" t="s">
        <v>27</v>
      </c>
      <c r="I254" s="23" t="s">
        <v>308</v>
      </c>
      <c r="J254" s="14" t="s">
        <v>29</v>
      </c>
      <c r="K254" s="15" t="s">
        <v>30</v>
      </c>
      <c r="L254" s="87"/>
      <c r="M254" s="14"/>
      <c r="N254" s="14" t="s">
        <v>313</v>
      </c>
      <c r="O254" s="14"/>
      <c r="P254" s="15" t="s">
        <v>193</v>
      </c>
      <c r="Q254" s="16">
        <v>9099</v>
      </c>
      <c r="R254" s="17">
        <v>69.03</v>
      </c>
      <c r="S254" s="18">
        <v>3240.4354999999996</v>
      </c>
      <c r="T254" s="19" t="s">
        <v>34</v>
      </c>
      <c r="U254" s="20" t="s">
        <v>35</v>
      </c>
      <c r="V254" s="21">
        <v>116</v>
      </c>
      <c r="W254" s="21">
        <v>2</v>
      </c>
      <c r="X254" s="22"/>
    </row>
    <row r="255" spans="1:24" s="1" customFormat="1" ht="21" customHeight="1" x14ac:dyDescent="0.3">
      <c r="A255" s="23" t="s">
        <v>23</v>
      </c>
      <c r="B255" s="23" t="s">
        <v>305</v>
      </c>
      <c r="C255" s="28" t="s">
        <v>335</v>
      </c>
      <c r="D255" s="84"/>
      <c r="E255" s="69" t="str">
        <f>HYPERLINK("https://www.google.ru/search?q=MC-ZA884&amp;newwindow=1&amp;tbm=isch","Еще фото")</f>
        <v>Еще фото</v>
      </c>
      <c r="F255" s="13"/>
      <c r="G255" s="23" t="s">
        <v>307</v>
      </c>
      <c r="H255" s="23" t="s">
        <v>27</v>
      </c>
      <c r="I255" s="23" t="s">
        <v>308</v>
      </c>
      <c r="J255" s="14" t="s">
        <v>29</v>
      </c>
      <c r="K255" s="15" t="s">
        <v>30</v>
      </c>
      <c r="L255" s="87"/>
      <c r="M255" s="14"/>
      <c r="N255" s="14" t="s">
        <v>313</v>
      </c>
      <c r="O255" s="14"/>
      <c r="P255" s="15" t="s">
        <v>193</v>
      </c>
      <c r="Q255" s="16">
        <v>9099</v>
      </c>
      <c r="R255" s="17">
        <v>69.03</v>
      </c>
      <c r="S255" s="18">
        <v>3240.4354999999996</v>
      </c>
      <c r="T255" s="19" t="s">
        <v>34</v>
      </c>
      <c r="U255" s="20" t="s">
        <v>36</v>
      </c>
      <c r="V255" s="21">
        <v>122</v>
      </c>
      <c r="W255" s="21">
        <v>1</v>
      </c>
      <c r="X255" s="22"/>
    </row>
    <row r="256" spans="1:24" s="1" customFormat="1" ht="21" customHeight="1" x14ac:dyDescent="0.3">
      <c r="A256" s="23" t="s">
        <v>23</v>
      </c>
      <c r="B256" s="23" t="s">
        <v>305</v>
      </c>
      <c r="C256" s="28" t="s">
        <v>335</v>
      </c>
      <c r="D256" s="84"/>
      <c r="E256" s="69" t="str">
        <f>HYPERLINK("https://www.google.ru/search?q=MC-ZA884&amp;newwindow=1&amp;tbm=isch","Еще фото")</f>
        <v>Еще фото</v>
      </c>
      <c r="F256" s="13"/>
      <c r="G256" s="23" t="s">
        <v>307</v>
      </c>
      <c r="H256" s="23" t="s">
        <v>27</v>
      </c>
      <c r="I256" s="23" t="s">
        <v>308</v>
      </c>
      <c r="J256" s="14" t="s">
        <v>29</v>
      </c>
      <c r="K256" s="15" t="s">
        <v>30</v>
      </c>
      <c r="L256" s="87"/>
      <c r="M256" s="14"/>
      <c r="N256" s="14" t="s">
        <v>313</v>
      </c>
      <c r="O256" s="14"/>
      <c r="P256" s="15" t="s">
        <v>193</v>
      </c>
      <c r="Q256" s="16">
        <v>9099</v>
      </c>
      <c r="R256" s="17">
        <v>69.03</v>
      </c>
      <c r="S256" s="18">
        <v>3240.4354999999996</v>
      </c>
      <c r="T256" s="19" t="s">
        <v>34</v>
      </c>
      <c r="U256" s="20" t="s">
        <v>37</v>
      </c>
      <c r="V256" s="21">
        <v>128</v>
      </c>
      <c r="W256" s="21">
        <v>2</v>
      </c>
      <c r="X256" s="22"/>
    </row>
    <row r="257" spans="1:24" s="1" customFormat="1" ht="32.1" customHeight="1" x14ac:dyDescent="0.3">
      <c r="A257" s="23" t="s">
        <v>23</v>
      </c>
      <c r="B257" s="23" t="s">
        <v>305</v>
      </c>
      <c r="C257" s="28" t="s">
        <v>335</v>
      </c>
      <c r="D257" s="85"/>
      <c r="E257" s="69" t="str">
        <f>HYPERLINK("https://www.google.ru/search?q=MC-ZA884&amp;newwindow=1&amp;tbm=isch","Еще фото")</f>
        <v>Еще фото</v>
      </c>
      <c r="F257" s="13"/>
      <c r="G257" s="23" t="s">
        <v>307</v>
      </c>
      <c r="H257" s="23" t="s">
        <v>27</v>
      </c>
      <c r="I257" s="23" t="s">
        <v>308</v>
      </c>
      <c r="J257" s="14" t="s">
        <v>29</v>
      </c>
      <c r="K257" s="15" t="s">
        <v>30</v>
      </c>
      <c r="L257" s="88"/>
      <c r="M257" s="14"/>
      <c r="N257" s="14" t="s">
        <v>313</v>
      </c>
      <c r="O257" s="14"/>
      <c r="P257" s="15" t="s">
        <v>193</v>
      </c>
      <c r="Q257" s="16">
        <v>9099</v>
      </c>
      <c r="R257" s="17">
        <v>69.03</v>
      </c>
      <c r="S257" s="18">
        <v>3240.4354999999996</v>
      </c>
      <c r="T257" s="19" t="s">
        <v>34</v>
      </c>
      <c r="U257" s="20" t="s">
        <v>91</v>
      </c>
      <c r="V257" s="21">
        <v>134</v>
      </c>
      <c r="W257" s="21">
        <v>3</v>
      </c>
      <c r="X257" s="22"/>
    </row>
    <row r="258" spans="1:24" s="1" customFormat="1" ht="108" customHeight="1" x14ac:dyDescent="0.3">
      <c r="A258" s="11" t="s">
        <v>23</v>
      </c>
      <c r="B258" s="11" t="s">
        <v>305</v>
      </c>
      <c r="C258" s="12" t="s">
        <v>337</v>
      </c>
      <c r="D258" s="24"/>
      <c r="E258" s="69" t="str">
        <f>HYPERLINK("https://www.google.ru/search?q=MC-ZB186&amp;newwindow=1&amp;tbm=isch","Еще фото")</f>
        <v>Еще фото</v>
      </c>
      <c r="F258" s="13"/>
      <c r="G258" s="11" t="s">
        <v>307</v>
      </c>
      <c r="H258" s="11" t="s">
        <v>27</v>
      </c>
      <c r="I258" s="14" t="s">
        <v>308</v>
      </c>
      <c r="J258" s="14" t="s">
        <v>29</v>
      </c>
      <c r="K258" s="15" t="s">
        <v>30</v>
      </c>
      <c r="L258" s="14" t="s">
        <v>338</v>
      </c>
      <c r="M258" s="14"/>
      <c r="N258" s="14" t="s">
        <v>70</v>
      </c>
      <c r="O258" s="14"/>
      <c r="P258" s="15" t="s">
        <v>193</v>
      </c>
      <c r="Q258" s="16">
        <v>6099</v>
      </c>
      <c r="R258" s="17">
        <v>66.75</v>
      </c>
      <c r="S258" s="18">
        <v>2331.9354999999996</v>
      </c>
      <c r="T258" s="19" t="s">
        <v>34</v>
      </c>
      <c r="U258" s="20" t="s">
        <v>37</v>
      </c>
      <c r="V258" s="21">
        <v>128</v>
      </c>
      <c r="W258" s="21">
        <v>3</v>
      </c>
      <c r="X258" s="22"/>
    </row>
    <row r="259" spans="1:24" s="1" customFormat="1" ht="12.95" customHeight="1" x14ac:dyDescent="0.3">
      <c r="A259" s="11" t="s">
        <v>23</v>
      </c>
      <c r="B259" s="11" t="s">
        <v>305</v>
      </c>
      <c r="C259" s="12" t="s">
        <v>339</v>
      </c>
      <c r="D259" s="83"/>
      <c r="E259" s="69" t="str">
        <f t="shared" ref="E259:E266" si="8">HYPERLINK("https://www.google.ru/search?q=MC-CB201&amp;newwindow=1&amp;tbm=isch","Еще фото")</f>
        <v>Еще фото</v>
      </c>
      <c r="F259" s="13"/>
      <c r="G259" s="11" t="s">
        <v>307</v>
      </c>
      <c r="H259" s="11" t="s">
        <v>27</v>
      </c>
      <c r="I259" s="14" t="s">
        <v>308</v>
      </c>
      <c r="J259" s="14" t="s">
        <v>29</v>
      </c>
      <c r="K259" s="15" t="s">
        <v>30</v>
      </c>
      <c r="L259" s="86"/>
      <c r="M259" s="14" t="s">
        <v>73</v>
      </c>
      <c r="N259" s="14" t="s">
        <v>265</v>
      </c>
      <c r="O259" s="14"/>
      <c r="P259" s="15" t="s">
        <v>340</v>
      </c>
      <c r="Q259" s="16">
        <v>9299</v>
      </c>
      <c r="R259" s="17">
        <v>66.150000000000006</v>
      </c>
      <c r="S259" s="18">
        <v>3619.9354999999996</v>
      </c>
      <c r="T259" s="19" t="s">
        <v>34</v>
      </c>
      <c r="U259" s="26" t="s">
        <v>77</v>
      </c>
      <c r="V259" s="21">
        <v>92</v>
      </c>
      <c r="W259" s="21">
        <v>6</v>
      </c>
      <c r="X259" s="22"/>
    </row>
    <row r="260" spans="1:24" s="1" customFormat="1" ht="12.95" customHeight="1" x14ac:dyDescent="0.3">
      <c r="A260" s="23" t="s">
        <v>23</v>
      </c>
      <c r="B260" s="23" t="s">
        <v>305</v>
      </c>
      <c r="C260" s="12" t="s">
        <v>339</v>
      </c>
      <c r="D260" s="84"/>
      <c r="E260" s="69" t="str">
        <f t="shared" si="8"/>
        <v>Еще фото</v>
      </c>
      <c r="F260" s="13"/>
      <c r="G260" s="23" t="s">
        <v>307</v>
      </c>
      <c r="H260" s="23" t="s">
        <v>27</v>
      </c>
      <c r="I260" s="23" t="s">
        <v>308</v>
      </c>
      <c r="J260" s="14" t="s">
        <v>29</v>
      </c>
      <c r="K260" s="15" t="s">
        <v>30</v>
      </c>
      <c r="L260" s="87"/>
      <c r="M260" s="14" t="s">
        <v>73</v>
      </c>
      <c r="N260" s="14" t="s">
        <v>265</v>
      </c>
      <c r="O260" s="14"/>
      <c r="P260" s="15" t="s">
        <v>340</v>
      </c>
      <c r="Q260" s="16">
        <v>9299</v>
      </c>
      <c r="R260" s="17">
        <v>66.150000000000006</v>
      </c>
      <c r="S260" s="18">
        <v>3619.9354999999996</v>
      </c>
      <c r="T260" s="19" t="s">
        <v>34</v>
      </c>
      <c r="U260" s="20" t="s">
        <v>78</v>
      </c>
      <c r="V260" s="21">
        <v>98</v>
      </c>
      <c r="W260" s="21">
        <v>4</v>
      </c>
      <c r="X260" s="22"/>
    </row>
    <row r="261" spans="1:24" s="1" customFormat="1" ht="12.95" customHeight="1" x14ac:dyDescent="0.3">
      <c r="A261" s="23" t="s">
        <v>23</v>
      </c>
      <c r="B261" s="23" t="s">
        <v>305</v>
      </c>
      <c r="C261" s="12" t="s">
        <v>339</v>
      </c>
      <c r="D261" s="84"/>
      <c r="E261" s="69" t="str">
        <f t="shared" si="8"/>
        <v>Еще фото</v>
      </c>
      <c r="F261" s="13"/>
      <c r="G261" s="23" t="s">
        <v>307</v>
      </c>
      <c r="H261" s="23" t="s">
        <v>27</v>
      </c>
      <c r="I261" s="23" t="s">
        <v>308</v>
      </c>
      <c r="J261" s="14" t="s">
        <v>29</v>
      </c>
      <c r="K261" s="15" t="s">
        <v>30</v>
      </c>
      <c r="L261" s="87"/>
      <c r="M261" s="14" t="s">
        <v>73</v>
      </c>
      <c r="N261" s="14" t="s">
        <v>265</v>
      </c>
      <c r="O261" s="14"/>
      <c r="P261" s="15" t="s">
        <v>340</v>
      </c>
      <c r="Q261" s="16">
        <v>9299</v>
      </c>
      <c r="R261" s="17">
        <v>66.150000000000006</v>
      </c>
      <c r="S261" s="18">
        <v>3619.9354999999996</v>
      </c>
      <c r="T261" s="19" t="s">
        <v>34</v>
      </c>
      <c r="U261" s="20" t="s">
        <v>43</v>
      </c>
      <c r="V261" s="21">
        <v>110</v>
      </c>
      <c r="W261" s="21">
        <v>2</v>
      </c>
      <c r="X261" s="22"/>
    </row>
    <row r="262" spans="1:24" s="1" customFormat="1" ht="12.95" customHeight="1" x14ac:dyDescent="0.3">
      <c r="A262" s="23" t="s">
        <v>23</v>
      </c>
      <c r="B262" s="23" t="s">
        <v>305</v>
      </c>
      <c r="C262" s="12" t="s">
        <v>339</v>
      </c>
      <c r="D262" s="84"/>
      <c r="E262" s="69" t="str">
        <f t="shared" si="8"/>
        <v>Еще фото</v>
      </c>
      <c r="F262" s="13"/>
      <c r="G262" s="23" t="s">
        <v>307</v>
      </c>
      <c r="H262" s="23" t="s">
        <v>27</v>
      </c>
      <c r="I262" s="23" t="s">
        <v>308</v>
      </c>
      <c r="J262" s="14" t="s">
        <v>29</v>
      </c>
      <c r="K262" s="15" t="s">
        <v>30</v>
      </c>
      <c r="L262" s="87"/>
      <c r="M262" s="14" t="s">
        <v>73</v>
      </c>
      <c r="N262" s="14" t="s">
        <v>265</v>
      </c>
      <c r="O262" s="14"/>
      <c r="P262" s="15" t="s">
        <v>340</v>
      </c>
      <c r="Q262" s="16">
        <v>9299</v>
      </c>
      <c r="R262" s="17">
        <v>66.150000000000006</v>
      </c>
      <c r="S262" s="18">
        <v>3619.9354999999996</v>
      </c>
      <c r="T262" s="19" t="s">
        <v>34</v>
      </c>
      <c r="U262" s="20" t="s">
        <v>35</v>
      </c>
      <c r="V262" s="21">
        <v>116</v>
      </c>
      <c r="W262" s="21">
        <v>4</v>
      </c>
      <c r="X262" s="22"/>
    </row>
    <row r="263" spans="1:24" s="1" customFormat="1" ht="12.95" customHeight="1" x14ac:dyDescent="0.3">
      <c r="A263" s="23" t="s">
        <v>23</v>
      </c>
      <c r="B263" s="23" t="s">
        <v>305</v>
      </c>
      <c r="C263" s="12" t="s">
        <v>339</v>
      </c>
      <c r="D263" s="84"/>
      <c r="E263" s="69" t="str">
        <f t="shared" si="8"/>
        <v>Еще фото</v>
      </c>
      <c r="F263" s="13"/>
      <c r="G263" s="23" t="s">
        <v>307</v>
      </c>
      <c r="H263" s="23" t="s">
        <v>27</v>
      </c>
      <c r="I263" s="23" t="s">
        <v>308</v>
      </c>
      <c r="J263" s="14" t="s">
        <v>29</v>
      </c>
      <c r="K263" s="15" t="s">
        <v>30</v>
      </c>
      <c r="L263" s="87"/>
      <c r="M263" s="14" t="s">
        <v>73</v>
      </c>
      <c r="N263" s="14" t="s">
        <v>265</v>
      </c>
      <c r="O263" s="14"/>
      <c r="P263" s="15" t="s">
        <v>340</v>
      </c>
      <c r="Q263" s="16">
        <v>9299</v>
      </c>
      <c r="R263" s="17">
        <v>66.150000000000006</v>
      </c>
      <c r="S263" s="18">
        <v>3619.9354999999996</v>
      </c>
      <c r="T263" s="19" t="s">
        <v>34</v>
      </c>
      <c r="U263" s="20" t="s">
        <v>36</v>
      </c>
      <c r="V263" s="21">
        <v>122</v>
      </c>
      <c r="W263" s="21">
        <v>5</v>
      </c>
      <c r="X263" s="22"/>
    </row>
    <row r="264" spans="1:24" s="1" customFormat="1" ht="12.95" customHeight="1" x14ac:dyDescent="0.3">
      <c r="A264" s="23" t="s">
        <v>23</v>
      </c>
      <c r="B264" s="23" t="s">
        <v>305</v>
      </c>
      <c r="C264" s="12" t="s">
        <v>339</v>
      </c>
      <c r="D264" s="84"/>
      <c r="E264" s="69" t="str">
        <f t="shared" si="8"/>
        <v>Еще фото</v>
      </c>
      <c r="F264" s="13"/>
      <c r="G264" s="23" t="s">
        <v>307</v>
      </c>
      <c r="H264" s="23" t="s">
        <v>27</v>
      </c>
      <c r="I264" s="23" t="s">
        <v>308</v>
      </c>
      <c r="J264" s="14" t="s">
        <v>29</v>
      </c>
      <c r="K264" s="15" t="s">
        <v>30</v>
      </c>
      <c r="L264" s="87"/>
      <c r="M264" s="14" t="s">
        <v>73</v>
      </c>
      <c r="N264" s="14" t="s">
        <v>265</v>
      </c>
      <c r="O264" s="14"/>
      <c r="P264" s="15" t="s">
        <v>340</v>
      </c>
      <c r="Q264" s="16">
        <v>9299</v>
      </c>
      <c r="R264" s="17">
        <v>66.150000000000006</v>
      </c>
      <c r="S264" s="18">
        <v>3619.9354999999996</v>
      </c>
      <c r="T264" s="19" t="s">
        <v>34</v>
      </c>
      <c r="U264" s="20" t="s">
        <v>37</v>
      </c>
      <c r="V264" s="21">
        <v>128</v>
      </c>
      <c r="W264" s="21">
        <v>2</v>
      </c>
      <c r="X264" s="22"/>
    </row>
    <row r="265" spans="1:24" s="1" customFormat="1" ht="12.95" customHeight="1" x14ac:dyDescent="0.3">
      <c r="A265" s="23" t="s">
        <v>23</v>
      </c>
      <c r="B265" s="23" t="s">
        <v>305</v>
      </c>
      <c r="C265" s="12" t="s">
        <v>339</v>
      </c>
      <c r="D265" s="84"/>
      <c r="E265" s="69" t="str">
        <f t="shared" si="8"/>
        <v>Еще фото</v>
      </c>
      <c r="F265" s="13"/>
      <c r="G265" s="23" t="s">
        <v>307</v>
      </c>
      <c r="H265" s="23" t="s">
        <v>27</v>
      </c>
      <c r="I265" s="23" t="s">
        <v>308</v>
      </c>
      <c r="J265" s="14" t="s">
        <v>29</v>
      </c>
      <c r="K265" s="15" t="s">
        <v>30</v>
      </c>
      <c r="L265" s="87"/>
      <c r="M265" s="14" t="s">
        <v>73</v>
      </c>
      <c r="N265" s="14" t="s">
        <v>265</v>
      </c>
      <c r="O265" s="14"/>
      <c r="P265" s="15" t="s">
        <v>340</v>
      </c>
      <c r="Q265" s="16">
        <v>9299</v>
      </c>
      <c r="R265" s="17">
        <v>66.150000000000006</v>
      </c>
      <c r="S265" s="18">
        <v>3619.9354999999996</v>
      </c>
      <c r="T265" s="19" t="s">
        <v>34</v>
      </c>
      <c r="U265" s="20" t="s">
        <v>91</v>
      </c>
      <c r="V265" s="21">
        <v>134</v>
      </c>
      <c r="W265" s="21">
        <v>3</v>
      </c>
      <c r="X265" s="22"/>
    </row>
    <row r="266" spans="1:24" s="1" customFormat="1" ht="18" customHeight="1" x14ac:dyDescent="0.3">
      <c r="A266" s="23" t="s">
        <v>23</v>
      </c>
      <c r="B266" s="23" t="s">
        <v>305</v>
      </c>
      <c r="C266" s="12" t="s">
        <v>339</v>
      </c>
      <c r="D266" s="85"/>
      <c r="E266" s="69" t="str">
        <f t="shared" si="8"/>
        <v>Еще фото</v>
      </c>
      <c r="F266" s="13"/>
      <c r="G266" s="23" t="s">
        <v>307</v>
      </c>
      <c r="H266" s="23" t="s">
        <v>27</v>
      </c>
      <c r="I266" s="23" t="s">
        <v>308</v>
      </c>
      <c r="J266" s="14" t="s">
        <v>29</v>
      </c>
      <c r="K266" s="15" t="s">
        <v>30</v>
      </c>
      <c r="L266" s="88"/>
      <c r="M266" s="14" t="s">
        <v>73</v>
      </c>
      <c r="N266" s="14" t="s">
        <v>265</v>
      </c>
      <c r="O266" s="14"/>
      <c r="P266" s="15" t="s">
        <v>340</v>
      </c>
      <c r="Q266" s="16">
        <v>9299</v>
      </c>
      <c r="R266" s="17">
        <v>66.150000000000006</v>
      </c>
      <c r="S266" s="18">
        <v>3619.9354999999996</v>
      </c>
      <c r="T266" s="19" t="s">
        <v>34</v>
      </c>
      <c r="U266" s="20" t="s">
        <v>290</v>
      </c>
      <c r="V266" s="21">
        <v>140</v>
      </c>
      <c r="W266" s="21">
        <v>2</v>
      </c>
      <c r="X266" s="22"/>
    </row>
    <row r="267" spans="1:24" s="1" customFormat="1" ht="26.1" customHeight="1" x14ac:dyDescent="0.3">
      <c r="A267" s="11" t="s">
        <v>23</v>
      </c>
      <c r="B267" s="11" t="s">
        <v>305</v>
      </c>
      <c r="C267" s="12" t="s">
        <v>341</v>
      </c>
      <c r="D267" s="83"/>
      <c r="E267" s="69" t="str">
        <f>HYPERLINK("https://www.google.ru/search?q=MC-CB207&amp;newwindow=1&amp;tbm=isch","Еще фото")</f>
        <v>Еще фото</v>
      </c>
      <c r="F267" s="13"/>
      <c r="G267" s="11" t="s">
        <v>307</v>
      </c>
      <c r="H267" s="11" t="s">
        <v>27</v>
      </c>
      <c r="I267" s="14" t="s">
        <v>308</v>
      </c>
      <c r="J267" s="14" t="s">
        <v>29</v>
      </c>
      <c r="K267" s="15" t="s">
        <v>30</v>
      </c>
      <c r="L267" s="86"/>
      <c r="M267" s="14" t="s">
        <v>73</v>
      </c>
      <c r="N267" s="14" t="s">
        <v>242</v>
      </c>
      <c r="O267" s="14"/>
      <c r="P267" s="15" t="s">
        <v>342</v>
      </c>
      <c r="Q267" s="16">
        <v>9299</v>
      </c>
      <c r="R267" s="17">
        <v>66.150000000000006</v>
      </c>
      <c r="S267" s="18">
        <v>3619.9354999999996</v>
      </c>
      <c r="T267" s="19" t="s">
        <v>34</v>
      </c>
      <c r="U267" s="20" t="s">
        <v>77</v>
      </c>
      <c r="V267" s="21">
        <v>92</v>
      </c>
      <c r="W267" s="21">
        <v>3</v>
      </c>
      <c r="X267" s="22"/>
    </row>
    <row r="268" spans="1:24" s="1" customFormat="1" ht="26.1" customHeight="1" x14ac:dyDescent="0.3">
      <c r="A268" s="23" t="s">
        <v>23</v>
      </c>
      <c r="B268" s="23" t="s">
        <v>305</v>
      </c>
      <c r="C268" s="12" t="s">
        <v>341</v>
      </c>
      <c r="D268" s="84"/>
      <c r="E268" s="69" t="str">
        <f>HYPERLINK("https://www.google.ru/search?q=MC-CB207&amp;newwindow=1&amp;tbm=isch","Еще фото")</f>
        <v>Еще фото</v>
      </c>
      <c r="F268" s="13"/>
      <c r="G268" s="23" t="s">
        <v>307</v>
      </c>
      <c r="H268" s="23" t="s">
        <v>27</v>
      </c>
      <c r="I268" s="23" t="s">
        <v>308</v>
      </c>
      <c r="J268" s="14" t="s">
        <v>29</v>
      </c>
      <c r="K268" s="15" t="s">
        <v>30</v>
      </c>
      <c r="L268" s="87"/>
      <c r="M268" s="14" t="s">
        <v>73</v>
      </c>
      <c r="N268" s="14" t="s">
        <v>242</v>
      </c>
      <c r="O268" s="14"/>
      <c r="P268" s="15" t="s">
        <v>342</v>
      </c>
      <c r="Q268" s="16">
        <v>9299</v>
      </c>
      <c r="R268" s="17">
        <v>66.150000000000006</v>
      </c>
      <c r="S268" s="18">
        <v>3619.9354999999996</v>
      </c>
      <c r="T268" s="19" t="s">
        <v>34</v>
      </c>
      <c r="U268" s="20" t="s">
        <v>78</v>
      </c>
      <c r="V268" s="21">
        <v>98</v>
      </c>
      <c r="W268" s="21">
        <v>3</v>
      </c>
      <c r="X268" s="22"/>
    </row>
    <row r="269" spans="1:24" s="1" customFormat="1" ht="26.1" customHeight="1" x14ac:dyDescent="0.3">
      <c r="A269" s="23" t="s">
        <v>23</v>
      </c>
      <c r="B269" s="23" t="s">
        <v>305</v>
      </c>
      <c r="C269" s="12" t="s">
        <v>341</v>
      </c>
      <c r="D269" s="84"/>
      <c r="E269" s="69" t="str">
        <f>HYPERLINK("https://www.google.ru/search?q=MC-CB207&amp;newwindow=1&amp;tbm=isch","Еще фото")</f>
        <v>Еще фото</v>
      </c>
      <c r="F269" s="13"/>
      <c r="G269" s="23" t="s">
        <v>307</v>
      </c>
      <c r="H269" s="23" t="s">
        <v>27</v>
      </c>
      <c r="I269" s="23" t="s">
        <v>308</v>
      </c>
      <c r="J269" s="14" t="s">
        <v>29</v>
      </c>
      <c r="K269" s="15" t="s">
        <v>30</v>
      </c>
      <c r="L269" s="87"/>
      <c r="M269" s="14" t="s">
        <v>73</v>
      </c>
      <c r="N269" s="14" t="s">
        <v>242</v>
      </c>
      <c r="O269" s="14"/>
      <c r="P269" s="15" t="s">
        <v>342</v>
      </c>
      <c r="Q269" s="16">
        <v>9299</v>
      </c>
      <c r="R269" s="17">
        <v>66.150000000000006</v>
      </c>
      <c r="S269" s="18">
        <v>3619.9354999999996</v>
      </c>
      <c r="T269" s="19" t="s">
        <v>34</v>
      </c>
      <c r="U269" s="20" t="s">
        <v>94</v>
      </c>
      <c r="V269" s="21">
        <v>104</v>
      </c>
      <c r="W269" s="21">
        <v>1</v>
      </c>
      <c r="X269" s="22"/>
    </row>
    <row r="270" spans="1:24" s="1" customFormat="1" ht="26.1" customHeight="1" x14ac:dyDescent="0.3">
      <c r="A270" s="23" t="s">
        <v>23</v>
      </c>
      <c r="B270" s="23" t="s">
        <v>305</v>
      </c>
      <c r="C270" s="12" t="s">
        <v>341</v>
      </c>
      <c r="D270" s="85"/>
      <c r="E270" s="69" t="str">
        <f>HYPERLINK("https://www.google.ru/search?q=MC-CB207&amp;newwindow=1&amp;tbm=isch","Еще фото")</f>
        <v>Еще фото</v>
      </c>
      <c r="F270" s="13"/>
      <c r="G270" s="23" t="s">
        <v>307</v>
      </c>
      <c r="H270" s="23" t="s">
        <v>27</v>
      </c>
      <c r="I270" s="23" t="s">
        <v>308</v>
      </c>
      <c r="J270" s="14" t="s">
        <v>29</v>
      </c>
      <c r="K270" s="15" t="s">
        <v>30</v>
      </c>
      <c r="L270" s="88"/>
      <c r="M270" s="14" t="s">
        <v>73</v>
      </c>
      <c r="N270" s="14" t="s">
        <v>242</v>
      </c>
      <c r="O270" s="14"/>
      <c r="P270" s="15" t="s">
        <v>342</v>
      </c>
      <c r="Q270" s="16">
        <v>9299</v>
      </c>
      <c r="R270" s="17">
        <v>66.150000000000006</v>
      </c>
      <c r="S270" s="18">
        <v>3619.9354999999996</v>
      </c>
      <c r="T270" s="19" t="s">
        <v>34</v>
      </c>
      <c r="U270" s="20" t="s">
        <v>43</v>
      </c>
      <c r="V270" s="21">
        <v>110</v>
      </c>
      <c r="W270" s="21">
        <v>2</v>
      </c>
      <c r="X270" s="22"/>
    </row>
    <row r="271" spans="1:24" s="1" customFormat="1" ht="26.1" customHeight="1" x14ac:dyDescent="0.3">
      <c r="A271" s="11" t="s">
        <v>23</v>
      </c>
      <c r="B271" s="11" t="s">
        <v>305</v>
      </c>
      <c r="C271" s="12" t="s">
        <v>343</v>
      </c>
      <c r="D271" s="83"/>
      <c r="E271" s="69" t="str">
        <f>HYPERLINK("https://www.google.ru/search?q=MC-CA915&amp;newwindow=1&amp;tbm=isch","Еще фото")</f>
        <v>Еще фото</v>
      </c>
      <c r="F271" s="13"/>
      <c r="G271" s="11" t="s">
        <v>307</v>
      </c>
      <c r="H271" s="11" t="s">
        <v>27</v>
      </c>
      <c r="I271" s="14" t="s">
        <v>308</v>
      </c>
      <c r="J271" s="14" t="s">
        <v>29</v>
      </c>
      <c r="K271" s="15" t="s">
        <v>30</v>
      </c>
      <c r="L271" s="86"/>
      <c r="M271" s="14" t="s">
        <v>73</v>
      </c>
      <c r="N271" s="14" t="s">
        <v>70</v>
      </c>
      <c r="O271" s="14"/>
      <c r="P271" s="15" t="s">
        <v>344</v>
      </c>
      <c r="Q271" s="16">
        <v>9299</v>
      </c>
      <c r="R271" s="17">
        <v>63.68</v>
      </c>
      <c r="S271" s="18">
        <v>3884.4354999999996</v>
      </c>
      <c r="T271" s="19" t="s">
        <v>34</v>
      </c>
      <c r="U271" s="20" t="s">
        <v>77</v>
      </c>
      <c r="V271" s="21">
        <v>92</v>
      </c>
      <c r="W271" s="21">
        <v>5</v>
      </c>
      <c r="X271" s="22"/>
    </row>
    <row r="272" spans="1:24" s="1" customFormat="1" ht="26.1" customHeight="1" x14ac:dyDescent="0.3">
      <c r="A272" s="23" t="s">
        <v>23</v>
      </c>
      <c r="B272" s="23" t="s">
        <v>305</v>
      </c>
      <c r="C272" s="12" t="s">
        <v>343</v>
      </c>
      <c r="D272" s="84"/>
      <c r="E272" s="69" t="str">
        <f>HYPERLINK("https://www.google.ru/search?q=MC-CA915&amp;newwindow=1&amp;tbm=isch","Еще фото")</f>
        <v>Еще фото</v>
      </c>
      <c r="F272" s="13"/>
      <c r="G272" s="23" t="s">
        <v>307</v>
      </c>
      <c r="H272" s="23" t="s">
        <v>27</v>
      </c>
      <c r="I272" s="23" t="s">
        <v>308</v>
      </c>
      <c r="J272" s="14" t="s">
        <v>29</v>
      </c>
      <c r="K272" s="15" t="s">
        <v>30</v>
      </c>
      <c r="L272" s="87"/>
      <c r="M272" s="14" t="s">
        <v>73</v>
      </c>
      <c r="N272" s="14" t="s">
        <v>70</v>
      </c>
      <c r="O272" s="14"/>
      <c r="P272" s="15" t="s">
        <v>344</v>
      </c>
      <c r="Q272" s="16">
        <v>9299</v>
      </c>
      <c r="R272" s="17">
        <v>63.68</v>
      </c>
      <c r="S272" s="18">
        <v>3884.4354999999996</v>
      </c>
      <c r="T272" s="19" t="s">
        <v>34</v>
      </c>
      <c r="U272" s="20" t="s">
        <v>78</v>
      </c>
      <c r="V272" s="21">
        <v>98</v>
      </c>
      <c r="W272" s="21">
        <v>5</v>
      </c>
      <c r="X272" s="22"/>
    </row>
    <row r="273" spans="1:24" s="1" customFormat="1" ht="26.1" customHeight="1" x14ac:dyDescent="0.3">
      <c r="A273" s="23" t="s">
        <v>23</v>
      </c>
      <c r="B273" s="23" t="s">
        <v>305</v>
      </c>
      <c r="C273" s="12" t="s">
        <v>343</v>
      </c>
      <c r="D273" s="84"/>
      <c r="E273" s="69" t="str">
        <f>HYPERLINK("https://www.google.ru/search?q=MC-CA915&amp;newwindow=1&amp;tbm=isch","Еще фото")</f>
        <v>Еще фото</v>
      </c>
      <c r="F273" s="13"/>
      <c r="G273" s="23" t="s">
        <v>307</v>
      </c>
      <c r="H273" s="23" t="s">
        <v>27</v>
      </c>
      <c r="I273" s="23" t="s">
        <v>308</v>
      </c>
      <c r="J273" s="14" t="s">
        <v>29</v>
      </c>
      <c r="K273" s="15" t="s">
        <v>30</v>
      </c>
      <c r="L273" s="87"/>
      <c r="M273" s="14" t="s">
        <v>73</v>
      </c>
      <c r="N273" s="14" t="s">
        <v>70</v>
      </c>
      <c r="O273" s="14"/>
      <c r="P273" s="15" t="s">
        <v>344</v>
      </c>
      <c r="Q273" s="16">
        <v>9299</v>
      </c>
      <c r="R273" s="17">
        <v>63.68</v>
      </c>
      <c r="S273" s="18">
        <v>3884.4354999999996</v>
      </c>
      <c r="T273" s="19" t="s">
        <v>34</v>
      </c>
      <c r="U273" s="20" t="s">
        <v>94</v>
      </c>
      <c r="V273" s="21">
        <v>104</v>
      </c>
      <c r="W273" s="21">
        <v>2</v>
      </c>
      <c r="X273" s="22"/>
    </row>
    <row r="274" spans="1:24" s="1" customFormat="1" ht="26.1" customHeight="1" x14ac:dyDescent="0.3">
      <c r="A274" s="23" t="s">
        <v>23</v>
      </c>
      <c r="B274" s="23" t="s">
        <v>305</v>
      </c>
      <c r="C274" s="12" t="s">
        <v>343</v>
      </c>
      <c r="D274" s="85"/>
      <c r="E274" s="69" t="str">
        <f>HYPERLINK("https://www.google.ru/search?q=MC-CA915&amp;newwindow=1&amp;tbm=isch","Еще фото")</f>
        <v>Еще фото</v>
      </c>
      <c r="F274" s="13"/>
      <c r="G274" s="23" t="s">
        <v>307</v>
      </c>
      <c r="H274" s="23" t="s">
        <v>27</v>
      </c>
      <c r="I274" s="23" t="s">
        <v>308</v>
      </c>
      <c r="J274" s="14" t="s">
        <v>29</v>
      </c>
      <c r="K274" s="15" t="s">
        <v>30</v>
      </c>
      <c r="L274" s="88"/>
      <c r="M274" s="14" t="s">
        <v>73</v>
      </c>
      <c r="N274" s="14" t="s">
        <v>70</v>
      </c>
      <c r="O274" s="14"/>
      <c r="P274" s="15" t="s">
        <v>344</v>
      </c>
      <c r="Q274" s="16">
        <v>9299</v>
      </c>
      <c r="R274" s="17">
        <v>63.68</v>
      </c>
      <c r="S274" s="18">
        <v>3884.4354999999996</v>
      </c>
      <c r="T274" s="19" t="s">
        <v>34</v>
      </c>
      <c r="U274" s="20" t="s">
        <v>36</v>
      </c>
      <c r="V274" s="21">
        <v>122</v>
      </c>
      <c r="W274" s="21">
        <v>2</v>
      </c>
      <c r="X274" s="22"/>
    </row>
    <row r="275" spans="1:24" s="1" customFormat="1" ht="108" customHeight="1" x14ac:dyDescent="0.3">
      <c r="A275" s="11" t="s">
        <v>134</v>
      </c>
      <c r="B275" s="11" t="s">
        <v>305</v>
      </c>
      <c r="C275" s="12" t="s">
        <v>345</v>
      </c>
      <c r="D275" s="24"/>
      <c r="E275" s="69" t="str">
        <f>HYPERLINK("https://www.google.ru/search?q=MT4A200202AS2LC-BLK&amp;newwindow=1&amp;tbm=isch","Еще фото")</f>
        <v>Еще фото</v>
      </c>
      <c r="F275" s="13"/>
      <c r="G275" s="11" t="s">
        <v>307</v>
      </c>
      <c r="H275" s="11" t="s">
        <v>27</v>
      </c>
      <c r="I275" s="14" t="s">
        <v>308</v>
      </c>
      <c r="J275" s="14" t="s">
        <v>29</v>
      </c>
      <c r="K275" s="15" t="s">
        <v>47</v>
      </c>
      <c r="L275" s="14" t="s">
        <v>346</v>
      </c>
      <c r="M275" s="14" t="s">
        <v>73</v>
      </c>
      <c r="N275" s="14" t="s">
        <v>49</v>
      </c>
      <c r="O275" s="14" t="s">
        <v>347</v>
      </c>
      <c r="P275" s="15" t="s">
        <v>108</v>
      </c>
      <c r="Q275" s="16">
        <v>17690</v>
      </c>
      <c r="R275" s="17">
        <v>59.71</v>
      </c>
      <c r="S275" s="18">
        <v>8196.9354999999996</v>
      </c>
      <c r="T275" s="19" t="s">
        <v>51</v>
      </c>
      <c r="U275" s="20" t="s">
        <v>66</v>
      </c>
      <c r="V275" s="21">
        <v>46</v>
      </c>
      <c r="W275" s="21">
        <v>1</v>
      </c>
      <c r="X275" s="22"/>
    </row>
    <row r="276" spans="1:24" s="1" customFormat="1" ht="17.100000000000001" customHeight="1" x14ac:dyDescent="0.3">
      <c r="A276" s="11" t="s">
        <v>23</v>
      </c>
      <c r="B276" s="11" t="s">
        <v>305</v>
      </c>
      <c r="C276" s="12" t="s">
        <v>348</v>
      </c>
      <c r="D276" s="83"/>
      <c r="E276" s="69" t="str">
        <f t="shared" ref="E276:E281" si="9">HYPERLINK("https://www.google.ru/search?q=MC-CB200&amp;newwindow=1&amp;tbm=isch","Еще фото")</f>
        <v>Еще фото</v>
      </c>
      <c r="F276" s="13"/>
      <c r="G276" s="11" t="s">
        <v>307</v>
      </c>
      <c r="H276" s="11" t="s">
        <v>27</v>
      </c>
      <c r="I276" s="14" t="s">
        <v>308</v>
      </c>
      <c r="J276" s="14" t="s">
        <v>29</v>
      </c>
      <c r="K276" s="15" t="s">
        <v>30</v>
      </c>
      <c r="L276" s="86"/>
      <c r="M276" s="14" t="s">
        <v>73</v>
      </c>
      <c r="N276" s="14" t="s">
        <v>70</v>
      </c>
      <c r="O276" s="14"/>
      <c r="P276" s="15" t="s">
        <v>340</v>
      </c>
      <c r="Q276" s="16">
        <v>9299</v>
      </c>
      <c r="R276" s="17">
        <v>55.72</v>
      </c>
      <c r="S276" s="18">
        <v>4735.4355000000005</v>
      </c>
      <c r="T276" s="19" t="s">
        <v>34</v>
      </c>
      <c r="U276" s="20" t="s">
        <v>77</v>
      </c>
      <c r="V276" s="21">
        <v>92</v>
      </c>
      <c r="W276" s="21">
        <v>1</v>
      </c>
      <c r="X276" s="22"/>
    </row>
    <row r="277" spans="1:24" s="1" customFormat="1" ht="17.100000000000001" customHeight="1" x14ac:dyDescent="0.3">
      <c r="A277" s="23" t="s">
        <v>23</v>
      </c>
      <c r="B277" s="23" t="s">
        <v>305</v>
      </c>
      <c r="C277" s="12" t="s">
        <v>348</v>
      </c>
      <c r="D277" s="84"/>
      <c r="E277" s="69" t="str">
        <f t="shared" si="9"/>
        <v>Еще фото</v>
      </c>
      <c r="F277" s="13"/>
      <c r="G277" s="23" t="s">
        <v>307</v>
      </c>
      <c r="H277" s="23" t="s">
        <v>27</v>
      </c>
      <c r="I277" s="23" t="s">
        <v>308</v>
      </c>
      <c r="J277" s="14" t="s">
        <v>29</v>
      </c>
      <c r="K277" s="15" t="s">
        <v>30</v>
      </c>
      <c r="L277" s="87"/>
      <c r="M277" s="14" t="s">
        <v>73</v>
      </c>
      <c r="N277" s="14" t="s">
        <v>70</v>
      </c>
      <c r="O277" s="14"/>
      <c r="P277" s="15" t="s">
        <v>340</v>
      </c>
      <c r="Q277" s="16">
        <v>9299</v>
      </c>
      <c r="R277" s="17">
        <v>55.72</v>
      </c>
      <c r="S277" s="18">
        <v>4735.4355000000005</v>
      </c>
      <c r="T277" s="19" t="s">
        <v>34</v>
      </c>
      <c r="U277" s="20" t="s">
        <v>78</v>
      </c>
      <c r="V277" s="21">
        <v>98</v>
      </c>
      <c r="W277" s="21">
        <v>1</v>
      </c>
      <c r="X277" s="22"/>
    </row>
    <row r="278" spans="1:24" s="1" customFormat="1" ht="17.100000000000001" customHeight="1" x14ac:dyDescent="0.3">
      <c r="A278" s="23" t="s">
        <v>23</v>
      </c>
      <c r="B278" s="23" t="s">
        <v>305</v>
      </c>
      <c r="C278" s="12" t="s">
        <v>348</v>
      </c>
      <c r="D278" s="84"/>
      <c r="E278" s="69" t="str">
        <f t="shared" si="9"/>
        <v>Еще фото</v>
      </c>
      <c r="F278" s="13"/>
      <c r="G278" s="23" t="s">
        <v>307</v>
      </c>
      <c r="H278" s="23" t="s">
        <v>27</v>
      </c>
      <c r="I278" s="23" t="s">
        <v>308</v>
      </c>
      <c r="J278" s="14" t="s">
        <v>29</v>
      </c>
      <c r="K278" s="15" t="s">
        <v>30</v>
      </c>
      <c r="L278" s="87"/>
      <c r="M278" s="14" t="s">
        <v>73</v>
      </c>
      <c r="N278" s="14" t="s">
        <v>70</v>
      </c>
      <c r="O278" s="14"/>
      <c r="P278" s="15" t="s">
        <v>340</v>
      </c>
      <c r="Q278" s="16">
        <v>9299</v>
      </c>
      <c r="R278" s="17">
        <v>55.72</v>
      </c>
      <c r="S278" s="18">
        <v>4735.4355000000005</v>
      </c>
      <c r="T278" s="19" t="s">
        <v>34</v>
      </c>
      <c r="U278" s="20" t="s">
        <v>43</v>
      </c>
      <c r="V278" s="21">
        <v>110</v>
      </c>
      <c r="W278" s="21">
        <v>1</v>
      </c>
      <c r="X278" s="22"/>
    </row>
    <row r="279" spans="1:24" s="1" customFormat="1" ht="17.100000000000001" customHeight="1" x14ac:dyDescent="0.3">
      <c r="A279" s="23" t="s">
        <v>23</v>
      </c>
      <c r="B279" s="23" t="s">
        <v>305</v>
      </c>
      <c r="C279" s="12" t="s">
        <v>348</v>
      </c>
      <c r="D279" s="84"/>
      <c r="E279" s="69" t="str">
        <f t="shared" si="9"/>
        <v>Еще фото</v>
      </c>
      <c r="F279" s="13"/>
      <c r="G279" s="23" t="s">
        <v>307</v>
      </c>
      <c r="H279" s="23" t="s">
        <v>27</v>
      </c>
      <c r="I279" s="23" t="s">
        <v>308</v>
      </c>
      <c r="J279" s="14" t="s">
        <v>29</v>
      </c>
      <c r="K279" s="15" t="s">
        <v>30</v>
      </c>
      <c r="L279" s="87"/>
      <c r="M279" s="14" t="s">
        <v>73</v>
      </c>
      <c r="N279" s="14" t="s">
        <v>70</v>
      </c>
      <c r="O279" s="14"/>
      <c r="P279" s="15" t="s">
        <v>340</v>
      </c>
      <c r="Q279" s="16">
        <v>9299</v>
      </c>
      <c r="R279" s="17">
        <v>55.72</v>
      </c>
      <c r="S279" s="18">
        <v>4735.4355000000005</v>
      </c>
      <c r="T279" s="19" t="s">
        <v>34</v>
      </c>
      <c r="U279" s="20" t="s">
        <v>35</v>
      </c>
      <c r="V279" s="21">
        <v>116</v>
      </c>
      <c r="W279" s="21">
        <v>1</v>
      </c>
      <c r="X279" s="22"/>
    </row>
    <row r="280" spans="1:24" s="1" customFormat="1" ht="17.100000000000001" customHeight="1" x14ac:dyDescent="0.3">
      <c r="A280" s="23" t="s">
        <v>23</v>
      </c>
      <c r="B280" s="23" t="s">
        <v>305</v>
      </c>
      <c r="C280" s="12" t="s">
        <v>348</v>
      </c>
      <c r="D280" s="84"/>
      <c r="E280" s="69" t="str">
        <f t="shared" si="9"/>
        <v>Еще фото</v>
      </c>
      <c r="F280" s="13"/>
      <c r="G280" s="23" t="s">
        <v>307</v>
      </c>
      <c r="H280" s="23" t="s">
        <v>27</v>
      </c>
      <c r="I280" s="23" t="s">
        <v>308</v>
      </c>
      <c r="J280" s="14" t="s">
        <v>29</v>
      </c>
      <c r="K280" s="15" t="s">
        <v>30</v>
      </c>
      <c r="L280" s="87"/>
      <c r="M280" s="14" t="s">
        <v>73</v>
      </c>
      <c r="N280" s="14" t="s">
        <v>70</v>
      </c>
      <c r="O280" s="14"/>
      <c r="P280" s="15" t="s">
        <v>340</v>
      </c>
      <c r="Q280" s="16">
        <v>9299</v>
      </c>
      <c r="R280" s="17">
        <v>55.72</v>
      </c>
      <c r="S280" s="18">
        <v>4735.4355000000005</v>
      </c>
      <c r="T280" s="19" t="s">
        <v>34</v>
      </c>
      <c r="U280" s="20" t="s">
        <v>37</v>
      </c>
      <c r="V280" s="21">
        <v>128</v>
      </c>
      <c r="W280" s="21">
        <v>1</v>
      </c>
      <c r="X280" s="22"/>
    </row>
    <row r="281" spans="1:24" s="1" customFormat="1" ht="21.95" customHeight="1" x14ac:dyDescent="0.3">
      <c r="A281" s="23" t="s">
        <v>23</v>
      </c>
      <c r="B281" s="23" t="s">
        <v>305</v>
      </c>
      <c r="C281" s="12" t="s">
        <v>348</v>
      </c>
      <c r="D281" s="85"/>
      <c r="E281" s="69" t="str">
        <f t="shared" si="9"/>
        <v>Еще фото</v>
      </c>
      <c r="F281" s="13"/>
      <c r="G281" s="23" t="s">
        <v>307</v>
      </c>
      <c r="H281" s="23" t="s">
        <v>27</v>
      </c>
      <c r="I281" s="23" t="s">
        <v>308</v>
      </c>
      <c r="J281" s="14" t="s">
        <v>29</v>
      </c>
      <c r="K281" s="15" t="s">
        <v>30</v>
      </c>
      <c r="L281" s="88"/>
      <c r="M281" s="14" t="s">
        <v>73</v>
      </c>
      <c r="N281" s="14" t="s">
        <v>70</v>
      </c>
      <c r="O281" s="14"/>
      <c r="P281" s="15" t="s">
        <v>340</v>
      </c>
      <c r="Q281" s="16">
        <v>9299</v>
      </c>
      <c r="R281" s="17">
        <v>55.72</v>
      </c>
      <c r="S281" s="18">
        <v>4735.4355000000005</v>
      </c>
      <c r="T281" s="19" t="s">
        <v>34</v>
      </c>
      <c r="U281" s="20" t="s">
        <v>290</v>
      </c>
      <c r="V281" s="21">
        <v>140</v>
      </c>
      <c r="W281" s="21">
        <v>2</v>
      </c>
      <c r="X281" s="22"/>
    </row>
    <row r="282" spans="1:24" s="1" customFormat="1" ht="35.1" customHeight="1" x14ac:dyDescent="0.3">
      <c r="A282" s="11" t="s">
        <v>147</v>
      </c>
      <c r="B282" s="11" t="s">
        <v>349</v>
      </c>
      <c r="C282" s="12" t="s">
        <v>350</v>
      </c>
      <c r="D282" s="83"/>
      <c r="E282" s="69" t="str">
        <f>HYPERLINK("https://www.google.ru/search?q=NA4GM8041&amp;newwindow=1&amp;tbm=isch","Еще фото")</f>
        <v>Еще фото</v>
      </c>
      <c r="F282" s="13"/>
      <c r="G282" s="11" t="s">
        <v>351</v>
      </c>
      <c r="H282" s="11" t="s">
        <v>27</v>
      </c>
      <c r="I282" s="14" t="s">
        <v>308</v>
      </c>
      <c r="J282" s="14" t="s">
        <v>29</v>
      </c>
      <c r="K282" s="15" t="s">
        <v>47</v>
      </c>
      <c r="L282" s="86" t="s">
        <v>352</v>
      </c>
      <c r="M282" s="14"/>
      <c r="N282" s="14" t="s">
        <v>49</v>
      </c>
      <c r="O282" s="14"/>
      <c r="P282" s="15" t="s">
        <v>353</v>
      </c>
      <c r="Q282" s="16">
        <v>70999</v>
      </c>
      <c r="R282" s="17">
        <v>53.5</v>
      </c>
      <c r="S282" s="18">
        <v>37970.435499999992</v>
      </c>
      <c r="T282" s="19" t="s">
        <v>51</v>
      </c>
      <c r="U282" s="20" t="s">
        <v>354</v>
      </c>
      <c r="V282" s="25" t="s">
        <v>355</v>
      </c>
      <c r="W282" s="21">
        <v>1</v>
      </c>
      <c r="X282" s="22"/>
    </row>
    <row r="283" spans="1:24" s="1" customFormat="1" ht="35.1" customHeight="1" x14ac:dyDescent="0.3">
      <c r="A283" s="23" t="s">
        <v>147</v>
      </c>
      <c r="B283" s="23" t="s">
        <v>349</v>
      </c>
      <c r="C283" s="12" t="s">
        <v>350</v>
      </c>
      <c r="D283" s="84"/>
      <c r="E283" s="69" t="str">
        <f>HYPERLINK("https://www.google.ru/search?q=NA4GM8041&amp;newwindow=1&amp;tbm=isch","Еще фото")</f>
        <v>Еще фото</v>
      </c>
      <c r="F283" s="13"/>
      <c r="G283" s="23" t="s">
        <v>351</v>
      </c>
      <c r="H283" s="23" t="s">
        <v>27</v>
      </c>
      <c r="I283" s="23" t="s">
        <v>308</v>
      </c>
      <c r="J283" s="14" t="s">
        <v>29</v>
      </c>
      <c r="K283" s="15" t="s">
        <v>47</v>
      </c>
      <c r="L283" s="87"/>
      <c r="M283" s="14"/>
      <c r="N283" s="14" t="s">
        <v>49</v>
      </c>
      <c r="O283" s="14"/>
      <c r="P283" s="15" t="s">
        <v>353</v>
      </c>
      <c r="Q283" s="16">
        <v>70999</v>
      </c>
      <c r="R283" s="17">
        <v>53.5</v>
      </c>
      <c r="S283" s="18">
        <v>37970.435499999992</v>
      </c>
      <c r="T283" s="19" t="s">
        <v>51</v>
      </c>
      <c r="U283" s="20" t="s">
        <v>66</v>
      </c>
      <c r="V283" s="25" t="s">
        <v>67</v>
      </c>
      <c r="W283" s="21">
        <v>1</v>
      </c>
      <c r="X283" s="22"/>
    </row>
    <row r="284" spans="1:24" s="1" customFormat="1" ht="36.950000000000003" customHeight="1" x14ac:dyDescent="0.3">
      <c r="A284" s="23" t="s">
        <v>147</v>
      </c>
      <c r="B284" s="23" t="s">
        <v>349</v>
      </c>
      <c r="C284" s="12" t="s">
        <v>350</v>
      </c>
      <c r="D284" s="85"/>
      <c r="E284" s="69" t="str">
        <f>HYPERLINK("https://www.google.ru/search?q=NA4GM8041&amp;newwindow=1&amp;tbm=isch","Еще фото")</f>
        <v>Еще фото</v>
      </c>
      <c r="F284" s="13"/>
      <c r="G284" s="23" t="s">
        <v>351</v>
      </c>
      <c r="H284" s="23" t="s">
        <v>27</v>
      </c>
      <c r="I284" s="23" t="s">
        <v>308</v>
      </c>
      <c r="J284" s="14" t="s">
        <v>29</v>
      </c>
      <c r="K284" s="15" t="s">
        <v>47</v>
      </c>
      <c r="L284" s="88"/>
      <c r="M284" s="14"/>
      <c r="N284" s="14" t="s">
        <v>49</v>
      </c>
      <c r="O284" s="14"/>
      <c r="P284" s="15" t="s">
        <v>353</v>
      </c>
      <c r="Q284" s="16">
        <v>70999</v>
      </c>
      <c r="R284" s="17">
        <v>53.5</v>
      </c>
      <c r="S284" s="18">
        <v>37970.435499999992</v>
      </c>
      <c r="T284" s="19" t="s">
        <v>51</v>
      </c>
      <c r="U284" s="20" t="s">
        <v>58</v>
      </c>
      <c r="V284" s="25" t="s">
        <v>53</v>
      </c>
      <c r="W284" s="21">
        <v>1</v>
      </c>
      <c r="X284" s="22"/>
    </row>
    <row r="285" spans="1:24" s="1" customFormat="1" ht="51.95" customHeight="1" x14ac:dyDescent="0.3">
      <c r="A285" s="11" t="s">
        <v>147</v>
      </c>
      <c r="B285" s="11" t="s">
        <v>356</v>
      </c>
      <c r="C285" s="12" t="s">
        <v>357</v>
      </c>
      <c r="D285" s="89"/>
      <c r="E285" s="69" t="str">
        <f>HYPERLINK("https://www.google.ru/search?q=NA4GJFGE4&amp;newwindow=1&amp;tbm=isch","Еще фото")</f>
        <v>Еще фото</v>
      </c>
      <c r="F285" s="13"/>
      <c r="G285" s="11" t="s">
        <v>307</v>
      </c>
      <c r="H285" s="11" t="s">
        <v>27</v>
      </c>
      <c r="I285" s="14" t="s">
        <v>308</v>
      </c>
      <c r="J285" s="14" t="s">
        <v>29</v>
      </c>
      <c r="K285" s="15" t="s">
        <v>55</v>
      </c>
      <c r="L285" s="86" t="s">
        <v>358</v>
      </c>
      <c r="M285" s="14"/>
      <c r="N285" s="14" t="s">
        <v>242</v>
      </c>
      <c r="O285" s="14"/>
      <c r="P285" s="15" t="s">
        <v>359</v>
      </c>
      <c r="Q285" s="16">
        <v>33999</v>
      </c>
      <c r="R285" s="17">
        <v>50</v>
      </c>
      <c r="S285" s="18">
        <v>19549.424999999999</v>
      </c>
      <c r="T285" s="19" t="s">
        <v>51</v>
      </c>
      <c r="U285" s="20" t="s">
        <v>64</v>
      </c>
      <c r="V285" s="21">
        <v>46</v>
      </c>
      <c r="W285" s="21">
        <v>1</v>
      </c>
      <c r="X285" s="22"/>
    </row>
    <row r="286" spans="1:24" s="1" customFormat="1" ht="60.95" customHeight="1" x14ac:dyDescent="0.3">
      <c r="A286" s="23" t="s">
        <v>147</v>
      </c>
      <c r="B286" s="23" t="s">
        <v>356</v>
      </c>
      <c r="C286" s="12" t="s">
        <v>357</v>
      </c>
      <c r="D286" s="90"/>
      <c r="E286" s="69" t="str">
        <f>HYPERLINK("https://www.google.ru/search?q=NA4GJFGE4&amp;newwindow=1&amp;tbm=isch","Еще фото")</f>
        <v>Еще фото</v>
      </c>
      <c r="F286" s="13"/>
      <c r="G286" s="23" t="s">
        <v>307</v>
      </c>
      <c r="H286" s="23" t="s">
        <v>27</v>
      </c>
      <c r="I286" s="23" t="s">
        <v>308</v>
      </c>
      <c r="J286" s="14" t="s">
        <v>29</v>
      </c>
      <c r="K286" s="15" t="s">
        <v>55</v>
      </c>
      <c r="L286" s="88"/>
      <c r="M286" s="14"/>
      <c r="N286" s="14" t="s">
        <v>242</v>
      </c>
      <c r="O286" s="14"/>
      <c r="P286" s="15" t="s">
        <v>359</v>
      </c>
      <c r="Q286" s="16">
        <v>33999</v>
      </c>
      <c r="R286" s="17">
        <v>50</v>
      </c>
      <c r="S286" s="18">
        <v>19549.424999999999</v>
      </c>
      <c r="T286" s="19" t="s">
        <v>51</v>
      </c>
      <c r="U286" s="20" t="s">
        <v>58</v>
      </c>
      <c r="V286" s="21">
        <v>50</v>
      </c>
      <c r="W286" s="21">
        <v>1</v>
      </c>
      <c r="X286" s="22"/>
    </row>
    <row r="287" spans="1:24" s="1" customFormat="1" ht="108" customHeight="1" x14ac:dyDescent="0.3">
      <c r="A287" s="11" t="s">
        <v>147</v>
      </c>
      <c r="B287" s="11" t="s">
        <v>360</v>
      </c>
      <c r="C287" s="12" t="s">
        <v>361</v>
      </c>
      <c r="D287" s="24"/>
      <c r="E287" s="69" t="str">
        <f>HYPERLINK("https://www.google.ru/search?q=NA4HCR176&amp;newwindow=1&amp;tbm=isch","Еще фото")</f>
        <v>Еще фото</v>
      </c>
      <c r="F287" s="13"/>
      <c r="G287" s="11" t="s">
        <v>307</v>
      </c>
      <c r="H287" s="11" t="s">
        <v>27</v>
      </c>
      <c r="I287" s="14" t="s">
        <v>308</v>
      </c>
      <c r="J287" s="14" t="s">
        <v>29</v>
      </c>
      <c r="K287" s="15" t="s">
        <v>47</v>
      </c>
      <c r="L287" s="14" t="s">
        <v>362</v>
      </c>
      <c r="M287" s="14"/>
      <c r="N287" s="14" t="s">
        <v>140</v>
      </c>
      <c r="O287" s="14"/>
      <c r="P287" s="15" t="s">
        <v>359</v>
      </c>
      <c r="Q287" s="16">
        <v>32999</v>
      </c>
      <c r="R287" s="17">
        <v>50</v>
      </c>
      <c r="S287" s="18">
        <v>18974.988499999999</v>
      </c>
      <c r="T287" s="19" t="s">
        <v>51</v>
      </c>
      <c r="U287" s="20" t="s">
        <v>52</v>
      </c>
      <c r="V287" s="25" t="s">
        <v>59</v>
      </c>
      <c r="W287" s="21">
        <v>1</v>
      </c>
      <c r="X287" s="22"/>
    </row>
    <row r="288" spans="1:24" s="1" customFormat="1" ht="51.95" customHeight="1" x14ac:dyDescent="0.3">
      <c r="A288" s="11" t="s">
        <v>23</v>
      </c>
      <c r="B288" s="11" t="s">
        <v>330</v>
      </c>
      <c r="C288" s="12" t="s">
        <v>363</v>
      </c>
      <c r="D288" s="89"/>
      <c r="E288" s="69" t="str">
        <f>HYPERLINK("https://www.google.ru/search?q=MC-CB209&amp;newwindow=1&amp;tbm=isch","Еще фото")</f>
        <v>Еще фото</v>
      </c>
      <c r="F288" s="13"/>
      <c r="G288" s="11" t="s">
        <v>332</v>
      </c>
      <c r="H288" s="11" t="s">
        <v>27</v>
      </c>
      <c r="I288" s="14" t="s">
        <v>308</v>
      </c>
      <c r="J288" s="14" t="s">
        <v>29</v>
      </c>
      <c r="K288" s="15" t="s">
        <v>30</v>
      </c>
      <c r="L288" s="86" t="s">
        <v>364</v>
      </c>
      <c r="M288" s="14"/>
      <c r="N288" s="14" t="s">
        <v>70</v>
      </c>
      <c r="O288" s="14"/>
      <c r="P288" s="15" t="s">
        <v>365</v>
      </c>
      <c r="Q288" s="16">
        <v>6099</v>
      </c>
      <c r="R288" s="17">
        <v>48.88</v>
      </c>
      <c r="S288" s="18">
        <v>3585.4354999999996</v>
      </c>
      <c r="T288" s="19" t="s">
        <v>34</v>
      </c>
      <c r="U288" s="20" t="s">
        <v>37</v>
      </c>
      <c r="V288" s="21">
        <v>128</v>
      </c>
      <c r="W288" s="21">
        <v>1</v>
      </c>
      <c r="X288" s="22"/>
    </row>
    <row r="289" spans="1:24" s="1" customFormat="1" ht="60.95" customHeight="1" x14ac:dyDescent="0.3">
      <c r="A289" s="23" t="s">
        <v>23</v>
      </c>
      <c r="B289" s="23" t="s">
        <v>330</v>
      </c>
      <c r="C289" s="12" t="s">
        <v>363</v>
      </c>
      <c r="D289" s="90"/>
      <c r="E289" s="69" t="str">
        <f>HYPERLINK("https://www.google.ru/search?q=MC-CB209&amp;newwindow=1&amp;tbm=isch","Еще фото")</f>
        <v>Еще фото</v>
      </c>
      <c r="F289" s="13"/>
      <c r="G289" s="23" t="s">
        <v>332</v>
      </c>
      <c r="H289" s="23" t="s">
        <v>27</v>
      </c>
      <c r="I289" s="23" t="s">
        <v>308</v>
      </c>
      <c r="J289" s="14" t="s">
        <v>29</v>
      </c>
      <c r="K289" s="15" t="s">
        <v>30</v>
      </c>
      <c r="L289" s="88"/>
      <c r="M289" s="14"/>
      <c r="N289" s="14" t="s">
        <v>70</v>
      </c>
      <c r="O289" s="14"/>
      <c r="P289" s="15" t="s">
        <v>365</v>
      </c>
      <c r="Q289" s="16">
        <v>6099</v>
      </c>
      <c r="R289" s="17">
        <v>48.88</v>
      </c>
      <c r="S289" s="18">
        <v>3585.4354999999996</v>
      </c>
      <c r="T289" s="19" t="s">
        <v>34</v>
      </c>
      <c r="U289" s="20" t="s">
        <v>91</v>
      </c>
      <c r="V289" s="21">
        <v>134</v>
      </c>
      <c r="W289" s="21">
        <v>1</v>
      </c>
      <c r="X289" s="22"/>
    </row>
    <row r="290" spans="1:24" s="1" customFormat="1" ht="108" customHeight="1" x14ac:dyDescent="0.3">
      <c r="A290" s="11" t="s">
        <v>23</v>
      </c>
      <c r="B290" s="11" t="s">
        <v>305</v>
      </c>
      <c r="C290" s="12" t="s">
        <v>366</v>
      </c>
      <c r="D290" s="24"/>
      <c r="E290" s="69" t="str">
        <f>HYPERLINK("https://www.google.ru/search?q=MC-CA892&amp;newwindow=1&amp;tbm=isch","Еще фото")</f>
        <v>Еще фото</v>
      </c>
      <c r="F290" s="13"/>
      <c r="G290" s="11" t="s">
        <v>307</v>
      </c>
      <c r="H290" s="11" t="s">
        <v>27</v>
      </c>
      <c r="I290" s="14" t="s">
        <v>308</v>
      </c>
      <c r="J290" s="14" t="s">
        <v>29</v>
      </c>
      <c r="K290" s="15" t="s">
        <v>30</v>
      </c>
      <c r="L290" s="14"/>
      <c r="M290" s="14" t="s">
        <v>73</v>
      </c>
      <c r="N290" s="14" t="s">
        <v>32</v>
      </c>
      <c r="O290" s="14"/>
      <c r="P290" s="15" t="s">
        <v>108</v>
      </c>
      <c r="Q290" s="16">
        <v>9299</v>
      </c>
      <c r="R290" s="17">
        <v>48.84</v>
      </c>
      <c r="S290" s="18">
        <v>5471.4355000000005</v>
      </c>
      <c r="T290" s="19" t="s">
        <v>34</v>
      </c>
      <c r="U290" s="20" t="s">
        <v>43</v>
      </c>
      <c r="V290" s="21">
        <v>110</v>
      </c>
      <c r="W290" s="21">
        <v>1</v>
      </c>
      <c r="X290" s="22"/>
    </row>
    <row r="291" spans="1:24" s="1" customFormat="1" ht="26.1" customHeight="1" x14ac:dyDescent="0.3">
      <c r="A291" s="11" t="s">
        <v>23</v>
      </c>
      <c r="B291" s="11" t="s">
        <v>305</v>
      </c>
      <c r="C291" s="12" t="s">
        <v>367</v>
      </c>
      <c r="D291" s="83"/>
      <c r="E291" s="69" t="str">
        <f>HYPERLINK("https://www.google.ru/search?q=MC-ZA878&amp;newwindow=1&amp;tbm=isch","Еще фото")</f>
        <v>Еще фото</v>
      </c>
      <c r="F291" s="13"/>
      <c r="G291" s="11" t="s">
        <v>307</v>
      </c>
      <c r="H291" s="11" t="s">
        <v>27</v>
      </c>
      <c r="I291" s="14" t="s">
        <v>308</v>
      </c>
      <c r="J291" s="14" t="s">
        <v>29</v>
      </c>
      <c r="K291" s="15" t="s">
        <v>30</v>
      </c>
      <c r="L291" s="86"/>
      <c r="M291" s="14" t="s">
        <v>73</v>
      </c>
      <c r="N291" s="14" t="s">
        <v>313</v>
      </c>
      <c r="O291" s="14"/>
      <c r="P291" s="15" t="s">
        <v>368</v>
      </c>
      <c r="Q291" s="16">
        <v>8299</v>
      </c>
      <c r="R291" s="17">
        <v>48.82</v>
      </c>
      <c r="S291" s="18">
        <v>4884.9355000000005</v>
      </c>
      <c r="T291" s="19" t="s">
        <v>34</v>
      </c>
      <c r="U291" s="20" t="s">
        <v>78</v>
      </c>
      <c r="V291" s="21">
        <v>98</v>
      </c>
      <c r="W291" s="21">
        <v>1</v>
      </c>
      <c r="X291" s="22"/>
    </row>
    <row r="292" spans="1:24" s="1" customFormat="1" ht="26.1" customHeight="1" x14ac:dyDescent="0.3">
      <c r="A292" s="23" t="s">
        <v>23</v>
      </c>
      <c r="B292" s="23" t="s">
        <v>305</v>
      </c>
      <c r="C292" s="12" t="s">
        <v>367</v>
      </c>
      <c r="D292" s="84"/>
      <c r="E292" s="69" t="str">
        <f>HYPERLINK("https://www.google.ru/search?q=MC-ZA878&amp;newwindow=1&amp;tbm=isch","Еще фото")</f>
        <v>Еще фото</v>
      </c>
      <c r="F292" s="13"/>
      <c r="G292" s="23" t="s">
        <v>307</v>
      </c>
      <c r="H292" s="23" t="s">
        <v>27</v>
      </c>
      <c r="I292" s="23" t="s">
        <v>308</v>
      </c>
      <c r="J292" s="14" t="s">
        <v>29</v>
      </c>
      <c r="K292" s="15" t="s">
        <v>30</v>
      </c>
      <c r="L292" s="87"/>
      <c r="M292" s="14" t="s">
        <v>73</v>
      </c>
      <c r="N292" s="14" t="s">
        <v>313</v>
      </c>
      <c r="O292" s="14"/>
      <c r="P292" s="15" t="s">
        <v>368</v>
      </c>
      <c r="Q292" s="16">
        <v>8299</v>
      </c>
      <c r="R292" s="17">
        <v>48.82</v>
      </c>
      <c r="S292" s="18">
        <v>4884.9355000000005</v>
      </c>
      <c r="T292" s="19" t="s">
        <v>34</v>
      </c>
      <c r="U292" s="20" t="s">
        <v>35</v>
      </c>
      <c r="V292" s="21">
        <v>116</v>
      </c>
      <c r="W292" s="21">
        <v>1</v>
      </c>
      <c r="X292" s="22"/>
    </row>
    <row r="293" spans="1:24" s="1" customFormat="1" ht="26.1" customHeight="1" x14ac:dyDescent="0.3">
      <c r="A293" s="23" t="s">
        <v>23</v>
      </c>
      <c r="B293" s="23" t="s">
        <v>305</v>
      </c>
      <c r="C293" s="12" t="s">
        <v>367</v>
      </c>
      <c r="D293" s="84"/>
      <c r="E293" s="69" t="str">
        <f>HYPERLINK("https://www.google.ru/search?q=MC-ZA878&amp;newwindow=1&amp;tbm=isch","Еще фото")</f>
        <v>Еще фото</v>
      </c>
      <c r="F293" s="13"/>
      <c r="G293" s="23" t="s">
        <v>307</v>
      </c>
      <c r="H293" s="23" t="s">
        <v>27</v>
      </c>
      <c r="I293" s="23" t="s">
        <v>308</v>
      </c>
      <c r="J293" s="14" t="s">
        <v>29</v>
      </c>
      <c r="K293" s="15" t="s">
        <v>30</v>
      </c>
      <c r="L293" s="87"/>
      <c r="M293" s="14" t="s">
        <v>73</v>
      </c>
      <c r="N293" s="14" t="s">
        <v>313</v>
      </c>
      <c r="O293" s="14"/>
      <c r="P293" s="15" t="s">
        <v>368</v>
      </c>
      <c r="Q293" s="16">
        <v>8299</v>
      </c>
      <c r="R293" s="17">
        <v>48.82</v>
      </c>
      <c r="S293" s="18">
        <v>4884.9355000000005</v>
      </c>
      <c r="T293" s="19" t="s">
        <v>34</v>
      </c>
      <c r="U293" s="20" t="s">
        <v>36</v>
      </c>
      <c r="V293" s="21">
        <v>122</v>
      </c>
      <c r="W293" s="21">
        <v>2</v>
      </c>
      <c r="X293" s="22"/>
    </row>
    <row r="294" spans="1:24" s="1" customFormat="1" ht="26.1" customHeight="1" x14ac:dyDescent="0.3">
      <c r="A294" s="23" t="s">
        <v>23</v>
      </c>
      <c r="B294" s="23" t="s">
        <v>305</v>
      </c>
      <c r="C294" s="12" t="s">
        <v>367</v>
      </c>
      <c r="D294" s="85"/>
      <c r="E294" s="69" t="str">
        <f>HYPERLINK("https://www.google.ru/search?q=MC-ZA878&amp;newwindow=1&amp;tbm=isch","Еще фото")</f>
        <v>Еще фото</v>
      </c>
      <c r="F294" s="13"/>
      <c r="G294" s="23" t="s">
        <v>307</v>
      </c>
      <c r="H294" s="23" t="s">
        <v>27</v>
      </c>
      <c r="I294" s="23" t="s">
        <v>308</v>
      </c>
      <c r="J294" s="14" t="s">
        <v>29</v>
      </c>
      <c r="K294" s="15" t="s">
        <v>30</v>
      </c>
      <c r="L294" s="88"/>
      <c r="M294" s="14" t="s">
        <v>73</v>
      </c>
      <c r="N294" s="14" t="s">
        <v>313</v>
      </c>
      <c r="O294" s="14"/>
      <c r="P294" s="15" t="s">
        <v>368</v>
      </c>
      <c r="Q294" s="16">
        <v>8299</v>
      </c>
      <c r="R294" s="17">
        <v>48.82</v>
      </c>
      <c r="S294" s="18">
        <v>4884.9355000000005</v>
      </c>
      <c r="T294" s="19" t="s">
        <v>34</v>
      </c>
      <c r="U294" s="20" t="s">
        <v>91</v>
      </c>
      <c r="V294" s="21">
        <v>134</v>
      </c>
      <c r="W294" s="21">
        <v>1</v>
      </c>
      <c r="X294" s="22"/>
    </row>
    <row r="295" spans="1:24" s="1" customFormat="1" ht="108" customHeight="1" x14ac:dyDescent="0.3">
      <c r="A295" s="11" t="s">
        <v>23</v>
      </c>
      <c r="B295" s="11" t="s">
        <v>305</v>
      </c>
      <c r="C295" s="12" t="s">
        <v>369</v>
      </c>
      <c r="D295" s="24"/>
      <c r="E295" s="69" t="str">
        <f>HYPERLINK("https://www.google.ru/search?q=MC-CB213&amp;newwindow=1&amp;tbm=isch","Еще фото")</f>
        <v>Еще фото</v>
      </c>
      <c r="F295" s="13"/>
      <c r="G295" s="11" t="s">
        <v>307</v>
      </c>
      <c r="H295" s="11" t="s">
        <v>27</v>
      </c>
      <c r="I295" s="14" t="s">
        <v>308</v>
      </c>
      <c r="J295" s="14" t="s">
        <v>29</v>
      </c>
      <c r="K295" s="15" t="s">
        <v>30</v>
      </c>
      <c r="L295" s="14" t="s">
        <v>370</v>
      </c>
      <c r="M295" s="14"/>
      <c r="N295" s="14" t="s">
        <v>371</v>
      </c>
      <c r="O295" s="14"/>
      <c r="P295" s="15" t="s">
        <v>108</v>
      </c>
      <c r="Q295" s="16">
        <v>9099</v>
      </c>
      <c r="R295" s="17">
        <v>48.81</v>
      </c>
      <c r="S295" s="18">
        <v>5356.4355000000005</v>
      </c>
      <c r="T295" s="19" t="s">
        <v>34</v>
      </c>
      <c r="U295" s="20" t="s">
        <v>37</v>
      </c>
      <c r="V295" s="21">
        <v>128</v>
      </c>
      <c r="W295" s="21">
        <v>1</v>
      </c>
      <c r="X295" s="22"/>
    </row>
    <row r="296" spans="1:24" s="1" customFormat="1" ht="108" customHeight="1" x14ac:dyDescent="0.3">
      <c r="A296" s="11" t="s">
        <v>23</v>
      </c>
      <c r="B296" s="11" t="s">
        <v>305</v>
      </c>
      <c r="C296" s="12" t="s">
        <v>372</v>
      </c>
      <c r="D296" s="24"/>
      <c r="E296" s="69" t="str">
        <f>HYPERLINK("https://www.google.ru/search?q=MC-BB179&amp;newwindow=1&amp;tbm=isch","Еще фото")</f>
        <v>Еще фото</v>
      </c>
      <c r="F296" s="13"/>
      <c r="G296" s="11" t="s">
        <v>307</v>
      </c>
      <c r="H296" s="11" t="s">
        <v>27</v>
      </c>
      <c r="I296" s="14" t="s">
        <v>308</v>
      </c>
      <c r="J296" s="14" t="s">
        <v>29</v>
      </c>
      <c r="K296" s="15" t="s">
        <v>30</v>
      </c>
      <c r="L296" s="14" t="s">
        <v>373</v>
      </c>
      <c r="M296" s="14"/>
      <c r="N296" s="14" t="s">
        <v>275</v>
      </c>
      <c r="O296" s="14"/>
      <c r="P296" s="15" t="s">
        <v>316</v>
      </c>
      <c r="Q296" s="16">
        <v>7099</v>
      </c>
      <c r="R296" s="17">
        <v>48.76</v>
      </c>
      <c r="S296" s="18">
        <v>4183.4354999999996</v>
      </c>
      <c r="T296" s="19" t="s">
        <v>34</v>
      </c>
      <c r="U296" s="20" t="s">
        <v>37</v>
      </c>
      <c r="V296" s="21">
        <v>128</v>
      </c>
      <c r="W296" s="21">
        <v>1</v>
      </c>
      <c r="X296" s="22"/>
    </row>
    <row r="297" spans="1:24" s="1" customFormat="1" ht="108" customHeight="1" x14ac:dyDescent="0.3">
      <c r="A297" s="11" t="s">
        <v>23</v>
      </c>
      <c r="B297" s="11" t="s">
        <v>330</v>
      </c>
      <c r="C297" s="12" t="s">
        <v>374</v>
      </c>
      <c r="D297" s="24"/>
      <c r="E297" s="69" t="str">
        <f>HYPERLINK("https://www.google.ru/search?q=MC-CA103&amp;newwindow=1&amp;tbm=isch","Еще фото")</f>
        <v>Еще фото</v>
      </c>
      <c r="F297" s="13"/>
      <c r="G297" s="11" t="s">
        <v>332</v>
      </c>
      <c r="H297" s="11" t="s">
        <v>27</v>
      </c>
      <c r="I297" s="14" t="s">
        <v>308</v>
      </c>
      <c r="J297" s="14" t="s">
        <v>29</v>
      </c>
      <c r="K297" s="15" t="s">
        <v>30</v>
      </c>
      <c r="L297" s="14" t="s">
        <v>375</v>
      </c>
      <c r="M297" s="14"/>
      <c r="N297" s="14" t="s">
        <v>32</v>
      </c>
      <c r="O297" s="14"/>
      <c r="P297" s="15" t="s">
        <v>193</v>
      </c>
      <c r="Q297" s="16">
        <v>6099</v>
      </c>
      <c r="R297" s="17">
        <v>45</v>
      </c>
      <c r="S297" s="18">
        <v>3857.6174999999994</v>
      </c>
      <c r="T297" s="19" t="s">
        <v>34</v>
      </c>
      <c r="U297" s="20" t="s">
        <v>290</v>
      </c>
      <c r="V297" s="21">
        <v>140</v>
      </c>
      <c r="W297" s="21">
        <v>1</v>
      </c>
      <c r="X297" s="22"/>
    </row>
    <row r="298" spans="1:24" s="1" customFormat="1" ht="108" customHeight="1" x14ac:dyDescent="0.3">
      <c r="A298" s="11" t="s">
        <v>23</v>
      </c>
      <c r="B298" s="11" t="s">
        <v>330</v>
      </c>
      <c r="C298" s="12" t="s">
        <v>376</v>
      </c>
      <c r="D298" s="24"/>
      <c r="E298" s="69" t="str">
        <f>HYPERLINK("https://www.google.ru/search?q=MC-CB967&amp;newwindow=1&amp;tbm=isch","Еще фото")</f>
        <v>Еще фото</v>
      </c>
      <c r="F298" s="13"/>
      <c r="G298" s="11" t="s">
        <v>332</v>
      </c>
      <c r="H298" s="11" t="s">
        <v>27</v>
      </c>
      <c r="I298" s="14" t="s">
        <v>308</v>
      </c>
      <c r="J298" s="14" t="s">
        <v>29</v>
      </c>
      <c r="K298" s="15" t="s">
        <v>30</v>
      </c>
      <c r="L298" s="14" t="s">
        <v>377</v>
      </c>
      <c r="M298" s="14"/>
      <c r="N298" s="14" t="s">
        <v>32</v>
      </c>
      <c r="O298" s="14"/>
      <c r="P298" s="15" t="s">
        <v>378</v>
      </c>
      <c r="Q298" s="16">
        <v>6099</v>
      </c>
      <c r="R298" s="17">
        <v>45</v>
      </c>
      <c r="S298" s="18">
        <v>3857.6174999999994</v>
      </c>
      <c r="T298" s="19" t="s">
        <v>34</v>
      </c>
      <c r="U298" s="20" t="s">
        <v>37</v>
      </c>
      <c r="V298" s="21">
        <v>128</v>
      </c>
      <c r="W298" s="21">
        <v>2</v>
      </c>
      <c r="X298" s="22"/>
    </row>
    <row r="299" spans="1:24" s="1" customFormat="1" ht="108" customHeight="1" x14ac:dyDescent="0.3">
      <c r="A299" s="11" t="s">
        <v>23</v>
      </c>
      <c r="B299" s="11" t="s">
        <v>379</v>
      </c>
      <c r="C299" s="12" t="s">
        <v>380</v>
      </c>
      <c r="D299" s="24"/>
      <c r="E299" s="69" t="str">
        <f>HYPERLINK("https://www.google.ru/search?q=MC-CD459&amp;newwindow=1&amp;tbm=isch","Еще фото")</f>
        <v>Еще фото</v>
      </c>
      <c r="F299" s="13"/>
      <c r="G299" s="11" t="s">
        <v>381</v>
      </c>
      <c r="H299" s="11" t="s">
        <v>27</v>
      </c>
      <c r="I299" s="14" t="s">
        <v>382</v>
      </c>
      <c r="J299" s="14" t="s">
        <v>29</v>
      </c>
      <c r="K299" s="15" t="s">
        <v>30</v>
      </c>
      <c r="L299" s="14"/>
      <c r="M299" s="14"/>
      <c r="N299" s="14" t="s">
        <v>32</v>
      </c>
      <c r="O299" s="14"/>
      <c r="P299" s="15" t="s">
        <v>74</v>
      </c>
      <c r="Q299" s="16">
        <v>4499</v>
      </c>
      <c r="R299" s="17">
        <v>45</v>
      </c>
      <c r="S299" s="18">
        <v>2845.6174999999994</v>
      </c>
      <c r="T299" s="19" t="s">
        <v>34</v>
      </c>
      <c r="U299" s="20" t="s">
        <v>94</v>
      </c>
      <c r="V299" s="21">
        <v>104</v>
      </c>
      <c r="W299" s="21">
        <v>1</v>
      </c>
      <c r="X299" s="22"/>
    </row>
    <row r="300" spans="1:24" s="1" customFormat="1" ht="35.1" customHeight="1" x14ac:dyDescent="0.3">
      <c r="A300" s="11" t="s">
        <v>23</v>
      </c>
      <c r="B300" s="11" t="s">
        <v>383</v>
      </c>
      <c r="C300" s="12" t="s">
        <v>384</v>
      </c>
      <c r="D300" s="83"/>
      <c r="E300" s="69" t="str">
        <f>HYPERLINK("https://www.google.ru/search?q=MC-YB801&amp;newwindow=1&amp;tbm=isch","Еще фото")</f>
        <v>Еще фото</v>
      </c>
      <c r="F300" s="13"/>
      <c r="G300" s="11" t="s">
        <v>385</v>
      </c>
      <c r="H300" s="11" t="s">
        <v>27</v>
      </c>
      <c r="I300" s="14" t="s">
        <v>382</v>
      </c>
      <c r="J300" s="14" t="s">
        <v>29</v>
      </c>
      <c r="K300" s="15" t="s">
        <v>30</v>
      </c>
      <c r="L300" s="86" t="s">
        <v>386</v>
      </c>
      <c r="M300" s="14"/>
      <c r="N300" s="14" t="s">
        <v>70</v>
      </c>
      <c r="O300" s="14"/>
      <c r="P300" s="15" t="s">
        <v>76</v>
      </c>
      <c r="Q300" s="16">
        <v>2499</v>
      </c>
      <c r="R300" s="17">
        <v>45</v>
      </c>
      <c r="S300" s="18">
        <v>1580.6174999999998</v>
      </c>
      <c r="T300" s="19" t="s">
        <v>34</v>
      </c>
      <c r="U300" s="20" t="s">
        <v>77</v>
      </c>
      <c r="V300" s="21">
        <v>92</v>
      </c>
      <c r="W300" s="21">
        <v>1</v>
      </c>
      <c r="X300" s="22"/>
    </row>
    <row r="301" spans="1:24" s="1" customFormat="1" ht="35.1" customHeight="1" x14ac:dyDescent="0.3">
      <c r="A301" s="23" t="s">
        <v>23</v>
      </c>
      <c r="B301" s="23" t="s">
        <v>383</v>
      </c>
      <c r="C301" s="12" t="s">
        <v>384</v>
      </c>
      <c r="D301" s="84"/>
      <c r="E301" s="69" t="str">
        <f>HYPERLINK("https://www.google.ru/search?q=MC-YB801&amp;newwindow=1&amp;tbm=isch","Еще фото")</f>
        <v>Еще фото</v>
      </c>
      <c r="F301" s="13"/>
      <c r="G301" s="23" t="s">
        <v>385</v>
      </c>
      <c r="H301" s="23" t="s">
        <v>27</v>
      </c>
      <c r="I301" s="23" t="s">
        <v>382</v>
      </c>
      <c r="J301" s="14" t="s">
        <v>29</v>
      </c>
      <c r="K301" s="15" t="s">
        <v>30</v>
      </c>
      <c r="L301" s="87"/>
      <c r="M301" s="14"/>
      <c r="N301" s="14" t="s">
        <v>70</v>
      </c>
      <c r="O301" s="14"/>
      <c r="P301" s="15" t="s">
        <v>76</v>
      </c>
      <c r="Q301" s="16">
        <v>2499</v>
      </c>
      <c r="R301" s="17">
        <v>45</v>
      </c>
      <c r="S301" s="18">
        <v>1580.6174999999998</v>
      </c>
      <c r="T301" s="19" t="s">
        <v>34</v>
      </c>
      <c r="U301" s="20" t="s">
        <v>94</v>
      </c>
      <c r="V301" s="21">
        <v>104</v>
      </c>
      <c r="W301" s="21">
        <v>3</v>
      </c>
      <c r="X301" s="22"/>
    </row>
    <row r="302" spans="1:24" s="1" customFormat="1" ht="36.950000000000003" customHeight="1" x14ac:dyDescent="0.3">
      <c r="A302" s="23" t="s">
        <v>23</v>
      </c>
      <c r="B302" s="23" t="s">
        <v>383</v>
      </c>
      <c r="C302" s="12" t="s">
        <v>384</v>
      </c>
      <c r="D302" s="85"/>
      <c r="E302" s="69" t="str">
        <f>HYPERLINK("https://www.google.ru/search?q=MC-YB801&amp;newwindow=1&amp;tbm=isch","Еще фото")</f>
        <v>Еще фото</v>
      </c>
      <c r="F302" s="13"/>
      <c r="G302" s="23" t="s">
        <v>385</v>
      </c>
      <c r="H302" s="23" t="s">
        <v>27</v>
      </c>
      <c r="I302" s="23" t="s">
        <v>382</v>
      </c>
      <c r="J302" s="14" t="s">
        <v>29</v>
      </c>
      <c r="K302" s="15" t="s">
        <v>30</v>
      </c>
      <c r="L302" s="88"/>
      <c r="M302" s="14"/>
      <c r="N302" s="14" t="s">
        <v>70</v>
      </c>
      <c r="O302" s="14"/>
      <c r="P302" s="15" t="s">
        <v>76</v>
      </c>
      <c r="Q302" s="16">
        <v>2499</v>
      </c>
      <c r="R302" s="17">
        <v>45</v>
      </c>
      <c r="S302" s="18">
        <v>1580.6174999999998</v>
      </c>
      <c r="T302" s="19" t="s">
        <v>34</v>
      </c>
      <c r="U302" s="20" t="s">
        <v>35</v>
      </c>
      <c r="V302" s="21">
        <v>116</v>
      </c>
      <c r="W302" s="21">
        <v>1</v>
      </c>
      <c r="X302" s="22"/>
    </row>
    <row r="303" spans="1:24" s="1" customFormat="1" ht="108" customHeight="1" x14ac:dyDescent="0.3">
      <c r="A303" s="11" t="s">
        <v>23</v>
      </c>
      <c r="B303" s="11" t="s">
        <v>387</v>
      </c>
      <c r="C303" s="12" t="s">
        <v>388</v>
      </c>
      <c r="D303" s="24"/>
      <c r="E303" s="69" t="str">
        <f>HYPERLINK("https://www.google.ru/search?q=MC-YD276-1&amp;newwindow=1&amp;tbm=isch","Еще фото")</f>
        <v>Еще фото</v>
      </c>
      <c r="F303" s="13"/>
      <c r="G303" s="11" t="s">
        <v>389</v>
      </c>
      <c r="H303" s="11" t="s">
        <v>27</v>
      </c>
      <c r="I303" s="14" t="s">
        <v>382</v>
      </c>
      <c r="J303" s="14" t="s">
        <v>29</v>
      </c>
      <c r="K303" s="15" t="s">
        <v>30</v>
      </c>
      <c r="L303" s="14" t="s">
        <v>390</v>
      </c>
      <c r="M303" s="14"/>
      <c r="N303" s="14" t="s">
        <v>32</v>
      </c>
      <c r="O303" s="14"/>
      <c r="P303" s="15" t="s">
        <v>76</v>
      </c>
      <c r="Q303" s="16">
        <v>3289</v>
      </c>
      <c r="R303" s="17">
        <v>45</v>
      </c>
      <c r="S303" s="18">
        <v>2080.2925</v>
      </c>
      <c r="T303" s="19" t="s">
        <v>34</v>
      </c>
      <c r="U303" s="20" t="s">
        <v>105</v>
      </c>
      <c r="V303" s="21">
        <v>62</v>
      </c>
      <c r="W303" s="21">
        <v>1</v>
      </c>
      <c r="X303" s="22"/>
    </row>
    <row r="304" spans="1:24" s="1" customFormat="1" ht="21" customHeight="1" x14ac:dyDescent="0.3">
      <c r="A304" s="11" t="s">
        <v>391</v>
      </c>
      <c r="B304" s="11" t="s">
        <v>392</v>
      </c>
      <c r="C304" s="27" t="s">
        <v>393</v>
      </c>
      <c r="D304" s="83"/>
      <c r="E304" s="69" t="str">
        <f>HYPERLINK("https://www.google.ru/search?q=977119120018-7683&amp;newwindow=1&amp;tbm=isch","Еще фото")</f>
        <v>Еще фото</v>
      </c>
      <c r="F304" s="13"/>
      <c r="G304" s="11" t="s">
        <v>394</v>
      </c>
      <c r="H304" s="11" t="s">
        <v>151</v>
      </c>
      <c r="I304" s="14" t="s">
        <v>395</v>
      </c>
      <c r="J304" s="14" t="s">
        <v>396</v>
      </c>
      <c r="K304" s="15" t="s">
        <v>55</v>
      </c>
      <c r="L304" s="86" t="s">
        <v>397</v>
      </c>
      <c r="M304" s="14"/>
      <c r="N304" s="14" t="s">
        <v>49</v>
      </c>
      <c r="O304" s="14"/>
      <c r="P304" s="15" t="s">
        <v>398</v>
      </c>
      <c r="Q304" s="16">
        <v>17399</v>
      </c>
      <c r="R304" s="17">
        <v>88.63</v>
      </c>
      <c r="S304" s="18">
        <v>2274.4354999999996</v>
      </c>
      <c r="T304" s="19" t="s">
        <v>328</v>
      </c>
      <c r="U304" s="20" t="s">
        <v>399</v>
      </c>
      <c r="V304" s="21">
        <v>39</v>
      </c>
      <c r="W304" s="21">
        <v>1</v>
      </c>
      <c r="X304" s="22"/>
    </row>
    <row r="305" spans="1:24" s="1" customFormat="1" ht="21" customHeight="1" x14ac:dyDescent="0.3">
      <c r="A305" s="23" t="s">
        <v>391</v>
      </c>
      <c r="B305" s="23" t="s">
        <v>392</v>
      </c>
      <c r="C305" s="28" t="s">
        <v>393</v>
      </c>
      <c r="D305" s="84"/>
      <c r="E305" s="69" t="str">
        <f>HYPERLINK("https://www.google.ru/search?q=977119120018-7683&amp;newwindow=1&amp;tbm=isch","Еще фото")</f>
        <v>Еще фото</v>
      </c>
      <c r="F305" s="13"/>
      <c r="G305" s="23" t="s">
        <v>394</v>
      </c>
      <c r="H305" s="23" t="s">
        <v>151</v>
      </c>
      <c r="I305" s="23" t="s">
        <v>395</v>
      </c>
      <c r="J305" s="14" t="s">
        <v>396</v>
      </c>
      <c r="K305" s="15" t="s">
        <v>55</v>
      </c>
      <c r="L305" s="87"/>
      <c r="M305" s="14"/>
      <c r="N305" s="14" t="s">
        <v>49</v>
      </c>
      <c r="O305" s="14"/>
      <c r="P305" s="15" t="s">
        <v>398</v>
      </c>
      <c r="Q305" s="16">
        <v>17399</v>
      </c>
      <c r="R305" s="17">
        <v>88.63</v>
      </c>
      <c r="S305" s="18">
        <v>2274.4354999999996</v>
      </c>
      <c r="T305" s="19" t="s">
        <v>328</v>
      </c>
      <c r="U305" s="20" t="s">
        <v>400</v>
      </c>
      <c r="V305" s="21">
        <v>40</v>
      </c>
      <c r="W305" s="21">
        <v>1</v>
      </c>
      <c r="X305" s="22"/>
    </row>
    <row r="306" spans="1:24" s="1" customFormat="1" ht="21" customHeight="1" x14ac:dyDescent="0.3">
      <c r="A306" s="23" t="s">
        <v>391</v>
      </c>
      <c r="B306" s="23" t="s">
        <v>392</v>
      </c>
      <c r="C306" s="28" t="s">
        <v>393</v>
      </c>
      <c r="D306" s="84"/>
      <c r="E306" s="69" t="str">
        <f>HYPERLINK("https://www.google.ru/search?q=977119120018-7683&amp;newwindow=1&amp;tbm=isch","Еще фото")</f>
        <v>Еще фото</v>
      </c>
      <c r="F306" s="13"/>
      <c r="G306" s="23" t="s">
        <v>394</v>
      </c>
      <c r="H306" s="23" t="s">
        <v>151</v>
      </c>
      <c r="I306" s="23" t="s">
        <v>395</v>
      </c>
      <c r="J306" s="14" t="s">
        <v>396</v>
      </c>
      <c r="K306" s="15" t="s">
        <v>55</v>
      </c>
      <c r="L306" s="87"/>
      <c r="M306" s="14"/>
      <c r="N306" s="14" t="s">
        <v>49</v>
      </c>
      <c r="O306" s="14"/>
      <c r="P306" s="15" t="s">
        <v>398</v>
      </c>
      <c r="Q306" s="16">
        <v>17399</v>
      </c>
      <c r="R306" s="17">
        <v>88.63</v>
      </c>
      <c r="S306" s="18">
        <v>2274.4354999999996</v>
      </c>
      <c r="T306" s="19" t="s">
        <v>328</v>
      </c>
      <c r="U306" s="20" t="s">
        <v>401</v>
      </c>
      <c r="V306" s="21">
        <v>42</v>
      </c>
      <c r="W306" s="21">
        <v>1</v>
      </c>
      <c r="X306" s="22"/>
    </row>
    <row r="307" spans="1:24" s="1" customFormat="1" ht="21" customHeight="1" x14ac:dyDescent="0.3">
      <c r="A307" s="23" t="s">
        <v>391</v>
      </c>
      <c r="B307" s="23" t="s">
        <v>392</v>
      </c>
      <c r="C307" s="28" t="s">
        <v>393</v>
      </c>
      <c r="D307" s="84"/>
      <c r="E307" s="69" t="str">
        <f>HYPERLINK("https://www.google.ru/search?q=977119120018-7683&amp;newwindow=1&amp;tbm=isch","Еще фото")</f>
        <v>Еще фото</v>
      </c>
      <c r="F307" s="13"/>
      <c r="G307" s="23" t="s">
        <v>394</v>
      </c>
      <c r="H307" s="23" t="s">
        <v>151</v>
      </c>
      <c r="I307" s="23" t="s">
        <v>395</v>
      </c>
      <c r="J307" s="14" t="s">
        <v>396</v>
      </c>
      <c r="K307" s="15" t="s">
        <v>55</v>
      </c>
      <c r="L307" s="87"/>
      <c r="M307" s="14"/>
      <c r="N307" s="14" t="s">
        <v>49</v>
      </c>
      <c r="O307" s="14"/>
      <c r="P307" s="15" t="s">
        <v>398</v>
      </c>
      <c r="Q307" s="16">
        <v>17399</v>
      </c>
      <c r="R307" s="17">
        <v>88.63</v>
      </c>
      <c r="S307" s="18">
        <v>2274.4354999999996</v>
      </c>
      <c r="T307" s="19" t="s">
        <v>328</v>
      </c>
      <c r="U307" s="20" t="s">
        <v>402</v>
      </c>
      <c r="V307" s="21">
        <v>43</v>
      </c>
      <c r="W307" s="21">
        <v>6</v>
      </c>
      <c r="X307" s="22"/>
    </row>
    <row r="308" spans="1:24" s="1" customFormat="1" ht="32.1" customHeight="1" x14ac:dyDescent="0.3">
      <c r="A308" s="23" t="s">
        <v>391</v>
      </c>
      <c r="B308" s="23" t="s">
        <v>392</v>
      </c>
      <c r="C308" s="28" t="s">
        <v>393</v>
      </c>
      <c r="D308" s="85"/>
      <c r="E308" s="69" t="str">
        <f>HYPERLINK("https://www.google.ru/search?q=977119120018-7683&amp;newwindow=1&amp;tbm=isch","Еще фото")</f>
        <v>Еще фото</v>
      </c>
      <c r="F308" s="13"/>
      <c r="G308" s="23" t="s">
        <v>394</v>
      </c>
      <c r="H308" s="23" t="s">
        <v>151</v>
      </c>
      <c r="I308" s="23" t="s">
        <v>395</v>
      </c>
      <c r="J308" s="14" t="s">
        <v>396</v>
      </c>
      <c r="K308" s="15" t="s">
        <v>55</v>
      </c>
      <c r="L308" s="88"/>
      <c r="M308" s="14"/>
      <c r="N308" s="14" t="s">
        <v>49</v>
      </c>
      <c r="O308" s="14"/>
      <c r="P308" s="15" t="s">
        <v>398</v>
      </c>
      <c r="Q308" s="16">
        <v>17399</v>
      </c>
      <c r="R308" s="17">
        <v>88.63</v>
      </c>
      <c r="S308" s="18">
        <v>2274.4354999999996</v>
      </c>
      <c r="T308" s="19" t="s">
        <v>328</v>
      </c>
      <c r="U308" s="20" t="s">
        <v>403</v>
      </c>
      <c r="V308" s="21">
        <v>44</v>
      </c>
      <c r="W308" s="21">
        <v>5</v>
      </c>
      <c r="X308" s="22"/>
    </row>
    <row r="309" spans="1:24" s="1" customFormat="1" ht="108" customHeight="1" x14ac:dyDescent="0.3">
      <c r="A309" s="11" t="s">
        <v>44</v>
      </c>
      <c r="B309" s="11" t="s">
        <v>404</v>
      </c>
      <c r="C309" s="12" t="s">
        <v>405</v>
      </c>
      <c r="D309" s="24"/>
      <c r="E309" s="69" t="str">
        <f>HYPERLINK("https://www.google.ru/search?q=E231058H-BLWH&amp;newwindow=1&amp;tbm=isch","Еще фото")</f>
        <v>Еще фото</v>
      </c>
      <c r="F309" s="13"/>
      <c r="G309" s="11" t="s">
        <v>394</v>
      </c>
      <c r="H309" s="11" t="s">
        <v>151</v>
      </c>
      <c r="I309" s="14" t="s">
        <v>395</v>
      </c>
      <c r="J309" s="14" t="s">
        <v>406</v>
      </c>
      <c r="K309" s="15" t="s">
        <v>47</v>
      </c>
      <c r="L309" s="14" t="s">
        <v>407</v>
      </c>
      <c r="M309" s="14"/>
      <c r="N309" s="14" t="s">
        <v>49</v>
      </c>
      <c r="O309" s="14"/>
      <c r="P309" s="15" t="s">
        <v>408</v>
      </c>
      <c r="Q309" s="16">
        <v>7999</v>
      </c>
      <c r="R309" s="17">
        <v>76.27</v>
      </c>
      <c r="S309" s="18">
        <v>2182.4354999999996</v>
      </c>
      <c r="T309" s="19" t="s">
        <v>328</v>
      </c>
      <c r="U309" s="20" t="s">
        <v>409</v>
      </c>
      <c r="V309" s="21">
        <v>36</v>
      </c>
      <c r="W309" s="21">
        <v>2</v>
      </c>
      <c r="X309" s="22"/>
    </row>
    <row r="310" spans="1:24" s="1" customFormat="1" ht="51.95" customHeight="1" x14ac:dyDescent="0.3">
      <c r="A310" s="11" t="s">
        <v>44</v>
      </c>
      <c r="B310" s="11" t="s">
        <v>404</v>
      </c>
      <c r="C310" s="12" t="s">
        <v>410</v>
      </c>
      <c r="D310" s="89"/>
      <c r="E310" s="69" t="str">
        <f>HYPERLINK("https://www.google.ru/search?q=E231138H-WHT&amp;newwindow=1&amp;tbm=isch","Еще фото")</f>
        <v>Еще фото</v>
      </c>
      <c r="F310" s="13"/>
      <c r="G310" s="11" t="s">
        <v>394</v>
      </c>
      <c r="H310" s="11" t="s">
        <v>151</v>
      </c>
      <c r="I310" s="14" t="s">
        <v>395</v>
      </c>
      <c r="J310" s="14" t="s">
        <v>406</v>
      </c>
      <c r="K310" s="15" t="s">
        <v>47</v>
      </c>
      <c r="L310" s="86" t="s">
        <v>411</v>
      </c>
      <c r="M310" s="14"/>
      <c r="N310" s="14" t="s">
        <v>89</v>
      </c>
      <c r="O310" s="14"/>
      <c r="P310" s="15" t="s">
        <v>412</v>
      </c>
      <c r="Q310" s="16">
        <v>10999</v>
      </c>
      <c r="R310" s="17">
        <v>68.11</v>
      </c>
      <c r="S310" s="18">
        <v>4033.9354999999996</v>
      </c>
      <c r="T310" s="19" t="s">
        <v>328</v>
      </c>
      <c r="U310" s="20" t="s">
        <v>409</v>
      </c>
      <c r="V310" s="21">
        <v>36</v>
      </c>
      <c r="W310" s="21">
        <v>1</v>
      </c>
      <c r="X310" s="22"/>
    </row>
    <row r="311" spans="1:24" s="1" customFormat="1" ht="60.95" customHeight="1" x14ac:dyDescent="0.3">
      <c r="A311" s="23" t="s">
        <v>44</v>
      </c>
      <c r="B311" s="23" t="s">
        <v>404</v>
      </c>
      <c r="C311" s="12" t="s">
        <v>410</v>
      </c>
      <c r="D311" s="90"/>
      <c r="E311" s="69" t="str">
        <f>HYPERLINK("https://www.google.ru/search?q=E231138H-WHT&amp;newwindow=1&amp;tbm=isch","Еще фото")</f>
        <v>Еще фото</v>
      </c>
      <c r="F311" s="13"/>
      <c r="G311" s="23" t="s">
        <v>394</v>
      </c>
      <c r="H311" s="23" t="s">
        <v>151</v>
      </c>
      <c r="I311" s="23" t="s">
        <v>395</v>
      </c>
      <c r="J311" s="14" t="s">
        <v>406</v>
      </c>
      <c r="K311" s="15" t="s">
        <v>47</v>
      </c>
      <c r="L311" s="88"/>
      <c r="M311" s="14"/>
      <c r="N311" s="14" t="s">
        <v>89</v>
      </c>
      <c r="O311" s="14"/>
      <c r="P311" s="15" t="s">
        <v>412</v>
      </c>
      <c r="Q311" s="16">
        <v>10999</v>
      </c>
      <c r="R311" s="17">
        <v>68.11</v>
      </c>
      <c r="S311" s="18">
        <v>4033.9354999999996</v>
      </c>
      <c r="T311" s="19" t="s">
        <v>328</v>
      </c>
      <c r="U311" s="20" t="s">
        <v>413</v>
      </c>
      <c r="V311" s="21">
        <v>38</v>
      </c>
      <c r="W311" s="21">
        <v>1</v>
      </c>
      <c r="X311" s="22"/>
    </row>
    <row r="312" spans="1:24" s="1" customFormat="1" ht="108" customHeight="1" x14ac:dyDescent="0.3">
      <c r="A312" s="11" t="s">
        <v>44</v>
      </c>
      <c r="B312" s="11" t="s">
        <v>414</v>
      </c>
      <c r="C312" s="12" t="s">
        <v>415</v>
      </c>
      <c r="D312" s="24"/>
      <c r="E312" s="69" t="str">
        <f>HYPERLINK("https://www.google.ru/search?q=E231837A-BLK&amp;newwindow=1&amp;tbm=isch","Еще фото")</f>
        <v>Еще фото</v>
      </c>
      <c r="F312" s="13"/>
      <c r="G312" s="11" t="s">
        <v>394</v>
      </c>
      <c r="H312" s="11" t="s">
        <v>151</v>
      </c>
      <c r="I312" s="14" t="s">
        <v>395</v>
      </c>
      <c r="J312" s="14" t="s">
        <v>396</v>
      </c>
      <c r="K312" s="15" t="s">
        <v>55</v>
      </c>
      <c r="L312" s="14" t="s">
        <v>416</v>
      </c>
      <c r="M312" s="14"/>
      <c r="N312" s="14" t="s">
        <v>49</v>
      </c>
      <c r="O312" s="14"/>
      <c r="P312" s="15" t="s">
        <v>417</v>
      </c>
      <c r="Q312" s="16">
        <v>11700</v>
      </c>
      <c r="R312" s="17">
        <v>51</v>
      </c>
      <c r="S312" s="18">
        <v>6592.95</v>
      </c>
      <c r="T312" s="19" t="s">
        <v>328</v>
      </c>
      <c r="U312" s="20" t="s">
        <v>402</v>
      </c>
      <c r="V312" s="21">
        <v>43</v>
      </c>
      <c r="W312" s="21">
        <v>1</v>
      </c>
      <c r="X312" s="22"/>
    </row>
    <row r="313" spans="1:24" s="1" customFormat="1" ht="51.95" customHeight="1" x14ac:dyDescent="0.3">
      <c r="A313" s="11" t="s">
        <v>147</v>
      </c>
      <c r="B313" s="11" t="s">
        <v>418</v>
      </c>
      <c r="C313" s="12" t="s">
        <v>419</v>
      </c>
      <c r="D313" s="89"/>
      <c r="E313" s="69" t="str">
        <f>HYPERLINK("https://www.google.ru/search?q=NA4HVANS5&amp;newwindow=1&amp;tbm=isch","Еще фото")</f>
        <v>Еще фото</v>
      </c>
      <c r="F313" s="13"/>
      <c r="G313" s="11" t="s">
        <v>394</v>
      </c>
      <c r="H313" s="11" t="s">
        <v>151</v>
      </c>
      <c r="I313" s="14" t="s">
        <v>395</v>
      </c>
      <c r="J313" s="14" t="s">
        <v>406</v>
      </c>
      <c r="K313" s="15" t="s">
        <v>55</v>
      </c>
      <c r="L313" s="86" t="s">
        <v>420</v>
      </c>
      <c r="M313" s="14"/>
      <c r="N313" s="14" t="s">
        <v>41</v>
      </c>
      <c r="O313" s="14"/>
      <c r="P313" s="15" t="s">
        <v>421</v>
      </c>
      <c r="Q313" s="16">
        <v>17999</v>
      </c>
      <c r="R313" s="17">
        <v>50</v>
      </c>
      <c r="S313" s="18">
        <v>10349.424999999999</v>
      </c>
      <c r="T313" s="19" t="s">
        <v>84</v>
      </c>
      <c r="U313" s="20" t="s">
        <v>157</v>
      </c>
      <c r="V313" s="21">
        <v>40</v>
      </c>
      <c r="W313" s="21">
        <v>1</v>
      </c>
      <c r="X313" s="22"/>
    </row>
    <row r="314" spans="1:24" s="1" customFormat="1" ht="60.95" customHeight="1" x14ac:dyDescent="0.3">
      <c r="A314" s="23" t="s">
        <v>147</v>
      </c>
      <c r="B314" s="23" t="s">
        <v>418</v>
      </c>
      <c r="C314" s="12" t="s">
        <v>419</v>
      </c>
      <c r="D314" s="90"/>
      <c r="E314" s="69" t="str">
        <f>HYPERLINK("https://www.google.ru/search?q=NA4HVANS5&amp;newwindow=1&amp;tbm=isch","Еще фото")</f>
        <v>Еще фото</v>
      </c>
      <c r="F314" s="13"/>
      <c r="G314" s="23" t="s">
        <v>394</v>
      </c>
      <c r="H314" s="23" t="s">
        <v>151</v>
      </c>
      <c r="I314" s="23" t="s">
        <v>395</v>
      </c>
      <c r="J314" s="14" t="s">
        <v>406</v>
      </c>
      <c r="K314" s="15" t="s">
        <v>55</v>
      </c>
      <c r="L314" s="88"/>
      <c r="M314" s="14"/>
      <c r="N314" s="14" t="s">
        <v>41</v>
      </c>
      <c r="O314" s="14"/>
      <c r="P314" s="15" t="s">
        <v>421</v>
      </c>
      <c r="Q314" s="16">
        <v>17999</v>
      </c>
      <c r="R314" s="17">
        <v>50</v>
      </c>
      <c r="S314" s="18">
        <v>10349.424999999999</v>
      </c>
      <c r="T314" s="19" t="s">
        <v>84</v>
      </c>
      <c r="U314" s="20" t="s">
        <v>163</v>
      </c>
      <c r="V314" s="21">
        <v>42</v>
      </c>
      <c r="W314" s="21">
        <v>1</v>
      </c>
      <c r="X314" s="22"/>
    </row>
    <row r="315" spans="1:24" s="1" customFormat="1" ht="51.95" customHeight="1" x14ac:dyDescent="0.3">
      <c r="A315" s="11" t="s">
        <v>391</v>
      </c>
      <c r="B315" s="11" t="s">
        <v>422</v>
      </c>
      <c r="C315" s="12" t="s">
        <v>423</v>
      </c>
      <c r="D315" s="89"/>
      <c r="E315" s="69" t="str">
        <f>HYPERLINK("https://www.google.ru/search?q=977118310037-F186&amp;newwindow=1&amp;tbm=isch","Еще фото")</f>
        <v>Еще фото</v>
      </c>
      <c r="F315" s="13"/>
      <c r="G315" s="11" t="s">
        <v>394</v>
      </c>
      <c r="H315" s="11" t="s">
        <v>151</v>
      </c>
      <c r="I315" s="14" t="s">
        <v>424</v>
      </c>
      <c r="J315" s="14" t="s">
        <v>29</v>
      </c>
      <c r="K315" s="15" t="s">
        <v>47</v>
      </c>
      <c r="L315" s="86" t="s">
        <v>425</v>
      </c>
      <c r="M315" s="14"/>
      <c r="N315" s="14" t="s">
        <v>89</v>
      </c>
      <c r="O315" s="14"/>
      <c r="P315" s="15" t="s">
        <v>398</v>
      </c>
      <c r="Q315" s="16">
        <v>8399</v>
      </c>
      <c r="R315" s="17">
        <v>89.19</v>
      </c>
      <c r="S315" s="29">
        <v>1043.9354999999998</v>
      </c>
      <c r="T315" s="19" t="s">
        <v>328</v>
      </c>
      <c r="U315" s="20" t="s">
        <v>409</v>
      </c>
      <c r="V315" s="21">
        <v>36</v>
      </c>
      <c r="W315" s="21">
        <v>2</v>
      </c>
      <c r="X315" s="22"/>
    </row>
    <row r="316" spans="1:24" s="1" customFormat="1" ht="60.95" customHeight="1" x14ac:dyDescent="0.3">
      <c r="A316" s="23" t="s">
        <v>391</v>
      </c>
      <c r="B316" s="23" t="s">
        <v>422</v>
      </c>
      <c r="C316" s="12" t="s">
        <v>423</v>
      </c>
      <c r="D316" s="90"/>
      <c r="E316" s="69" t="str">
        <f>HYPERLINK("https://www.google.ru/search?q=977118310037-F186&amp;newwindow=1&amp;tbm=isch","Еще фото")</f>
        <v>Еще фото</v>
      </c>
      <c r="F316" s="13"/>
      <c r="G316" s="23" t="s">
        <v>394</v>
      </c>
      <c r="H316" s="23" t="s">
        <v>151</v>
      </c>
      <c r="I316" s="23" t="s">
        <v>424</v>
      </c>
      <c r="J316" s="14" t="s">
        <v>29</v>
      </c>
      <c r="K316" s="15" t="s">
        <v>47</v>
      </c>
      <c r="L316" s="88"/>
      <c r="M316" s="14"/>
      <c r="N316" s="14" t="s">
        <v>89</v>
      </c>
      <c r="O316" s="14"/>
      <c r="P316" s="15" t="s">
        <v>398</v>
      </c>
      <c r="Q316" s="16">
        <v>8399</v>
      </c>
      <c r="R316" s="17">
        <v>89.19</v>
      </c>
      <c r="S316" s="29">
        <v>1043.9354999999998</v>
      </c>
      <c r="T316" s="19" t="s">
        <v>328</v>
      </c>
      <c r="U316" s="20" t="s">
        <v>426</v>
      </c>
      <c r="V316" s="21">
        <v>37</v>
      </c>
      <c r="W316" s="21">
        <v>1</v>
      </c>
      <c r="X316" s="22"/>
    </row>
    <row r="317" spans="1:24" s="1" customFormat="1" ht="108" customHeight="1" x14ac:dyDescent="0.3">
      <c r="A317" s="11" t="s">
        <v>391</v>
      </c>
      <c r="B317" s="11" t="s">
        <v>422</v>
      </c>
      <c r="C317" s="12" t="s">
        <v>427</v>
      </c>
      <c r="D317" s="24"/>
      <c r="E317" s="69" t="str">
        <f>HYPERLINK("https://www.google.ru/search?q=977118310037-9071&amp;newwindow=1&amp;tbm=isch","Еще фото")</f>
        <v>Еще фото</v>
      </c>
      <c r="F317" s="13"/>
      <c r="G317" s="11" t="s">
        <v>394</v>
      </c>
      <c r="H317" s="11" t="s">
        <v>151</v>
      </c>
      <c r="I317" s="14" t="s">
        <v>424</v>
      </c>
      <c r="J317" s="14" t="s">
        <v>29</v>
      </c>
      <c r="K317" s="15" t="s">
        <v>47</v>
      </c>
      <c r="L317" s="14" t="s">
        <v>425</v>
      </c>
      <c r="M317" s="14"/>
      <c r="N317" s="14" t="s">
        <v>89</v>
      </c>
      <c r="O317" s="14"/>
      <c r="P317" s="15" t="s">
        <v>398</v>
      </c>
      <c r="Q317" s="16">
        <v>8399</v>
      </c>
      <c r="R317" s="17">
        <v>88.48</v>
      </c>
      <c r="S317" s="29">
        <v>1112.9354999999998</v>
      </c>
      <c r="T317" s="19" t="s">
        <v>328</v>
      </c>
      <c r="U317" s="20" t="s">
        <v>426</v>
      </c>
      <c r="V317" s="21">
        <v>37</v>
      </c>
      <c r="W317" s="21">
        <v>1</v>
      </c>
      <c r="X317" s="22"/>
    </row>
    <row r="318" spans="1:24" s="1" customFormat="1" ht="108" customHeight="1" x14ac:dyDescent="0.3">
      <c r="A318" s="11" t="s">
        <v>391</v>
      </c>
      <c r="B318" s="11" t="s">
        <v>428</v>
      </c>
      <c r="C318" s="12" t="s">
        <v>429</v>
      </c>
      <c r="D318" s="24"/>
      <c r="E318" s="69" t="str">
        <f>HYPERLINK("https://www.google.ru/search?q=977118320031-B797&amp;newwindow=1&amp;tbm=isch","Еще фото")</f>
        <v>Еще фото</v>
      </c>
      <c r="F318" s="13"/>
      <c r="G318" s="11" t="s">
        <v>394</v>
      </c>
      <c r="H318" s="11" t="s">
        <v>151</v>
      </c>
      <c r="I318" s="14" t="s">
        <v>424</v>
      </c>
      <c r="J318" s="14" t="s">
        <v>29</v>
      </c>
      <c r="K318" s="15" t="s">
        <v>47</v>
      </c>
      <c r="L318" s="14" t="s">
        <v>430</v>
      </c>
      <c r="M318" s="14"/>
      <c r="N318" s="14" t="s">
        <v>275</v>
      </c>
      <c r="O318" s="14"/>
      <c r="P318" s="15" t="s">
        <v>398</v>
      </c>
      <c r="Q318" s="16">
        <v>8399</v>
      </c>
      <c r="R318" s="17">
        <v>85.86</v>
      </c>
      <c r="S318" s="18">
        <v>1365.9354999999998</v>
      </c>
      <c r="T318" s="19" t="s">
        <v>328</v>
      </c>
      <c r="U318" s="20" t="s">
        <v>431</v>
      </c>
      <c r="V318" s="21">
        <v>34</v>
      </c>
      <c r="W318" s="21">
        <v>1</v>
      </c>
      <c r="X318" s="22"/>
    </row>
    <row r="319" spans="1:24" s="1" customFormat="1" ht="26.1" customHeight="1" x14ac:dyDescent="0.3">
      <c r="A319" s="11" t="s">
        <v>147</v>
      </c>
      <c r="B319" s="11" t="s">
        <v>432</v>
      </c>
      <c r="C319" s="12" t="s">
        <v>433</v>
      </c>
      <c r="D319" s="83"/>
      <c r="E319" s="69" t="str">
        <f>HYPERLINK("https://www.google.ru/search?q=NA4IJVNB4&amp;newwindow=1&amp;tbm=isch","Еще фото")</f>
        <v>Еще фото</v>
      </c>
      <c r="F319" s="13"/>
      <c r="G319" s="11" t="s">
        <v>394</v>
      </c>
      <c r="H319" s="11" t="s">
        <v>151</v>
      </c>
      <c r="I319" s="14" t="s">
        <v>424</v>
      </c>
      <c r="J319" s="14" t="s">
        <v>29</v>
      </c>
      <c r="K319" s="15" t="s">
        <v>47</v>
      </c>
      <c r="L319" s="86" t="s">
        <v>434</v>
      </c>
      <c r="M319" s="14"/>
      <c r="N319" s="14" t="s">
        <v>326</v>
      </c>
      <c r="O319" s="14"/>
      <c r="P319" s="15" t="s">
        <v>161</v>
      </c>
      <c r="Q319" s="16">
        <v>16999</v>
      </c>
      <c r="R319" s="17">
        <v>81.89</v>
      </c>
      <c r="S319" s="18">
        <v>3539.4354999999996</v>
      </c>
      <c r="T319" s="19" t="s">
        <v>84</v>
      </c>
      <c r="U319" s="20" t="s">
        <v>156</v>
      </c>
      <c r="V319" s="21">
        <v>37</v>
      </c>
      <c r="W319" s="21">
        <v>1</v>
      </c>
      <c r="X319" s="22"/>
    </row>
    <row r="320" spans="1:24" s="1" customFormat="1" ht="26.1" customHeight="1" x14ac:dyDescent="0.3">
      <c r="A320" s="23" t="s">
        <v>147</v>
      </c>
      <c r="B320" s="23" t="s">
        <v>432</v>
      </c>
      <c r="C320" s="12" t="s">
        <v>433</v>
      </c>
      <c r="D320" s="84"/>
      <c r="E320" s="69" t="str">
        <f>HYPERLINK("https://www.google.ru/search?q=NA4IJVNB4&amp;newwindow=1&amp;tbm=isch","Еще фото")</f>
        <v>Еще фото</v>
      </c>
      <c r="F320" s="13"/>
      <c r="G320" s="23" t="s">
        <v>394</v>
      </c>
      <c r="H320" s="23" t="s">
        <v>151</v>
      </c>
      <c r="I320" s="23" t="s">
        <v>424</v>
      </c>
      <c r="J320" s="14" t="s">
        <v>29</v>
      </c>
      <c r="K320" s="15" t="s">
        <v>47</v>
      </c>
      <c r="L320" s="87"/>
      <c r="M320" s="14"/>
      <c r="N320" s="14" t="s">
        <v>326</v>
      </c>
      <c r="O320" s="14"/>
      <c r="P320" s="15" t="s">
        <v>161</v>
      </c>
      <c r="Q320" s="16">
        <v>16999</v>
      </c>
      <c r="R320" s="17">
        <v>81.89</v>
      </c>
      <c r="S320" s="18">
        <v>3539.4354999999996</v>
      </c>
      <c r="T320" s="19" t="s">
        <v>84</v>
      </c>
      <c r="U320" s="20" t="s">
        <v>435</v>
      </c>
      <c r="V320" s="21">
        <v>38</v>
      </c>
      <c r="W320" s="21">
        <v>3</v>
      </c>
      <c r="X320" s="22"/>
    </row>
    <row r="321" spans="1:24" s="1" customFormat="1" ht="26.1" customHeight="1" x14ac:dyDescent="0.3">
      <c r="A321" s="23" t="s">
        <v>147</v>
      </c>
      <c r="B321" s="23" t="s">
        <v>432</v>
      </c>
      <c r="C321" s="12" t="s">
        <v>433</v>
      </c>
      <c r="D321" s="84"/>
      <c r="E321" s="69" t="str">
        <f>HYPERLINK("https://www.google.ru/search?q=NA4IJVNB4&amp;newwindow=1&amp;tbm=isch","Еще фото")</f>
        <v>Еще фото</v>
      </c>
      <c r="F321" s="13"/>
      <c r="G321" s="23" t="s">
        <v>394</v>
      </c>
      <c r="H321" s="23" t="s">
        <v>151</v>
      </c>
      <c r="I321" s="23" t="s">
        <v>424</v>
      </c>
      <c r="J321" s="14" t="s">
        <v>29</v>
      </c>
      <c r="K321" s="15" t="s">
        <v>47</v>
      </c>
      <c r="L321" s="87"/>
      <c r="M321" s="14"/>
      <c r="N321" s="14" t="s">
        <v>326</v>
      </c>
      <c r="O321" s="14"/>
      <c r="P321" s="15" t="s">
        <v>161</v>
      </c>
      <c r="Q321" s="16">
        <v>16999</v>
      </c>
      <c r="R321" s="17">
        <v>81.89</v>
      </c>
      <c r="S321" s="18">
        <v>3539.4354999999996</v>
      </c>
      <c r="T321" s="19" t="s">
        <v>84</v>
      </c>
      <c r="U321" s="20" t="s">
        <v>162</v>
      </c>
      <c r="V321" s="21">
        <v>39</v>
      </c>
      <c r="W321" s="21">
        <v>6</v>
      </c>
      <c r="X321" s="22"/>
    </row>
    <row r="322" spans="1:24" s="1" customFormat="1" ht="26.1" customHeight="1" x14ac:dyDescent="0.3">
      <c r="A322" s="23" t="s">
        <v>147</v>
      </c>
      <c r="B322" s="23" t="s">
        <v>432</v>
      </c>
      <c r="C322" s="12" t="s">
        <v>433</v>
      </c>
      <c r="D322" s="85"/>
      <c r="E322" s="69" t="str">
        <f>HYPERLINK("https://www.google.ru/search?q=NA4IJVNB4&amp;newwindow=1&amp;tbm=isch","Еще фото")</f>
        <v>Еще фото</v>
      </c>
      <c r="F322" s="13"/>
      <c r="G322" s="23" t="s">
        <v>394</v>
      </c>
      <c r="H322" s="23" t="s">
        <v>151</v>
      </c>
      <c r="I322" s="23" t="s">
        <v>424</v>
      </c>
      <c r="J322" s="14" t="s">
        <v>29</v>
      </c>
      <c r="K322" s="15" t="s">
        <v>47</v>
      </c>
      <c r="L322" s="88"/>
      <c r="M322" s="14"/>
      <c r="N322" s="14" t="s">
        <v>326</v>
      </c>
      <c r="O322" s="14"/>
      <c r="P322" s="15" t="s">
        <v>161</v>
      </c>
      <c r="Q322" s="16">
        <v>16999</v>
      </c>
      <c r="R322" s="17">
        <v>81.89</v>
      </c>
      <c r="S322" s="18">
        <v>3539.4354999999996</v>
      </c>
      <c r="T322" s="19" t="s">
        <v>84</v>
      </c>
      <c r="U322" s="20" t="s">
        <v>436</v>
      </c>
      <c r="V322" s="21">
        <v>40</v>
      </c>
      <c r="W322" s="21">
        <v>4</v>
      </c>
      <c r="X322" s="22"/>
    </row>
    <row r="323" spans="1:24" s="1" customFormat="1" ht="108" customHeight="1" x14ac:dyDescent="0.3">
      <c r="A323" s="11" t="s">
        <v>437</v>
      </c>
      <c r="B323" s="11" t="s">
        <v>438</v>
      </c>
      <c r="C323" s="12" t="s">
        <v>439</v>
      </c>
      <c r="D323" s="24"/>
      <c r="E323" s="69" t="str">
        <f>HYPERLINK("https://www.google.ru/search?q=822834-51052&amp;newwindow=1&amp;tbm=isch","Еще фото")</f>
        <v>Еще фото</v>
      </c>
      <c r="F323" s="13"/>
      <c r="G323" s="11" t="s">
        <v>394</v>
      </c>
      <c r="H323" s="11" t="s">
        <v>151</v>
      </c>
      <c r="I323" s="14" t="s">
        <v>424</v>
      </c>
      <c r="J323" s="14" t="s">
        <v>29</v>
      </c>
      <c r="K323" s="15" t="s">
        <v>55</v>
      </c>
      <c r="L323" s="14" t="s">
        <v>440</v>
      </c>
      <c r="M323" s="14"/>
      <c r="N323" s="14" t="s">
        <v>49</v>
      </c>
      <c r="O323" s="14"/>
      <c r="P323" s="15" t="s">
        <v>441</v>
      </c>
      <c r="Q323" s="16">
        <v>24990</v>
      </c>
      <c r="R323" s="17">
        <v>81.8</v>
      </c>
      <c r="S323" s="18">
        <v>5229.9355000000005</v>
      </c>
      <c r="T323" s="19" t="s">
        <v>328</v>
      </c>
      <c r="U323" s="20" t="s">
        <v>399</v>
      </c>
      <c r="V323" s="21">
        <v>40</v>
      </c>
      <c r="W323" s="21">
        <v>10</v>
      </c>
      <c r="X323" s="22"/>
    </row>
    <row r="324" spans="1:24" s="1" customFormat="1" ht="108" customHeight="1" x14ac:dyDescent="0.3">
      <c r="A324" s="11" t="s">
        <v>391</v>
      </c>
      <c r="B324" s="11" t="s">
        <v>442</v>
      </c>
      <c r="C324" s="12" t="s">
        <v>443</v>
      </c>
      <c r="D324" s="24"/>
      <c r="E324" s="69" t="str">
        <f>HYPERLINK("https://www.google.ru/search?q=977118310083-6435&amp;newwindow=1&amp;tbm=isch","Еще фото")</f>
        <v>Еще фото</v>
      </c>
      <c r="F324" s="13"/>
      <c r="G324" s="11" t="s">
        <v>394</v>
      </c>
      <c r="H324" s="11" t="s">
        <v>151</v>
      </c>
      <c r="I324" s="14" t="s">
        <v>424</v>
      </c>
      <c r="J324" s="14" t="s">
        <v>29</v>
      </c>
      <c r="K324" s="15" t="s">
        <v>47</v>
      </c>
      <c r="L324" s="14" t="s">
        <v>444</v>
      </c>
      <c r="M324" s="14"/>
      <c r="N324" s="14" t="s">
        <v>89</v>
      </c>
      <c r="O324" s="14"/>
      <c r="P324" s="15" t="s">
        <v>398</v>
      </c>
      <c r="Q324" s="16">
        <v>9899</v>
      </c>
      <c r="R324" s="17">
        <v>74.87</v>
      </c>
      <c r="S324" s="18">
        <v>2860.9354999999996</v>
      </c>
      <c r="T324" s="19" t="s">
        <v>328</v>
      </c>
      <c r="U324" s="20" t="s">
        <v>409</v>
      </c>
      <c r="V324" s="21">
        <v>36</v>
      </c>
      <c r="W324" s="21">
        <v>1</v>
      </c>
      <c r="X324" s="22"/>
    </row>
    <row r="325" spans="1:24" s="1" customFormat="1" ht="108" customHeight="1" x14ac:dyDescent="0.3">
      <c r="A325" s="11" t="s">
        <v>391</v>
      </c>
      <c r="B325" s="11" t="s">
        <v>445</v>
      </c>
      <c r="C325" s="12" t="s">
        <v>446</v>
      </c>
      <c r="D325" s="24"/>
      <c r="E325" s="69" t="str">
        <f>HYPERLINK("https://www.google.ru/search?q=977118320041-0200&amp;newwindow=1&amp;tbm=isch","Еще фото")</f>
        <v>Еще фото</v>
      </c>
      <c r="F325" s="13"/>
      <c r="G325" s="11" t="s">
        <v>394</v>
      </c>
      <c r="H325" s="11" t="s">
        <v>151</v>
      </c>
      <c r="I325" s="14" t="s">
        <v>424</v>
      </c>
      <c r="J325" s="14" t="s">
        <v>29</v>
      </c>
      <c r="K325" s="15" t="s">
        <v>47</v>
      </c>
      <c r="L325" s="14" t="s">
        <v>447</v>
      </c>
      <c r="M325" s="14"/>
      <c r="N325" s="14" t="s">
        <v>49</v>
      </c>
      <c r="O325" s="14"/>
      <c r="P325" s="15" t="s">
        <v>398</v>
      </c>
      <c r="Q325" s="16">
        <v>9899</v>
      </c>
      <c r="R325" s="17">
        <v>74.67</v>
      </c>
      <c r="S325" s="18">
        <v>2883.9354999999996</v>
      </c>
      <c r="T325" s="19" t="s">
        <v>328</v>
      </c>
      <c r="U325" s="20" t="s">
        <v>409</v>
      </c>
      <c r="V325" s="21">
        <v>36</v>
      </c>
      <c r="W325" s="21">
        <v>3</v>
      </c>
      <c r="X325" s="22"/>
    </row>
    <row r="326" spans="1:24" s="1" customFormat="1" ht="35.1" customHeight="1" x14ac:dyDescent="0.3">
      <c r="A326" s="11" t="s">
        <v>391</v>
      </c>
      <c r="B326" s="11" t="s">
        <v>422</v>
      </c>
      <c r="C326" s="12" t="s">
        <v>448</v>
      </c>
      <c r="D326" s="83"/>
      <c r="E326" s="69" t="str">
        <f>HYPERLINK("https://www.google.ru/search?q=977118310037-6431&amp;newwindow=1&amp;tbm=isch","Еще фото")</f>
        <v>Еще фото</v>
      </c>
      <c r="F326" s="13"/>
      <c r="G326" s="11" t="s">
        <v>394</v>
      </c>
      <c r="H326" s="11" t="s">
        <v>151</v>
      </c>
      <c r="I326" s="14" t="s">
        <v>424</v>
      </c>
      <c r="J326" s="14" t="s">
        <v>29</v>
      </c>
      <c r="K326" s="15" t="s">
        <v>47</v>
      </c>
      <c r="L326" s="86" t="s">
        <v>425</v>
      </c>
      <c r="M326" s="14"/>
      <c r="N326" s="14" t="s">
        <v>89</v>
      </c>
      <c r="O326" s="14"/>
      <c r="P326" s="15" t="s">
        <v>398</v>
      </c>
      <c r="Q326" s="16">
        <v>8399</v>
      </c>
      <c r="R326" s="17">
        <v>74.55</v>
      </c>
      <c r="S326" s="18">
        <v>2458.4354999999996</v>
      </c>
      <c r="T326" s="19" t="s">
        <v>328</v>
      </c>
      <c r="U326" s="20" t="s">
        <v>409</v>
      </c>
      <c r="V326" s="21">
        <v>36</v>
      </c>
      <c r="W326" s="21">
        <v>5</v>
      </c>
      <c r="X326" s="22"/>
    </row>
    <row r="327" spans="1:24" s="1" customFormat="1" ht="35.1" customHeight="1" x14ac:dyDescent="0.3">
      <c r="A327" s="23" t="s">
        <v>391</v>
      </c>
      <c r="B327" s="23" t="s">
        <v>422</v>
      </c>
      <c r="C327" s="12" t="s">
        <v>448</v>
      </c>
      <c r="D327" s="84"/>
      <c r="E327" s="69" t="str">
        <f>HYPERLINK("https://www.google.ru/search?q=977118310037-6431&amp;newwindow=1&amp;tbm=isch","Еще фото")</f>
        <v>Еще фото</v>
      </c>
      <c r="F327" s="13"/>
      <c r="G327" s="23" t="s">
        <v>394</v>
      </c>
      <c r="H327" s="23" t="s">
        <v>151</v>
      </c>
      <c r="I327" s="23" t="s">
        <v>424</v>
      </c>
      <c r="J327" s="14" t="s">
        <v>29</v>
      </c>
      <c r="K327" s="15" t="s">
        <v>47</v>
      </c>
      <c r="L327" s="87"/>
      <c r="M327" s="14"/>
      <c r="N327" s="14" t="s">
        <v>89</v>
      </c>
      <c r="O327" s="14"/>
      <c r="P327" s="15" t="s">
        <v>398</v>
      </c>
      <c r="Q327" s="16">
        <v>8399</v>
      </c>
      <c r="R327" s="17">
        <v>74.55</v>
      </c>
      <c r="S327" s="18">
        <v>2458.4354999999996</v>
      </c>
      <c r="T327" s="19" t="s">
        <v>328</v>
      </c>
      <c r="U327" s="20" t="s">
        <v>426</v>
      </c>
      <c r="V327" s="21">
        <v>37</v>
      </c>
      <c r="W327" s="21">
        <v>2</v>
      </c>
      <c r="X327" s="22"/>
    </row>
    <row r="328" spans="1:24" s="1" customFormat="1" ht="36.950000000000003" customHeight="1" x14ac:dyDescent="0.3">
      <c r="A328" s="23" t="s">
        <v>391</v>
      </c>
      <c r="B328" s="23" t="s">
        <v>422</v>
      </c>
      <c r="C328" s="12" t="s">
        <v>448</v>
      </c>
      <c r="D328" s="85"/>
      <c r="E328" s="69" t="str">
        <f>HYPERLINK("https://www.google.ru/search?q=977118310037-6431&amp;newwindow=1&amp;tbm=isch","Еще фото")</f>
        <v>Еще фото</v>
      </c>
      <c r="F328" s="13"/>
      <c r="G328" s="23" t="s">
        <v>394</v>
      </c>
      <c r="H328" s="23" t="s">
        <v>151</v>
      </c>
      <c r="I328" s="23" t="s">
        <v>424</v>
      </c>
      <c r="J328" s="14" t="s">
        <v>29</v>
      </c>
      <c r="K328" s="15" t="s">
        <v>47</v>
      </c>
      <c r="L328" s="88"/>
      <c r="M328" s="14"/>
      <c r="N328" s="14" t="s">
        <v>89</v>
      </c>
      <c r="O328" s="14"/>
      <c r="P328" s="15" t="s">
        <v>398</v>
      </c>
      <c r="Q328" s="16">
        <v>8399</v>
      </c>
      <c r="R328" s="17">
        <v>74.55</v>
      </c>
      <c r="S328" s="18">
        <v>2458.4354999999996</v>
      </c>
      <c r="T328" s="19" t="s">
        <v>328</v>
      </c>
      <c r="U328" s="20" t="s">
        <v>413</v>
      </c>
      <c r="V328" s="21">
        <v>38</v>
      </c>
      <c r="W328" s="21">
        <v>1</v>
      </c>
      <c r="X328" s="22"/>
    </row>
    <row r="329" spans="1:24" s="1" customFormat="1" ht="108" customHeight="1" x14ac:dyDescent="0.3">
      <c r="A329" s="11" t="s">
        <v>44</v>
      </c>
      <c r="B329" s="11" t="s">
        <v>449</v>
      </c>
      <c r="C329" s="12" t="s">
        <v>450</v>
      </c>
      <c r="D329" s="24"/>
      <c r="E329" s="69" t="str">
        <f>HYPERLINK("https://www.google.ru/search?q=ET31507E-OWBL&amp;newwindow=1&amp;tbm=isch","Еще фото")</f>
        <v>Еще фото</v>
      </c>
      <c r="F329" s="13"/>
      <c r="G329" s="11" t="s">
        <v>394</v>
      </c>
      <c r="H329" s="11" t="s">
        <v>151</v>
      </c>
      <c r="I329" s="14" t="s">
        <v>424</v>
      </c>
      <c r="J329" s="14" t="s">
        <v>29</v>
      </c>
      <c r="K329" s="15" t="s">
        <v>55</v>
      </c>
      <c r="L329" s="14" t="s">
        <v>451</v>
      </c>
      <c r="M329" s="14"/>
      <c r="N329" s="14" t="s">
        <v>89</v>
      </c>
      <c r="O329" s="14"/>
      <c r="P329" s="15" t="s">
        <v>452</v>
      </c>
      <c r="Q329" s="16">
        <v>11000</v>
      </c>
      <c r="R329" s="17">
        <v>70.66</v>
      </c>
      <c r="S329" s="18">
        <v>3711.9354999999996</v>
      </c>
      <c r="T329" s="19" t="s">
        <v>328</v>
      </c>
      <c r="U329" s="20" t="s">
        <v>402</v>
      </c>
      <c r="V329" s="21">
        <v>43</v>
      </c>
      <c r="W329" s="21">
        <v>1</v>
      </c>
      <c r="X329" s="22"/>
    </row>
    <row r="330" spans="1:24" s="1" customFormat="1" ht="26.1" customHeight="1" x14ac:dyDescent="0.3">
      <c r="A330" s="11" t="s">
        <v>437</v>
      </c>
      <c r="B330" s="11" t="s">
        <v>453</v>
      </c>
      <c r="C330" s="12" t="s">
        <v>454</v>
      </c>
      <c r="D330" s="83"/>
      <c r="E330" s="69" t="str">
        <f>HYPERLINK("https://www.google.ru/search?q=843064-51052&amp;newwindow=1&amp;tbm=isch","Еще фото")</f>
        <v>Еще фото</v>
      </c>
      <c r="F330" s="13"/>
      <c r="G330" s="11" t="s">
        <v>150</v>
      </c>
      <c r="H330" s="11" t="s">
        <v>151</v>
      </c>
      <c r="I330" s="14" t="s">
        <v>424</v>
      </c>
      <c r="J330" s="14" t="s">
        <v>138</v>
      </c>
      <c r="K330" s="15" t="s">
        <v>55</v>
      </c>
      <c r="L330" s="86" t="s">
        <v>455</v>
      </c>
      <c r="M330" s="14"/>
      <c r="N330" s="14" t="s">
        <v>49</v>
      </c>
      <c r="O330" s="14"/>
      <c r="P330" s="15" t="s">
        <v>456</v>
      </c>
      <c r="Q330" s="16">
        <v>20190</v>
      </c>
      <c r="R330" s="17">
        <v>66.180000000000007</v>
      </c>
      <c r="S330" s="18">
        <v>7851.9354999999996</v>
      </c>
      <c r="T330" s="19" t="s">
        <v>328</v>
      </c>
      <c r="U330" s="20" t="s">
        <v>413</v>
      </c>
      <c r="V330" s="21">
        <v>39</v>
      </c>
      <c r="W330" s="21">
        <v>1</v>
      </c>
      <c r="X330" s="22"/>
    </row>
    <row r="331" spans="1:24" s="1" customFormat="1" ht="26.1" customHeight="1" x14ac:dyDescent="0.3">
      <c r="A331" s="23" t="s">
        <v>437</v>
      </c>
      <c r="B331" s="23" t="s">
        <v>453</v>
      </c>
      <c r="C331" s="12" t="s">
        <v>454</v>
      </c>
      <c r="D331" s="84"/>
      <c r="E331" s="69" t="str">
        <f>HYPERLINK("https://www.google.ru/search?q=843064-51052&amp;newwindow=1&amp;tbm=isch","Еще фото")</f>
        <v>Еще фото</v>
      </c>
      <c r="F331" s="13"/>
      <c r="G331" s="23" t="s">
        <v>150</v>
      </c>
      <c r="H331" s="23" t="s">
        <v>151</v>
      </c>
      <c r="I331" s="23" t="s">
        <v>424</v>
      </c>
      <c r="J331" s="14" t="s">
        <v>138</v>
      </c>
      <c r="K331" s="15" t="s">
        <v>55</v>
      </c>
      <c r="L331" s="87"/>
      <c r="M331" s="14"/>
      <c r="N331" s="14" t="s">
        <v>49</v>
      </c>
      <c r="O331" s="14"/>
      <c r="P331" s="15" t="s">
        <v>456</v>
      </c>
      <c r="Q331" s="16">
        <v>20190</v>
      </c>
      <c r="R331" s="17">
        <v>66.180000000000007</v>
      </c>
      <c r="S331" s="18">
        <v>7851.9354999999996</v>
      </c>
      <c r="T331" s="19" t="s">
        <v>328</v>
      </c>
      <c r="U331" s="20" t="s">
        <v>399</v>
      </c>
      <c r="V331" s="21">
        <v>40</v>
      </c>
      <c r="W331" s="21">
        <v>4</v>
      </c>
      <c r="X331" s="22"/>
    </row>
    <row r="332" spans="1:24" s="1" customFormat="1" ht="26.1" customHeight="1" x14ac:dyDescent="0.3">
      <c r="A332" s="23" t="s">
        <v>437</v>
      </c>
      <c r="B332" s="23" t="s">
        <v>453</v>
      </c>
      <c r="C332" s="12" t="s">
        <v>454</v>
      </c>
      <c r="D332" s="84"/>
      <c r="E332" s="69" t="str">
        <f>HYPERLINK("https://www.google.ru/search?q=843064-51052&amp;newwindow=1&amp;tbm=isch","Еще фото")</f>
        <v>Еще фото</v>
      </c>
      <c r="F332" s="13"/>
      <c r="G332" s="23" t="s">
        <v>150</v>
      </c>
      <c r="H332" s="23" t="s">
        <v>151</v>
      </c>
      <c r="I332" s="23" t="s">
        <v>424</v>
      </c>
      <c r="J332" s="14" t="s">
        <v>138</v>
      </c>
      <c r="K332" s="15" t="s">
        <v>55</v>
      </c>
      <c r="L332" s="87"/>
      <c r="M332" s="14"/>
      <c r="N332" s="14" t="s">
        <v>49</v>
      </c>
      <c r="O332" s="14"/>
      <c r="P332" s="15" t="s">
        <v>456</v>
      </c>
      <c r="Q332" s="16">
        <v>20190</v>
      </c>
      <c r="R332" s="17">
        <v>66.180000000000007</v>
      </c>
      <c r="S332" s="18">
        <v>7851.9354999999996</v>
      </c>
      <c r="T332" s="19" t="s">
        <v>328</v>
      </c>
      <c r="U332" s="20" t="s">
        <v>400</v>
      </c>
      <c r="V332" s="21">
        <v>41</v>
      </c>
      <c r="W332" s="21">
        <v>5</v>
      </c>
      <c r="X332" s="22"/>
    </row>
    <row r="333" spans="1:24" s="1" customFormat="1" ht="26.1" customHeight="1" x14ac:dyDescent="0.3">
      <c r="A333" s="23" t="s">
        <v>437</v>
      </c>
      <c r="B333" s="23" t="s">
        <v>453</v>
      </c>
      <c r="C333" s="12" t="s">
        <v>454</v>
      </c>
      <c r="D333" s="85"/>
      <c r="E333" s="69" t="str">
        <f>HYPERLINK("https://www.google.ru/search?q=843064-51052&amp;newwindow=1&amp;tbm=isch","Еще фото")</f>
        <v>Еще фото</v>
      </c>
      <c r="F333" s="13"/>
      <c r="G333" s="23" t="s">
        <v>150</v>
      </c>
      <c r="H333" s="23" t="s">
        <v>151</v>
      </c>
      <c r="I333" s="23" t="s">
        <v>424</v>
      </c>
      <c r="J333" s="14" t="s">
        <v>138</v>
      </c>
      <c r="K333" s="15" t="s">
        <v>55</v>
      </c>
      <c r="L333" s="88"/>
      <c r="M333" s="14"/>
      <c r="N333" s="14" t="s">
        <v>49</v>
      </c>
      <c r="O333" s="14"/>
      <c r="P333" s="15" t="s">
        <v>456</v>
      </c>
      <c r="Q333" s="16">
        <v>20190</v>
      </c>
      <c r="R333" s="17">
        <v>66.180000000000007</v>
      </c>
      <c r="S333" s="18">
        <v>7851.9354999999996</v>
      </c>
      <c r="T333" s="19" t="s">
        <v>328</v>
      </c>
      <c r="U333" s="20" t="s">
        <v>457</v>
      </c>
      <c r="V333" s="21">
        <v>42</v>
      </c>
      <c r="W333" s="21">
        <v>2</v>
      </c>
      <c r="X333" s="22"/>
    </row>
    <row r="334" spans="1:24" s="1" customFormat="1" ht="21" customHeight="1" x14ac:dyDescent="0.3">
      <c r="A334" s="11" t="s">
        <v>147</v>
      </c>
      <c r="B334" s="11" t="s">
        <v>458</v>
      </c>
      <c r="C334" s="27" t="s">
        <v>459</v>
      </c>
      <c r="D334" s="83"/>
      <c r="E334" s="69" t="str">
        <f>HYPERLINK("https://www.google.ru/search?q=NA4IKOWA1&amp;newwindow=1&amp;tbm=isch","Еще фото")</f>
        <v>Еще фото</v>
      </c>
      <c r="F334" s="13"/>
      <c r="G334" s="11" t="s">
        <v>150</v>
      </c>
      <c r="H334" s="11" t="s">
        <v>151</v>
      </c>
      <c r="I334" s="14" t="s">
        <v>424</v>
      </c>
      <c r="J334" s="14" t="s">
        <v>29</v>
      </c>
      <c r="K334" s="15" t="s">
        <v>55</v>
      </c>
      <c r="L334" s="86" t="s">
        <v>460</v>
      </c>
      <c r="M334" s="14"/>
      <c r="N334" s="14" t="s">
        <v>154</v>
      </c>
      <c r="O334" s="14"/>
      <c r="P334" s="15" t="s">
        <v>461</v>
      </c>
      <c r="Q334" s="16">
        <v>22999</v>
      </c>
      <c r="R334" s="17">
        <v>59.75</v>
      </c>
      <c r="S334" s="18">
        <v>10646.4355</v>
      </c>
      <c r="T334" s="19" t="s">
        <v>84</v>
      </c>
      <c r="U334" s="20" t="s">
        <v>156</v>
      </c>
      <c r="V334" s="21">
        <v>39</v>
      </c>
      <c r="W334" s="21">
        <v>3</v>
      </c>
      <c r="X334" s="22"/>
    </row>
    <row r="335" spans="1:24" s="1" customFormat="1" ht="21" customHeight="1" x14ac:dyDescent="0.3">
      <c r="A335" s="23" t="s">
        <v>147</v>
      </c>
      <c r="B335" s="23" t="s">
        <v>458</v>
      </c>
      <c r="C335" s="28" t="s">
        <v>459</v>
      </c>
      <c r="D335" s="84"/>
      <c r="E335" s="69" t="str">
        <f>HYPERLINK("https://www.google.ru/search?q=NA4IKOWA1&amp;newwindow=1&amp;tbm=isch","Еще фото")</f>
        <v>Еще фото</v>
      </c>
      <c r="F335" s="13"/>
      <c r="G335" s="23" t="s">
        <v>150</v>
      </c>
      <c r="H335" s="23" t="s">
        <v>151</v>
      </c>
      <c r="I335" s="23" t="s">
        <v>424</v>
      </c>
      <c r="J335" s="14" t="s">
        <v>29</v>
      </c>
      <c r="K335" s="15" t="s">
        <v>55</v>
      </c>
      <c r="L335" s="87"/>
      <c r="M335" s="14"/>
      <c r="N335" s="14" t="s">
        <v>154</v>
      </c>
      <c r="O335" s="14"/>
      <c r="P335" s="15" t="s">
        <v>461</v>
      </c>
      <c r="Q335" s="16">
        <v>22999</v>
      </c>
      <c r="R335" s="17">
        <v>59.75</v>
      </c>
      <c r="S335" s="18">
        <v>10646.4355</v>
      </c>
      <c r="T335" s="19" t="s">
        <v>84</v>
      </c>
      <c r="U335" s="20" t="s">
        <v>157</v>
      </c>
      <c r="V335" s="21">
        <v>40</v>
      </c>
      <c r="W335" s="21">
        <v>2</v>
      </c>
      <c r="X335" s="22"/>
    </row>
    <row r="336" spans="1:24" s="1" customFormat="1" ht="21" customHeight="1" x14ac:dyDescent="0.3">
      <c r="A336" s="23" t="s">
        <v>147</v>
      </c>
      <c r="B336" s="23" t="s">
        <v>458</v>
      </c>
      <c r="C336" s="28" t="s">
        <v>459</v>
      </c>
      <c r="D336" s="84"/>
      <c r="E336" s="69" t="str">
        <f>HYPERLINK("https://www.google.ru/search?q=NA4IKOWA1&amp;newwindow=1&amp;tbm=isch","Еще фото")</f>
        <v>Еще фото</v>
      </c>
      <c r="F336" s="13"/>
      <c r="G336" s="23" t="s">
        <v>150</v>
      </c>
      <c r="H336" s="23" t="s">
        <v>151</v>
      </c>
      <c r="I336" s="23" t="s">
        <v>424</v>
      </c>
      <c r="J336" s="14" t="s">
        <v>29</v>
      </c>
      <c r="K336" s="15" t="s">
        <v>55</v>
      </c>
      <c r="L336" s="87"/>
      <c r="M336" s="14"/>
      <c r="N336" s="14" t="s">
        <v>154</v>
      </c>
      <c r="O336" s="14"/>
      <c r="P336" s="15" t="s">
        <v>461</v>
      </c>
      <c r="Q336" s="16">
        <v>22999</v>
      </c>
      <c r="R336" s="17">
        <v>59.75</v>
      </c>
      <c r="S336" s="18">
        <v>10646.4355</v>
      </c>
      <c r="T336" s="19" t="s">
        <v>84</v>
      </c>
      <c r="U336" s="20" t="s">
        <v>162</v>
      </c>
      <c r="V336" s="21">
        <v>41</v>
      </c>
      <c r="W336" s="21">
        <v>6</v>
      </c>
      <c r="X336" s="22"/>
    </row>
    <row r="337" spans="1:24" s="1" customFormat="1" ht="21" customHeight="1" x14ac:dyDescent="0.3">
      <c r="A337" s="23" t="s">
        <v>147</v>
      </c>
      <c r="B337" s="23" t="s">
        <v>458</v>
      </c>
      <c r="C337" s="28" t="s">
        <v>459</v>
      </c>
      <c r="D337" s="84"/>
      <c r="E337" s="69" t="str">
        <f>HYPERLINK("https://www.google.ru/search?q=NA4IKOWA1&amp;newwindow=1&amp;tbm=isch","Еще фото")</f>
        <v>Еще фото</v>
      </c>
      <c r="F337" s="13"/>
      <c r="G337" s="23" t="s">
        <v>150</v>
      </c>
      <c r="H337" s="23" t="s">
        <v>151</v>
      </c>
      <c r="I337" s="23" t="s">
        <v>424</v>
      </c>
      <c r="J337" s="14" t="s">
        <v>29</v>
      </c>
      <c r="K337" s="15" t="s">
        <v>55</v>
      </c>
      <c r="L337" s="87"/>
      <c r="M337" s="14"/>
      <c r="N337" s="14" t="s">
        <v>154</v>
      </c>
      <c r="O337" s="14"/>
      <c r="P337" s="15" t="s">
        <v>461</v>
      </c>
      <c r="Q337" s="16">
        <v>22999</v>
      </c>
      <c r="R337" s="17">
        <v>59.75</v>
      </c>
      <c r="S337" s="18">
        <v>10646.4355</v>
      </c>
      <c r="T337" s="19" t="s">
        <v>84</v>
      </c>
      <c r="U337" s="20" t="s">
        <v>163</v>
      </c>
      <c r="V337" s="21">
        <v>42</v>
      </c>
      <c r="W337" s="21">
        <v>1</v>
      </c>
      <c r="X337" s="22"/>
    </row>
    <row r="338" spans="1:24" s="1" customFormat="1" ht="32.1" customHeight="1" x14ac:dyDescent="0.3">
      <c r="A338" s="23" t="s">
        <v>147</v>
      </c>
      <c r="B338" s="23" t="s">
        <v>458</v>
      </c>
      <c r="C338" s="28" t="s">
        <v>459</v>
      </c>
      <c r="D338" s="85"/>
      <c r="E338" s="69" t="str">
        <f>HYPERLINK("https://www.google.ru/search?q=NA4IKOWA1&amp;newwindow=1&amp;tbm=isch","Еще фото")</f>
        <v>Еще фото</v>
      </c>
      <c r="F338" s="13"/>
      <c r="G338" s="23" t="s">
        <v>150</v>
      </c>
      <c r="H338" s="23" t="s">
        <v>151</v>
      </c>
      <c r="I338" s="23" t="s">
        <v>424</v>
      </c>
      <c r="J338" s="14" t="s">
        <v>29</v>
      </c>
      <c r="K338" s="15" t="s">
        <v>55</v>
      </c>
      <c r="L338" s="88"/>
      <c r="M338" s="14"/>
      <c r="N338" s="14" t="s">
        <v>154</v>
      </c>
      <c r="O338" s="14"/>
      <c r="P338" s="15" t="s">
        <v>461</v>
      </c>
      <c r="Q338" s="16">
        <v>22999</v>
      </c>
      <c r="R338" s="17">
        <v>59.75</v>
      </c>
      <c r="S338" s="18">
        <v>10646.4355</v>
      </c>
      <c r="T338" s="19" t="s">
        <v>84</v>
      </c>
      <c r="U338" s="20" t="s">
        <v>462</v>
      </c>
      <c r="V338" s="21">
        <v>45</v>
      </c>
      <c r="W338" s="21">
        <v>1</v>
      </c>
      <c r="X338" s="22"/>
    </row>
    <row r="339" spans="1:24" s="1" customFormat="1" ht="108" customHeight="1" x14ac:dyDescent="0.3">
      <c r="A339" s="11" t="s">
        <v>147</v>
      </c>
      <c r="B339" s="11" t="s">
        <v>463</v>
      </c>
      <c r="C339" s="12" t="s">
        <v>464</v>
      </c>
      <c r="D339" s="24"/>
      <c r="E339" s="69" t="str">
        <f>HYPERLINK("https://www.google.ru/search?q=NA4H6SCV002&amp;newwindow=1&amp;tbm=isch","Еще фото")</f>
        <v>Еще фото</v>
      </c>
      <c r="F339" s="13"/>
      <c r="G339" s="11" t="s">
        <v>394</v>
      </c>
      <c r="H339" s="11" t="s">
        <v>151</v>
      </c>
      <c r="I339" s="14" t="s">
        <v>424</v>
      </c>
      <c r="J339" s="14" t="s">
        <v>29</v>
      </c>
      <c r="K339" s="15" t="s">
        <v>55</v>
      </c>
      <c r="L339" s="14" t="s">
        <v>465</v>
      </c>
      <c r="M339" s="14"/>
      <c r="N339" s="14" t="s">
        <v>89</v>
      </c>
      <c r="O339" s="14"/>
      <c r="P339" s="15" t="s">
        <v>466</v>
      </c>
      <c r="Q339" s="16">
        <v>17999</v>
      </c>
      <c r="R339" s="17">
        <v>59.73</v>
      </c>
      <c r="S339" s="18">
        <v>8334.9354999999996</v>
      </c>
      <c r="T339" s="19" t="s">
        <v>84</v>
      </c>
      <c r="U339" s="20" t="s">
        <v>157</v>
      </c>
      <c r="V339" s="21">
        <v>40</v>
      </c>
      <c r="W339" s="21">
        <v>1</v>
      </c>
      <c r="X339" s="22"/>
    </row>
    <row r="340" spans="1:24" s="1" customFormat="1" ht="108" customHeight="1" x14ac:dyDescent="0.3">
      <c r="A340" s="11" t="s">
        <v>437</v>
      </c>
      <c r="B340" s="11" t="s">
        <v>467</v>
      </c>
      <c r="C340" s="12" t="s">
        <v>468</v>
      </c>
      <c r="D340" s="24"/>
      <c r="E340" s="69" t="str">
        <f>HYPERLINK("https://www.google.ru/search?q=216263-60825&amp;newwindow=1&amp;tbm=isch","Еще фото")</f>
        <v>Еще фото</v>
      </c>
      <c r="F340" s="13"/>
      <c r="G340" s="11" t="s">
        <v>469</v>
      </c>
      <c r="H340" s="11" t="s">
        <v>151</v>
      </c>
      <c r="I340" s="14" t="s">
        <v>424</v>
      </c>
      <c r="J340" s="14" t="s">
        <v>138</v>
      </c>
      <c r="K340" s="15" t="s">
        <v>47</v>
      </c>
      <c r="L340" s="14" t="s">
        <v>470</v>
      </c>
      <c r="M340" s="14"/>
      <c r="N340" s="14" t="s">
        <v>41</v>
      </c>
      <c r="O340" s="14"/>
      <c r="P340" s="15" t="s">
        <v>471</v>
      </c>
      <c r="Q340" s="16">
        <v>25999</v>
      </c>
      <c r="R340" s="17">
        <v>56.05</v>
      </c>
      <c r="S340" s="18">
        <v>13141.9355</v>
      </c>
      <c r="T340" s="19" t="s">
        <v>328</v>
      </c>
      <c r="U340" s="20" t="s">
        <v>399</v>
      </c>
      <c r="V340" s="21">
        <v>40</v>
      </c>
      <c r="W340" s="21">
        <v>1</v>
      </c>
      <c r="X340" s="22"/>
    </row>
    <row r="341" spans="1:24" s="1" customFormat="1" ht="108" customHeight="1" x14ac:dyDescent="0.3">
      <c r="A341" s="11" t="s">
        <v>391</v>
      </c>
      <c r="B341" s="11" t="s">
        <v>445</v>
      </c>
      <c r="C341" s="12" t="s">
        <v>472</v>
      </c>
      <c r="D341" s="24"/>
      <c r="E341" s="69" t="str">
        <f>HYPERLINK("https://www.google.ru/search?q=977119320038-0200&amp;newwindow=1&amp;tbm=isch","Еще фото")</f>
        <v>Еще фото</v>
      </c>
      <c r="F341" s="13"/>
      <c r="G341" s="11" t="s">
        <v>394</v>
      </c>
      <c r="H341" s="11" t="s">
        <v>151</v>
      </c>
      <c r="I341" s="14" t="s">
        <v>424</v>
      </c>
      <c r="J341" s="14" t="s">
        <v>29</v>
      </c>
      <c r="K341" s="15" t="s">
        <v>55</v>
      </c>
      <c r="L341" s="14" t="s">
        <v>473</v>
      </c>
      <c r="M341" s="14"/>
      <c r="N341" s="14" t="s">
        <v>49</v>
      </c>
      <c r="O341" s="14"/>
      <c r="P341" s="15" t="s">
        <v>398</v>
      </c>
      <c r="Q341" s="16">
        <v>13400</v>
      </c>
      <c r="R341" s="17">
        <v>54.94</v>
      </c>
      <c r="S341" s="18">
        <v>6943.4354999999996</v>
      </c>
      <c r="T341" s="19" t="s">
        <v>328</v>
      </c>
      <c r="U341" s="20" t="s">
        <v>400</v>
      </c>
      <c r="V341" s="21">
        <v>40</v>
      </c>
      <c r="W341" s="21">
        <v>1</v>
      </c>
      <c r="X341" s="22"/>
    </row>
    <row r="342" spans="1:24" s="1" customFormat="1" ht="108" customHeight="1" x14ac:dyDescent="0.3">
      <c r="A342" s="11" t="s">
        <v>147</v>
      </c>
      <c r="B342" s="11" t="s">
        <v>474</v>
      </c>
      <c r="C342" s="12" t="s">
        <v>475</v>
      </c>
      <c r="D342" s="24"/>
      <c r="E342" s="69" t="str">
        <f>HYPERLINK("https://www.google.ru/search?q=NA4IKQWA1&amp;newwindow=1&amp;tbm=isch","Еще фото")</f>
        <v>Еще фото</v>
      </c>
      <c r="F342" s="13"/>
      <c r="G342" s="11" t="s">
        <v>150</v>
      </c>
      <c r="H342" s="11" t="s">
        <v>151</v>
      </c>
      <c r="I342" s="14" t="s">
        <v>424</v>
      </c>
      <c r="J342" s="14" t="s">
        <v>29</v>
      </c>
      <c r="K342" s="15" t="s">
        <v>55</v>
      </c>
      <c r="L342" s="14" t="s">
        <v>476</v>
      </c>
      <c r="M342" s="14"/>
      <c r="N342" s="14" t="s">
        <v>154</v>
      </c>
      <c r="O342" s="14"/>
      <c r="P342" s="15" t="s">
        <v>477</v>
      </c>
      <c r="Q342" s="16">
        <v>22999</v>
      </c>
      <c r="R342" s="17">
        <v>53.49</v>
      </c>
      <c r="S342" s="18">
        <v>12302.4355</v>
      </c>
      <c r="T342" s="19" t="s">
        <v>84</v>
      </c>
      <c r="U342" s="20" t="s">
        <v>156</v>
      </c>
      <c r="V342" s="21">
        <v>39</v>
      </c>
      <c r="W342" s="21">
        <v>1</v>
      </c>
      <c r="X342" s="22"/>
    </row>
    <row r="343" spans="1:24" s="1" customFormat="1" ht="108" customHeight="1" x14ac:dyDescent="0.3">
      <c r="A343" s="11" t="s">
        <v>437</v>
      </c>
      <c r="B343" s="11" t="s">
        <v>478</v>
      </c>
      <c r="C343" s="12" t="s">
        <v>479</v>
      </c>
      <c r="D343" s="24"/>
      <c r="E343" s="69" t="str">
        <f>HYPERLINK("https://www.google.ru/search?q=823874-50869&amp;newwindow=1&amp;tbm=isch","Еще фото")</f>
        <v>Еще фото</v>
      </c>
      <c r="F343" s="13"/>
      <c r="G343" s="11" t="s">
        <v>394</v>
      </c>
      <c r="H343" s="11" t="s">
        <v>151</v>
      </c>
      <c r="I343" s="14" t="s">
        <v>424</v>
      </c>
      <c r="J343" s="14" t="s">
        <v>29</v>
      </c>
      <c r="K343" s="15" t="s">
        <v>55</v>
      </c>
      <c r="L343" s="14" t="s">
        <v>480</v>
      </c>
      <c r="M343" s="14"/>
      <c r="N343" s="14" t="s">
        <v>41</v>
      </c>
      <c r="O343" s="14"/>
      <c r="P343" s="15" t="s">
        <v>481</v>
      </c>
      <c r="Q343" s="16">
        <v>26999</v>
      </c>
      <c r="R343" s="17">
        <v>50.71</v>
      </c>
      <c r="S343" s="18">
        <v>15303.9355</v>
      </c>
      <c r="T343" s="19" t="s">
        <v>328</v>
      </c>
      <c r="U343" s="20" t="s">
        <v>401</v>
      </c>
      <c r="V343" s="21">
        <v>43</v>
      </c>
      <c r="W343" s="21">
        <v>1</v>
      </c>
      <c r="X343" s="22"/>
    </row>
    <row r="344" spans="1:24" s="1" customFormat="1" ht="108" customHeight="1" x14ac:dyDescent="0.3">
      <c r="A344" s="11" t="s">
        <v>147</v>
      </c>
      <c r="B344" s="11" t="s">
        <v>482</v>
      </c>
      <c r="C344" s="12" t="s">
        <v>483</v>
      </c>
      <c r="D344" s="24"/>
      <c r="E344" s="69" t="str">
        <f>HYPERLINK("https://www.google.ru/search?q=NA4HLHB3A&amp;newwindow=1&amp;tbm=isch","Еще фото")</f>
        <v>Еще фото</v>
      </c>
      <c r="F344" s="13"/>
      <c r="G344" s="11" t="s">
        <v>484</v>
      </c>
      <c r="H344" s="11" t="s">
        <v>151</v>
      </c>
      <c r="I344" s="14" t="s">
        <v>424</v>
      </c>
      <c r="J344" s="14" t="s">
        <v>29</v>
      </c>
      <c r="K344" s="15" t="s">
        <v>55</v>
      </c>
      <c r="L344" s="14" t="s">
        <v>485</v>
      </c>
      <c r="M344" s="14" t="s">
        <v>73</v>
      </c>
      <c r="N344" s="14" t="s">
        <v>70</v>
      </c>
      <c r="O344" s="14"/>
      <c r="P344" s="15" t="s">
        <v>486</v>
      </c>
      <c r="Q344" s="16">
        <v>12399</v>
      </c>
      <c r="R344" s="17">
        <v>50</v>
      </c>
      <c r="S344" s="18">
        <v>7129.4249999999993</v>
      </c>
      <c r="T344" s="19" t="s">
        <v>84</v>
      </c>
      <c r="U344" s="20" t="s">
        <v>162</v>
      </c>
      <c r="V344" s="21">
        <v>41</v>
      </c>
      <c r="W344" s="21">
        <v>1</v>
      </c>
      <c r="X344" s="22"/>
    </row>
    <row r="345" spans="1:24" s="1" customFormat="1" ht="51.95" customHeight="1" x14ac:dyDescent="0.3">
      <c r="A345" s="11" t="s">
        <v>147</v>
      </c>
      <c r="B345" s="11" t="s">
        <v>487</v>
      </c>
      <c r="C345" s="12" t="s">
        <v>488</v>
      </c>
      <c r="D345" s="89"/>
      <c r="E345" s="69" t="str">
        <f>HYPERLINK("https://www.google.ru/search?q=NA4I7F176&amp;newwindow=1&amp;tbm=isch","Еще фото")</f>
        <v>Еще фото</v>
      </c>
      <c r="F345" s="13"/>
      <c r="G345" s="11" t="s">
        <v>484</v>
      </c>
      <c r="H345" s="11" t="s">
        <v>151</v>
      </c>
      <c r="I345" s="14" t="s">
        <v>424</v>
      </c>
      <c r="J345" s="14" t="s">
        <v>29</v>
      </c>
      <c r="K345" s="15" t="s">
        <v>55</v>
      </c>
      <c r="L345" s="86" t="s">
        <v>489</v>
      </c>
      <c r="M345" s="14"/>
      <c r="N345" s="14" t="s">
        <v>70</v>
      </c>
      <c r="O345" s="14"/>
      <c r="P345" s="15" t="s">
        <v>490</v>
      </c>
      <c r="Q345" s="16">
        <v>13599</v>
      </c>
      <c r="R345" s="17">
        <v>50</v>
      </c>
      <c r="S345" s="18">
        <v>7819.4249999999993</v>
      </c>
      <c r="T345" s="19" t="s">
        <v>84</v>
      </c>
      <c r="U345" s="20" t="s">
        <v>156</v>
      </c>
      <c r="V345" s="21">
        <v>39</v>
      </c>
      <c r="W345" s="21">
        <v>5</v>
      </c>
      <c r="X345" s="22"/>
    </row>
    <row r="346" spans="1:24" s="1" customFormat="1" ht="60.95" customHeight="1" x14ac:dyDescent="0.3">
      <c r="A346" s="23" t="s">
        <v>147</v>
      </c>
      <c r="B346" s="23" t="s">
        <v>487</v>
      </c>
      <c r="C346" s="12" t="s">
        <v>488</v>
      </c>
      <c r="D346" s="90"/>
      <c r="E346" s="69" t="str">
        <f>HYPERLINK("https://www.google.ru/search?q=NA4I7F176&amp;newwindow=1&amp;tbm=isch","Еще фото")</f>
        <v>Еще фото</v>
      </c>
      <c r="F346" s="13"/>
      <c r="G346" s="23" t="s">
        <v>484</v>
      </c>
      <c r="H346" s="23" t="s">
        <v>151</v>
      </c>
      <c r="I346" s="23" t="s">
        <v>424</v>
      </c>
      <c r="J346" s="14" t="s">
        <v>29</v>
      </c>
      <c r="K346" s="15" t="s">
        <v>55</v>
      </c>
      <c r="L346" s="88"/>
      <c r="M346" s="14"/>
      <c r="N346" s="14" t="s">
        <v>70</v>
      </c>
      <c r="O346" s="14"/>
      <c r="P346" s="15" t="s">
        <v>490</v>
      </c>
      <c r="Q346" s="16">
        <v>13599</v>
      </c>
      <c r="R346" s="17">
        <v>50</v>
      </c>
      <c r="S346" s="18">
        <v>7819.4249999999993</v>
      </c>
      <c r="T346" s="19" t="s">
        <v>84</v>
      </c>
      <c r="U346" s="20" t="s">
        <v>162</v>
      </c>
      <c r="V346" s="21">
        <v>41</v>
      </c>
      <c r="W346" s="21">
        <v>8</v>
      </c>
      <c r="X346" s="22"/>
    </row>
    <row r="347" spans="1:24" s="1" customFormat="1" ht="51.95" customHeight="1" x14ac:dyDescent="0.3">
      <c r="A347" s="11" t="s">
        <v>147</v>
      </c>
      <c r="B347" s="11" t="s">
        <v>491</v>
      </c>
      <c r="C347" s="12" t="s">
        <v>492</v>
      </c>
      <c r="D347" s="89"/>
      <c r="E347" s="69" t="str">
        <f>HYPERLINK("https://www.google.ru/search?q=NA4IJY02U&amp;newwindow=1&amp;tbm=isch","Еще фото")</f>
        <v>Еще фото</v>
      </c>
      <c r="F347" s="13"/>
      <c r="G347" s="11" t="s">
        <v>394</v>
      </c>
      <c r="H347" s="11" t="s">
        <v>151</v>
      </c>
      <c r="I347" s="14" t="s">
        <v>424</v>
      </c>
      <c r="J347" s="14" t="s">
        <v>29</v>
      </c>
      <c r="K347" s="15" t="s">
        <v>47</v>
      </c>
      <c r="L347" s="86" t="s">
        <v>493</v>
      </c>
      <c r="M347" s="14"/>
      <c r="N347" s="14" t="s">
        <v>494</v>
      </c>
      <c r="O347" s="14"/>
      <c r="P347" s="15" t="s">
        <v>495</v>
      </c>
      <c r="Q347" s="16">
        <v>14999</v>
      </c>
      <c r="R347" s="17">
        <v>50</v>
      </c>
      <c r="S347" s="18">
        <v>8624.4249999999993</v>
      </c>
      <c r="T347" s="19" t="s">
        <v>84</v>
      </c>
      <c r="U347" s="20" t="s">
        <v>156</v>
      </c>
      <c r="V347" s="21">
        <v>37</v>
      </c>
      <c r="W347" s="21">
        <v>1</v>
      </c>
      <c r="X347" s="22"/>
    </row>
    <row r="348" spans="1:24" s="1" customFormat="1" ht="60.95" customHeight="1" x14ac:dyDescent="0.3">
      <c r="A348" s="23" t="s">
        <v>147</v>
      </c>
      <c r="B348" s="23" t="s">
        <v>491</v>
      </c>
      <c r="C348" s="12" t="s">
        <v>492</v>
      </c>
      <c r="D348" s="90"/>
      <c r="E348" s="69" t="str">
        <f>HYPERLINK("https://www.google.ru/search?q=NA4IJY02U&amp;newwindow=1&amp;tbm=isch","Еще фото")</f>
        <v>Еще фото</v>
      </c>
      <c r="F348" s="13"/>
      <c r="G348" s="23" t="s">
        <v>394</v>
      </c>
      <c r="H348" s="23" t="s">
        <v>151</v>
      </c>
      <c r="I348" s="23" t="s">
        <v>424</v>
      </c>
      <c r="J348" s="14" t="s">
        <v>29</v>
      </c>
      <c r="K348" s="15" t="s">
        <v>47</v>
      </c>
      <c r="L348" s="88"/>
      <c r="M348" s="14"/>
      <c r="N348" s="14" t="s">
        <v>494</v>
      </c>
      <c r="O348" s="14"/>
      <c r="P348" s="15" t="s">
        <v>495</v>
      </c>
      <c r="Q348" s="16">
        <v>14999</v>
      </c>
      <c r="R348" s="17">
        <v>50</v>
      </c>
      <c r="S348" s="18">
        <v>8624.4249999999993</v>
      </c>
      <c r="T348" s="19" t="s">
        <v>84</v>
      </c>
      <c r="U348" s="20" t="s">
        <v>162</v>
      </c>
      <c r="V348" s="21">
        <v>39</v>
      </c>
      <c r="W348" s="21">
        <v>1</v>
      </c>
      <c r="X348" s="22"/>
    </row>
    <row r="349" spans="1:24" s="1" customFormat="1" ht="108" customHeight="1" x14ac:dyDescent="0.3">
      <c r="A349" s="11" t="s">
        <v>147</v>
      </c>
      <c r="B349" s="11" t="s">
        <v>496</v>
      </c>
      <c r="C349" s="12" t="s">
        <v>497</v>
      </c>
      <c r="D349" s="24"/>
      <c r="E349" s="69" t="str">
        <f>HYPERLINK("https://www.google.ru/search?q=NA4H7ANBI&amp;newwindow=1&amp;tbm=isch","Еще фото")</f>
        <v>Еще фото</v>
      </c>
      <c r="F349" s="13"/>
      <c r="G349" s="11" t="s">
        <v>394</v>
      </c>
      <c r="H349" s="11" t="s">
        <v>151</v>
      </c>
      <c r="I349" s="14" t="s">
        <v>424</v>
      </c>
      <c r="J349" s="14" t="s">
        <v>29</v>
      </c>
      <c r="K349" s="15" t="s">
        <v>47</v>
      </c>
      <c r="L349" s="14" t="s">
        <v>498</v>
      </c>
      <c r="M349" s="14"/>
      <c r="N349" s="14" t="s">
        <v>326</v>
      </c>
      <c r="O349" s="14"/>
      <c r="P349" s="15" t="s">
        <v>499</v>
      </c>
      <c r="Q349" s="16">
        <v>17999</v>
      </c>
      <c r="R349" s="17">
        <v>50</v>
      </c>
      <c r="S349" s="18">
        <v>10349.988499999999</v>
      </c>
      <c r="T349" s="19" t="s">
        <v>84</v>
      </c>
      <c r="U349" s="20" t="s">
        <v>500</v>
      </c>
      <c r="V349" s="21">
        <v>36</v>
      </c>
      <c r="W349" s="21">
        <v>1</v>
      </c>
      <c r="X349" s="22"/>
    </row>
    <row r="350" spans="1:24" s="1" customFormat="1" ht="108" customHeight="1" x14ac:dyDescent="0.3">
      <c r="A350" s="11" t="s">
        <v>147</v>
      </c>
      <c r="B350" s="11" t="s">
        <v>482</v>
      </c>
      <c r="C350" s="12" t="s">
        <v>501</v>
      </c>
      <c r="D350" s="24"/>
      <c r="E350" s="69" t="str">
        <f>HYPERLINK("https://www.google.ru/search?q=NA4HLI041&amp;newwindow=1&amp;tbm=isch","Еще фото")</f>
        <v>Еще фото</v>
      </c>
      <c r="F350" s="13"/>
      <c r="G350" s="11" t="s">
        <v>484</v>
      </c>
      <c r="H350" s="11" t="s">
        <v>151</v>
      </c>
      <c r="I350" s="14" t="s">
        <v>424</v>
      </c>
      <c r="J350" s="14" t="s">
        <v>29</v>
      </c>
      <c r="K350" s="15" t="s">
        <v>55</v>
      </c>
      <c r="L350" s="14" t="s">
        <v>485</v>
      </c>
      <c r="M350" s="14" t="s">
        <v>73</v>
      </c>
      <c r="N350" s="14" t="s">
        <v>49</v>
      </c>
      <c r="O350" s="14"/>
      <c r="P350" s="15" t="s">
        <v>486</v>
      </c>
      <c r="Q350" s="16">
        <v>12399</v>
      </c>
      <c r="R350" s="17">
        <v>50</v>
      </c>
      <c r="S350" s="18">
        <v>7129.9884999999995</v>
      </c>
      <c r="T350" s="19" t="s">
        <v>84</v>
      </c>
      <c r="U350" s="20" t="s">
        <v>156</v>
      </c>
      <c r="V350" s="21">
        <v>39</v>
      </c>
      <c r="W350" s="21">
        <v>3</v>
      </c>
      <c r="X350" s="22"/>
    </row>
    <row r="351" spans="1:24" s="1" customFormat="1" ht="51.95" customHeight="1" x14ac:dyDescent="0.3">
      <c r="A351" s="11" t="s">
        <v>391</v>
      </c>
      <c r="B351" s="11" t="s">
        <v>422</v>
      </c>
      <c r="C351" s="12" t="s">
        <v>502</v>
      </c>
      <c r="D351" s="89"/>
      <c r="E351" s="69" t="str">
        <f>HYPERLINK("https://www.google.ru/search?q=977118310035-6353&amp;newwindow=1&amp;tbm=isch","Еще фото")</f>
        <v>Еще фото</v>
      </c>
      <c r="F351" s="13"/>
      <c r="G351" s="11" t="s">
        <v>394</v>
      </c>
      <c r="H351" s="11" t="s">
        <v>151</v>
      </c>
      <c r="I351" s="14" t="s">
        <v>424</v>
      </c>
      <c r="J351" s="14" t="s">
        <v>29</v>
      </c>
      <c r="K351" s="15" t="s">
        <v>47</v>
      </c>
      <c r="L351" s="86" t="s">
        <v>425</v>
      </c>
      <c r="M351" s="14"/>
      <c r="N351" s="14" t="s">
        <v>89</v>
      </c>
      <c r="O351" s="14"/>
      <c r="P351" s="15" t="s">
        <v>503</v>
      </c>
      <c r="Q351" s="16">
        <v>6700</v>
      </c>
      <c r="R351" s="17">
        <v>48</v>
      </c>
      <c r="S351" s="18">
        <v>4006.6</v>
      </c>
      <c r="T351" s="19" t="s">
        <v>328</v>
      </c>
      <c r="U351" s="20" t="s">
        <v>409</v>
      </c>
      <c r="V351" s="21">
        <v>36</v>
      </c>
      <c r="W351" s="21">
        <v>1</v>
      </c>
      <c r="X351" s="22"/>
    </row>
    <row r="352" spans="1:24" s="1" customFormat="1" ht="60.95" customHeight="1" x14ac:dyDescent="0.3">
      <c r="A352" s="23" t="s">
        <v>391</v>
      </c>
      <c r="B352" s="23" t="s">
        <v>422</v>
      </c>
      <c r="C352" s="12" t="s">
        <v>502</v>
      </c>
      <c r="D352" s="90"/>
      <c r="E352" s="69" t="str">
        <f>HYPERLINK("https://www.google.ru/search?q=977118310035-6353&amp;newwindow=1&amp;tbm=isch","Еще фото")</f>
        <v>Еще фото</v>
      </c>
      <c r="F352" s="13"/>
      <c r="G352" s="23" t="s">
        <v>394</v>
      </c>
      <c r="H352" s="23" t="s">
        <v>151</v>
      </c>
      <c r="I352" s="23" t="s">
        <v>424</v>
      </c>
      <c r="J352" s="14" t="s">
        <v>29</v>
      </c>
      <c r="K352" s="15" t="s">
        <v>47</v>
      </c>
      <c r="L352" s="88"/>
      <c r="M352" s="14"/>
      <c r="N352" s="14" t="s">
        <v>89</v>
      </c>
      <c r="O352" s="14"/>
      <c r="P352" s="15" t="s">
        <v>503</v>
      </c>
      <c r="Q352" s="16">
        <v>6700</v>
      </c>
      <c r="R352" s="17">
        <v>48</v>
      </c>
      <c r="S352" s="18">
        <v>4006.6</v>
      </c>
      <c r="T352" s="19" t="s">
        <v>328</v>
      </c>
      <c r="U352" s="20" t="s">
        <v>399</v>
      </c>
      <c r="V352" s="21">
        <v>39</v>
      </c>
      <c r="W352" s="21">
        <v>1</v>
      </c>
      <c r="X352" s="22"/>
    </row>
    <row r="353" spans="1:24" s="1" customFormat="1" ht="108" customHeight="1" x14ac:dyDescent="0.3">
      <c r="A353" s="11" t="s">
        <v>391</v>
      </c>
      <c r="B353" s="11" t="s">
        <v>442</v>
      </c>
      <c r="C353" s="12" t="s">
        <v>504</v>
      </c>
      <c r="D353" s="24"/>
      <c r="E353" s="69" t="str">
        <f>HYPERLINK("https://www.google.ru/search?q=977118310071-0200&amp;newwindow=1&amp;tbm=isch","Еще фото")</f>
        <v>Еще фото</v>
      </c>
      <c r="F353" s="13"/>
      <c r="G353" s="11" t="s">
        <v>394</v>
      </c>
      <c r="H353" s="11" t="s">
        <v>151</v>
      </c>
      <c r="I353" s="14" t="s">
        <v>424</v>
      </c>
      <c r="J353" s="14" t="s">
        <v>29</v>
      </c>
      <c r="K353" s="15" t="s">
        <v>47</v>
      </c>
      <c r="L353" s="14" t="s">
        <v>444</v>
      </c>
      <c r="M353" s="14"/>
      <c r="N353" s="14" t="s">
        <v>49</v>
      </c>
      <c r="O353" s="14"/>
      <c r="P353" s="15" t="s">
        <v>398</v>
      </c>
      <c r="Q353" s="16">
        <v>7500</v>
      </c>
      <c r="R353" s="17">
        <v>48</v>
      </c>
      <c r="S353" s="18">
        <v>4485</v>
      </c>
      <c r="T353" s="19" t="s">
        <v>328</v>
      </c>
      <c r="U353" s="20" t="s">
        <v>413</v>
      </c>
      <c r="V353" s="21">
        <v>38</v>
      </c>
      <c r="W353" s="21">
        <v>1</v>
      </c>
      <c r="X353" s="22"/>
    </row>
    <row r="354" spans="1:24" s="1" customFormat="1" ht="108" customHeight="1" x14ac:dyDescent="0.3">
      <c r="A354" s="11" t="s">
        <v>437</v>
      </c>
      <c r="B354" s="11" t="s">
        <v>505</v>
      </c>
      <c r="C354" s="12" t="s">
        <v>506</v>
      </c>
      <c r="D354" s="24"/>
      <c r="E354" s="69" t="str">
        <f>HYPERLINK("https://www.google.ru/search?q=824254-56665&amp;newwindow=1&amp;tbm=isch","Еще фото")</f>
        <v>Еще фото</v>
      </c>
      <c r="F354" s="13" t="s">
        <v>507</v>
      </c>
      <c r="G354" s="11" t="s">
        <v>394</v>
      </c>
      <c r="H354" s="11" t="s">
        <v>151</v>
      </c>
      <c r="I354" s="14" t="s">
        <v>424</v>
      </c>
      <c r="J354" s="14" t="s">
        <v>138</v>
      </c>
      <c r="K354" s="15" t="s">
        <v>55</v>
      </c>
      <c r="L354" s="14" t="s">
        <v>508</v>
      </c>
      <c r="M354" s="14" t="s">
        <v>509</v>
      </c>
      <c r="N354" s="14" t="s">
        <v>242</v>
      </c>
      <c r="O354" s="14"/>
      <c r="P354" s="15" t="s">
        <v>510</v>
      </c>
      <c r="Q354" s="16">
        <v>24990</v>
      </c>
      <c r="R354" s="17">
        <v>47.91</v>
      </c>
      <c r="S354" s="18">
        <v>14970.4355</v>
      </c>
      <c r="T354" s="19" t="s">
        <v>328</v>
      </c>
      <c r="U354" s="20" t="s">
        <v>399</v>
      </c>
      <c r="V354" s="21">
        <v>40</v>
      </c>
      <c r="W354" s="21">
        <v>11</v>
      </c>
      <c r="X354" s="22"/>
    </row>
    <row r="355" spans="1:24" s="1" customFormat="1" ht="108" customHeight="1" x14ac:dyDescent="0.3">
      <c r="A355" s="11" t="s">
        <v>178</v>
      </c>
      <c r="B355" s="11" t="s">
        <v>511</v>
      </c>
      <c r="C355" s="12" t="s">
        <v>512</v>
      </c>
      <c r="D355" s="24"/>
      <c r="E355" s="69" t="str">
        <f>HYPERLINK("https://www.google.ru/search?q=ABYAA00263-STH&amp;newwindow=1&amp;tbm=isch","Еще фото")</f>
        <v>Еще фото</v>
      </c>
      <c r="F355" s="13"/>
      <c r="G355" s="11" t="s">
        <v>513</v>
      </c>
      <c r="H355" s="11" t="s">
        <v>112</v>
      </c>
      <c r="I355" s="14" t="s">
        <v>514</v>
      </c>
      <c r="J355" s="14" t="s">
        <v>29</v>
      </c>
      <c r="K355" s="15" t="s">
        <v>55</v>
      </c>
      <c r="L355" s="14"/>
      <c r="M355" s="14"/>
      <c r="N355" s="14" t="s">
        <v>49</v>
      </c>
      <c r="O355" s="14"/>
      <c r="P355" s="15" t="s">
        <v>108</v>
      </c>
      <c r="Q355" s="16">
        <v>2399</v>
      </c>
      <c r="R355" s="17">
        <v>70.08</v>
      </c>
      <c r="S355" s="29">
        <v>825.43549999999993</v>
      </c>
      <c r="T355" s="19" t="s">
        <v>117</v>
      </c>
      <c r="U355" s="20" t="s">
        <v>183</v>
      </c>
      <c r="V355" s="25" t="s">
        <v>119</v>
      </c>
      <c r="W355" s="21">
        <v>27</v>
      </c>
      <c r="X355" s="22"/>
    </row>
    <row r="356" spans="1:24" s="1" customFormat="1" ht="108" customHeight="1" x14ac:dyDescent="0.3">
      <c r="A356" s="11" t="s">
        <v>23</v>
      </c>
      <c r="B356" s="11" t="s">
        <v>515</v>
      </c>
      <c r="C356" s="12" t="s">
        <v>516</v>
      </c>
      <c r="D356" s="24"/>
      <c r="E356" s="69" t="str">
        <f>HYPERLINK("https://www.google.ru/search?q=MC-BB728&amp;newwindow=1&amp;tbm=isch","Еще фото")</f>
        <v>Еще фото</v>
      </c>
      <c r="F356" s="13"/>
      <c r="G356" s="11" t="s">
        <v>517</v>
      </c>
      <c r="H356" s="11" t="s">
        <v>112</v>
      </c>
      <c r="I356" s="14" t="s">
        <v>514</v>
      </c>
      <c r="J356" s="14" t="s">
        <v>29</v>
      </c>
      <c r="K356" s="15" t="s">
        <v>30</v>
      </c>
      <c r="L356" s="14"/>
      <c r="M356" s="14"/>
      <c r="N356" s="14" t="s">
        <v>89</v>
      </c>
      <c r="O356" s="14"/>
      <c r="P356" s="15" t="s">
        <v>74</v>
      </c>
      <c r="Q356" s="16">
        <v>1199</v>
      </c>
      <c r="R356" s="17">
        <v>45</v>
      </c>
      <c r="S356" s="29">
        <v>758.36749999999995</v>
      </c>
      <c r="T356" s="19" t="s">
        <v>117</v>
      </c>
      <c r="U356" s="20" t="s">
        <v>518</v>
      </c>
      <c r="V356" s="25" t="s">
        <v>119</v>
      </c>
      <c r="W356" s="21">
        <v>1</v>
      </c>
      <c r="X356" s="22"/>
    </row>
    <row r="357" spans="1:24" s="1" customFormat="1" ht="51.95" customHeight="1" x14ac:dyDescent="0.3">
      <c r="A357" s="11" t="s">
        <v>23</v>
      </c>
      <c r="B357" s="11" t="s">
        <v>519</v>
      </c>
      <c r="C357" s="12" t="s">
        <v>520</v>
      </c>
      <c r="D357" s="89"/>
      <c r="E357" s="69" t="str">
        <f>HYPERLINK("https://www.google.ru/search?q=MC-BC311&amp;newwindow=1&amp;tbm=isch","Еще фото")</f>
        <v>Еще фото</v>
      </c>
      <c r="F357" s="13"/>
      <c r="G357" s="11" t="s">
        <v>521</v>
      </c>
      <c r="H357" s="11" t="s">
        <v>27</v>
      </c>
      <c r="I357" s="14" t="s">
        <v>522</v>
      </c>
      <c r="J357" s="14" t="s">
        <v>29</v>
      </c>
      <c r="K357" s="15" t="s">
        <v>30</v>
      </c>
      <c r="L357" s="86" t="s">
        <v>523</v>
      </c>
      <c r="M357" s="14" t="s">
        <v>73</v>
      </c>
      <c r="N357" s="14" t="s">
        <v>32</v>
      </c>
      <c r="O357" s="14"/>
      <c r="P357" s="15" t="s">
        <v>524</v>
      </c>
      <c r="Q357" s="16">
        <v>8399</v>
      </c>
      <c r="R357" s="17">
        <v>45</v>
      </c>
      <c r="S357" s="18">
        <v>5312.3674999999994</v>
      </c>
      <c r="T357" s="19" t="s">
        <v>34</v>
      </c>
      <c r="U357" s="20" t="s">
        <v>77</v>
      </c>
      <c r="V357" s="21">
        <v>92</v>
      </c>
      <c r="W357" s="21">
        <v>1</v>
      </c>
      <c r="X357" s="22"/>
    </row>
    <row r="358" spans="1:24" s="1" customFormat="1" ht="60.95" customHeight="1" x14ac:dyDescent="0.3">
      <c r="A358" s="23" t="s">
        <v>23</v>
      </c>
      <c r="B358" s="23" t="s">
        <v>519</v>
      </c>
      <c r="C358" s="12" t="s">
        <v>520</v>
      </c>
      <c r="D358" s="90"/>
      <c r="E358" s="69" t="str">
        <f>HYPERLINK("https://www.google.ru/search?q=MC-BC311&amp;newwindow=1&amp;tbm=isch","Еще фото")</f>
        <v>Еще фото</v>
      </c>
      <c r="F358" s="13"/>
      <c r="G358" s="23" t="s">
        <v>521</v>
      </c>
      <c r="H358" s="23" t="s">
        <v>27</v>
      </c>
      <c r="I358" s="23" t="s">
        <v>522</v>
      </c>
      <c r="J358" s="14" t="s">
        <v>29</v>
      </c>
      <c r="K358" s="15" t="s">
        <v>30</v>
      </c>
      <c r="L358" s="88"/>
      <c r="M358" s="14" t="s">
        <v>73</v>
      </c>
      <c r="N358" s="14" t="s">
        <v>32</v>
      </c>
      <c r="O358" s="14"/>
      <c r="P358" s="15" t="s">
        <v>524</v>
      </c>
      <c r="Q358" s="16">
        <v>8399</v>
      </c>
      <c r="R358" s="17">
        <v>45</v>
      </c>
      <c r="S358" s="18">
        <v>5312.3674999999994</v>
      </c>
      <c r="T358" s="19" t="s">
        <v>34</v>
      </c>
      <c r="U358" s="20" t="s">
        <v>78</v>
      </c>
      <c r="V358" s="21">
        <v>98</v>
      </c>
      <c r="W358" s="21">
        <v>1</v>
      </c>
      <c r="X358" s="22"/>
    </row>
    <row r="359" spans="1:24" s="1" customFormat="1" ht="108" customHeight="1" x14ac:dyDescent="0.3">
      <c r="A359" s="11" t="s">
        <v>23</v>
      </c>
      <c r="B359" s="11" t="s">
        <v>525</v>
      </c>
      <c r="C359" s="12" t="s">
        <v>526</v>
      </c>
      <c r="D359" s="24"/>
      <c r="E359" s="69" t="str">
        <f>HYPERLINK("https://www.google.ru/search?q=MC-BC763&amp;newwindow=1&amp;tbm=isch","Еще фото")</f>
        <v>Еще фото</v>
      </c>
      <c r="F359" s="13"/>
      <c r="G359" s="11" t="s">
        <v>527</v>
      </c>
      <c r="H359" s="11" t="s">
        <v>27</v>
      </c>
      <c r="I359" s="14" t="s">
        <v>522</v>
      </c>
      <c r="J359" s="14" t="s">
        <v>29</v>
      </c>
      <c r="K359" s="15" t="s">
        <v>30</v>
      </c>
      <c r="L359" s="14" t="s">
        <v>528</v>
      </c>
      <c r="M359" s="14" t="s">
        <v>73</v>
      </c>
      <c r="N359" s="14" t="s">
        <v>89</v>
      </c>
      <c r="O359" s="14"/>
      <c r="P359" s="15" t="s">
        <v>90</v>
      </c>
      <c r="Q359" s="16">
        <v>5099</v>
      </c>
      <c r="R359" s="17">
        <v>45</v>
      </c>
      <c r="S359" s="18">
        <v>3225.1174999999994</v>
      </c>
      <c r="T359" s="19" t="s">
        <v>34</v>
      </c>
      <c r="U359" s="20" t="s">
        <v>35</v>
      </c>
      <c r="V359" s="21">
        <v>116</v>
      </c>
      <c r="W359" s="21">
        <v>1</v>
      </c>
      <c r="X359" s="22"/>
    </row>
    <row r="360" spans="1:24" s="1" customFormat="1" ht="35.1" customHeight="1" x14ac:dyDescent="0.3">
      <c r="A360" s="11" t="s">
        <v>23</v>
      </c>
      <c r="B360" s="11" t="s">
        <v>529</v>
      </c>
      <c r="C360" s="12" t="s">
        <v>530</v>
      </c>
      <c r="D360" s="83"/>
      <c r="E360" s="69" t="str">
        <f>HYPERLINK("https://www.google.ru/search?q=MC-CA891&amp;newwindow=1&amp;tbm=isch","Еще фото")</f>
        <v>Еще фото</v>
      </c>
      <c r="F360" s="13"/>
      <c r="G360" s="11" t="s">
        <v>531</v>
      </c>
      <c r="H360" s="11" t="s">
        <v>27</v>
      </c>
      <c r="I360" s="14" t="s">
        <v>522</v>
      </c>
      <c r="J360" s="14" t="s">
        <v>29</v>
      </c>
      <c r="K360" s="15" t="s">
        <v>30</v>
      </c>
      <c r="L360" s="86" t="s">
        <v>532</v>
      </c>
      <c r="M360" s="14"/>
      <c r="N360" s="14" t="s">
        <v>32</v>
      </c>
      <c r="O360" s="14"/>
      <c r="P360" s="15" t="s">
        <v>193</v>
      </c>
      <c r="Q360" s="16">
        <v>8099</v>
      </c>
      <c r="R360" s="17">
        <v>45</v>
      </c>
      <c r="S360" s="18">
        <v>5122.6174999999994</v>
      </c>
      <c r="T360" s="19" t="s">
        <v>34</v>
      </c>
      <c r="U360" s="20" t="s">
        <v>94</v>
      </c>
      <c r="V360" s="21">
        <v>104</v>
      </c>
      <c r="W360" s="21">
        <v>1</v>
      </c>
      <c r="X360" s="22"/>
    </row>
    <row r="361" spans="1:24" s="1" customFormat="1" ht="35.1" customHeight="1" x14ac:dyDescent="0.3">
      <c r="A361" s="23" t="s">
        <v>23</v>
      </c>
      <c r="B361" s="23" t="s">
        <v>529</v>
      </c>
      <c r="C361" s="12" t="s">
        <v>530</v>
      </c>
      <c r="D361" s="84"/>
      <c r="E361" s="69" t="str">
        <f>HYPERLINK("https://www.google.ru/search?q=MC-CA891&amp;newwindow=1&amp;tbm=isch","Еще фото")</f>
        <v>Еще фото</v>
      </c>
      <c r="F361" s="13"/>
      <c r="G361" s="23" t="s">
        <v>531</v>
      </c>
      <c r="H361" s="23" t="s">
        <v>27</v>
      </c>
      <c r="I361" s="23" t="s">
        <v>522</v>
      </c>
      <c r="J361" s="14" t="s">
        <v>29</v>
      </c>
      <c r="K361" s="15" t="s">
        <v>30</v>
      </c>
      <c r="L361" s="87"/>
      <c r="M361" s="14"/>
      <c r="N361" s="14" t="s">
        <v>32</v>
      </c>
      <c r="O361" s="14"/>
      <c r="P361" s="15" t="s">
        <v>193</v>
      </c>
      <c r="Q361" s="16">
        <v>8099</v>
      </c>
      <c r="R361" s="17">
        <v>45</v>
      </c>
      <c r="S361" s="18">
        <v>5122.6174999999994</v>
      </c>
      <c r="T361" s="19" t="s">
        <v>34</v>
      </c>
      <c r="U361" s="20" t="s">
        <v>43</v>
      </c>
      <c r="V361" s="21">
        <v>110</v>
      </c>
      <c r="W361" s="21">
        <v>1</v>
      </c>
      <c r="X361" s="22"/>
    </row>
    <row r="362" spans="1:24" s="1" customFormat="1" ht="36.950000000000003" customHeight="1" x14ac:dyDescent="0.3">
      <c r="A362" s="23" t="s">
        <v>23</v>
      </c>
      <c r="B362" s="23" t="s">
        <v>529</v>
      </c>
      <c r="C362" s="12" t="s">
        <v>530</v>
      </c>
      <c r="D362" s="85"/>
      <c r="E362" s="69" t="str">
        <f>HYPERLINK("https://www.google.ru/search?q=MC-CA891&amp;newwindow=1&amp;tbm=isch","Еще фото")</f>
        <v>Еще фото</v>
      </c>
      <c r="F362" s="13"/>
      <c r="G362" s="23" t="s">
        <v>531</v>
      </c>
      <c r="H362" s="23" t="s">
        <v>27</v>
      </c>
      <c r="I362" s="23" t="s">
        <v>522</v>
      </c>
      <c r="J362" s="14" t="s">
        <v>29</v>
      </c>
      <c r="K362" s="15" t="s">
        <v>30</v>
      </c>
      <c r="L362" s="88"/>
      <c r="M362" s="14"/>
      <c r="N362" s="14" t="s">
        <v>32</v>
      </c>
      <c r="O362" s="14"/>
      <c r="P362" s="15" t="s">
        <v>193</v>
      </c>
      <c r="Q362" s="16">
        <v>8099</v>
      </c>
      <c r="R362" s="17">
        <v>45</v>
      </c>
      <c r="S362" s="18">
        <v>5122.6174999999994</v>
      </c>
      <c r="T362" s="19" t="s">
        <v>34</v>
      </c>
      <c r="U362" s="20" t="s">
        <v>35</v>
      </c>
      <c r="V362" s="21">
        <v>116</v>
      </c>
      <c r="W362" s="21">
        <v>1</v>
      </c>
      <c r="X362" s="22"/>
    </row>
    <row r="363" spans="1:24" s="1" customFormat="1" ht="108" customHeight="1" x14ac:dyDescent="0.3">
      <c r="A363" s="11" t="s">
        <v>44</v>
      </c>
      <c r="B363" s="11" t="s">
        <v>533</v>
      </c>
      <c r="C363" s="12" t="s">
        <v>534</v>
      </c>
      <c r="D363" s="24"/>
      <c r="E363" s="69" t="str">
        <f>HYPERLINK("https://www.google.ru/search?q=B1231060-RED&amp;newwindow=1&amp;tbm=isch","Еще фото")</f>
        <v>Еще фото</v>
      </c>
      <c r="F363" s="13"/>
      <c r="G363" s="11" t="s">
        <v>535</v>
      </c>
      <c r="H363" s="11" t="s">
        <v>536</v>
      </c>
      <c r="I363" s="14" t="s">
        <v>537</v>
      </c>
      <c r="J363" s="14" t="s">
        <v>29</v>
      </c>
      <c r="K363" s="15" t="s">
        <v>114</v>
      </c>
      <c r="L363" s="14" t="s">
        <v>538</v>
      </c>
      <c r="M363" s="14"/>
      <c r="N363" s="14" t="s">
        <v>116</v>
      </c>
      <c r="O363" s="14"/>
      <c r="P363" s="15" t="s">
        <v>108</v>
      </c>
      <c r="Q363" s="16">
        <v>4800</v>
      </c>
      <c r="R363" s="17">
        <v>74</v>
      </c>
      <c r="S363" s="18">
        <v>1434.9354999999998</v>
      </c>
      <c r="T363" s="19" t="s">
        <v>117</v>
      </c>
      <c r="U363" s="20" t="s">
        <v>539</v>
      </c>
      <c r="V363" s="25" t="s">
        <v>119</v>
      </c>
      <c r="W363" s="21">
        <v>1</v>
      </c>
      <c r="X363" s="22"/>
    </row>
    <row r="364" spans="1:24" s="1" customFormat="1" ht="108" customHeight="1" x14ac:dyDescent="0.3">
      <c r="A364" s="11" t="s">
        <v>44</v>
      </c>
      <c r="B364" s="11" t="s">
        <v>540</v>
      </c>
      <c r="C364" s="12" t="s">
        <v>541</v>
      </c>
      <c r="D364" s="24"/>
      <c r="E364" s="69" t="str">
        <f>HYPERLINK("https://www.google.ru/search?q=B1231140-KHK&amp;newwindow=1&amp;tbm=isch","Еще фото")</f>
        <v>Еще фото</v>
      </c>
      <c r="F364" s="13"/>
      <c r="G364" s="11" t="s">
        <v>535</v>
      </c>
      <c r="H364" s="11" t="s">
        <v>536</v>
      </c>
      <c r="I364" s="14" t="s">
        <v>537</v>
      </c>
      <c r="J364" s="14" t="s">
        <v>29</v>
      </c>
      <c r="K364" s="15" t="s">
        <v>114</v>
      </c>
      <c r="L364" s="14" t="s">
        <v>542</v>
      </c>
      <c r="M364" s="14"/>
      <c r="N364" s="14" t="s">
        <v>326</v>
      </c>
      <c r="O364" s="14"/>
      <c r="P364" s="15" t="s">
        <v>108</v>
      </c>
      <c r="Q364" s="16">
        <v>5300</v>
      </c>
      <c r="R364" s="17">
        <v>72.31</v>
      </c>
      <c r="S364" s="18">
        <v>1687.9354999999998</v>
      </c>
      <c r="T364" s="19" t="s">
        <v>117</v>
      </c>
      <c r="U364" s="20" t="s">
        <v>118</v>
      </c>
      <c r="V364" s="25" t="s">
        <v>119</v>
      </c>
      <c r="W364" s="21">
        <v>2</v>
      </c>
      <c r="X364" s="22"/>
    </row>
    <row r="365" spans="1:24" s="1" customFormat="1" ht="12.95" customHeight="1" x14ac:dyDescent="0.3">
      <c r="A365" s="11" t="s">
        <v>23</v>
      </c>
      <c r="B365" s="11" t="s">
        <v>543</v>
      </c>
      <c r="C365" s="12" t="s">
        <v>544</v>
      </c>
      <c r="D365" s="83"/>
      <c r="E365" s="69" t="str">
        <f t="shared" ref="E365:E372" si="10">HYPERLINK("https://www.google.ru/search?q=MC-BB590&amp;newwindow=1&amp;tbm=isch","Еще фото")</f>
        <v>Еще фото</v>
      </c>
      <c r="F365" s="13"/>
      <c r="G365" s="11" t="s">
        <v>545</v>
      </c>
      <c r="H365" s="11" t="s">
        <v>151</v>
      </c>
      <c r="I365" s="14" t="s">
        <v>546</v>
      </c>
      <c r="J365" s="14" t="s">
        <v>29</v>
      </c>
      <c r="K365" s="15" t="s">
        <v>30</v>
      </c>
      <c r="L365" s="86"/>
      <c r="M365" s="14"/>
      <c r="N365" s="14" t="s">
        <v>32</v>
      </c>
      <c r="O365" s="14"/>
      <c r="P365" s="15" t="s">
        <v>547</v>
      </c>
      <c r="Q365" s="16">
        <v>2799</v>
      </c>
      <c r="R365" s="17">
        <v>45</v>
      </c>
      <c r="S365" s="18">
        <v>1770.3674999999998</v>
      </c>
      <c r="T365" s="19" t="s">
        <v>328</v>
      </c>
      <c r="U365" s="26" t="s">
        <v>548</v>
      </c>
      <c r="V365" s="30">
        <v>25.5</v>
      </c>
      <c r="W365" s="21">
        <v>3</v>
      </c>
      <c r="X365" s="22"/>
    </row>
    <row r="366" spans="1:24" s="1" customFormat="1" ht="12.95" customHeight="1" x14ac:dyDescent="0.3">
      <c r="A366" s="23" t="s">
        <v>23</v>
      </c>
      <c r="B366" s="23" t="s">
        <v>543</v>
      </c>
      <c r="C366" s="12" t="s">
        <v>544</v>
      </c>
      <c r="D366" s="84"/>
      <c r="E366" s="69" t="str">
        <f t="shared" si="10"/>
        <v>Еще фото</v>
      </c>
      <c r="F366" s="13"/>
      <c r="G366" s="23" t="s">
        <v>545</v>
      </c>
      <c r="H366" s="23" t="s">
        <v>151</v>
      </c>
      <c r="I366" s="23" t="s">
        <v>546</v>
      </c>
      <c r="J366" s="14" t="s">
        <v>29</v>
      </c>
      <c r="K366" s="15" t="s">
        <v>30</v>
      </c>
      <c r="L366" s="87"/>
      <c r="M366" s="14"/>
      <c r="N366" s="14" t="s">
        <v>32</v>
      </c>
      <c r="O366" s="14"/>
      <c r="P366" s="15" t="s">
        <v>547</v>
      </c>
      <c r="Q366" s="16">
        <v>2799</v>
      </c>
      <c r="R366" s="17">
        <v>45</v>
      </c>
      <c r="S366" s="18">
        <v>1770.3674999999998</v>
      </c>
      <c r="T366" s="19" t="s">
        <v>328</v>
      </c>
      <c r="U366" s="20" t="s">
        <v>549</v>
      </c>
      <c r="V366" s="30">
        <v>26.5</v>
      </c>
      <c r="W366" s="21">
        <v>3</v>
      </c>
      <c r="X366" s="22"/>
    </row>
    <row r="367" spans="1:24" s="1" customFormat="1" ht="12.95" customHeight="1" x14ac:dyDescent="0.3">
      <c r="A367" s="23" t="s">
        <v>23</v>
      </c>
      <c r="B367" s="23" t="s">
        <v>543</v>
      </c>
      <c r="C367" s="12" t="s">
        <v>544</v>
      </c>
      <c r="D367" s="84"/>
      <c r="E367" s="69" t="str">
        <f t="shared" si="10"/>
        <v>Еще фото</v>
      </c>
      <c r="F367" s="13"/>
      <c r="G367" s="23" t="s">
        <v>545</v>
      </c>
      <c r="H367" s="23" t="s">
        <v>151</v>
      </c>
      <c r="I367" s="23" t="s">
        <v>546</v>
      </c>
      <c r="J367" s="14" t="s">
        <v>29</v>
      </c>
      <c r="K367" s="15" t="s">
        <v>30</v>
      </c>
      <c r="L367" s="87"/>
      <c r="M367" s="14"/>
      <c r="N367" s="14" t="s">
        <v>32</v>
      </c>
      <c r="O367" s="14"/>
      <c r="P367" s="15" t="s">
        <v>547</v>
      </c>
      <c r="Q367" s="16">
        <v>2799</v>
      </c>
      <c r="R367" s="17">
        <v>45</v>
      </c>
      <c r="S367" s="18">
        <v>1770.3674999999998</v>
      </c>
      <c r="T367" s="19" t="s">
        <v>328</v>
      </c>
      <c r="U367" s="20" t="s">
        <v>142</v>
      </c>
      <c r="V367" s="21">
        <v>28</v>
      </c>
      <c r="W367" s="21">
        <v>3</v>
      </c>
      <c r="X367" s="22"/>
    </row>
    <row r="368" spans="1:24" s="1" customFormat="1" ht="12.95" customHeight="1" x14ac:dyDescent="0.3">
      <c r="A368" s="23" t="s">
        <v>23</v>
      </c>
      <c r="B368" s="23" t="s">
        <v>543</v>
      </c>
      <c r="C368" s="12" t="s">
        <v>544</v>
      </c>
      <c r="D368" s="84"/>
      <c r="E368" s="69" t="str">
        <f t="shared" si="10"/>
        <v>Еще фото</v>
      </c>
      <c r="F368" s="13"/>
      <c r="G368" s="23" t="s">
        <v>545</v>
      </c>
      <c r="H368" s="23" t="s">
        <v>151</v>
      </c>
      <c r="I368" s="23" t="s">
        <v>546</v>
      </c>
      <c r="J368" s="14" t="s">
        <v>29</v>
      </c>
      <c r="K368" s="15" t="s">
        <v>30</v>
      </c>
      <c r="L368" s="87"/>
      <c r="M368" s="14"/>
      <c r="N368" s="14" t="s">
        <v>32</v>
      </c>
      <c r="O368" s="14"/>
      <c r="P368" s="15" t="s">
        <v>547</v>
      </c>
      <c r="Q368" s="16">
        <v>2799</v>
      </c>
      <c r="R368" s="17">
        <v>45</v>
      </c>
      <c r="S368" s="18">
        <v>1770.3674999999998</v>
      </c>
      <c r="T368" s="19" t="s">
        <v>328</v>
      </c>
      <c r="U368" s="20" t="s">
        <v>550</v>
      </c>
      <c r="V368" s="21">
        <v>29</v>
      </c>
      <c r="W368" s="21">
        <v>2</v>
      </c>
      <c r="X368" s="22"/>
    </row>
    <row r="369" spans="1:24" s="1" customFormat="1" ht="12.95" customHeight="1" x14ac:dyDescent="0.3">
      <c r="A369" s="23" t="s">
        <v>23</v>
      </c>
      <c r="B369" s="23" t="s">
        <v>543</v>
      </c>
      <c r="C369" s="12" t="s">
        <v>544</v>
      </c>
      <c r="D369" s="84"/>
      <c r="E369" s="69" t="str">
        <f t="shared" si="10"/>
        <v>Еще фото</v>
      </c>
      <c r="F369" s="13"/>
      <c r="G369" s="23" t="s">
        <v>545</v>
      </c>
      <c r="H369" s="23" t="s">
        <v>151</v>
      </c>
      <c r="I369" s="23" t="s">
        <v>546</v>
      </c>
      <c r="J369" s="14" t="s">
        <v>29</v>
      </c>
      <c r="K369" s="15" t="s">
        <v>30</v>
      </c>
      <c r="L369" s="87"/>
      <c r="M369" s="14"/>
      <c r="N369" s="14" t="s">
        <v>32</v>
      </c>
      <c r="O369" s="14"/>
      <c r="P369" s="15" t="s">
        <v>547</v>
      </c>
      <c r="Q369" s="16">
        <v>2799</v>
      </c>
      <c r="R369" s="17">
        <v>45</v>
      </c>
      <c r="S369" s="18">
        <v>1770.3674999999998</v>
      </c>
      <c r="T369" s="19" t="s">
        <v>328</v>
      </c>
      <c r="U369" s="20" t="s">
        <v>551</v>
      </c>
      <c r="V369" s="30">
        <v>30.5</v>
      </c>
      <c r="W369" s="21">
        <v>3</v>
      </c>
      <c r="X369" s="22"/>
    </row>
    <row r="370" spans="1:24" s="1" customFormat="1" ht="12.95" customHeight="1" x14ac:dyDescent="0.3">
      <c r="A370" s="23" t="s">
        <v>23</v>
      </c>
      <c r="B370" s="23" t="s">
        <v>543</v>
      </c>
      <c r="C370" s="12" t="s">
        <v>544</v>
      </c>
      <c r="D370" s="84"/>
      <c r="E370" s="69" t="str">
        <f t="shared" si="10"/>
        <v>Еще фото</v>
      </c>
      <c r="F370" s="13"/>
      <c r="G370" s="23" t="s">
        <v>545</v>
      </c>
      <c r="H370" s="23" t="s">
        <v>151</v>
      </c>
      <c r="I370" s="23" t="s">
        <v>546</v>
      </c>
      <c r="J370" s="14" t="s">
        <v>29</v>
      </c>
      <c r="K370" s="15" t="s">
        <v>30</v>
      </c>
      <c r="L370" s="87"/>
      <c r="M370" s="14"/>
      <c r="N370" s="14" t="s">
        <v>32</v>
      </c>
      <c r="O370" s="14"/>
      <c r="P370" s="15" t="s">
        <v>547</v>
      </c>
      <c r="Q370" s="16">
        <v>2799</v>
      </c>
      <c r="R370" s="17">
        <v>45</v>
      </c>
      <c r="S370" s="18">
        <v>1770.3674999999998</v>
      </c>
      <c r="T370" s="19" t="s">
        <v>328</v>
      </c>
      <c r="U370" s="20" t="s">
        <v>552</v>
      </c>
      <c r="V370" s="21">
        <v>32</v>
      </c>
      <c r="W370" s="21">
        <v>3</v>
      </c>
      <c r="X370" s="22"/>
    </row>
    <row r="371" spans="1:24" s="1" customFormat="1" ht="12.95" customHeight="1" x14ac:dyDescent="0.3">
      <c r="A371" s="23" t="s">
        <v>23</v>
      </c>
      <c r="B371" s="23" t="s">
        <v>543</v>
      </c>
      <c r="C371" s="12" t="s">
        <v>544</v>
      </c>
      <c r="D371" s="84"/>
      <c r="E371" s="69" t="str">
        <f t="shared" si="10"/>
        <v>Еще фото</v>
      </c>
      <c r="F371" s="13"/>
      <c r="G371" s="23" t="s">
        <v>545</v>
      </c>
      <c r="H371" s="23" t="s">
        <v>151</v>
      </c>
      <c r="I371" s="23" t="s">
        <v>546</v>
      </c>
      <c r="J371" s="14" t="s">
        <v>29</v>
      </c>
      <c r="K371" s="15" t="s">
        <v>30</v>
      </c>
      <c r="L371" s="87"/>
      <c r="M371" s="14"/>
      <c r="N371" s="14" t="s">
        <v>32</v>
      </c>
      <c r="O371" s="14"/>
      <c r="P371" s="15" t="s">
        <v>547</v>
      </c>
      <c r="Q371" s="16">
        <v>2799</v>
      </c>
      <c r="R371" s="17">
        <v>45</v>
      </c>
      <c r="S371" s="18">
        <v>1770.3674999999998</v>
      </c>
      <c r="T371" s="19" t="s">
        <v>328</v>
      </c>
      <c r="U371" s="20" t="s">
        <v>553</v>
      </c>
      <c r="V371" s="21">
        <v>33</v>
      </c>
      <c r="W371" s="21">
        <v>3</v>
      </c>
      <c r="X371" s="22"/>
    </row>
    <row r="372" spans="1:24" s="1" customFormat="1" ht="18" customHeight="1" x14ac:dyDescent="0.3">
      <c r="A372" s="23" t="s">
        <v>23</v>
      </c>
      <c r="B372" s="23" t="s">
        <v>543</v>
      </c>
      <c r="C372" s="12" t="s">
        <v>544</v>
      </c>
      <c r="D372" s="85"/>
      <c r="E372" s="69" t="str">
        <f t="shared" si="10"/>
        <v>Еще фото</v>
      </c>
      <c r="F372" s="13"/>
      <c r="G372" s="23" t="s">
        <v>545</v>
      </c>
      <c r="H372" s="23" t="s">
        <v>151</v>
      </c>
      <c r="I372" s="23" t="s">
        <v>546</v>
      </c>
      <c r="J372" s="14" t="s">
        <v>29</v>
      </c>
      <c r="K372" s="15" t="s">
        <v>30</v>
      </c>
      <c r="L372" s="88"/>
      <c r="M372" s="14"/>
      <c r="N372" s="14" t="s">
        <v>32</v>
      </c>
      <c r="O372" s="14"/>
      <c r="P372" s="15" t="s">
        <v>547</v>
      </c>
      <c r="Q372" s="16">
        <v>2799</v>
      </c>
      <c r="R372" s="17">
        <v>45</v>
      </c>
      <c r="S372" s="18">
        <v>1770.3674999999998</v>
      </c>
      <c r="T372" s="19" t="s">
        <v>328</v>
      </c>
      <c r="U372" s="20" t="s">
        <v>554</v>
      </c>
      <c r="V372" s="21">
        <v>34</v>
      </c>
      <c r="W372" s="21">
        <v>3</v>
      </c>
      <c r="X372" s="22"/>
    </row>
    <row r="373" spans="1:24" s="1" customFormat="1" ht="12.95" customHeight="1" x14ac:dyDescent="0.3">
      <c r="A373" s="11" t="s">
        <v>23</v>
      </c>
      <c r="B373" s="11" t="s">
        <v>555</v>
      </c>
      <c r="C373" s="12" t="s">
        <v>556</v>
      </c>
      <c r="D373" s="83"/>
      <c r="E373" s="69" t="str">
        <f t="shared" ref="E373:E380" si="11">HYPERLINK("https://www.google.ru/search?q=MC-BB592&amp;newwindow=1&amp;tbm=isch","Еще фото")</f>
        <v>Еще фото</v>
      </c>
      <c r="F373" s="13"/>
      <c r="G373" s="11" t="s">
        <v>557</v>
      </c>
      <c r="H373" s="11" t="s">
        <v>151</v>
      </c>
      <c r="I373" s="14" t="s">
        <v>546</v>
      </c>
      <c r="J373" s="14" t="s">
        <v>29</v>
      </c>
      <c r="K373" s="15" t="s">
        <v>30</v>
      </c>
      <c r="L373" s="86"/>
      <c r="M373" s="14"/>
      <c r="N373" s="14" t="s">
        <v>32</v>
      </c>
      <c r="O373" s="14"/>
      <c r="P373" s="15" t="s">
        <v>558</v>
      </c>
      <c r="Q373" s="16">
        <v>2899</v>
      </c>
      <c r="R373" s="17">
        <v>45</v>
      </c>
      <c r="S373" s="18">
        <v>1833.6174999999998</v>
      </c>
      <c r="T373" s="19" t="s">
        <v>328</v>
      </c>
      <c r="U373" s="26" t="s">
        <v>559</v>
      </c>
      <c r="V373" s="21">
        <v>24</v>
      </c>
      <c r="W373" s="21">
        <v>1</v>
      </c>
      <c r="X373" s="22"/>
    </row>
    <row r="374" spans="1:24" s="1" customFormat="1" ht="12.95" customHeight="1" x14ac:dyDescent="0.3">
      <c r="A374" s="23" t="s">
        <v>23</v>
      </c>
      <c r="B374" s="23" t="s">
        <v>555</v>
      </c>
      <c r="C374" s="12" t="s">
        <v>556</v>
      </c>
      <c r="D374" s="84"/>
      <c r="E374" s="69" t="str">
        <f t="shared" si="11"/>
        <v>Еще фото</v>
      </c>
      <c r="F374" s="13"/>
      <c r="G374" s="23" t="s">
        <v>557</v>
      </c>
      <c r="H374" s="23" t="s">
        <v>151</v>
      </c>
      <c r="I374" s="23" t="s">
        <v>546</v>
      </c>
      <c r="J374" s="14" t="s">
        <v>29</v>
      </c>
      <c r="K374" s="15" t="s">
        <v>30</v>
      </c>
      <c r="L374" s="87"/>
      <c r="M374" s="14"/>
      <c r="N374" s="14" t="s">
        <v>32</v>
      </c>
      <c r="O374" s="14"/>
      <c r="P374" s="15" t="s">
        <v>558</v>
      </c>
      <c r="Q374" s="16">
        <v>2899</v>
      </c>
      <c r="R374" s="17">
        <v>45</v>
      </c>
      <c r="S374" s="18">
        <v>1833.6174999999998</v>
      </c>
      <c r="T374" s="19" t="s">
        <v>328</v>
      </c>
      <c r="U374" s="20" t="s">
        <v>548</v>
      </c>
      <c r="V374" s="30">
        <v>25.5</v>
      </c>
      <c r="W374" s="21">
        <v>1</v>
      </c>
      <c r="X374" s="22"/>
    </row>
    <row r="375" spans="1:24" s="1" customFormat="1" ht="12.95" customHeight="1" x14ac:dyDescent="0.3">
      <c r="A375" s="23" t="s">
        <v>23</v>
      </c>
      <c r="B375" s="23" t="s">
        <v>555</v>
      </c>
      <c r="C375" s="12" t="s">
        <v>556</v>
      </c>
      <c r="D375" s="84"/>
      <c r="E375" s="69" t="str">
        <f t="shared" si="11"/>
        <v>Еще фото</v>
      </c>
      <c r="F375" s="13"/>
      <c r="G375" s="23" t="s">
        <v>557</v>
      </c>
      <c r="H375" s="23" t="s">
        <v>151</v>
      </c>
      <c r="I375" s="23" t="s">
        <v>546</v>
      </c>
      <c r="J375" s="14" t="s">
        <v>29</v>
      </c>
      <c r="K375" s="15" t="s">
        <v>30</v>
      </c>
      <c r="L375" s="87"/>
      <c r="M375" s="14"/>
      <c r="N375" s="14" t="s">
        <v>32</v>
      </c>
      <c r="O375" s="14"/>
      <c r="P375" s="15" t="s">
        <v>558</v>
      </c>
      <c r="Q375" s="16">
        <v>2899</v>
      </c>
      <c r="R375" s="17">
        <v>45</v>
      </c>
      <c r="S375" s="18">
        <v>1833.6174999999998</v>
      </c>
      <c r="T375" s="19" t="s">
        <v>328</v>
      </c>
      <c r="U375" s="20" t="s">
        <v>549</v>
      </c>
      <c r="V375" s="30">
        <v>26.5</v>
      </c>
      <c r="W375" s="21">
        <v>3</v>
      </c>
      <c r="X375" s="22"/>
    </row>
    <row r="376" spans="1:24" s="1" customFormat="1" ht="12.95" customHeight="1" x14ac:dyDescent="0.3">
      <c r="A376" s="23" t="s">
        <v>23</v>
      </c>
      <c r="B376" s="23" t="s">
        <v>555</v>
      </c>
      <c r="C376" s="12" t="s">
        <v>556</v>
      </c>
      <c r="D376" s="84"/>
      <c r="E376" s="69" t="str">
        <f t="shared" si="11"/>
        <v>Еще фото</v>
      </c>
      <c r="F376" s="13"/>
      <c r="G376" s="23" t="s">
        <v>557</v>
      </c>
      <c r="H376" s="23" t="s">
        <v>151</v>
      </c>
      <c r="I376" s="23" t="s">
        <v>546</v>
      </c>
      <c r="J376" s="14" t="s">
        <v>29</v>
      </c>
      <c r="K376" s="15" t="s">
        <v>30</v>
      </c>
      <c r="L376" s="87"/>
      <c r="M376" s="14"/>
      <c r="N376" s="14" t="s">
        <v>32</v>
      </c>
      <c r="O376" s="14"/>
      <c r="P376" s="15" t="s">
        <v>558</v>
      </c>
      <c r="Q376" s="16">
        <v>2899</v>
      </c>
      <c r="R376" s="17">
        <v>45</v>
      </c>
      <c r="S376" s="18">
        <v>1833.6174999999998</v>
      </c>
      <c r="T376" s="19" t="s">
        <v>328</v>
      </c>
      <c r="U376" s="20" t="s">
        <v>550</v>
      </c>
      <c r="V376" s="21">
        <v>29</v>
      </c>
      <c r="W376" s="21">
        <v>2</v>
      </c>
      <c r="X376" s="22"/>
    </row>
    <row r="377" spans="1:24" s="1" customFormat="1" ht="12.95" customHeight="1" x14ac:dyDescent="0.3">
      <c r="A377" s="23" t="s">
        <v>23</v>
      </c>
      <c r="B377" s="23" t="s">
        <v>555</v>
      </c>
      <c r="C377" s="12" t="s">
        <v>556</v>
      </c>
      <c r="D377" s="84"/>
      <c r="E377" s="69" t="str">
        <f t="shared" si="11"/>
        <v>Еще фото</v>
      </c>
      <c r="F377" s="13"/>
      <c r="G377" s="23" t="s">
        <v>557</v>
      </c>
      <c r="H377" s="23" t="s">
        <v>151</v>
      </c>
      <c r="I377" s="23" t="s">
        <v>546</v>
      </c>
      <c r="J377" s="14" t="s">
        <v>29</v>
      </c>
      <c r="K377" s="15" t="s">
        <v>30</v>
      </c>
      <c r="L377" s="87"/>
      <c r="M377" s="14"/>
      <c r="N377" s="14" t="s">
        <v>32</v>
      </c>
      <c r="O377" s="14"/>
      <c r="P377" s="15" t="s">
        <v>558</v>
      </c>
      <c r="Q377" s="16">
        <v>2899</v>
      </c>
      <c r="R377" s="17">
        <v>45</v>
      </c>
      <c r="S377" s="18">
        <v>1833.6174999999998</v>
      </c>
      <c r="T377" s="19" t="s">
        <v>328</v>
      </c>
      <c r="U377" s="20" t="s">
        <v>551</v>
      </c>
      <c r="V377" s="30">
        <v>30.5</v>
      </c>
      <c r="W377" s="21">
        <v>3</v>
      </c>
      <c r="X377" s="22"/>
    </row>
    <row r="378" spans="1:24" s="1" customFormat="1" ht="12.95" customHeight="1" x14ac:dyDescent="0.3">
      <c r="A378" s="23" t="s">
        <v>23</v>
      </c>
      <c r="B378" s="23" t="s">
        <v>555</v>
      </c>
      <c r="C378" s="12" t="s">
        <v>556</v>
      </c>
      <c r="D378" s="84"/>
      <c r="E378" s="69" t="str">
        <f t="shared" si="11"/>
        <v>Еще фото</v>
      </c>
      <c r="F378" s="13"/>
      <c r="G378" s="23" t="s">
        <v>557</v>
      </c>
      <c r="H378" s="23" t="s">
        <v>151</v>
      </c>
      <c r="I378" s="23" t="s">
        <v>546</v>
      </c>
      <c r="J378" s="14" t="s">
        <v>29</v>
      </c>
      <c r="K378" s="15" t="s">
        <v>30</v>
      </c>
      <c r="L378" s="87"/>
      <c r="M378" s="14"/>
      <c r="N378" s="14" t="s">
        <v>32</v>
      </c>
      <c r="O378" s="14"/>
      <c r="P378" s="15" t="s">
        <v>558</v>
      </c>
      <c r="Q378" s="16">
        <v>2899</v>
      </c>
      <c r="R378" s="17">
        <v>45</v>
      </c>
      <c r="S378" s="18">
        <v>1833.6174999999998</v>
      </c>
      <c r="T378" s="19" t="s">
        <v>328</v>
      </c>
      <c r="U378" s="20" t="s">
        <v>552</v>
      </c>
      <c r="V378" s="21">
        <v>32</v>
      </c>
      <c r="W378" s="21">
        <v>3</v>
      </c>
      <c r="X378" s="22"/>
    </row>
    <row r="379" spans="1:24" s="1" customFormat="1" ht="12.95" customHeight="1" x14ac:dyDescent="0.3">
      <c r="A379" s="23" t="s">
        <v>23</v>
      </c>
      <c r="B379" s="23" t="s">
        <v>555</v>
      </c>
      <c r="C379" s="12" t="s">
        <v>556</v>
      </c>
      <c r="D379" s="84"/>
      <c r="E379" s="69" t="str">
        <f t="shared" si="11"/>
        <v>Еще фото</v>
      </c>
      <c r="F379" s="13"/>
      <c r="G379" s="23" t="s">
        <v>557</v>
      </c>
      <c r="H379" s="23" t="s">
        <v>151</v>
      </c>
      <c r="I379" s="23" t="s">
        <v>546</v>
      </c>
      <c r="J379" s="14" t="s">
        <v>29</v>
      </c>
      <c r="K379" s="15" t="s">
        <v>30</v>
      </c>
      <c r="L379" s="87"/>
      <c r="M379" s="14"/>
      <c r="N379" s="14" t="s">
        <v>32</v>
      </c>
      <c r="O379" s="14"/>
      <c r="P379" s="15" t="s">
        <v>558</v>
      </c>
      <c r="Q379" s="16">
        <v>2899</v>
      </c>
      <c r="R379" s="17">
        <v>45</v>
      </c>
      <c r="S379" s="18">
        <v>1833.6174999999998</v>
      </c>
      <c r="T379" s="19" t="s">
        <v>328</v>
      </c>
      <c r="U379" s="20" t="s">
        <v>553</v>
      </c>
      <c r="V379" s="21">
        <v>33</v>
      </c>
      <c r="W379" s="21">
        <v>3</v>
      </c>
      <c r="X379" s="22"/>
    </row>
    <row r="380" spans="1:24" s="1" customFormat="1" ht="18" customHeight="1" x14ac:dyDescent="0.3">
      <c r="A380" s="23" t="s">
        <v>23</v>
      </c>
      <c r="B380" s="23" t="s">
        <v>555</v>
      </c>
      <c r="C380" s="12" t="s">
        <v>556</v>
      </c>
      <c r="D380" s="85"/>
      <c r="E380" s="69" t="str">
        <f t="shared" si="11"/>
        <v>Еще фото</v>
      </c>
      <c r="F380" s="13"/>
      <c r="G380" s="23" t="s">
        <v>557</v>
      </c>
      <c r="H380" s="23" t="s">
        <v>151</v>
      </c>
      <c r="I380" s="23" t="s">
        <v>546</v>
      </c>
      <c r="J380" s="14" t="s">
        <v>29</v>
      </c>
      <c r="K380" s="15" t="s">
        <v>30</v>
      </c>
      <c r="L380" s="88"/>
      <c r="M380" s="14"/>
      <c r="N380" s="14" t="s">
        <v>32</v>
      </c>
      <c r="O380" s="14"/>
      <c r="P380" s="15" t="s">
        <v>558</v>
      </c>
      <c r="Q380" s="16">
        <v>2899</v>
      </c>
      <c r="R380" s="17">
        <v>45</v>
      </c>
      <c r="S380" s="18">
        <v>1833.6174999999998</v>
      </c>
      <c r="T380" s="19" t="s">
        <v>328</v>
      </c>
      <c r="U380" s="20" t="s">
        <v>554</v>
      </c>
      <c r="V380" s="21">
        <v>34</v>
      </c>
      <c r="W380" s="21">
        <v>2</v>
      </c>
      <c r="X380" s="22"/>
    </row>
    <row r="381" spans="1:24" s="1" customFormat="1" ht="26.1" customHeight="1" x14ac:dyDescent="0.3">
      <c r="A381" s="11" t="s">
        <v>23</v>
      </c>
      <c r="B381" s="11" t="s">
        <v>543</v>
      </c>
      <c r="C381" s="12" t="s">
        <v>560</v>
      </c>
      <c r="D381" s="83"/>
      <c r="E381" s="69" t="str">
        <f>HYPERLINK("https://www.google.ru/search?q=MC-BB633&amp;newwindow=1&amp;tbm=isch","Еще фото")</f>
        <v>Еще фото</v>
      </c>
      <c r="F381" s="13"/>
      <c r="G381" s="11" t="s">
        <v>545</v>
      </c>
      <c r="H381" s="11" t="s">
        <v>151</v>
      </c>
      <c r="I381" s="14" t="s">
        <v>546</v>
      </c>
      <c r="J381" s="14" t="s">
        <v>29</v>
      </c>
      <c r="K381" s="15" t="s">
        <v>30</v>
      </c>
      <c r="L381" s="86"/>
      <c r="M381" s="14"/>
      <c r="N381" s="14" t="s">
        <v>32</v>
      </c>
      <c r="O381" s="14"/>
      <c r="P381" s="15" t="s">
        <v>547</v>
      </c>
      <c r="Q381" s="16">
        <v>2799</v>
      </c>
      <c r="R381" s="17">
        <v>45</v>
      </c>
      <c r="S381" s="18">
        <v>1770.3674999999998</v>
      </c>
      <c r="T381" s="19" t="s">
        <v>328</v>
      </c>
      <c r="U381" s="20" t="s">
        <v>548</v>
      </c>
      <c r="V381" s="30">
        <v>25.5</v>
      </c>
      <c r="W381" s="21">
        <v>4</v>
      </c>
      <c r="X381" s="22"/>
    </row>
    <row r="382" spans="1:24" s="1" customFormat="1" ht="26.1" customHeight="1" x14ac:dyDescent="0.3">
      <c r="A382" s="23" t="s">
        <v>23</v>
      </c>
      <c r="B382" s="23" t="s">
        <v>543</v>
      </c>
      <c r="C382" s="12" t="s">
        <v>560</v>
      </c>
      <c r="D382" s="84"/>
      <c r="E382" s="69" t="str">
        <f>HYPERLINK("https://www.google.ru/search?q=MC-BB633&amp;newwindow=1&amp;tbm=isch","Еще фото")</f>
        <v>Еще фото</v>
      </c>
      <c r="F382" s="13"/>
      <c r="G382" s="23" t="s">
        <v>545</v>
      </c>
      <c r="H382" s="23" t="s">
        <v>151</v>
      </c>
      <c r="I382" s="23" t="s">
        <v>546</v>
      </c>
      <c r="J382" s="14" t="s">
        <v>29</v>
      </c>
      <c r="K382" s="15" t="s">
        <v>30</v>
      </c>
      <c r="L382" s="87"/>
      <c r="M382" s="14"/>
      <c r="N382" s="14" t="s">
        <v>32</v>
      </c>
      <c r="O382" s="14"/>
      <c r="P382" s="15" t="s">
        <v>547</v>
      </c>
      <c r="Q382" s="16">
        <v>2799</v>
      </c>
      <c r="R382" s="17">
        <v>45</v>
      </c>
      <c r="S382" s="18">
        <v>1770.3674999999998</v>
      </c>
      <c r="T382" s="19" t="s">
        <v>328</v>
      </c>
      <c r="U382" s="20" t="s">
        <v>549</v>
      </c>
      <c r="V382" s="30">
        <v>26.5</v>
      </c>
      <c r="W382" s="21">
        <v>3</v>
      </c>
      <c r="X382" s="22"/>
    </row>
    <row r="383" spans="1:24" s="1" customFormat="1" ht="26.1" customHeight="1" x14ac:dyDescent="0.3">
      <c r="A383" s="23" t="s">
        <v>23</v>
      </c>
      <c r="B383" s="23" t="s">
        <v>543</v>
      </c>
      <c r="C383" s="12" t="s">
        <v>560</v>
      </c>
      <c r="D383" s="84"/>
      <c r="E383" s="69" t="str">
        <f>HYPERLINK("https://www.google.ru/search?q=MC-BB633&amp;newwindow=1&amp;tbm=isch","Еще фото")</f>
        <v>Еще фото</v>
      </c>
      <c r="F383" s="13"/>
      <c r="G383" s="23" t="s">
        <v>545</v>
      </c>
      <c r="H383" s="23" t="s">
        <v>151</v>
      </c>
      <c r="I383" s="23" t="s">
        <v>546</v>
      </c>
      <c r="J383" s="14" t="s">
        <v>29</v>
      </c>
      <c r="K383" s="15" t="s">
        <v>30</v>
      </c>
      <c r="L383" s="87"/>
      <c r="M383" s="14"/>
      <c r="N383" s="14" t="s">
        <v>32</v>
      </c>
      <c r="O383" s="14"/>
      <c r="P383" s="15" t="s">
        <v>547</v>
      </c>
      <c r="Q383" s="16">
        <v>2799</v>
      </c>
      <c r="R383" s="17">
        <v>45</v>
      </c>
      <c r="S383" s="18">
        <v>1770.3674999999998</v>
      </c>
      <c r="T383" s="19" t="s">
        <v>328</v>
      </c>
      <c r="U383" s="20" t="s">
        <v>142</v>
      </c>
      <c r="V383" s="21">
        <v>28</v>
      </c>
      <c r="W383" s="21">
        <v>4</v>
      </c>
      <c r="X383" s="22"/>
    </row>
    <row r="384" spans="1:24" s="1" customFormat="1" ht="26.1" customHeight="1" x14ac:dyDescent="0.3">
      <c r="A384" s="23" t="s">
        <v>23</v>
      </c>
      <c r="B384" s="23" t="s">
        <v>543</v>
      </c>
      <c r="C384" s="12" t="s">
        <v>560</v>
      </c>
      <c r="D384" s="85"/>
      <c r="E384" s="69" t="str">
        <f>HYPERLINK("https://www.google.ru/search?q=MC-BB633&amp;newwindow=1&amp;tbm=isch","Еще фото")</f>
        <v>Еще фото</v>
      </c>
      <c r="F384" s="13"/>
      <c r="G384" s="23" t="s">
        <v>545</v>
      </c>
      <c r="H384" s="23" t="s">
        <v>151</v>
      </c>
      <c r="I384" s="23" t="s">
        <v>546</v>
      </c>
      <c r="J384" s="14" t="s">
        <v>29</v>
      </c>
      <c r="K384" s="15" t="s">
        <v>30</v>
      </c>
      <c r="L384" s="88"/>
      <c r="M384" s="14"/>
      <c r="N384" s="14" t="s">
        <v>32</v>
      </c>
      <c r="O384" s="14"/>
      <c r="P384" s="15" t="s">
        <v>547</v>
      </c>
      <c r="Q384" s="16">
        <v>2799</v>
      </c>
      <c r="R384" s="17">
        <v>45</v>
      </c>
      <c r="S384" s="18">
        <v>1770.3674999999998</v>
      </c>
      <c r="T384" s="19" t="s">
        <v>328</v>
      </c>
      <c r="U384" s="20" t="s">
        <v>550</v>
      </c>
      <c r="V384" s="21">
        <v>29</v>
      </c>
      <c r="W384" s="21">
        <v>3</v>
      </c>
      <c r="X384" s="22"/>
    </row>
    <row r="385" spans="1:24" s="1" customFormat="1" ht="35.1" customHeight="1" x14ac:dyDescent="0.3">
      <c r="A385" s="11" t="s">
        <v>23</v>
      </c>
      <c r="B385" s="11" t="s">
        <v>561</v>
      </c>
      <c r="C385" s="12" t="s">
        <v>562</v>
      </c>
      <c r="D385" s="83"/>
      <c r="E385" s="69" t="str">
        <f>HYPERLINK("https://www.google.ru/search?q=MC-CA428&amp;newwindow=1&amp;tbm=isch","Еще фото")</f>
        <v>Еще фото</v>
      </c>
      <c r="F385" s="13"/>
      <c r="G385" s="11" t="s">
        <v>563</v>
      </c>
      <c r="H385" s="11" t="s">
        <v>27</v>
      </c>
      <c r="I385" s="14" t="s">
        <v>564</v>
      </c>
      <c r="J385" s="14" t="s">
        <v>29</v>
      </c>
      <c r="K385" s="15" t="s">
        <v>30</v>
      </c>
      <c r="L385" s="86" t="s">
        <v>565</v>
      </c>
      <c r="M385" s="14"/>
      <c r="N385" s="14" t="s">
        <v>49</v>
      </c>
      <c r="O385" s="14"/>
      <c r="P385" s="15" t="s">
        <v>90</v>
      </c>
      <c r="Q385" s="16">
        <v>6099</v>
      </c>
      <c r="R385" s="17">
        <v>45</v>
      </c>
      <c r="S385" s="18">
        <v>3857.6174999999994</v>
      </c>
      <c r="T385" s="19" t="s">
        <v>34</v>
      </c>
      <c r="U385" s="20" t="s">
        <v>77</v>
      </c>
      <c r="V385" s="21">
        <v>92</v>
      </c>
      <c r="W385" s="21">
        <v>1</v>
      </c>
      <c r="X385" s="22"/>
    </row>
    <row r="386" spans="1:24" s="1" customFormat="1" ht="35.1" customHeight="1" x14ac:dyDescent="0.3">
      <c r="A386" s="23" t="s">
        <v>23</v>
      </c>
      <c r="B386" s="23" t="s">
        <v>561</v>
      </c>
      <c r="C386" s="12" t="s">
        <v>562</v>
      </c>
      <c r="D386" s="84"/>
      <c r="E386" s="69" t="str">
        <f>HYPERLINK("https://www.google.ru/search?q=MC-CA428&amp;newwindow=1&amp;tbm=isch","Еще фото")</f>
        <v>Еще фото</v>
      </c>
      <c r="F386" s="13"/>
      <c r="G386" s="23" t="s">
        <v>563</v>
      </c>
      <c r="H386" s="23" t="s">
        <v>27</v>
      </c>
      <c r="I386" s="23" t="s">
        <v>564</v>
      </c>
      <c r="J386" s="14" t="s">
        <v>29</v>
      </c>
      <c r="K386" s="15" t="s">
        <v>30</v>
      </c>
      <c r="L386" s="87"/>
      <c r="M386" s="14"/>
      <c r="N386" s="14" t="s">
        <v>49</v>
      </c>
      <c r="O386" s="14"/>
      <c r="P386" s="15" t="s">
        <v>90</v>
      </c>
      <c r="Q386" s="16">
        <v>6099</v>
      </c>
      <c r="R386" s="17">
        <v>45</v>
      </c>
      <c r="S386" s="18">
        <v>3857.6174999999994</v>
      </c>
      <c r="T386" s="19" t="s">
        <v>34</v>
      </c>
      <c r="U386" s="20" t="s">
        <v>78</v>
      </c>
      <c r="V386" s="21">
        <v>98</v>
      </c>
      <c r="W386" s="21">
        <v>1</v>
      </c>
      <c r="X386" s="22"/>
    </row>
    <row r="387" spans="1:24" s="1" customFormat="1" ht="36.950000000000003" customHeight="1" x14ac:dyDescent="0.3">
      <c r="A387" s="23" t="s">
        <v>23</v>
      </c>
      <c r="B387" s="23" t="s">
        <v>561</v>
      </c>
      <c r="C387" s="12" t="s">
        <v>562</v>
      </c>
      <c r="D387" s="85"/>
      <c r="E387" s="69" t="str">
        <f>HYPERLINK("https://www.google.ru/search?q=MC-CA428&amp;newwindow=1&amp;tbm=isch","Еще фото")</f>
        <v>Еще фото</v>
      </c>
      <c r="F387" s="13"/>
      <c r="G387" s="23" t="s">
        <v>563</v>
      </c>
      <c r="H387" s="23" t="s">
        <v>27</v>
      </c>
      <c r="I387" s="23" t="s">
        <v>564</v>
      </c>
      <c r="J387" s="14" t="s">
        <v>29</v>
      </c>
      <c r="K387" s="15" t="s">
        <v>30</v>
      </c>
      <c r="L387" s="88"/>
      <c r="M387" s="14"/>
      <c r="N387" s="14" t="s">
        <v>49</v>
      </c>
      <c r="O387" s="14"/>
      <c r="P387" s="15" t="s">
        <v>90</v>
      </c>
      <c r="Q387" s="16">
        <v>6099</v>
      </c>
      <c r="R387" s="17">
        <v>45</v>
      </c>
      <c r="S387" s="18">
        <v>3857.6174999999994</v>
      </c>
      <c r="T387" s="19" t="s">
        <v>34</v>
      </c>
      <c r="U387" s="20" t="s">
        <v>43</v>
      </c>
      <c r="V387" s="21">
        <v>110</v>
      </c>
      <c r="W387" s="21">
        <v>2</v>
      </c>
      <c r="X387" s="22"/>
    </row>
    <row r="388" spans="1:24" s="1" customFormat="1" ht="108" customHeight="1" x14ac:dyDescent="0.3">
      <c r="A388" s="11" t="s">
        <v>44</v>
      </c>
      <c r="B388" s="11" t="s">
        <v>566</v>
      </c>
      <c r="C388" s="12" t="s">
        <v>567</v>
      </c>
      <c r="D388" s="24"/>
      <c r="E388" s="69" t="str">
        <f>HYPERLINK("https://www.google.ru/search?q=FW6231152-BLK&amp;newwindow=1&amp;tbm=isch","Еще фото")</f>
        <v>Еще фото</v>
      </c>
      <c r="F388" s="13"/>
      <c r="G388" s="11" t="s">
        <v>568</v>
      </c>
      <c r="H388" s="11" t="s">
        <v>27</v>
      </c>
      <c r="I388" s="14" t="s">
        <v>569</v>
      </c>
      <c r="J388" s="14" t="s">
        <v>29</v>
      </c>
      <c r="K388" s="15" t="s">
        <v>47</v>
      </c>
      <c r="L388" s="14" t="s">
        <v>570</v>
      </c>
      <c r="M388" s="14"/>
      <c r="N388" s="14" t="s">
        <v>49</v>
      </c>
      <c r="O388" s="14"/>
      <c r="P388" s="15" t="s">
        <v>571</v>
      </c>
      <c r="Q388" s="16">
        <v>6299</v>
      </c>
      <c r="R388" s="17">
        <v>93.21</v>
      </c>
      <c r="S388" s="29">
        <v>491.93549999999993</v>
      </c>
      <c r="T388" s="19" t="s">
        <v>51</v>
      </c>
      <c r="U388" s="20" t="s">
        <v>58</v>
      </c>
      <c r="V388" s="25" t="s">
        <v>68</v>
      </c>
      <c r="W388" s="21">
        <v>3</v>
      </c>
      <c r="X388" s="22"/>
    </row>
    <row r="389" spans="1:24" s="1" customFormat="1" ht="108" customHeight="1" x14ac:dyDescent="0.3">
      <c r="A389" s="11" t="s">
        <v>23</v>
      </c>
      <c r="B389" s="11" t="s">
        <v>572</v>
      </c>
      <c r="C389" s="12" t="s">
        <v>573</v>
      </c>
      <c r="D389" s="24"/>
      <c r="E389" s="69" t="str">
        <f>HYPERLINK("https://www.google.ru/search?q=MC-CA407&amp;newwindow=1&amp;tbm=isch","Еще фото")</f>
        <v>Еще фото</v>
      </c>
      <c r="F389" s="13"/>
      <c r="G389" s="11" t="s">
        <v>574</v>
      </c>
      <c r="H389" s="11" t="s">
        <v>27</v>
      </c>
      <c r="I389" s="14" t="s">
        <v>569</v>
      </c>
      <c r="J389" s="14" t="s">
        <v>29</v>
      </c>
      <c r="K389" s="15" t="s">
        <v>30</v>
      </c>
      <c r="L389" s="14" t="s">
        <v>575</v>
      </c>
      <c r="M389" s="14" t="s">
        <v>73</v>
      </c>
      <c r="N389" s="14" t="s">
        <v>576</v>
      </c>
      <c r="O389" s="14"/>
      <c r="P389" s="15" t="s">
        <v>76</v>
      </c>
      <c r="Q389" s="16">
        <v>4899</v>
      </c>
      <c r="R389" s="17">
        <v>86.37</v>
      </c>
      <c r="S389" s="29">
        <v>767.93549999999993</v>
      </c>
      <c r="T389" s="19" t="s">
        <v>34</v>
      </c>
      <c r="U389" s="20" t="s">
        <v>77</v>
      </c>
      <c r="V389" s="21">
        <v>92</v>
      </c>
      <c r="W389" s="21">
        <v>2</v>
      </c>
      <c r="X389" s="22"/>
    </row>
    <row r="390" spans="1:24" s="1" customFormat="1" ht="26.1" customHeight="1" x14ac:dyDescent="0.3">
      <c r="A390" s="11" t="s">
        <v>23</v>
      </c>
      <c r="B390" s="11" t="s">
        <v>572</v>
      </c>
      <c r="C390" s="12" t="s">
        <v>577</v>
      </c>
      <c r="D390" s="83"/>
      <c r="E390" s="69" t="str">
        <f>HYPERLINK("https://www.google.ru/search?q=MC-BA805&amp;newwindow=1&amp;tbm=isch","Еще фото")</f>
        <v>Еще фото</v>
      </c>
      <c r="F390" s="13"/>
      <c r="G390" s="11" t="s">
        <v>574</v>
      </c>
      <c r="H390" s="11" t="s">
        <v>27</v>
      </c>
      <c r="I390" s="14" t="s">
        <v>569</v>
      </c>
      <c r="J390" s="14" t="s">
        <v>29</v>
      </c>
      <c r="K390" s="15" t="s">
        <v>30</v>
      </c>
      <c r="L390" s="86" t="s">
        <v>578</v>
      </c>
      <c r="M390" s="14"/>
      <c r="N390" s="14" t="s">
        <v>32</v>
      </c>
      <c r="O390" s="14"/>
      <c r="P390" s="15" t="s">
        <v>90</v>
      </c>
      <c r="Q390" s="16">
        <v>5199</v>
      </c>
      <c r="R390" s="17">
        <v>77.349999999999994</v>
      </c>
      <c r="S390" s="18">
        <v>1354.4354999999998</v>
      </c>
      <c r="T390" s="19" t="s">
        <v>34</v>
      </c>
      <c r="U390" s="20" t="s">
        <v>94</v>
      </c>
      <c r="V390" s="21">
        <v>104</v>
      </c>
      <c r="W390" s="21">
        <v>3</v>
      </c>
      <c r="X390" s="22"/>
    </row>
    <row r="391" spans="1:24" s="1" customFormat="1" ht="26.1" customHeight="1" x14ac:dyDescent="0.3">
      <c r="A391" s="23" t="s">
        <v>23</v>
      </c>
      <c r="B391" s="23" t="s">
        <v>572</v>
      </c>
      <c r="C391" s="12" t="s">
        <v>577</v>
      </c>
      <c r="D391" s="84"/>
      <c r="E391" s="69" t="str">
        <f>HYPERLINK("https://www.google.ru/search?q=MC-BA805&amp;newwindow=1&amp;tbm=isch","Еще фото")</f>
        <v>Еще фото</v>
      </c>
      <c r="F391" s="13"/>
      <c r="G391" s="23" t="s">
        <v>574</v>
      </c>
      <c r="H391" s="23" t="s">
        <v>27</v>
      </c>
      <c r="I391" s="23" t="s">
        <v>569</v>
      </c>
      <c r="J391" s="14" t="s">
        <v>29</v>
      </c>
      <c r="K391" s="15" t="s">
        <v>30</v>
      </c>
      <c r="L391" s="87"/>
      <c r="M391" s="14"/>
      <c r="N391" s="14" t="s">
        <v>32</v>
      </c>
      <c r="O391" s="14"/>
      <c r="P391" s="15" t="s">
        <v>90</v>
      </c>
      <c r="Q391" s="16">
        <v>5199</v>
      </c>
      <c r="R391" s="17">
        <v>77.349999999999994</v>
      </c>
      <c r="S391" s="18">
        <v>1354.4354999999998</v>
      </c>
      <c r="T391" s="19" t="s">
        <v>34</v>
      </c>
      <c r="U391" s="20" t="s">
        <v>35</v>
      </c>
      <c r="V391" s="21">
        <v>116</v>
      </c>
      <c r="W391" s="21">
        <v>5</v>
      </c>
      <c r="X391" s="22"/>
    </row>
    <row r="392" spans="1:24" s="1" customFormat="1" ht="26.1" customHeight="1" x14ac:dyDescent="0.3">
      <c r="A392" s="23" t="s">
        <v>23</v>
      </c>
      <c r="B392" s="23" t="s">
        <v>572</v>
      </c>
      <c r="C392" s="12" t="s">
        <v>577</v>
      </c>
      <c r="D392" s="84"/>
      <c r="E392" s="69" t="str">
        <f>HYPERLINK("https://www.google.ru/search?q=MC-BA805&amp;newwindow=1&amp;tbm=isch","Еще фото")</f>
        <v>Еще фото</v>
      </c>
      <c r="F392" s="13"/>
      <c r="G392" s="23" t="s">
        <v>574</v>
      </c>
      <c r="H392" s="23" t="s">
        <v>27</v>
      </c>
      <c r="I392" s="23" t="s">
        <v>569</v>
      </c>
      <c r="J392" s="14" t="s">
        <v>29</v>
      </c>
      <c r="K392" s="15" t="s">
        <v>30</v>
      </c>
      <c r="L392" s="87"/>
      <c r="M392" s="14"/>
      <c r="N392" s="14" t="s">
        <v>32</v>
      </c>
      <c r="O392" s="14"/>
      <c r="P392" s="15" t="s">
        <v>90</v>
      </c>
      <c r="Q392" s="16">
        <v>5199</v>
      </c>
      <c r="R392" s="17">
        <v>77.349999999999994</v>
      </c>
      <c r="S392" s="18">
        <v>1354.4354999999998</v>
      </c>
      <c r="T392" s="19" t="s">
        <v>34</v>
      </c>
      <c r="U392" s="20" t="s">
        <v>36</v>
      </c>
      <c r="V392" s="21">
        <v>122</v>
      </c>
      <c r="W392" s="21">
        <v>1</v>
      </c>
      <c r="X392" s="22"/>
    </row>
    <row r="393" spans="1:24" s="1" customFormat="1" ht="26.1" customHeight="1" x14ac:dyDescent="0.3">
      <c r="A393" s="23" t="s">
        <v>23</v>
      </c>
      <c r="B393" s="23" t="s">
        <v>572</v>
      </c>
      <c r="C393" s="12" t="s">
        <v>577</v>
      </c>
      <c r="D393" s="85"/>
      <c r="E393" s="69" t="str">
        <f>HYPERLINK("https://www.google.ru/search?q=MC-BA805&amp;newwindow=1&amp;tbm=isch","Еще фото")</f>
        <v>Еще фото</v>
      </c>
      <c r="F393" s="13"/>
      <c r="G393" s="23" t="s">
        <v>574</v>
      </c>
      <c r="H393" s="23" t="s">
        <v>27</v>
      </c>
      <c r="I393" s="23" t="s">
        <v>569</v>
      </c>
      <c r="J393" s="14" t="s">
        <v>29</v>
      </c>
      <c r="K393" s="15" t="s">
        <v>30</v>
      </c>
      <c r="L393" s="88"/>
      <c r="M393" s="14"/>
      <c r="N393" s="14" t="s">
        <v>32</v>
      </c>
      <c r="O393" s="14"/>
      <c r="P393" s="15" t="s">
        <v>90</v>
      </c>
      <c r="Q393" s="16">
        <v>5199</v>
      </c>
      <c r="R393" s="17">
        <v>77.349999999999994</v>
      </c>
      <c r="S393" s="18">
        <v>1354.4354999999998</v>
      </c>
      <c r="T393" s="19" t="s">
        <v>34</v>
      </c>
      <c r="U393" s="20" t="s">
        <v>290</v>
      </c>
      <c r="V393" s="21">
        <v>140</v>
      </c>
      <c r="W393" s="21">
        <v>1</v>
      </c>
      <c r="X393" s="22"/>
    </row>
    <row r="394" spans="1:24" s="1" customFormat="1" ht="51.95" customHeight="1" x14ac:dyDescent="0.3">
      <c r="A394" s="11" t="s">
        <v>23</v>
      </c>
      <c r="B394" s="11" t="s">
        <v>579</v>
      </c>
      <c r="C394" s="12" t="s">
        <v>580</v>
      </c>
      <c r="D394" s="89"/>
      <c r="E394" s="69" t="str">
        <f>HYPERLINK("https://www.google.ru/search?q=MC-CA406&amp;newwindow=1&amp;tbm=isch","Еще фото")</f>
        <v>Еще фото</v>
      </c>
      <c r="F394" s="13"/>
      <c r="G394" s="11" t="s">
        <v>568</v>
      </c>
      <c r="H394" s="11" t="s">
        <v>27</v>
      </c>
      <c r="I394" s="14" t="s">
        <v>569</v>
      </c>
      <c r="J394" s="14" t="s">
        <v>29</v>
      </c>
      <c r="K394" s="15" t="s">
        <v>30</v>
      </c>
      <c r="L394" s="86" t="s">
        <v>581</v>
      </c>
      <c r="M394" s="14"/>
      <c r="N394" s="14" t="s">
        <v>275</v>
      </c>
      <c r="O394" s="14"/>
      <c r="P394" s="15" t="s">
        <v>76</v>
      </c>
      <c r="Q394" s="16">
        <v>3099</v>
      </c>
      <c r="R394" s="17">
        <v>74.58</v>
      </c>
      <c r="S394" s="29">
        <v>905.93549999999993</v>
      </c>
      <c r="T394" s="19" t="s">
        <v>34</v>
      </c>
      <c r="U394" s="20" t="s">
        <v>43</v>
      </c>
      <c r="V394" s="21">
        <v>110</v>
      </c>
      <c r="W394" s="21">
        <v>3</v>
      </c>
      <c r="X394" s="22"/>
    </row>
    <row r="395" spans="1:24" s="1" customFormat="1" ht="60.95" customHeight="1" x14ac:dyDescent="0.3">
      <c r="A395" s="23" t="s">
        <v>23</v>
      </c>
      <c r="B395" s="23" t="s">
        <v>579</v>
      </c>
      <c r="C395" s="12" t="s">
        <v>580</v>
      </c>
      <c r="D395" s="90"/>
      <c r="E395" s="69" t="str">
        <f>HYPERLINK("https://www.google.ru/search?q=MC-CA406&amp;newwindow=1&amp;tbm=isch","Еще фото")</f>
        <v>Еще фото</v>
      </c>
      <c r="F395" s="13"/>
      <c r="G395" s="23" t="s">
        <v>568</v>
      </c>
      <c r="H395" s="23" t="s">
        <v>27</v>
      </c>
      <c r="I395" s="23" t="s">
        <v>569</v>
      </c>
      <c r="J395" s="14" t="s">
        <v>29</v>
      </c>
      <c r="K395" s="15" t="s">
        <v>30</v>
      </c>
      <c r="L395" s="88"/>
      <c r="M395" s="14"/>
      <c r="N395" s="14" t="s">
        <v>275</v>
      </c>
      <c r="O395" s="14"/>
      <c r="P395" s="15" t="s">
        <v>76</v>
      </c>
      <c r="Q395" s="16">
        <v>3099</v>
      </c>
      <c r="R395" s="17">
        <v>74.58</v>
      </c>
      <c r="S395" s="29">
        <v>905.93549999999993</v>
      </c>
      <c r="T395" s="19" t="s">
        <v>34</v>
      </c>
      <c r="U395" s="20" t="s">
        <v>91</v>
      </c>
      <c r="V395" s="21">
        <v>134</v>
      </c>
      <c r="W395" s="21">
        <v>4</v>
      </c>
      <c r="X395" s="22"/>
    </row>
    <row r="396" spans="1:24" s="1" customFormat="1" ht="26.1" customHeight="1" x14ac:dyDescent="0.3">
      <c r="A396" s="11" t="s">
        <v>23</v>
      </c>
      <c r="B396" s="11" t="s">
        <v>579</v>
      </c>
      <c r="C396" s="12" t="s">
        <v>582</v>
      </c>
      <c r="D396" s="83"/>
      <c r="E396" s="69" t="str">
        <f>HYPERLINK("https://www.google.ru/search?q=MC-CD159&amp;newwindow=1&amp;tbm=isch","Еще фото")</f>
        <v>Еще фото</v>
      </c>
      <c r="F396" s="13"/>
      <c r="G396" s="11" t="s">
        <v>568</v>
      </c>
      <c r="H396" s="11" t="s">
        <v>27</v>
      </c>
      <c r="I396" s="14" t="s">
        <v>569</v>
      </c>
      <c r="J396" s="14" t="s">
        <v>29</v>
      </c>
      <c r="K396" s="15" t="s">
        <v>30</v>
      </c>
      <c r="L396" s="86" t="s">
        <v>583</v>
      </c>
      <c r="M396" s="14"/>
      <c r="N396" s="14" t="s">
        <v>265</v>
      </c>
      <c r="O396" s="14"/>
      <c r="P396" s="15" t="s">
        <v>76</v>
      </c>
      <c r="Q396" s="16">
        <v>2999</v>
      </c>
      <c r="R396" s="17">
        <v>74.400000000000006</v>
      </c>
      <c r="S396" s="29">
        <v>882.93549999999993</v>
      </c>
      <c r="T396" s="19" t="s">
        <v>34</v>
      </c>
      <c r="U396" s="20" t="s">
        <v>78</v>
      </c>
      <c r="V396" s="21">
        <v>98</v>
      </c>
      <c r="W396" s="21">
        <v>4</v>
      </c>
      <c r="X396" s="22"/>
    </row>
    <row r="397" spans="1:24" s="1" customFormat="1" ht="26.1" customHeight="1" x14ac:dyDescent="0.3">
      <c r="A397" s="23" t="s">
        <v>23</v>
      </c>
      <c r="B397" s="23" t="s">
        <v>579</v>
      </c>
      <c r="C397" s="12" t="s">
        <v>582</v>
      </c>
      <c r="D397" s="84"/>
      <c r="E397" s="69" t="str">
        <f>HYPERLINK("https://www.google.ru/search?q=MC-CD159&amp;newwindow=1&amp;tbm=isch","Еще фото")</f>
        <v>Еще фото</v>
      </c>
      <c r="F397" s="13"/>
      <c r="G397" s="23" t="s">
        <v>568</v>
      </c>
      <c r="H397" s="23" t="s">
        <v>27</v>
      </c>
      <c r="I397" s="23" t="s">
        <v>569</v>
      </c>
      <c r="J397" s="14" t="s">
        <v>29</v>
      </c>
      <c r="K397" s="15" t="s">
        <v>30</v>
      </c>
      <c r="L397" s="87"/>
      <c r="M397" s="14"/>
      <c r="N397" s="14" t="s">
        <v>265</v>
      </c>
      <c r="O397" s="14"/>
      <c r="P397" s="15" t="s">
        <v>76</v>
      </c>
      <c r="Q397" s="16">
        <v>2999</v>
      </c>
      <c r="R397" s="17">
        <v>74.400000000000006</v>
      </c>
      <c r="S397" s="29">
        <v>882.93549999999993</v>
      </c>
      <c r="T397" s="19" t="s">
        <v>34</v>
      </c>
      <c r="U397" s="20" t="s">
        <v>43</v>
      </c>
      <c r="V397" s="21">
        <v>110</v>
      </c>
      <c r="W397" s="21">
        <v>2</v>
      </c>
      <c r="X397" s="22"/>
    </row>
    <row r="398" spans="1:24" s="1" customFormat="1" ht="26.1" customHeight="1" x14ac:dyDescent="0.3">
      <c r="A398" s="23" t="s">
        <v>23</v>
      </c>
      <c r="B398" s="23" t="s">
        <v>579</v>
      </c>
      <c r="C398" s="12" t="s">
        <v>582</v>
      </c>
      <c r="D398" s="84"/>
      <c r="E398" s="69" t="str">
        <f>HYPERLINK("https://www.google.ru/search?q=MC-CD159&amp;newwindow=1&amp;tbm=isch","Еще фото")</f>
        <v>Еще фото</v>
      </c>
      <c r="F398" s="13"/>
      <c r="G398" s="23" t="s">
        <v>568</v>
      </c>
      <c r="H398" s="23" t="s">
        <v>27</v>
      </c>
      <c r="I398" s="23" t="s">
        <v>569</v>
      </c>
      <c r="J398" s="14" t="s">
        <v>29</v>
      </c>
      <c r="K398" s="15" t="s">
        <v>30</v>
      </c>
      <c r="L398" s="87"/>
      <c r="M398" s="14"/>
      <c r="N398" s="14" t="s">
        <v>265</v>
      </c>
      <c r="O398" s="14"/>
      <c r="P398" s="15" t="s">
        <v>76</v>
      </c>
      <c r="Q398" s="16">
        <v>2999</v>
      </c>
      <c r="R398" s="17">
        <v>74.400000000000006</v>
      </c>
      <c r="S398" s="29">
        <v>882.93549999999993</v>
      </c>
      <c r="T398" s="19" t="s">
        <v>34</v>
      </c>
      <c r="U398" s="20" t="s">
        <v>35</v>
      </c>
      <c r="V398" s="21">
        <v>116</v>
      </c>
      <c r="W398" s="21">
        <v>3</v>
      </c>
      <c r="X398" s="22"/>
    </row>
    <row r="399" spans="1:24" s="1" customFormat="1" ht="26.1" customHeight="1" x14ac:dyDescent="0.3">
      <c r="A399" s="23" t="s">
        <v>23</v>
      </c>
      <c r="B399" s="23" t="s">
        <v>579</v>
      </c>
      <c r="C399" s="12" t="s">
        <v>582</v>
      </c>
      <c r="D399" s="85"/>
      <c r="E399" s="69" t="str">
        <f>HYPERLINK("https://www.google.ru/search?q=MC-CD159&amp;newwindow=1&amp;tbm=isch","Еще фото")</f>
        <v>Еще фото</v>
      </c>
      <c r="F399" s="13"/>
      <c r="G399" s="23" t="s">
        <v>568</v>
      </c>
      <c r="H399" s="23" t="s">
        <v>27</v>
      </c>
      <c r="I399" s="23" t="s">
        <v>569</v>
      </c>
      <c r="J399" s="14" t="s">
        <v>29</v>
      </c>
      <c r="K399" s="15" t="s">
        <v>30</v>
      </c>
      <c r="L399" s="88"/>
      <c r="M399" s="14"/>
      <c r="N399" s="14" t="s">
        <v>265</v>
      </c>
      <c r="O399" s="14"/>
      <c r="P399" s="15" t="s">
        <v>76</v>
      </c>
      <c r="Q399" s="16">
        <v>2999</v>
      </c>
      <c r="R399" s="17">
        <v>74.400000000000006</v>
      </c>
      <c r="S399" s="29">
        <v>882.93549999999993</v>
      </c>
      <c r="T399" s="19" t="s">
        <v>34</v>
      </c>
      <c r="U399" s="20" t="s">
        <v>37</v>
      </c>
      <c r="V399" s="21">
        <v>128</v>
      </c>
      <c r="W399" s="21">
        <v>5</v>
      </c>
      <c r="X399" s="22"/>
    </row>
    <row r="400" spans="1:24" s="1" customFormat="1" ht="35.1" customHeight="1" x14ac:dyDescent="0.3">
      <c r="A400" s="11" t="s">
        <v>23</v>
      </c>
      <c r="B400" s="11" t="s">
        <v>584</v>
      </c>
      <c r="C400" s="12" t="s">
        <v>585</v>
      </c>
      <c r="D400" s="83"/>
      <c r="E400" s="69" t="str">
        <f>HYPERLINK("https://www.google.ru/search?q=MC-ZC560-1&amp;newwindow=1&amp;tbm=isch","Еще фото")</f>
        <v>Еще фото</v>
      </c>
      <c r="F400" s="13"/>
      <c r="G400" s="11" t="s">
        <v>586</v>
      </c>
      <c r="H400" s="11" t="s">
        <v>27</v>
      </c>
      <c r="I400" s="14" t="s">
        <v>569</v>
      </c>
      <c r="J400" s="14" t="s">
        <v>29</v>
      </c>
      <c r="K400" s="15" t="s">
        <v>30</v>
      </c>
      <c r="L400" s="86" t="s">
        <v>587</v>
      </c>
      <c r="M400" s="14"/>
      <c r="N400" s="14" t="s">
        <v>116</v>
      </c>
      <c r="O400" s="14"/>
      <c r="P400" s="15" t="s">
        <v>76</v>
      </c>
      <c r="Q400" s="16">
        <v>7099</v>
      </c>
      <c r="R400" s="17">
        <v>58.62</v>
      </c>
      <c r="S400" s="18">
        <v>3378.4354999999996</v>
      </c>
      <c r="T400" s="19" t="s">
        <v>34</v>
      </c>
      <c r="U400" s="20" t="s">
        <v>105</v>
      </c>
      <c r="V400" s="21">
        <v>62</v>
      </c>
      <c r="W400" s="21">
        <v>5</v>
      </c>
      <c r="X400" s="22"/>
    </row>
    <row r="401" spans="1:24" s="1" customFormat="1" ht="35.1" customHeight="1" x14ac:dyDescent="0.3">
      <c r="A401" s="23" t="s">
        <v>23</v>
      </c>
      <c r="B401" s="23" t="s">
        <v>584</v>
      </c>
      <c r="C401" s="12" t="s">
        <v>585</v>
      </c>
      <c r="D401" s="84"/>
      <c r="E401" s="69" t="str">
        <f>HYPERLINK("https://www.google.ru/search?q=MC-ZC560-1&amp;newwindow=1&amp;tbm=isch","Еще фото")</f>
        <v>Еще фото</v>
      </c>
      <c r="F401" s="13"/>
      <c r="G401" s="23" t="s">
        <v>586</v>
      </c>
      <c r="H401" s="23" t="s">
        <v>27</v>
      </c>
      <c r="I401" s="23" t="s">
        <v>569</v>
      </c>
      <c r="J401" s="14" t="s">
        <v>29</v>
      </c>
      <c r="K401" s="15" t="s">
        <v>30</v>
      </c>
      <c r="L401" s="87"/>
      <c r="M401" s="14"/>
      <c r="N401" s="14" t="s">
        <v>116</v>
      </c>
      <c r="O401" s="14"/>
      <c r="P401" s="15" t="s">
        <v>76</v>
      </c>
      <c r="Q401" s="16">
        <v>7099</v>
      </c>
      <c r="R401" s="17">
        <v>58.62</v>
      </c>
      <c r="S401" s="18">
        <v>3378.4354999999996</v>
      </c>
      <c r="T401" s="19" t="s">
        <v>34</v>
      </c>
      <c r="U401" s="20" t="s">
        <v>195</v>
      </c>
      <c r="V401" s="21">
        <v>74</v>
      </c>
      <c r="W401" s="21">
        <v>2</v>
      </c>
      <c r="X401" s="22"/>
    </row>
    <row r="402" spans="1:24" s="1" customFormat="1" ht="36.950000000000003" customHeight="1" x14ac:dyDescent="0.3">
      <c r="A402" s="23" t="s">
        <v>23</v>
      </c>
      <c r="B402" s="23" t="s">
        <v>584</v>
      </c>
      <c r="C402" s="12" t="s">
        <v>585</v>
      </c>
      <c r="D402" s="85"/>
      <c r="E402" s="69" t="str">
        <f>HYPERLINK("https://www.google.ru/search?q=MC-ZC560-1&amp;newwindow=1&amp;tbm=isch","Еще фото")</f>
        <v>Еще фото</v>
      </c>
      <c r="F402" s="13"/>
      <c r="G402" s="23" t="s">
        <v>586</v>
      </c>
      <c r="H402" s="23" t="s">
        <v>27</v>
      </c>
      <c r="I402" s="23" t="s">
        <v>569</v>
      </c>
      <c r="J402" s="14" t="s">
        <v>29</v>
      </c>
      <c r="K402" s="15" t="s">
        <v>30</v>
      </c>
      <c r="L402" s="88"/>
      <c r="M402" s="14"/>
      <c r="N402" s="14" t="s">
        <v>116</v>
      </c>
      <c r="O402" s="14"/>
      <c r="P402" s="15" t="s">
        <v>76</v>
      </c>
      <c r="Q402" s="16">
        <v>7099</v>
      </c>
      <c r="R402" s="17">
        <v>58.62</v>
      </c>
      <c r="S402" s="18">
        <v>3378.4354999999996</v>
      </c>
      <c r="T402" s="19" t="s">
        <v>34</v>
      </c>
      <c r="U402" s="20" t="s">
        <v>106</v>
      </c>
      <c r="V402" s="21">
        <v>80</v>
      </c>
      <c r="W402" s="21">
        <v>1</v>
      </c>
      <c r="X402" s="22"/>
    </row>
    <row r="403" spans="1:24" s="1" customFormat="1" ht="108" customHeight="1" x14ac:dyDescent="0.3">
      <c r="A403" s="11" t="s">
        <v>23</v>
      </c>
      <c r="B403" s="11" t="s">
        <v>588</v>
      </c>
      <c r="C403" s="12" t="s">
        <v>589</v>
      </c>
      <c r="D403" s="24"/>
      <c r="E403" s="69" t="str">
        <f>HYPERLINK("https://www.google.ru/search?q=MC-CB833&amp;newwindow=1&amp;tbm=isch","Еще фото")</f>
        <v>Еще фото</v>
      </c>
      <c r="F403" s="13"/>
      <c r="G403" s="11" t="s">
        <v>568</v>
      </c>
      <c r="H403" s="11" t="s">
        <v>27</v>
      </c>
      <c r="I403" s="14" t="s">
        <v>569</v>
      </c>
      <c r="J403" s="14" t="s">
        <v>29</v>
      </c>
      <c r="K403" s="15" t="s">
        <v>30</v>
      </c>
      <c r="L403" s="14" t="s">
        <v>590</v>
      </c>
      <c r="M403" s="14" t="s">
        <v>73</v>
      </c>
      <c r="N403" s="14" t="s">
        <v>591</v>
      </c>
      <c r="O403" s="14"/>
      <c r="P403" s="15" t="s">
        <v>76</v>
      </c>
      <c r="Q403" s="16">
        <v>2799</v>
      </c>
      <c r="R403" s="17">
        <v>55.42</v>
      </c>
      <c r="S403" s="18">
        <v>1434.9354999999998</v>
      </c>
      <c r="T403" s="19" t="s">
        <v>34</v>
      </c>
      <c r="U403" s="20" t="s">
        <v>105</v>
      </c>
      <c r="V403" s="21">
        <v>62</v>
      </c>
      <c r="W403" s="21">
        <v>1</v>
      </c>
      <c r="X403" s="22"/>
    </row>
    <row r="404" spans="1:24" s="1" customFormat="1" ht="21" customHeight="1" x14ac:dyDescent="0.3">
      <c r="A404" s="11" t="s">
        <v>147</v>
      </c>
      <c r="B404" s="11" t="s">
        <v>592</v>
      </c>
      <c r="C404" s="27" t="s">
        <v>593</v>
      </c>
      <c r="D404" s="83"/>
      <c r="E404" s="69" t="str">
        <f>HYPERLINK("https://www.google.ru/search?q=NA8926G3A&amp;newwindow=1&amp;tbm=isch","Еще фото")</f>
        <v>Еще фото</v>
      </c>
      <c r="F404" s="13"/>
      <c r="G404" s="11" t="s">
        <v>574</v>
      </c>
      <c r="H404" s="11" t="s">
        <v>27</v>
      </c>
      <c r="I404" s="14" t="s">
        <v>569</v>
      </c>
      <c r="J404" s="14" t="s">
        <v>29</v>
      </c>
      <c r="K404" s="15" t="s">
        <v>55</v>
      </c>
      <c r="L404" s="86" t="s">
        <v>594</v>
      </c>
      <c r="M404" s="14"/>
      <c r="N404" s="14" t="s">
        <v>242</v>
      </c>
      <c r="O404" s="14"/>
      <c r="P404" s="15" t="s">
        <v>74</v>
      </c>
      <c r="Q404" s="16">
        <v>14499</v>
      </c>
      <c r="R404" s="17">
        <v>53.46</v>
      </c>
      <c r="S404" s="18">
        <v>7759.9354999999996</v>
      </c>
      <c r="T404" s="19" t="s">
        <v>51</v>
      </c>
      <c r="U404" s="20" t="s">
        <v>66</v>
      </c>
      <c r="V404" s="21">
        <v>48</v>
      </c>
      <c r="W404" s="21">
        <v>2</v>
      </c>
      <c r="X404" s="22"/>
    </row>
    <row r="405" spans="1:24" s="1" customFormat="1" ht="21" customHeight="1" x14ac:dyDescent="0.3">
      <c r="A405" s="23" t="s">
        <v>147</v>
      </c>
      <c r="B405" s="23" t="s">
        <v>592</v>
      </c>
      <c r="C405" s="28" t="s">
        <v>593</v>
      </c>
      <c r="D405" s="84"/>
      <c r="E405" s="69" t="str">
        <f>HYPERLINK("https://www.google.ru/search?q=NA8926G3A&amp;newwindow=1&amp;tbm=isch","Еще фото")</f>
        <v>Еще фото</v>
      </c>
      <c r="F405" s="13"/>
      <c r="G405" s="23" t="s">
        <v>574</v>
      </c>
      <c r="H405" s="23" t="s">
        <v>27</v>
      </c>
      <c r="I405" s="23" t="s">
        <v>569</v>
      </c>
      <c r="J405" s="14" t="s">
        <v>29</v>
      </c>
      <c r="K405" s="15" t="s">
        <v>55</v>
      </c>
      <c r="L405" s="87"/>
      <c r="M405" s="14"/>
      <c r="N405" s="14" t="s">
        <v>242</v>
      </c>
      <c r="O405" s="14"/>
      <c r="P405" s="15" t="s">
        <v>74</v>
      </c>
      <c r="Q405" s="16">
        <v>14499</v>
      </c>
      <c r="R405" s="17">
        <v>53.46</v>
      </c>
      <c r="S405" s="18">
        <v>7759.9354999999996</v>
      </c>
      <c r="T405" s="19" t="s">
        <v>51</v>
      </c>
      <c r="U405" s="20" t="s">
        <v>58</v>
      </c>
      <c r="V405" s="21">
        <v>50</v>
      </c>
      <c r="W405" s="21">
        <v>1</v>
      </c>
      <c r="X405" s="22"/>
    </row>
    <row r="406" spans="1:24" s="1" customFormat="1" ht="21" customHeight="1" x14ac:dyDescent="0.3">
      <c r="A406" s="23" t="s">
        <v>147</v>
      </c>
      <c r="B406" s="23" t="s">
        <v>592</v>
      </c>
      <c r="C406" s="28" t="s">
        <v>593</v>
      </c>
      <c r="D406" s="84"/>
      <c r="E406" s="69" t="str">
        <f>HYPERLINK("https://www.google.ru/search?q=NA8926G3A&amp;newwindow=1&amp;tbm=isch","Еще фото")</f>
        <v>Еще фото</v>
      </c>
      <c r="F406" s="13"/>
      <c r="G406" s="23" t="s">
        <v>574</v>
      </c>
      <c r="H406" s="23" t="s">
        <v>27</v>
      </c>
      <c r="I406" s="23" t="s">
        <v>569</v>
      </c>
      <c r="J406" s="14" t="s">
        <v>29</v>
      </c>
      <c r="K406" s="15" t="s">
        <v>55</v>
      </c>
      <c r="L406" s="87"/>
      <c r="M406" s="14"/>
      <c r="N406" s="14" t="s">
        <v>242</v>
      </c>
      <c r="O406" s="14"/>
      <c r="P406" s="15" t="s">
        <v>74</v>
      </c>
      <c r="Q406" s="16">
        <v>14499</v>
      </c>
      <c r="R406" s="17">
        <v>53.46</v>
      </c>
      <c r="S406" s="18">
        <v>7759.9354999999996</v>
      </c>
      <c r="T406" s="19" t="s">
        <v>51</v>
      </c>
      <c r="U406" s="20" t="s">
        <v>52</v>
      </c>
      <c r="V406" s="21">
        <v>52</v>
      </c>
      <c r="W406" s="21">
        <v>1</v>
      </c>
      <c r="X406" s="22"/>
    </row>
    <row r="407" spans="1:24" s="1" customFormat="1" ht="21" customHeight="1" x14ac:dyDescent="0.3">
      <c r="A407" s="23" t="s">
        <v>147</v>
      </c>
      <c r="B407" s="23" t="s">
        <v>592</v>
      </c>
      <c r="C407" s="28" t="s">
        <v>593</v>
      </c>
      <c r="D407" s="84"/>
      <c r="E407" s="69" t="str">
        <f>HYPERLINK("https://www.google.ru/search?q=NA8926G3A&amp;newwindow=1&amp;tbm=isch","Еще фото")</f>
        <v>Еще фото</v>
      </c>
      <c r="F407" s="13"/>
      <c r="G407" s="23" t="s">
        <v>574</v>
      </c>
      <c r="H407" s="23" t="s">
        <v>27</v>
      </c>
      <c r="I407" s="23" t="s">
        <v>569</v>
      </c>
      <c r="J407" s="14" t="s">
        <v>29</v>
      </c>
      <c r="K407" s="15" t="s">
        <v>55</v>
      </c>
      <c r="L407" s="87"/>
      <c r="M407" s="14"/>
      <c r="N407" s="14" t="s">
        <v>242</v>
      </c>
      <c r="O407" s="14"/>
      <c r="P407" s="15" t="s">
        <v>74</v>
      </c>
      <c r="Q407" s="16">
        <v>14499</v>
      </c>
      <c r="R407" s="17">
        <v>53.46</v>
      </c>
      <c r="S407" s="18">
        <v>7759.9354999999996</v>
      </c>
      <c r="T407" s="19" t="s">
        <v>51</v>
      </c>
      <c r="U407" s="20" t="s">
        <v>595</v>
      </c>
      <c r="V407" s="21">
        <v>56</v>
      </c>
      <c r="W407" s="21">
        <v>1</v>
      </c>
      <c r="X407" s="22"/>
    </row>
    <row r="408" spans="1:24" s="1" customFormat="1" ht="32.1" customHeight="1" x14ac:dyDescent="0.3">
      <c r="A408" s="23" t="s">
        <v>147</v>
      </c>
      <c r="B408" s="23" t="s">
        <v>592</v>
      </c>
      <c r="C408" s="28" t="s">
        <v>593</v>
      </c>
      <c r="D408" s="85"/>
      <c r="E408" s="69" t="str">
        <f>HYPERLINK("https://www.google.ru/search?q=NA8926G3A&amp;newwindow=1&amp;tbm=isch","Еще фото")</f>
        <v>Еще фото</v>
      </c>
      <c r="F408" s="13"/>
      <c r="G408" s="23" t="s">
        <v>574</v>
      </c>
      <c r="H408" s="23" t="s">
        <v>27</v>
      </c>
      <c r="I408" s="23" t="s">
        <v>569</v>
      </c>
      <c r="J408" s="14" t="s">
        <v>29</v>
      </c>
      <c r="K408" s="15" t="s">
        <v>55</v>
      </c>
      <c r="L408" s="88"/>
      <c r="M408" s="14"/>
      <c r="N408" s="14" t="s">
        <v>242</v>
      </c>
      <c r="O408" s="14"/>
      <c r="P408" s="15" t="s">
        <v>74</v>
      </c>
      <c r="Q408" s="16">
        <v>14499</v>
      </c>
      <c r="R408" s="17">
        <v>53.46</v>
      </c>
      <c r="S408" s="18">
        <v>7759.9354999999996</v>
      </c>
      <c r="T408" s="19" t="s">
        <v>51</v>
      </c>
      <c r="U408" s="20" t="s">
        <v>596</v>
      </c>
      <c r="V408" s="21">
        <v>54</v>
      </c>
      <c r="W408" s="21">
        <v>1</v>
      </c>
      <c r="X408" s="22"/>
    </row>
    <row r="409" spans="1:24" s="1" customFormat="1" ht="108" customHeight="1" x14ac:dyDescent="0.3">
      <c r="A409" s="11" t="s">
        <v>44</v>
      </c>
      <c r="B409" s="11" t="s">
        <v>597</v>
      </c>
      <c r="C409" s="12" t="s">
        <v>598</v>
      </c>
      <c r="D409" s="24"/>
      <c r="E409" s="69" t="str">
        <f>HYPERLINK("https://www.google.ru/search?q=FW2231058-RED&amp;newwindow=1&amp;tbm=isch","Еще фото")</f>
        <v>Еще фото</v>
      </c>
      <c r="F409" s="13"/>
      <c r="G409" s="11" t="s">
        <v>599</v>
      </c>
      <c r="H409" s="11" t="s">
        <v>27</v>
      </c>
      <c r="I409" s="14" t="s">
        <v>569</v>
      </c>
      <c r="J409" s="14" t="s">
        <v>29</v>
      </c>
      <c r="K409" s="15" t="s">
        <v>47</v>
      </c>
      <c r="L409" s="14" t="s">
        <v>600</v>
      </c>
      <c r="M409" s="14"/>
      <c r="N409" s="14" t="s">
        <v>116</v>
      </c>
      <c r="O409" s="14"/>
      <c r="P409" s="15" t="s">
        <v>108</v>
      </c>
      <c r="Q409" s="16">
        <v>13099</v>
      </c>
      <c r="R409" s="17">
        <v>48</v>
      </c>
      <c r="S409" s="18">
        <v>7833.2019999999993</v>
      </c>
      <c r="T409" s="19" t="s">
        <v>51</v>
      </c>
      <c r="U409" s="20" t="s">
        <v>58</v>
      </c>
      <c r="V409" s="25" t="s">
        <v>68</v>
      </c>
      <c r="W409" s="21">
        <v>1</v>
      </c>
      <c r="X409" s="22"/>
    </row>
    <row r="410" spans="1:24" s="1" customFormat="1" ht="21" customHeight="1" x14ac:dyDescent="0.3">
      <c r="A410" s="11" t="s">
        <v>23</v>
      </c>
      <c r="B410" s="11" t="s">
        <v>579</v>
      </c>
      <c r="C410" s="27" t="s">
        <v>601</v>
      </c>
      <c r="D410" s="83"/>
      <c r="E410" s="69" t="str">
        <f>HYPERLINK("https://www.google.ru/search?q=MC-BD009&amp;newwindow=1&amp;tbm=isch","Еще фото")</f>
        <v>Еще фото</v>
      </c>
      <c r="F410" s="13"/>
      <c r="G410" s="11" t="s">
        <v>568</v>
      </c>
      <c r="H410" s="11" t="s">
        <v>27</v>
      </c>
      <c r="I410" s="14" t="s">
        <v>569</v>
      </c>
      <c r="J410" s="14" t="s">
        <v>29</v>
      </c>
      <c r="K410" s="15" t="s">
        <v>30</v>
      </c>
      <c r="L410" s="86"/>
      <c r="M410" s="14"/>
      <c r="N410" s="14" t="s">
        <v>242</v>
      </c>
      <c r="O410" s="14"/>
      <c r="P410" s="15" t="s">
        <v>74</v>
      </c>
      <c r="Q410" s="16">
        <v>2899</v>
      </c>
      <c r="R410" s="17">
        <v>45</v>
      </c>
      <c r="S410" s="18">
        <v>1833.6174999999998</v>
      </c>
      <c r="T410" s="19" t="s">
        <v>34</v>
      </c>
      <c r="U410" s="20" t="s">
        <v>94</v>
      </c>
      <c r="V410" s="21">
        <v>104</v>
      </c>
      <c r="W410" s="21">
        <v>1</v>
      </c>
      <c r="X410" s="22"/>
    </row>
    <row r="411" spans="1:24" s="1" customFormat="1" ht="21" customHeight="1" x14ac:dyDescent="0.3">
      <c r="A411" s="23" t="s">
        <v>23</v>
      </c>
      <c r="B411" s="23" t="s">
        <v>579</v>
      </c>
      <c r="C411" s="28" t="s">
        <v>601</v>
      </c>
      <c r="D411" s="84"/>
      <c r="E411" s="69" t="str">
        <f>HYPERLINK("https://www.google.ru/search?q=MC-BD009&amp;newwindow=1&amp;tbm=isch","Еще фото")</f>
        <v>Еще фото</v>
      </c>
      <c r="F411" s="13"/>
      <c r="G411" s="23" t="s">
        <v>568</v>
      </c>
      <c r="H411" s="23" t="s">
        <v>27</v>
      </c>
      <c r="I411" s="23" t="s">
        <v>569</v>
      </c>
      <c r="J411" s="14" t="s">
        <v>29</v>
      </c>
      <c r="K411" s="15" t="s">
        <v>30</v>
      </c>
      <c r="L411" s="87"/>
      <c r="M411" s="14"/>
      <c r="N411" s="14" t="s">
        <v>242</v>
      </c>
      <c r="O411" s="14"/>
      <c r="P411" s="15" t="s">
        <v>74</v>
      </c>
      <c r="Q411" s="16">
        <v>2899</v>
      </c>
      <c r="R411" s="17">
        <v>45</v>
      </c>
      <c r="S411" s="18">
        <v>1833.6174999999998</v>
      </c>
      <c r="T411" s="19" t="s">
        <v>34</v>
      </c>
      <c r="U411" s="20" t="s">
        <v>43</v>
      </c>
      <c r="V411" s="21">
        <v>110</v>
      </c>
      <c r="W411" s="21">
        <v>1</v>
      </c>
      <c r="X411" s="22"/>
    </row>
    <row r="412" spans="1:24" s="1" customFormat="1" ht="21" customHeight="1" x14ac:dyDescent="0.3">
      <c r="A412" s="23" t="s">
        <v>23</v>
      </c>
      <c r="B412" s="23" t="s">
        <v>579</v>
      </c>
      <c r="C412" s="28" t="s">
        <v>601</v>
      </c>
      <c r="D412" s="84"/>
      <c r="E412" s="69" t="str">
        <f>HYPERLINK("https://www.google.ru/search?q=MC-BD009&amp;newwindow=1&amp;tbm=isch","Еще фото")</f>
        <v>Еще фото</v>
      </c>
      <c r="F412" s="13"/>
      <c r="G412" s="23" t="s">
        <v>568</v>
      </c>
      <c r="H412" s="23" t="s">
        <v>27</v>
      </c>
      <c r="I412" s="23" t="s">
        <v>569</v>
      </c>
      <c r="J412" s="14" t="s">
        <v>29</v>
      </c>
      <c r="K412" s="15" t="s">
        <v>30</v>
      </c>
      <c r="L412" s="87"/>
      <c r="M412" s="14"/>
      <c r="N412" s="14" t="s">
        <v>242</v>
      </c>
      <c r="O412" s="14"/>
      <c r="P412" s="15" t="s">
        <v>74</v>
      </c>
      <c r="Q412" s="16">
        <v>2899</v>
      </c>
      <c r="R412" s="17">
        <v>45</v>
      </c>
      <c r="S412" s="18">
        <v>1833.6174999999998</v>
      </c>
      <c r="T412" s="19" t="s">
        <v>34</v>
      </c>
      <c r="U412" s="20" t="s">
        <v>35</v>
      </c>
      <c r="V412" s="21">
        <v>116</v>
      </c>
      <c r="W412" s="21">
        <v>1</v>
      </c>
      <c r="X412" s="22"/>
    </row>
    <row r="413" spans="1:24" s="1" customFormat="1" ht="21" customHeight="1" x14ac:dyDescent="0.3">
      <c r="A413" s="23" t="s">
        <v>23</v>
      </c>
      <c r="B413" s="23" t="s">
        <v>579</v>
      </c>
      <c r="C413" s="28" t="s">
        <v>601</v>
      </c>
      <c r="D413" s="84"/>
      <c r="E413" s="69" t="str">
        <f>HYPERLINK("https://www.google.ru/search?q=MC-BD009&amp;newwindow=1&amp;tbm=isch","Еще фото")</f>
        <v>Еще фото</v>
      </c>
      <c r="F413" s="13"/>
      <c r="G413" s="23" t="s">
        <v>568</v>
      </c>
      <c r="H413" s="23" t="s">
        <v>27</v>
      </c>
      <c r="I413" s="23" t="s">
        <v>569</v>
      </c>
      <c r="J413" s="14" t="s">
        <v>29</v>
      </c>
      <c r="K413" s="15" t="s">
        <v>30</v>
      </c>
      <c r="L413" s="87"/>
      <c r="M413" s="14"/>
      <c r="N413" s="14" t="s">
        <v>242</v>
      </c>
      <c r="O413" s="14"/>
      <c r="P413" s="15" t="s">
        <v>74</v>
      </c>
      <c r="Q413" s="16">
        <v>2899</v>
      </c>
      <c r="R413" s="17">
        <v>45</v>
      </c>
      <c r="S413" s="18">
        <v>1833.6174999999998</v>
      </c>
      <c r="T413" s="19" t="s">
        <v>34</v>
      </c>
      <c r="U413" s="20" t="s">
        <v>37</v>
      </c>
      <c r="V413" s="21">
        <v>128</v>
      </c>
      <c r="W413" s="21">
        <v>1</v>
      </c>
      <c r="X413" s="22"/>
    </row>
    <row r="414" spans="1:24" s="1" customFormat="1" ht="32.1" customHeight="1" x14ac:dyDescent="0.3">
      <c r="A414" s="23" t="s">
        <v>23</v>
      </c>
      <c r="B414" s="23" t="s">
        <v>579</v>
      </c>
      <c r="C414" s="28" t="s">
        <v>601</v>
      </c>
      <c r="D414" s="85"/>
      <c r="E414" s="69" t="str">
        <f>HYPERLINK("https://www.google.ru/search?q=MC-BD009&amp;newwindow=1&amp;tbm=isch","Еще фото")</f>
        <v>Еще фото</v>
      </c>
      <c r="F414" s="13"/>
      <c r="G414" s="23" t="s">
        <v>568</v>
      </c>
      <c r="H414" s="23" t="s">
        <v>27</v>
      </c>
      <c r="I414" s="23" t="s">
        <v>569</v>
      </c>
      <c r="J414" s="14" t="s">
        <v>29</v>
      </c>
      <c r="K414" s="15" t="s">
        <v>30</v>
      </c>
      <c r="L414" s="88"/>
      <c r="M414" s="14"/>
      <c r="N414" s="14" t="s">
        <v>242</v>
      </c>
      <c r="O414" s="14"/>
      <c r="P414" s="15" t="s">
        <v>74</v>
      </c>
      <c r="Q414" s="16">
        <v>2899</v>
      </c>
      <c r="R414" s="17">
        <v>45</v>
      </c>
      <c r="S414" s="18">
        <v>1833.6174999999998</v>
      </c>
      <c r="T414" s="19" t="s">
        <v>34</v>
      </c>
      <c r="U414" s="20" t="s">
        <v>91</v>
      </c>
      <c r="V414" s="21">
        <v>134</v>
      </c>
      <c r="W414" s="21">
        <v>1</v>
      </c>
      <c r="X414" s="22"/>
    </row>
    <row r="415" spans="1:24" s="1" customFormat="1" ht="51.95" customHeight="1" x14ac:dyDescent="0.3">
      <c r="A415" s="11" t="s">
        <v>23</v>
      </c>
      <c r="B415" s="11" t="s">
        <v>572</v>
      </c>
      <c r="C415" s="12" t="s">
        <v>602</v>
      </c>
      <c r="D415" s="89"/>
      <c r="E415" s="69" t="str">
        <f>HYPERLINK("https://www.google.ru/search?q=MC-CB991&amp;newwindow=1&amp;tbm=isch","Еще фото")</f>
        <v>Еще фото</v>
      </c>
      <c r="F415" s="13"/>
      <c r="G415" s="11" t="s">
        <v>574</v>
      </c>
      <c r="H415" s="11" t="s">
        <v>27</v>
      </c>
      <c r="I415" s="14" t="s">
        <v>569</v>
      </c>
      <c r="J415" s="14" t="s">
        <v>29</v>
      </c>
      <c r="K415" s="15" t="s">
        <v>30</v>
      </c>
      <c r="L415" s="86" t="s">
        <v>603</v>
      </c>
      <c r="M415" s="14" t="s">
        <v>73</v>
      </c>
      <c r="N415" s="14" t="s">
        <v>41</v>
      </c>
      <c r="O415" s="14"/>
      <c r="P415" s="15" t="s">
        <v>76</v>
      </c>
      <c r="Q415" s="16">
        <v>3699</v>
      </c>
      <c r="R415" s="17">
        <v>45</v>
      </c>
      <c r="S415" s="18">
        <v>2339.6174999999998</v>
      </c>
      <c r="T415" s="19" t="s">
        <v>34</v>
      </c>
      <c r="U415" s="20" t="s">
        <v>78</v>
      </c>
      <c r="V415" s="21">
        <v>98</v>
      </c>
      <c r="W415" s="21">
        <v>1</v>
      </c>
      <c r="X415" s="22"/>
    </row>
    <row r="416" spans="1:24" s="1" customFormat="1" ht="60.95" customHeight="1" x14ac:dyDescent="0.3">
      <c r="A416" s="23" t="s">
        <v>23</v>
      </c>
      <c r="B416" s="23" t="s">
        <v>572</v>
      </c>
      <c r="C416" s="12" t="s">
        <v>602</v>
      </c>
      <c r="D416" s="90"/>
      <c r="E416" s="69" t="str">
        <f>HYPERLINK("https://www.google.ru/search?q=MC-CB991&amp;newwindow=1&amp;tbm=isch","Еще фото")</f>
        <v>Еще фото</v>
      </c>
      <c r="F416" s="13"/>
      <c r="G416" s="23" t="s">
        <v>574</v>
      </c>
      <c r="H416" s="23" t="s">
        <v>27</v>
      </c>
      <c r="I416" s="23" t="s">
        <v>569</v>
      </c>
      <c r="J416" s="14" t="s">
        <v>29</v>
      </c>
      <c r="K416" s="15" t="s">
        <v>30</v>
      </c>
      <c r="L416" s="88"/>
      <c r="M416" s="14" t="s">
        <v>73</v>
      </c>
      <c r="N416" s="14" t="s">
        <v>41</v>
      </c>
      <c r="O416" s="14"/>
      <c r="P416" s="15" t="s">
        <v>76</v>
      </c>
      <c r="Q416" s="16">
        <v>3699</v>
      </c>
      <c r="R416" s="17">
        <v>45</v>
      </c>
      <c r="S416" s="18">
        <v>2339.6174999999998</v>
      </c>
      <c r="T416" s="19" t="s">
        <v>34</v>
      </c>
      <c r="U416" s="20" t="s">
        <v>36</v>
      </c>
      <c r="V416" s="21">
        <v>122</v>
      </c>
      <c r="W416" s="21">
        <v>2</v>
      </c>
      <c r="X416" s="22"/>
    </row>
    <row r="417" spans="1:24" s="1" customFormat="1" ht="51.95" customHeight="1" x14ac:dyDescent="0.3">
      <c r="A417" s="11" t="s">
        <v>23</v>
      </c>
      <c r="B417" s="11" t="s">
        <v>572</v>
      </c>
      <c r="C417" s="12" t="s">
        <v>604</v>
      </c>
      <c r="D417" s="89"/>
      <c r="E417" s="69" t="str">
        <f>HYPERLINK("https://www.google.ru/search?q=MC-ZB073&amp;newwindow=1&amp;tbm=isch","Еще фото")</f>
        <v>Еще фото</v>
      </c>
      <c r="F417" s="13"/>
      <c r="G417" s="11" t="s">
        <v>574</v>
      </c>
      <c r="H417" s="11" t="s">
        <v>27</v>
      </c>
      <c r="I417" s="14" t="s">
        <v>569</v>
      </c>
      <c r="J417" s="14" t="s">
        <v>29</v>
      </c>
      <c r="K417" s="15" t="s">
        <v>30</v>
      </c>
      <c r="L417" s="86"/>
      <c r="M417" s="14"/>
      <c r="N417" s="14" t="s">
        <v>32</v>
      </c>
      <c r="O417" s="14"/>
      <c r="P417" s="15" t="s">
        <v>108</v>
      </c>
      <c r="Q417" s="16">
        <v>4499</v>
      </c>
      <c r="R417" s="17">
        <v>45</v>
      </c>
      <c r="S417" s="18">
        <v>2845.6174999999994</v>
      </c>
      <c r="T417" s="19" t="s">
        <v>34</v>
      </c>
      <c r="U417" s="20" t="s">
        <v>36</v>
      </c>
      <c r="V417" s="21">
        <v>122</v>
      </c>
      <c r="W417" s="21">
        <v>1</v>
      </c>
      <c r="X417" s="22"/>
    </row>
    <row r="418" spans="1:24" s="1" customFormat="1" ht="60.95" customHeight="1" x14ac:dyDescent="0.3">
      <c r="A418" s="23" t="s">
        <v>23</v>
      </c>
      <c r="B418" s="23" t="s">
        <v>572</v>
      </c>
      <c r="C418" s="12" t="s">
        <v>604</v>
      </c>
      <c r="D418" s="90"/>
      <c r="E418" s="69" t="str">
        <f>HYPERLINK("https://www.google.ru/search?q=MC-ZB073&amp;newwindow=1&amp;tbm=isch","Еще фото")</f>
        <v>Еще фото</v>
      </c>
      <c r="F418" s="13"/>
      <c r="G418" s="23" t="s">
        <v>574</v>
      </c>
      <c r="H418" s="23" t="s">
        <v>27</v>
      </c>
      <c r="I418" s="23" t="s">
        <v>569</v>
      </c>
      <c r="J418" s="14" t="s">
        <v>29</v>
      </c>
      <c r="K418" s="15" t="s">
        <v>30</v>
      </c>
      <c r="L418" s="88"/>
      <c r="M418" s="14"/>
      <c r="N418" s="14" t="s">
        <v>32</v>
      </c>
      <c r="O418" s="14"/>
      <c r="P418" s="15" t="s">
        <v>108</v>
      </c>
      <c r="Q418" s="16">
        <v>4499</v>
      </c>
      <c r="R418" s="17">
        <v>45</v>
      </c>
      <c r="S418" s="18">
        <v>2845.6174999999994</v>
      </c>
      <c r="T418" s="19" t="s">
        <v>34</v>
      </c>
      <c r="U418" s="20" t="s">
        <v>290</v>
      </c>
      <c r="V418" s="21">
        <v>140</v>
      </c>
      <c r="W418" s="21">
        <v>2</v>
      </c>
      <c r="X418" s="22"/>
    </row>
    <row r="419" spans="1:24" s="1" customFormat="1" ht="26.1" customHeight="1" x14ac:dyDescent="0.3">
      <c r="A419" s="11" t="s">
        <v>23</v>
      </c>
      <c r="B419" s="11" t="s">
        <v>572</v>
      </c>
      <c r="C419" s="12" t="s">
        <v>605</v>
      </c>
      <c r="D419" s="83"/>
      <c r="E419" s="69" t="str">
        <f>HYPERLINK("https://www.google.ru/search?q=MC-ZB455&amp;newwindow=1&amp;tbm=isch","Еще фото")</f>
        <v>Еще фото</v>
      </c>
      <c r="F419" s="13"/>
      <c r="G419" s="11" t="s">
        <v>574</v>
      </c>
      <c r="H419" s="11" t="s">
        <v>27</v>
      </c>
      <c r="I419" s="14" t="s">
        <v>569</v>
      </c>
      <c r="J419" s="14" t="s">
        <v>29</v>
      </c>
      <c r="K419" s="15" t="s">
        <v>30</v>
      </c>
      <c r="L419" s="86"/>
      <c r="M419" s="14"/>
      <c r="N419" s="14" t="s">
        <v>70</v>
      </c>
      <c r="O419" s="14"/>
      <c r="P419" s="15" t="s">
        <v>108</v>
      </c>
      <c r="Q419" s="16">
        <v>4499</v>
      </c>
      <c r="R419" s="17">
        <v>45</v>
      </c>
      <c r="S419" s="18">
        <v>2845.6174999999994</v>
      </c>
      <c r="T419" s="19" t="s">
        <v>34</v>
      </c>
      <c r="U419" s="20" t="s">
        <v>94</v>
      </c>
      <c r="V419" s="21">
        <v>104</v>
      </c>
      <c r="W419" s="21">
        <v>2</v>
      </c>
      <c r="X419" s="22"/>
    </row>
    <row r="420" spans="1:24" s="1" customFormat="1" ht="26.1" customHeight="1" x14ac:dyDescent="0.3">
      <c r="A420" s="23" t="s">
        <v>23</v>
      </c>
      <c r="B420" s="23" t="s">
        <v>572</v>
      </c>
      <c r="C420" s="12" t="s">
        <v>605</v>
      </c>
      <c r="D420" s="84"/>
      <c r="E420" s="69" t="str">
        <f>HYPERLINK("https://www.google.ru/search?q=MC-ZB455&amp;newwindow=1&amp;tbm=isch","Еще фото")</f>
        <v>Еще фото</v>
      </c>
      <c r="F420" s="13"/>
      <c r="G420" s="23" t="s">
        <v>574</v>
      </c>
      <c r="H420" s="23" t="s">
        <v>27</v>
      </c>
      <c r="I420" s="23" t="s">
        <v>569</v>
      </c>
      <c r="J420" s="14" t="s">
        <v>29</v>
      </c>
      <c r="K420" s="15" t="s">
        <v>30</v>
      </c>
      <c r="L420" s="87"/>
      <c r="M420" s="14"/>
      <c r="N420" s="14" t="s">
        <v>70</v>
      </c>
      <c r="O420" s="14"/>
      <c r="P420" s="15" t="s">
        <v>108</v>
      </c>
      <c r="Q420" s="16">
        <v>4499</v>
      </c>
      <c r="R420" s="17">
        <v>45</v>
      </c>
      <c r="S420" s="18">
        <v>2845.6174999999994</v>
      </c>
      <c r="T420" s="19" t="s">
        <v>34</v>
      </c>
      <c r="U420" s="20" t="s">
        <v>43</v>
      </c>
      <c r="V420" s="21">
        <v>110</v>
      </c>
      <c r="W420" s="21">
        <v>2</v>
      </c>
      <c r="X420" s="22"/>
    </row>
    <row r="421" spans="1:24" s="1" customFormat="1" ht="26.1" customHeight="1" x14ac:dyDescent="0.3">
      <c r="A421" s="23" t="s">
        <v>23</v>
      </c>
      <c r="B421" s="23" t="s">
        <v>572</v>
      </c>
      <c r="C421" s="12" t="s">
        <v>605</v>
      </c>
      <c r="D421" s="84"/>
      <c r="E421" s="69" t="str">
        <f>HYPERLINK("https://www.google.ru/search?q=MC-ZB455&amp;newwindow=1&amp;tbm=isch","Еще фото")</f>
        <v>Еще фото</v>
      </c>
      <c r="F421" s="13"/>
      <c r="G421" s="23" t="s">
        <v>574</v>
      </c>
      <c r="H421" s="23" t="s">
        <v>27</v>
      </c>
      <c r="I421" s="23" t="s">
        <v>569</v>
      </c>
      <c r="J421" s="14" t="s">
        <v>29</v>
      </c>
      <c r="K421" s="15" t="s">
        <v>30</v>
      </c>
      <c r="L421" s="87"/>
      <c r="M421" s="14"/>
      <c r="N421" s="14" t="s">
        <v>70</v>
      </c>
      <c r="O421" s="14"/>
      <c r="P421" s="15" t="s">
        <v>108</v>
      </c>
      <c r="Q421" s="16">
        <v>4499</v>
      </c>
      <c r="R421" s="17">
        <v>45</v>
      </c>
      <c r="S421" s="18">
        <v>2845.6174999999994</v>
      </c>
      <c r="T421" s="19" t="s">
        <v>34</v>
      </c>
      <c r="U421" s="20" t="s">
        <v>36</v>
      </c>
      <c r="V421" s="21">
        <v>122</v>
      </c>
      <c r="W421" s="21">
        <v>2</v>
      </c>
      <c r="X421" s="22"/>
    </row>
    <row r="422" spans="1:24" s="1" customFormat="1" ht="26.1" customHeight="1" x14ac:dyDescent="0.3">
      <c r="A422" s="23" t="s">
        <v>23</v>
      </c>
      <c r="B422" s="23" t="s">
        <v>572</v>
      </c>
      <c r="C422" s="12" t="s">
        <v>605</v>
      </c>
      <c r="D422" s="85"/>
      <c r="E422" s="69" t="str">
        <f>HYPERLINK("https://www.google.ru/search?q=MC-ZB455&amp;newwindow=1&amp;tbm=isch","Еще фото")</f>
        <v>Еще фото</v>
      </c>
      <c r="F422" s="13"/>
      <c r="G422" s="23" t="s">
        <v>574</v>
      </c>
      <c r="H422" s="23" t="s">
        <v>27</v>
      </c>
      <c r="I422" s="23" t="s">
        <v>569</v>
      </c>
      <c r="J422" s="14" t="s">
        <v>29</v>
      </c>
      <c r="K422" s="15" t="s">
        <v>30</v>
      </c>
      <c r="L422" s="88"/>
      <c r="M422" s="14"/>
      <c r="N422" s="14" t="s">
        <v>70</v>
      </c>
      <c r="O422" s="14"/>
      <c r="P422" s="15" t="s">
        <v>108</v>
      </c>
      <c r="Q422" s="16">
        <v>4499</v>
      </c>
      <c r="R422" s="17">
        <v>45</v>
      </c>
      <c r="S422" s="18">
        <v>2845.6174999999994</v>
      </c>
      <c r="T422" s="19" t="s">
        <v>34</v>
      </c>
      <c r="U422" s="20" t="s">
        <v>37</v>
      </c>
      <c r="V422" s="21">
        <v>128</v>
      </c>
      <c r="W422" s="21">
        <v>2</v>
      </c>
      <c r="X422" s="22"/>
    </row>
    <row r="423" spans="1:24" s="1" customFormat="1" ht="108" customHeight="1" x14ac:dyDescent="0.3">
      <c r="A423" s="11" t="s">
        <v>23</v>
      </c>
      <c r="B423" s="11" t="s">
        <v>606</v>
      </c>
      <c r="C423" s="12" t="s">
        <v>607</v>
      </c>
      <c r="D423" s="24"/>
      <c r="E423" s="69" t="str">
        <f>HYPERLINK("https://www.google.ru/search?q=MC-ZB456&amp;newwindow=1&amp;tbm=isch","Еще фото")</f>
        <v>Еще фото</v>
      </c>
      <c r="F423" s="13"/>
      <c r="G423" s="11" t="s">
        <v>608</v>
      </c>
      <c r="H423" s="11" t="s">
        <v>27</v>
      </c>
      <c r="I423" s="14" t="s">
        <v>569</v>
      </c>
      <c r="J423" s="14" t="s">
        <v>29</v>
      </c>
      <c r="K423" s="15" t="s">
        <v>30</v>
      </c>
      <c r="L423" s="14"/>
      <c r="M423" s="14"/>
      <c r="N423" s="14" t="s">
        <v>49</v>
      </c>
      <c r="O423" s="14"/>
      <c r="P423" s="15" t="s">
        <v>74</v>
      </c>
      <c r="Q423" s="16">
        <v>5099</v>
      </c>
      <c r="R423" s="17">
        <v>45</v>
      </c>
      <c r="S423" s="18">
        <v>3225.1174999999994</v>
      </c>
      <c r="T423" s="19" t="s">
        <v>34</v>
      </c>
      <c r="U423" s="20" t="s">
        <v>36</v>
      </c>
      <c r="V423" s="21">
        <v>122</v>
      </c>
      <c r="W423" s="21">
        <v>1</v>
      </c>
      <c r="X423" s="22"/>
    </row>
    <row r="424" spans="1:24" s="1" customFormat="1" ht="108" customHeight="1" x14ac:dyDescent="0.3">
      <c r="A424" s="11" t="s">
        <v>79</v>
      </c>
      <c r="B424" s="11" t="s">
        <v>609</v>
      </c>
      <c r="C424" s="12" t="s">
        <v>610</v>
      </c>
      <c r="D424" s="24"/>
      <c r="E424" s="69" t="str">
        <f>HYPERLINK("https://www.google.ru/search?q=JT738112-NV&amp;newwindow=1&amp;tbm=isch","Еще фото")</f>
        <v>Еще фото</v>
      </c>
      <c r="F424" s="13"/>
      <c r="G424" s="11" t="s">
        <v>568</v>
      </c>
      <c r="H424" s="11" t="s">
        <v>27</v>
      </c>
      <c r="I424" s="14" t="s">
        <v>569</v>
      </c>
      <c r="J424" s="14" t="s">
        <v>406</v>
      </c>
      <c r="K424" s="15" t="s">
        <v>30</v>
      </c>
      <c r="L424" s="14" t="s">
        <v>611</v>
      </c>
      <c r="M424" s="14"/>
      <c r="N424" s="14" t="s">
        <v>70</v>
      </c>
      <c r="O424" s="14"/>
      <c r="P424" s="15" t="s">
        <v>612</v>
      </c>
      <c r="Q424" s="16">
        <v>4499</v>
      </c>
      <c r="R424" s="17">
        <v>30</v>
      </c>
      <c r="S424" s="18">
        <v>3621.6949999999997</v>
      </c>
      <c r="T424" s="19" t="s">
        <v>84</v>
      </c>
      <c r="U424" s="20" t="s">
        <v>85</v>
      </c>
      <c r="V424" s="25" t="s">
        <v>86</v>
      </c>
      <c r="W424" s="21">
        <v>1</v>
      </c>
      <c r="X424" s="22"/>
    </row>
    <row r="425" spans="1:24" s="1" customFormat="1" ht="35.1" customHeight="1" x14ac:dyDescent="0.3">
      <c r="A425" s="11" t="s">
        <v>23</v>
      </c>
      <c r="B425" s="11" t="s">
        <v>613</v>
      </c>
      <c r="C425" s="12" t="s">
        <v>614</v>
      </c>
      <c r="D425" s="83"/>
      <c r="E425" s="69" t="str">
        <f>HYPERLINK("https://www.google.ru/search?q=MC-BC694&amp;newwindow=1&amp;tbm=isch","Еще фото")</f>
        <v>Еще фото</v>
      </c>
      <c r="F425" s="13"/>
      <c r="G425" s="11" t="s">
        <v>615</v>
      </c>
      <c r="H425" s="11" t="s">
        <v>27</v>
      </c>
      <c r="I425" s="14" t="s">
        <v>616</v>
      </c>
      <c r="J425" s="14" t="s">
        <v>29</v>
      </c>
      <c r="K425" s="15" t="s">
        <v>30</v>
      </c>
      <c r="L425" s="86" t="s">
        <v>617</v>
      </c>
      <c r="M425" s="14"/>
      <c r="N425" s="14" t="s">
        <v>32</v>
      </c>
      <c r="O425" s="14"/>
      <c r="P425" s="15" t="s">
        <v>76</v>
      </c>
      <c r="Q425" s="16">
        <v>3299</v>
      </c>
      <c r="R425" s="17">
        <v>76.42</v>
      </c>
      <c r="S425" s="29">
        <v>894.43549999999993</v>
      </c>
      <c r="T425" s="19" t="s">
        <v>34</v>
      </c>
      <c r="U425" s="20" t="s">
        <v>77</v>
      </c>
      <c r="V425" s="21">
        <v>92</v>
      </c>
      <c r="W425" s="21">
        <v>2</v>
      </c>
      <c r="X425" s="22"/>
    </row>
    <row r="426" spans="1:24" s="1" customFormat="1" ht="35.1" customHeight="1" x14ac:dyDescent="0.3">
      <c r="A426" s="23" t="s">
        <v>23</v>
      </c>
      <c r="B426" s="23" t="s">
        <v>613</v>
      </c>
      <c r="C426" s="12" t="s">
        <v>614</v>
      </c>
      <c r="D426" s="84"/>
      <c r="E426" s="69" t="str">
        <f>HYPERLINK("https://www.google.ru/search?q=MC-BC694&amp;newwindow=1&amp;tbm=isch","Еще фото")</f>
        <v>Еще фото</v>
      </c>
      <c r="F426" s="13"/>
      <c r="G426" s="23" t="s">
        <v>615</v>
      </c>
      <c r="H426" s="23" t="s">
        <v>27</v>
      </c>
      <c r="I426" s="23" t="s">
        <v>616</v>
      </c>
      <c r="J426" s="14" t="s">
        <v>29</v>
      </c>
      <c r="K426" s="15" t="s">
        <v>30</v>
      </c>
      <c r="L426" s="87"/>
      <c r="M426" s="14"/>
      <c r="N426" s="14" t="s">
        <v>32</v>
      </c>
      <c r="O426" s="14"/>
      <c r="P426" s="15" t="s">
        <v>76</v>
      </c>
      <c r="Q426" s="16">
        <v>3299</v>
      </c>
      <c r="R426" s="17">
        <v>76.42</v>
      </c>
      <c r="S426" s="29">
        <v>894.43549999999993</v>
      </c>
      <c r="T426" s="19" t="s">
        <v>34</v>
      </c>
      <c r="U426" s="20" t="s">
        <v>94</v>
      </c>
      <c r="V426" s="21">
        <v>104</v>
      </c>
      <c r="W426" s="21">
        <v>3</v>
      </c>
      <c r="X426" s="22"/>
    </row>
    <row r="427" spans="1:24" s="1" customFormat="1" ht="36.950000000000003" customHeight="1" x14ac:dyDescent="0.3">
      <c r="A427" s="23" t="s">
        <v>23</v>
      </c>
      <c r="B427" s="23" t="s">
        <v>613</v>
      </c>
      <c r="C427" s="12" t="s">
        <v>614</v>
      </c>
      <c r="D427" s="85"/>
      <c r="E427" s="69" t="str">
        <f>HYPERLINK("https://www.google.ru/search?q=MC-BC694&amp;newwindow=1&amp;tbm=isch","Еще фото")</f>
        <v>Еще фото</v>
      </c>
      <c r="F427" s="13"/>
      <c r="G427" s="23" t="s">
        <v>615</v>
      </c>
      <c r="H427" s="23" t="s">
        <v>27</v>
      </c>
      <c r="I427" s="23" t="s">
        <v>616</v>
      </c>
      <c r="J427" s="14" t="s">
        <v>29</v>
      </c>
      <c r="K427" s="15" t="s">
        <v>30</v>
      </c>
      <c r="L427" s="88"/>
      <c r="M427" s="14"/>
      <c r="N427" s="14" t="s">
        <v>32</v>
      </c>
      <c r="O427" s="14"/>
      <c r="P427" s="15" t="s">
        <v>76</v>
      </c>
      <c r="Q427" s="16">
        <v>3299</v>
      </c>
      <c r="R427" s="17">
        <v>76.42</v>
      </c>
      <c r="S427" s="29">
        <v>894.43549999999993</v>
      </c>
      <c r="T427" s="19" t="s">
        <v>34</v>
      </c>
      <c r="U427" s="20" t="s">
        <v>43</v>
      </c>
      <c r="V427" s="21">
        <v>110</v>
      </c>
      <c r="W427" s="21">
        <v>2</v>
      </c>
      <c r="X427" s="22"/>
    </row>
    <row r="428" spans="1:24" s="1" customFormat="1" ht="51.95" customHeight="1" x14ac:dyDescent="0.3">
      <c r="A428" s="11" t="s">
        <v>23</v>
      </c>
      <c r="B428" s="11" t="s">
        <v>613</v>
      </c>
      <c r="C428" s="12" t="s">
        <v>618</v>
      </c>
      <c r="D428" s="89"/>
      <c r="E428" s="69" t="str">
        <f>HYPERLINK("https://www.google.ru/search?q=MC-BA885&amp;newwindow=1&amp;tbm=isch","Еще фото")</f>
        <v>Еще фото</v>
      </c>
      <c r="F428" s="13"/>
      <c r="G428" s="11" t="s">
        <v>615</v>
      </c>
      <c r="H428" s="11" t="s">
        <v>27</v>
      </c>
      <c r="I428" s="14" t="s">
        <v>616</v>
      </c>
      <c r="J428" s="14" t="s">
        <v>29</v>
      </c>
      <c r="K428" s="15" t="s">
        <v>30</v>
      </c>
      <c r="L428" s="86" t="s">
        <v>619</v>
      </c>
      <c r="M428" s="14" t="s">
        <v>73</v>
      </c>
      <c r="N428" s="14" t="s">
        <v>275</v>
      </c>
      <c r="O428" s="14"/>
      <c r="P428" s="15" t="s">
        <v>76</v>
      </c>
      <c r="Q428" s="16">
        <v>1399</v>
      </c>
      <c r="R428" s="17">
        <v>71.569999999999993</v>
      </c>
      <c r="S428" s="29">
        <v>457.43549999999993</v>
      </c>
      <c r="T428" s="19" t="s">
        <v>34</v>
      </c>
      <c r="U428" s="20" t="s">
        <v>37</v>
      </c>
      <c r="V428" s="21">
        <v>128</v>
      </c>
      <c r="W428" s="21">
        <v>4</v>
      </c>
      <c r="X428" s="22"/>
    </row>
    <row r="429" spans="1:24" s="1" customFormat="1" ht="60.95" customHeight="1" x14ac:dyDescent="0.3">
      <c r="A429" s="23" t="s">
        <v>23</v>
      </c>
      <c r="B429" s="23" t="s">
        <v>613</v>
      </c>
      <c r="C429" s="12" t="s">
        <v>618</v>
      </c>
      <c r="D429" s="90"/>
      <c r="E429" s="69" t="str">
        <f>HYPERLINK("https://www.google.ru/search?q=MC-BA885&amp;newwindow=1&amp;tbm=isch","Еще фото")</f>
        <v>Еще фото</v>
      </c>
      <c r="F429" s="13"/>
      <c r="G429" s="23" t="s">
        <v>615</v>
      </c>
      <c r="H429" s="23" t="s">
        <v>27</v>
      </c>
      <c r="I429" s="23" t="s">
        <v>616</v>
      </c>
      <c r="J429" s="14" t="s">
        <v>29</v>
      </c>
      <c r="K429" s="15" t="s">
        <v>30</v>
      </c>
      <c r="L429" s="88"/>
      <c r="M429" s="14" t="s">
        <v>73</v>
      </c>
      <c r="N429" s="14" t="s">
        <v>275</v>
      </c>
      <c r="O429" s="14"/>
      <c r="P429" s="15" t="s">
        <v>76</v>
      </c>
      <c r="Q429" s="16">
        <v>1399</v>
      </c>
      <c r="R429" s="17">
        <v>71.569999999999993</v>
      </c>
      <c r="S429" s="29">
        <v>457.43549999999993</v>
      </c>
      <c r="T429" s="19" t="s">
        <v>34</v>
      </c>
      <c r="U429" s="20" t="s">
        <v>91</v>
      </c>
      <c r="V429" s="21">
        <v>134</v>
      </c>
      <c r="W429" s="21">
        <v>1</v>
      </c>
      <c r="X429" s="22"/>
    </row>
    <row r="430" spans="1:24" s="1" customFormat="1" ht="17.100000000000001" customHeight="1" x14ac:dyDescent="0.3">
      <c r="A430" s="11" t="s">
        <v>23</v>
      </c>
      <c r="B430" s="11" t="s">
        <v>613</v>
      </c>
      <c r="C430" s="12" t="s">
        <v>620</v>
      </c>
      <c r="D430" s="83"/>
      <c r="E430" s="69" t="str">
        <f t="shared" ref="E430:E435" si="12">HYPERLINK("https://www.google.ru/search?q=MC-BA883&amp;newwindow=1&amp;tbm=isch","Еще фото")</f>
        <v>Еще фото</v>
      </c>
      <c r="F430" s="13"/>
      <c r="G430" s="11" t="s">
        <v>615</v>
      </c>
      <c r="H430" s="11" t="s">
        <v>27</v>
      </c>
      <c r="I430" s="14" t="s">
        <v>616</v>
      </c>
      <c r="J430" s="14" t="s">
        <v>29</v>
      </c>
      <c r="K430" s="15" t="s">
        <v>30</v>
      </c>
      <c r="L430" s="86" t="s">
        <v>621</v>
      </c>
      <c r="M430" s="14"/>
      <c r="N430" s="14" t="s">
        <v>32</v>
      </c>
      <c r="O430" s="14"/>
      <c r="P430" s="15" t="s">
        <v>90</v>
      </c>
      <c r="Q430" s="16">
        <v>1299</v>
      </c>
      <c r="R430" s="17">
        <v>70.150000000000006</v>
      </c>
      <c r="S430" s="29">
        <v>445.93549999999993</v>
      </c>
      <c r="T430" s="19" t="s">
        <v>34</v>
      </c>
      <c r="U430" s="20" t="s">
        <v>43</v>
      </c>
      <c r="V430" s="21">
        <v>110</v>
      </c>
      <c r="W430" s="21">
        <v>1</v>
      </c>
      <c r="X430" s="22"/>
    </row>
    <row r="431" spans="1:24" s="1" customFormat="1" ht="17.100000000000001" customHeight="1" x14ac:dyDescent="0.3">
      <c r="A431" s="23" t="s">
        <v>23</v>
      </c>
      <c r="B431" s="23" t="s">
        <v>613</v>
      </c>
      <c r="C431" s="12" t="s">
        <v>620</v>
      </c>
      <c r="D431" s="84"/>
      <c r="E431" s="69" t="str">
        <f t="shared" si="12"/>
        <v>Еще фото</v>
      </c>
      <c r="F431" s="13"/>
      <c r="G431" s="23" t="s">
        <v>615</v>
      </c>
      <c r="H431" s="23" t="s">
        <v>27</v>
      </c>
      <c r="I431" s="23" t="s">
        <v>616</v>
      </c>
      <c r="J431" s="14" t="s">
        <v>29</v>
      </c>
      <c r="K431" s="15" t="s">
        <v>30</v>
      </c>
      <c r="L431" s="87"/>
      <c r="M431" s="14"/>
      <c r="N431" s="14" t="s">
        <v>32</v>
      </c>
      <c r="O431" s="14"/>
      <c r="P431" s="15" t="s">
        <v>90</v>
      </c>
      <c r="Q431" s="16">
        <v>1299</v>
      </c>
      <c r="R431" s="17">
        <v>70.150000000000006</v>
      </c>
      <c r="S431" s="29">
        <v>445.93549999999993</v>
      </c>
      <c r="T431" s="19" t="s">
        <v>34</v>
      </c>
      <c r="U431" s="20" t="s">
        <v>35</v>
      </c>
      <c r="V431" s="21">
        <v>116</v>
      </c>
      <c r="W431" s="21">
        <v>4</v>
      </c>
      <c r="X431" s="22"/>
    </row>
    <row r="432" spans="1:24" s="1" customFormat="1" ht="17.100000000000001" customHeight="1" x14ac:dyDescent="0.3">
      <c r="A432" s="23" t="s">
        <v>23</v>
      </c>
      <c r="B432" s="23" t="s">
        <v>613</v>
      </c>
      <c r="C432" s="12" t="s">
        <v>620</v>
      </c>
      <c r="D432" s="84"/>
      <c r="E432" s="69" t="str">
        <f t="shared" si="12"/>
        <v>Еще фото</v>
      </c>
      <c r="F432" s="13"/>
      <c r="G432" s="23" t="s">
        <v>615</v>
      </c>
      <c r="H432" s="23" t="s">
        <v>27</v>
      </c>
      <c r="I432" s="23" t="s">
        <v>616</v>
      </c>
      <c r="J432" s="14" t="s">
        <v>29</v>
      </c>
      <c r="K432" s="15" t="s">
        <v>30</v>
      </c>
      <c r="L432" s="87"/>
      <c r="M432" s="14"/>
      <c r="N432" s="14" t="s">
        <v>32</v>
      </c>
      <c r="O432" s="14"/>
      <c r="P432" s="15" t="s">
        <v>90</v>
      </c>
      <c r="Q432" s="16">
        <v>1299</v>
      </c>
      <c r="R432" s="17">
        <v>70.150000000000006</v>
      </c>
      <c r="S432" s="29">
        <v>445.93549999999993</v>
      </c>
      <c r="T432" s="19" t="s">
        <v>34</v>
      </c>
      <c r="U432" s="20" t="s">
        <v>36</v>
      </c>
      <c r="V432" s="21">
        <v>122</v>
      </c>
      <c r="W432" s="21">
        <v>2</v>
      </c>
      <c r="X432" s="22"/>
    </row>
    <row r="433" spans="1:24" s="1" customFormat="1" ht="17.100000000000001" customHeight="1" x14ac:dyDescent="0.3">
      <c r="A433" s="23" t="s">
        <v>23</v>
      </c>
      <c r="B433" s="23" t="s">
        <v>613</v>
      </c>
      <c r="C433" s="12" t="s">
        <v>620</v>
      </c>
      <c r="D433" s="84"/>
      <c r="E433" s="69" t="str">
        <f t="shared" si="12"/>
        <v>Еще фото</v>
      </c>
      <c r="F433" s="13"/>
      <c r="G433" s="23" t="s">
        <v>615</v>
      </c>
      <c r="H433" s="23" t="s">
        <v>27</v>
      </c>
      <c r="I433" s="23" t="s">
        <v>616</v>
      </c>
      <c r="J433" s="14" t="s">
        <v>29</v>
      </c>
      <c r="K433" s="15" t="s">
        <v>30</v>
      </c>
      <c r="L433" s="87"/>
      <c r="M433" s="14"/>
      <c r="N433" s="14" t="s">
        <v>32</v>
      </c>
      <c r="O433" s="14"/>
      <c r="P433" s="15" t="s">
        <v>90</v>
      </c>
      <c r="Q433" s="16">
        <v>1299</v>
      </c>
      <c r="R433" s="17">
        <v>70.150000000000006</v>
      </c>
      <c r="S433" s="29">
        <v>445.93549999999993</v>
      </c>
      <c r="T433" s="19" t="s">
        <v>34</v>
      </c>
      <c r="U433" s="20" t="s">
        <v>37</v>
      </c>
      <c r="V433" s="21">
        <v>128</v>
      </c>
      <c r="W433" s="21">
        <v>5</v>
      </c>
      <c r="X433" s="22"/>
    </row>
    <row r="434" spans="1:24" s="1" customFormat="1" ht="17.100000000000001" customHeight="1" x14ac:dyDescent="0.3">
      <c r="A434" s="23" t="s">
        <v>23</v>
      </c>
      <c r="B434" s="23" t="s">
        <v>613</v>
      </c>
      <c r="C434" s="12" t="s">
        <v>620</v>
      </c>
      <c r="D434" s="84"/>
      <c r="E434" s="69" t="str">
        <f t="shared" si="12"/>
        <v>Еще фото</v>
      </c>
      <c r="F434" s="13"/>
      <c r="G434" s="23" t="s">
        <v>615</v>
      </c>
      <c r="H434" s="23" t="s">
        <v>27</v>
      </c>
      <c r="I434" s="23" t="s">
        <v>616</v>
      </c>
      <c r="J434" s="14" t="s">
        <v>29</v>
      </c>
      <c r="K434" s="15" t="s">
        <v>30</v>
      </c>
      <c r="L434" s="87"/>
      <c r="M434" s="14"/>
      <c r="N434" s="14" t="s">
        <v>32</v>
      </c>
      <c r="O434" s="14"/>
      <c r="P434" s="15" t="s">
        <v>90</v>
      </c>
      <c r="Q434" s="16">
        <v>1299</v>
      </c>
      <c r="R434" s="17">
        <v>70.150000000000006</v>
      </c>
      <c r="S434" s="29">
        <v>445.93549999999993</v>
      </c>
      <c r="T434" s="19" t="s">
        <v>34</v>
      </c>
      <c r="U434" s="20" t="s">
        <v>91</v>
      </c>
      <c r="V434" s="21">
        <v>134</v>
      </c>
      <c r="W434" s="21">
        <v>1</v>
      </c>
      <c r="X434" s="22"/>
    </row>
    <row r="435" spans="1:24" s="1" customFormat="1" ht="21.95" customHeight="1" x14ac:dyDescent="0.3">
      <c r="A435" s="23" t="s">
        <v>23</v>
      </c>
      <c r="B435" s="23" t="s">
        <v>613</v>
      </c>
      <c r="C435" s="12" t="s">
        <v>620</v>
      </c>
      <c r="D435" s="85"/>
      <c r="E435" s="69" t="str">
        <f t="shared" si="12"/>
        <v>Еще фото</v>
      </c>
      <c r="F435" s="13"/>
      <c r="G435" s="23" t="s">
        <v>615</v>
      </c>
      <c r="H435" s="23" t="s">
        <v>27</v>
      </c>
      <c r="I435" s="23" t="s">
        <v>616</v>
      </c>
      <c r="J435" s="14" t="s">
        <v>29</v>
      </c>
      <c r="K435" s="15" t="s">
        <v>30</v>
      </c>
      <c r="L435" s="88"/>
      <c r="M435" s="14"/>
      <c r="N435" s="14" t="s">
        <v>32</v>
      </c>
      <c r="O435" s="14"/>
      <c r="P435" s="15" t="s">
        <v>90</v>
      </c>
      <c r="Q435" s="16">
        <v>1299</v>
      </c>
      <c r="R435" s="17">
        <v>70.150000000000006</v>
      </c>
      <c r="S435" s="29">
        <v>445.93549999999993</v>
      </c>
      <c r="T435" s="19" t="s">
        <v>34</v>
      </c>
      <c r="U435" s="20" t="s">
        <v>290</v>
      </c>
      <c r="V435" s="21">
        <v>140</v>
      </c>
      <c r="W435" s="21">
        <v>1</v>
      </c>
      <c r="X435" s="22"/>
    </row>
    <row r="436" spans="1:24" s="1" customFormat="1" ht="17.100000000000001" customHeight="1" x14ac:dyDescent="0.3">
      <c r="A436" s="11" t="s">
        <v>23</v>
      </c>
      <c r="B436" s="11" t="s">
        <v>613</v>
      </c>
      <c r="C436" s="12" t="s">
        <v>622</v>
      </c>
      <c r="D436" s="83"/>
      <c r="E436" s="69" t="str">
        <f t="shared" ref="E436:E441" si="13">HYPERLINK("https://www.google.ru/search?q=MC-BA845&amp;newwindow=1&amp;tbm=isch","Еще фото")</f>
        <v>Еще фото</v>
      </c>
      <c r="F436" s="13"/>
      <c r="G436" s="11" t="s">
        <v>615</v>
      </c>
      <c r="H436" s="11" t="s">
        <v>27</v>
      </c>
      <c r="I436" s="14" t="s">
        <v>616</v>
      </c>
      <c r="J436" s="14" t="s">
        <v>29</v>
      </c>
      <c r="K436" s="15" t="s">
        <v>30</v>
      </c>
      <c r="L436" s="86" t="s">
        <v>623</v>
      </c>
      <c r="M436" s="14"/>
      <c r="N436" s="14" t="s">
        <v>275</v>
      </c>
      <c r="O436" s="14"/>
      <c r="P436" s="15" t="s">
        <v>90</v>
      </c>
      <c r="Q436" s="16">
        <v>2099</v>
      </c>
      <c r="R436" s="17">
        <v>70.09</v>
      </c>
      <c r="S436" s="29">
        <v>721.93549999999993</v>
      </c>
      <c r="T436" s="19" t="s">
        <v>34</v>
      </c>
      <c r="U436" s="20" t="s">
        <v>78</v>
      </c>
      <c r="V436" s="21">
        <v>98</v>
      </c>
      <c r="W436" s="21">
        <v>1</v>
      </c>
      <c r="X436" s="22"/>
    </row>
    <row r="437" spans="1:24" s="1" customFormat="1" ht="17.100000000000001" customHeight="1" x14ac:dyDescent="0.3">
      <c r="A437" s="23" t="s">
        <v>23</v>
      </c>
      <c r="B437" s="23" t="s">
        <v>613</v>
      </c>
      <c r="C437" s="12" t="s">
        <v>622</v>
      </c>
      <c r="D437" s="84"/>
      <c r="E437" s="69" t="str">
        <f t="shared" si="13"/>
        <v>Еще фото</v>
      </c>
      <c r="F437" s="13"/>
      <c r="G437" s="23" t="s">
        <v>615</v>
      </c>
      <c r="H437" s="23" t="s">
        <v>27</v>
      </c>
      <c r="I437" s="23" t="s">
        <v>616</v>
      </c>
      <c r="J437" s="14" t="s">
        <v>29</v>
      </c>
      <c r="K437" s="15" t="s">
        <v>30</v>
      </c>
      <c r="L437" s="87"/>
      <c r="M437" s="14"/>
      <c r="N437" s="14" t="s">
        <v>275</v>
      </c>
      <c r="O437" s="14"/>
      <c r="P437" s="15" t="s">
        <v>90</v>
      </c>
      <c r="Q437" s="16">
        <v>2099</v>
      </c>
      <c r="R437" s="17">
        <v>70.09</v>
      </c>
      <c r="S437" s="29">
        <v>721.93549999999993</v>
      </c>
      <c r="T437" s="19" t="s">
        <v>34</v>
      </c>
      <c r="U437" s="20" t="s">
        <v>94</v>
      </c>
      <c r="V437" s="21">
        <v>104</v>
      </c>
      <c r="W437" s="21">
        <v>2</v>
      </c>
      <c r="X437" s="22"/>
    </row>
    <row r="438" spans="1:24" s="1" customFormat="1" ht="17.100000000000001" customHeight="1" x14ac:dyDescent="0.3">
      <c r="A438" s="23" t="s">
        <v>23</v>
      </c>
      <c r="B438" s="23" t="s">
        <v>613</v>
      </c>
      <c r="C438" s="12" t="s">
        <v>622</v>
      </c>
      <c r="D438" s="84"/>
      <c r="E438" s="69" t="str">
        <f t="shared" si="13"/>
        <v>Еще фото</v>
      </c>
      <c r="F438" s="13"/>
      <c r="G438" s="23" t="s">
        <v>615</v>
      </c>
      <c r="H438" s="23" t="s">
        <v>27</v>
      </c>
      <c r="I438" s="23" t="s">
        <v>616</v>
      </c>
      <c r="J438" s="14" t="s">
        <v>29</v>
      </c>
      <c r="K438" s="15" t="s">
        <v>30</v>
      </c>
      <c r="L438" s="87"/>
      <c r="M438" s="14"/>
      <c r="N438" s="14" t="s">
        <v>275</v>
      </c>
      <c r="O438" s="14"/>
      <c r="P438" s="15" t="s">
        <v>90</v>
      </c>
      <c r="Q438" s="16">
        <v>2099</v>
      </c>
      <c r="R438" s="17">
        <v>70.09</v>
      </c>
      <c r="S438" s="29">
        <v>721.93549999999993</v>
      </c>
      <c r="T438" s="19" t="s">
        <v>34</v>
      </c>
      <c r="U438" s="20" t="s">
        <v>35</v>
      </c>
      <c r="V438" s="21">
        <v>116</v>
      </c>
      <c r="W438" s="21">
        <v>1</v>
      </c>
      <c r="X438" s="22"/>
    </row>
    <row r="439" spans="1:24" s="1" customFormat="1" ht="17.100000000000001" customHeight="1" x14ac:dyDescent="0.3">
      <c r="A439" s="23" t="s">
        <v>23</v>
      </c>
      <c r="B439" s="23" t="s">
        <v>613</v>
      </c>
      <c r="C439" s="12" t="s">
        <v>622</v>
      </c>
      <c r="D439" s="84"/>
      <c r="E439" s="69" t="str">
        <f t="shared" si="13"/>
        <v>Еще фото</v>
      </c>
      <c r="F439" s="13"/>
      <c r="G439" s="23" t="s">
        <v>615</v>
      </c>
      <c r="H439" s="23" t="s">
        <v>27</v>
      </c>
      <c r="I439" s="23" t="s">
        <v>616</v>
      </c>
      <c r="J439" s="14" t="s">
        <v>29</v>
      </c>
      <c r="K439" s="15" t="s">
        <v>30</v>
      </c>
      <c r="L439" s="87"/>
      <c r="M439" s="14"/>
      <c r="N439" s="14" t="s">
        <v>275</v>
      </c>
      <c r="O439" s="14"/>
      <c r="P439" s="15" t="s">
        <v>90</v>
      </c>
      <c r="Q439" s="16">
        <v>2099</v>
      </c>
      <c r="R439" s="17">
        <v>70.09</v>
      </c>
      <c r="S439" s="29">
        <v>721.93549999999993</v>
      </c>
      <c r="T439" s="19" t="s">
        <v>34</v>
      </c>
      <c r="U439" s="20" t="s">
        <v>37</v>
      </c>
      <c r="V439" s="21">
        <v>128</v>
      </c>
      <c r="W439" s="21">
        <v>3</v>
      </c>
      <c r="X439" s="22"/>
    </row>
    <row r="440" spans="1:24" s="1" customFormat="1" ht="17.100000000000001" customHeight="1" x14ac:dyDescent="0.3">
      <c r="A440" s="23" t="s">
        <v>23</v>
      </c>
      <c r="B440" s="23" t="s">
        <v>613</v>
      </c>
      <c r="C440" s="12" t="s">
        <v>622</v>
      </c>
      <c r="D440" s="84"/>
      <c r="E440" s="69" t="str">
        <f t="shared" si="13"/>
        <v>Еще фото</v>
      </c>
      <c r="F440" s="13"/>
      <c r="G440" s="23" t="s">
        <v>615</v>
      </c>
      <c r="H440" s="23" t="s">
        <v>27</v>
      </c>
      <c r="I440" s="23" t="s">
        <v>616</v>
      </c>
      <c r="J440" s="14" t="s">
        <v>29</v>
      </c>
      <c r="K440" s="15" t="s">
        <v>30</v>
      </c>
      <c r="L440" s="87"/>
      <c r="M440" s="14"/>
      <c r="N440" s="14" t="s">
        <v>275</v>
      </c>
      <c r="O440" s="14"/>
      <c r="P440" s="15" t="s">
        <v>90</v>
      </c>
      <c r="Q440" s="16">
        <v>2099</v>
      </c>
      <c r="R440" s="17">
        <v>70.09</v>
      </c>
      <c r="S440" s="29">
        <v>721.93549999999993</v>
      </c>
      <c r="T440" s="19" t="s">
        <v>34</v>
      </c>
      <c r="U440" s="20" t="s">
        <v>91</v>
      </c>
      <c r="V440" s="21">
        <v>134</v>
      </c>
      <c r="W440" s="21">
        <v>1</v>
      </c>
      <c r="X440" s="22"/>
    </row>
    <row r="441" spans="1:24" s="1" customFormat="1" ht="21.95" customHeight="1" x14ac:dyDescent="0.3">
      <c r="A441" s="23" t="s">
        <v>23</v>
      </c>
      <c r="B441" s="23" t="s">
        <v>613</v>
      </c>
      <c r="C441" s="12" t="s">
        <v>622</v>
      </c>
      <c r="D441" s="85"/>
      <c r="E441" s="69" t="str">
        <f t="shared" si="13"/>
        <v>Еще фото</v>
      </c>
      <c r="F441" s="13"/>
      <c r="G441" s="23" t="s">
        <v>615</v>
      </c>
      <c r="H441" s="23" t="s">
        <v>27</v>
      </c>
      <c r="I441" s="23" t="s">
        <v>616</v>
      </c>
      <c r="J441" s="14" t="s">
        <v>29</v>
      </c>
      <c r="K441" s="15" t="s">
        <v>30</v>
      </c>
      <c r="L441" s="88"/>
      <c r="M441" s="14"/>
      <c r="N441" s="14" t="s">
        <v>275</v>
      </c>
      <c r="O441" s="14"/>
      <c r="P441" s="15" t="s">
        <v>90</v>
      </c>
      <c r="Q441" s="16">
        <v>2099</v>
      </c>
      <c r="R441" s="17">
        <v>70.09</v>
      </c>
      <c r="S441" s="29">
        <v>721.93549999999993</v>
      </c>
      <c r="T441" s="19" t="s">
        <v>34</v>
      </c>
      <c r="U441" s="20" t="s">
        <v>290</v>
      </c>
      <c r="V441" s="21">
        <v>140</v>
      </c>
      <c r="W441" s="21">
        <v>1</v>
      </c>
      <c r="X441" s="22"/>
    </row>
    <row r="442" spans="1:24" s="1" customFormat="1" ht="51.95" customHeight="1" x14ac:dyDescent="0.3">
      <c r="A442" s="11" t="s">
        <v>23</v>
      </c>
      <c r="B442" s="11" t="s">
        <v>613</v>
      </c>
      <c r="C442" s="12" t="s">
        <v>624</v>
      </c>
      <c r="D442" s="89"/>
      <c r="E442" s="69" t="str">
        <f>HYPERLINK("https://www.google.ru/search?q=MC-BA628&amp;newwindow=1&amp;tbm=isch","Еще фото")</f>
        <v>Еще фото</v>
      </c>
      <c r="F442" s="13"/>
      <c r="G442" s="11" t="s">
        <v>615</v>
      </c>
      <c r="H442" s="11" t="s">
        <v>27</v>
      </c>
      <c r="I442" s="14" t="s">
        <v>616</v>
      </c>
      <c r="J442" s="14" t="s">
        <v>29</v>
      </c>
      <c r="K442" s="15" t="s">
        <v>30</v>
      </c>
      <c r="L442" s="86" t="s">
        <v>625</v>
      </c>
      <c r="M442" s="14" t="s">
        <v>73</v>
      </c>
      <c r="N442" s="14" t="s">
        <v>70</v>
      </c>
      <c r="O442" s="14"/>
      <c r="P442" s="15" t="s">
        <v>90</v>
      </c>
      <c r="Q442" s="16">
        <v>2599</v>
      </c>
      <c r="R442" s="17">
        <v>48.91</v>
      </c>
      <c r="S442" s="18">
        <v>1526.9354999999998</v>
      </c>
      <c r="T442" s="19" t="s">
        <v>34</v>
      </c>
      <c r="U442" s="20" t="s">
        <v>77</v>
      </c>
      <c r="V442" s="21">
        <v>92</v>
      </c>
      <c r="W442" s="21">
        <v>2</v>
      </c>
      <c r="X442" s="22"/>
    </row>
    <row r="443" spans="1:24" s="1" customFormat="1" ht="60.95" customHeight="1" x14ac:dyDescent="0.3">
      <c r="A443" s="23" t="s">
        <v>23</v>
      </c>
      <c r="B443" s="23" t="s">
        <v>613</v>
      </c>
      <c r="C443" s="12" t="s">
        <v>624</v>
      </c>
      <c r="D443" s="90"/>
      <c r="E443" s="69" t="str">
        <f>HYPERLINK("https://www.google.ru/search?q=MC-BA628&amp;newwindow=1&amp;tbm=isch","Еще фото")</f>
        <v>Еще фото</v>
      </c>
      <c r="F443" s="13"/>
      <c r="G443" s="23" t="s">
        <v>615</v>
      </c>
      <c r="H443" s="23" t="s">
        <v>27</v>
      </c>
      <c r="I443" s="23" t="s">
        <v>616</v>
      </c>
      <c r="J443" s="14" t="s">
        <v>29</v>
      </c>
      <c r="K443" s="15" t="s">
        <v>30</v>
      </c>
      <c r="L443" s="88"/>
      <c r="M443" s="14" t="s">
        <v>73</v>
      </c>
      <c r="N443" s="14" t="s">
        <v>70</v>
      </c>
      <c r="O443" s="14"/>
      <c r="P443" s="15" t="s">
        <v>90</v>
      </c>
      <c r="Q443" s="16">
        <v>2599</v>
      </c>
      <c r="R443" s="17">
        <v>48.91</v>
      </c>
      <c r="S443" s="18">
        <v>1526.9354999999998</v>
      </c>
      <c r="T443" s="19" t="s">
        <v>34</v>
      </c>
      <c r="U443" s="20" t="s">
        <v>94</v>
      </c>
      <c r="V443" s="21">
        <v>104</v>
      </c>
      <c r="W443" s="21">
        <v>2</v>
      </c>
      <c r="X443" s="22"/>
    </row>
    <row r="444" spans="1:24" s="1" customFormat="1" ht="35.1" customHeight="1" x14ac:dyDescent="0.3">
      <c r="A444" s="11" t="s">
        <v>23</v>
      </c>
      <c r="B444" s="11" t="s">
        <v>613</v>
      </c>
      <c r="C444" s="12" t="s">
        <v>626</v>
      </c>
      <c r="D444" s="83"/>
      <c r="E444" s="69" t="str">
        <f>HYPERLINK("https://www.google.ru/search?q=MC-BA594&amp;newwindow=1&amp;tbm=isch","Еще фото")</f>
        <v>Еще фото</v>
      </c>
      <c r="F444" s="13"/>
      <c r="G444" s="11" t="s">
        <v>615</v>
      </c>
      <c r="H444" s="11" t="s">
        <v>27</v>
      </c>
      <c r="I444" s="14" t="s">
        <v>616</v>
      </c>
      <c r="J444" s="14" t="s">
        <v>29</v>
      </c>
      <c r="K444" s="15" t="s">
        <v>30</v>
      </c>
      <c r="L444" s="86" t="s">
        <v>627</v>
      </c>
      <c r="M444" s="14" t="s">
        <v>73</v>
      </c>
      <c r="N444" s="14" t="s">
        <v>70</v>
      </c>
      <c r="O444" s="14"/>
      <c r="P444" s="15" t="s">
        <v>90</v>
      </c>
      <c r="Q444" s="16">
        <v>2099</v>
      </c>
      <c r="R444" s="17">
        <v>48.65</v>
      </c>
      <c r="S444" s="18">
        <v>1239.4354999999998</v>
      </c>
      <c r="T444" s="19" t="s">
        <v>34</v>
      </c>
      <c r="U444" s="20" t="s">
        <v>77</v>
      </c>
      <c r="V444" s="21">
        <v>92</v>
      </c>
      <c r="W444" s="21">
        <v>4</v>
      </c>
      <c r="X444" s="22"/>
    </row>
    <row r="445" spans="1:24" s="1" customFormat="1" ht="35.1" customHeight="1" x14ac:dyDescent="0.3">
      <c r="A445" s="23" t="s">
        <v>23</v>
      </c>
      <c r="B445" s="23" t="s">
        <v>613</v>
      </c>
      <c r="C445" s="12" t="s">
        <v>626</v>
      </c>
      <c r="D445" s="84"/>
      <c r="E445" s="69" t="str">
        <f>HYPERLINK("https://www.google.ru/search?q=MC-BA594&amp;newwindow=1&amp;tbm=isch","Еще фото")</f>
        <v>Еще фото</v>
      </c>
      <c r="F445" s="13"/>
      <c r="G445" s="23" t="s">
        <v>615</v>
      </c>
      <c r="H445" s="23" t="s">
        <v>27</v>
      </c>
      <c r="I445" s="23" t="s">
        <v>616</v>
      </c>
      <c r="J445" s="14" t="s">
        <v>29</v>
      </c>
      <c r="K445" s="15" t="s">
        <v>30</v>
      </c>
      <c r="L445" s="87"/>
      <c r="M445" s="14" t="s">
        <v>73</v>
      </c>
      <c r="N445" s="14" t="s">
        <v>70</v>
      </c>
      <c r="O445" s="14"/>
      <c r="P445" s="15" t="s">
        <v>90</v>
      </c>
      <c r="Q445" s="16">
        <v>2099</v>
      </c>
      <c r="R445" s="17">
        <v>48.65</v>
      </c>
      <c r="S445" s="18">
        <v>1239.4354999999998</v>
      </c>
      <c r="T445" s="19" t="s">
        <v>34</v>
      </c>
      <c r="U445" s="20" t="s">
        <v>78</v>
      </c>
      <c r="V445" s="21">
        <v>98</v>
      </c>
      <c r="W445" s="21">
        <v>3</v>
      </c>
      <c r="X445" s="22"/>
    </row>
    <row r="446" spans="1:24" s="1" customFormat="1" ht="36.950000000000003" customHeight="1" x14ac:dyDescent="0.3">
      <c r="A446" s="23" t="s">
        <v>23</v>
      </c>
      <c r="B446" s="23" t="s">
        <v>613</v>
      </c>
      <c r="C446" s="12" t="s">
        <v>626</v>
      </c>
      <c r="D446" s="85"/>
      <c r="E446" s="69" t="str">
        <f>HYPERLINK("https://www.google.ru/search?q=MC-BA594&amp;newwindow=1&amp;tbm=isch","Еще фото")</f>
        <v>Еще фото</v>
      </c>
      <c r="F446" s="13"/>
      <c r="G446" s="23" t="s">
        <v>615</v>
      </c>
      <c r="H446" s="23" t="s">
        <v>27</v>
      </c>
      <c r="I446" s="23" t="s">
        <v>616</v>
      </c>
      <c r="J446" s="14" t="s">
        <v>29</v>
      </c>
      <c r="K446" s="15" t="s">
        <v>30</v>
      </c>
      <c r="L446" s="88"/>
      <c r="M446" s="14" t="s">
        <v>73</v>
      </c>
      <c r="N446" s="14" t="s">
        <v>70</v>
      </c>
      <c r="O446" s="14"/>
      <c r="P446" s="15" t="s">
        <v>90</v>
      </c>
      <c r="Q446" s="16">
        <v>2099</v>
      </c>
      <c r="R446" s="17">
        <v>48.65</v>
      </c>
      <c r="S446" s="18">
        <v>1239.4354999999998</v>
      </c>
      <c r="T446" s="19" t="s">
        <v>34</v>
      </c>
      <c r="U446" s="20" t="s">
        <v>94</v>
      </c>
      <c r="V446" s="21">
        <v>104</v>
      </c>
      <c r="W446" s="21">
        <v>3</v>
      </c>
      <c r="X446" s="22"/>
    </row>
    <row r="447" spans="1:24" s="1" customFormat="1" ht="108" customHeight="1" x14ac:dyDescent="0.3">
      <c r="A447" s="11" t="s">
        <v>23</v>
      </c>
      <c r="B447" s="11" t="s">
        <v>613</v>
      </c>
      <c r="C447" s="12" t="s">
        <v>628</v>
      </c>
      <c r="D447" s="24"/>
      <c r="E447" s="69" t="str">
        <f>HYPERLINK("https://www.google.ru/search?q=MC-BA559&amp;newwindow=1&amp;tbm=isch","Еще фото")</f>
        <v>Еще фото</v>
      </c>
      <c r="F447" s="13"/>
      <c r="G447" s="11" t="s">
        <v>615</v>
      </c>
      <c r="H447" s="11" t="s">
        <v>27</v>
      </c>
      <c r="I447" s="14" t="s">
        <v>616</v>
      </c>
      <c r="J447" s="14" t="s">
        <v>29</v>
      </c>
      <c r="K447" s="15" t="s">
        <v>30</v>
      </c>
      <c r="L447" s="14" t="s">
        <v>629</v>
      </c>
      <c r="M447" s="14" t="s">
        <v>73</v>
      </c>
      <c r="N447" s="14" t="s">
        <v>116</v>
      </c>
      <c r="O447" s="14"/>
      <c r="P447" s="15" t="s">
        <v>90</v>
      </c>
      <c r="Q447" s="16">
        <v>2099</v>
      </c>
      <c r="R447" s="17">
        <v>45</v>
      </c>
      <c r="S447" s="18">
        <v>1327.6174999999998</v>
      </c>
      <c r="T447" s="19" t="s">
        <v>34</v>
      </c>
      <c r="U447" s="20" t="s">
        <v>78</v>
      </c>
      <c r="V447" s="21">
        <v>98</v>
      </c>
      <c r="W447" s="21">
        <v>2</v>
      </c>
      <c r="X447" s="22"/>
    </row>
    <row r="448" spans="1:24" s="1" customFormat="1" ht="51.95" customHeight="1" x14ac:dyDescent="0.3">
      <c r="A448" s="11" t="s">
        <v>23</v>
      </c>
      <c r="B448" s="11" t="s">
        <v>613</v>
      </c>
      <c r="C448" s="12" t="s">
        <v>630</v>
      </c>
      <c r="D448" s="89"/>
      <c r="E448" s="69" t="str">
        <f>HYPERLINK("https://www.google.ru/search?q=MC-BA561&amp;newwindow=1&amp;tbm=isch","Еще фото")</f>
        <v>Еще фото</v>
      </c>
      <c r="F448" s="13"/>
      <c r="G448" s="11" t="s">
        <v>615</v>
      </c>
      <c r="H448" s="11" t="s">
        <v>27</v>
      </c>
      <c r="I448" s="14" t="s">
        <v>616</v>
      </c>
      <c r="J448" s="14" t="s">
        <v>29</v>
      </c>
      <c r="K448" s="15" t="s">
        <v>30</v>
      </c>
      <c r="L448" s="86" t="s">
        <v>631</v>
      </c>
      <c r="M448" s="14" t="s">
        <v>73</v>
      </c>
      <c r="N448" s="14" t="s">
        <v>41</v>
      </c>
      <c r="O448" s="14"/>
      <c r="P448" s="15" t="s">
        <v>90</v>
      </c>
      <c r="Q448" s="16">
        <v>2099</v>
      </c>
      <c r="R448" s="17">
        <v>45</v>
      </c>
      <c r="S448" s="18">
        <v>1327.6174999999998</v>
      </c>
      <c r="T448" s="19" t="s">
        <v>34</v>
      </c>
      <c r="U448" s="20" t="s">
        <v>77</v>
      </c>
      <c r="V448" s="21">
        <v>92</v>
      </c>
      <c r="W448" s="21">
        <v>2</v>
      </c>
      <c r="X448" s="22"/>
    </row>
    <row r="449" spans="1:24" s="1" customFormat="1" ht="60.95" customHeight="1" x14ac:dyDescent="0.3">
      <c r="A449" s="23" t="s">
        <v>23</v>
      </c>
      <c r="B449" s="23" t="s">
        <v>613</v>
      </c>
      <c r="C449" s="12" t="s">
        <v>630</v>
      </c>
      <c r="D449" s="90"/>
      <c r="E449" s="69" t="str">
        <f>HYPERLINK("https://www.google.ru/search?q=MC-BA561&amp;newwindow=1&amp;tbm=isch","Еще фото")</f>
        <v>Еще фото</v>
      </c>
      <c r="F449" s="13"/>
      <c r="G449" s="23" t="s">
        <v>615</v>
      </c>
      <c r="H449" s="23" t="s">
        <v>27</v>
      </c>
      <c r="I449" s="23" t="s">
        <v>616</v>
      </c>
      <c r="J449" s="14" t="s">
        <v>29</v>
      </c>
      <c r="K449" s="15" t="s">
        <v>30</v>
      </c>
      <c r="L449" s="88"/>
      <c r="M449" s="14" t="s">
        <v>73</v>
      </c>
      <c r="N449" s="14" t="s">
        <v>41</v>
      </c>
      <c r="O449" s="14"/>
      <c r="P449" s="15" t="s">
        <v>90</v>
      </c>
      <c r="Q449" s="16">
        <v>2099</v>
      </c>
      <c r="R449" s="17">
        <v>45</v>
      </c>
      <c r="S449" s="18">
        <v>1327.6174999999998</v>
      </c>
      <c r="T449" s="19" t="s">
        <v>34</v>
      </c>
      <c r="U449" s="20" t="s">
        <v>94</v>
      </c>
      <c r="V449" s="21">
        <v>104</v>
      </c>
      <c r="W449" s="21">
        <v>4</v>
      </c>
      <c r="X449" s="22"/>
    </row>
    <row r="450" spans="1:24" s="1" customFormat="1" ht="35.1" customHeight="1" x14ac:dyDescent="0.3">
      <c r="A450" s="11" t="s">
        <v>23</v>
      </c>
      <c r="B450" s="11" t="s">
        <v>613</v>
      </c>
      <c r="C450" s="12" t="s">
        <v>632</v>
      </c>
      <c r="D450" s="83"/>
      <c r="E450" s="69" t="str">
        <f>HYPERLINK("https://www.google.ru/search?q=MC-BA578&amp;newwindow=1&amp;tbm=isch","Еще фото")</f>
        <v>Еще фото</v>
      </c>
      <c r="F450" s="13"/>
      <c r="G450" s="11" t="s">
        <v>615</v>
      </c>
      <c r="H450" s="11" t="s">
        <v>27</v>
      </c>
      <c r="I450" s="14" t="s">
        <v>616</v>
      </c>
      <c r="J450" s="14" t="s">
        <v>29</v>
      </c>
      <c r="K450" s="15" t="s">
        <v>30</v>
      </c>
      <c r="L450" s="86" t="s">
        <v>633</v>
      </c>
      <c r="M450" s="14" t="s">
        <v>73</v>
      </c>
      <c r="N450" s="14" t="s">
        <v>89</v>
      </c>
      <c r="O450" s="14"/>
      <c r="P450" s="15" t="s">
        <v>90</v>
      </c>
      <c r="Q450" s="16">
        <v>2499</v>
      </c>
      <c r="R450" s="17">
        <v>45</v>
      </c>
      <c r="S450" s="18">
        <v>1580.6174999999998</v>
      </c>
      <c r="T450" s="19" t="s">
        <v>34</v>
      </c>
      <c r="U450" s="20" t="s">
        <v>77</v>
      </c>
      <c r="V450" s="21">
        <v>92</v>
      </c>
      <c r="W450" s="21">
        <v>1</v>
      </c>
      <c r="X450" s="22"/>
    </row>
    <row r="451" spans="1:24" s="1" customFormat="1" ht="35.1" customHeight="1" x14ac:dyDescent="0.3">
      <c r="A451" s="23" t="s">
        <v>23</v>
      </c>
      <c r="B451" s="23" t="s">
        <v>613</v>
      </c>
      <c r="C451" s="12" t="s">
        <v>632</v>
      </c>
      <c r="D451" s="84"/>
      <c r="E451" s="69" t="str">
        <f>HYPERLINK("https://www.google.ru/search?q=MC-BA578&amp;newwindow=1&amp;tbm=isch","Еще фото")</f>
        <v>Еще фото</v>
      </c>
      <c r="F451" s="13"/>
      <c r="G451" s="23" t="s">
        <v>615</v>
      </c>
      <c r="H451" s="23" t="s">
        <v>27</v>
      </c>
      <c r="I451" s="23" t="s">
        <v>616</v>
      </c>
      <c r="J451" s="14" t="s">
        <v>29</v>
      </c>
      <c r="K451" s="15" t="s">
        <v>30</v>
      </c>
      <c r="L451" s="87"/>
      <c r="M451" s="14" t="s">
        <v>73</v>
      </c>
      <c r="N451" s="14" t="s">
        <v>89</v>
      </c>
      <c r="O451" s="14"/>
      <c r="P451" s="15" t="s">
        <v>90</v>
      </c>
      <c r="Q451" s="16">
        <v>2499</v>
      </c>
      <c r="R451" s="17">
        <v>45</v>
      </c>
      <c r="S451" s="18">
        <v>1580.6174999999998</v>
      </c>
      <c r="T451" s="19" t="s">
        <v>34</v>
      </c>
      <c r="U451" s="20" t="s">
        <v>78</v>
      </c>
      <c r="V451" s="21">
        <v>98</v>
      </c>
      <c r="W451" s="21">
        <v>2</v>
      </c>
      <c r="X451" s="22"/>
    </row>
    <row r="452" spans="1:24" s="1" customFormat="1" ht="36.950000000000003" customHeight="1" x14ac:dyDescent="0.3">
      <c r="A452" s="23" t="s">
        <v>23</v>
      </c>
      <c r="B452" s="23" t="s">
        <v>613</v>
      </c>
      <c r="C452" s="12" t="s">
        <v>632</v>
      </c>
      <c r="D452" s="85"/>
      <c r="E452" s="69" t="str">
        <f>HYPERLINK("https://www.google.ru/search?q=MC-BA578&amp;newwindow=1&amp;tbm=isch","Еще фото")</f>
        <v>Еще фото</v>
      </c>
      <c r="F452" s="13"/>
      <c r="G452" s="23" t="s">
        <v>615</v>
      </c>
      <c r="H452" s="23" t="s">
        <v>27</v>
      </c>
      <c r="I452" s="23" t="s">
        <v>616</v>
      </c>
      <c r="J452" s="14" t="s">
        <v>29</v>
      </c>
      <c r="K452" s="15" t="s">
        <v>30</v>
      </c>
      <c r="L452" s="88"/>
      <c r="M452" s="14" t="s">
        <v>73</v>
      </c>
      <c r="N452" s="14" t="s">
        <v>89</v>
      </c>
      <c r="O452" s="14"/>
      <c r="P452" s="15" t="s">
        <v>90</v>
      </c>
      <c r="Q452" s="16">
        <v>2499</v>
      </c>
      <c r="R452" s="17">
        <v>45</v>
      </c>
      <c r="S452" s="18">
        <v>1580.6174999999998</v>
      </c>
      <c r="T452" s="19" t="s">
        <v>34</v>
      </c>
      <c r="U452" s="20" t="s">
        <v>37</v>
      </c>
      <c r="V452" s="21">
        <v>128</v>
      </c>
      <c r="W452" s="21">
        <v>1</v>
      </c>
      <c r="X452" s="22"/>
    </row>
    <row r="453" spans="1:24" s="1" customFormat="1" ht="108" customHeight="1" x14ac:dyDescent="0.3">
      <c r="A453" s="11" t="s">
        <v>23</v>
      </c>
      <c r="B453" s="11" t="s">
        <v>613</v>
      </c>
      <c r="C453" s="12" t="s">
        <v>634</v>
      </c>
      <c r="D453" s="24"/>
      <c r="E453" s="69" t="str">
        <f>HYPERLINK("https://www.google.ru/search?q=MC-BA596&amp;newwindow=1&amp;tbm=isch","Еще фото")</f>
        <v>Еще фото</v>
      </c>
      <c r="F453" s="13"/>
      <c r="G453" s="11" t="s">
        <v>615</v>
      </c>
      <c r="H453" s="11" t="s">
        <v>27</v>
      </c>
      <c r="I453" s="14" t="s">
        <v>616</v>
      </c>
      <c r="J453" s="14" t="s">
        <v>29</v>
      </c>
      <c r="K453" s="15" t="s">
        <v>30</v>
      </c>
      <c r="L453" s="14" t="s">
        <v>635</v>
      </c>
      <c r="M453" s="14" t="s">
        <v>73</v>
      </c>
      <c r="N453" s="14" t="s">
        <v>636</v>
      </c>
      <c r="O453" s="14"/>
      <c r="P453" s="15" t="s">
        <v>90</v>
      </c>
      <c r="Q453" s="16">
        <v>3299</v>
      </c>
      <c r="R453" s="17">
        <v>45</v>
      </c>
      <c r="S453" s="18">
        <v>2086.6174999999998</v>
      </c>
      <c r="T453" s="19" t="s">
        <v>34</v>
      </c>
      <c r="U453" s="20" t="s">
        <v>77</v>
      </c>
      <c r="V453" s="21">
        <v>92</v>
      </c>
      <c r="W453" s="21">
        <v>4</v>
      </c>
      <c r="X453" s="22"/>
    </row>
    <row r="454" spans="1:24" s="1" customFormat="1" ht="108" customHeight="1" x14ac:dyDescent="0.3">
      <c r="A454" s="11" t="s">
        <v>23</v>
      </c>
      <c r="B454" s="11" t="s">
        <v>613</v>
      </c>
      <c r="C454" s="12" t="s">
        <v>637</v>
      </c>
      <c r="D454" s="24"/>
      <c r="E454" s="69" t="str">
        <f>HYPERLINK("https://www.google.ru/search?q=MC-BA625&amp;newwindow=1&amp;tbm=isch","Еще фото")</f>
        <v>Еще фото</v>
      </c>
      <c r="F454" s="13"/>
      <c r="G454" s="11" t="s">
        <v>615</v>
      </c>
      <c r="H454" s="11" t="s">
        <v>27</v>
      </c>
      <c r="I454" s="14" t="s">
        <v>616</v>
      </c>
      <c r="J454" s="14" t="s">
        <v>29</v>
      </c>
      <c r="K454" s="15" t="s">
        <v>30</v>
      </c>
      <c r="L454" s="14" t="s">
        <v>638</v>
      </c>
      <c r="M454" s="14" t="s">
        <v>73</v>
      </c>
      <c r="N454" s="14" t="s">
        <v>70</v>
      </c>
      <c r="O454" s="14"/>
      <c r="P454" s="15" t="s">
        <v>90</v>
      </c>
      <c r="Q454" s="16">
        <v>1699</v>
      </c>
      <c r="R454" s="17">
        <v>45</v>
      </c>
      <c r="S454" s="29">
        <v>1074.6175000000001</v>
      </c>
      <c r="T454" s="19" t="s">
        <v>34</v>
      </c>
      <c r="U454" s="20" t="s">
        <v>77</v>
      </c>
      <c r="V454" s="21">
        <v>92</v>
      </c>
      <c r="W454" s="21">
        <v>1</v>
      </c>
      <c r="X454" s="22"/>
    </row>
    <row r="455" spans="1:24" s="1" customFormat="1" ht="35.1" customHeight="1" x14ac:dyDescent="0.3">
      <c r="A455" s="11" t="s">
        <v>23</v>
      </c>
      <c r="B455" s="11" t="s">
        <v>613</v>
      </c>
      <c r="C455" s="12" t="s">
        <v>639</v>
      </c>
      <c r="D455" s="83"/>
      <c r="E455" s="69" t="str">
        <f>HYPERLINK("https://www.google.ru/search?q=MC-BA863&amp;newwindow=1&amp;tbm=isch","Еще фото")</f>
        <v>Еще фото</v>
      </c>
      <c r="F455" s="13"/>
      <c r="G455" s="11" t="s">
        <v>615</v>
      </c>
      <c r="H455" s="11" t="s">
        <v>27</v>
      </c>
      <c r="I455" s="14" t="s">
        <v>616</v>
      </c>
      <c r="J455" s="14" t="s">
        <v>29</v>
      </c>
      <c r="K455" s="15" t="s">
        <v>30</v>
      </c>
      <c r="L455" s="86" t="s">
        <v>640</v>
      </c>
      <c r="M455" s="14" t="s">
        <v>73</v>
      </c>
      <c r="N455" s="14" t="s">
        <v>275</v>
      </c>
      <c r="O455" s="14"/>
      <c r="P455" s="15" t="s">
        <v>90</v>
      </c>
      <c r="Q455" s="16">
        <v>2399</v>
      </c>
      <c r="R455" s="17">
        <v>45</v>
      </c>
      <c r="S455" s="18">
        <v>1517.3674999999998</v>
      </c>
      <c r="T455" s="19" t="s">
        <v>34</v>
      </c>
      <c r="U455" s="20" t="s">
        <v>78</v>
      </c>
      <c r="V455" s="21">
        <v>98</v>
      </c>
      <c r="W455" s="21">
        <v>3</v>
      </c>
      <c r="X455" s="22"/>
    </row>
    <row r="456" spans="1:24" s="1" customFormat="1" ht="35.1" customHeight="1" x14ac:dyDescent="0.3">
      <c r="A456" s="23" t="s">
        <v>23</v>
      </c>
      <c r="B456" s="23" t="s">
        <v>613</v>
      </c>
      <c r="C456" s="12" t="s">
        <v>639</v>
      </c>
      <c r="D456" s="84"/>
      <c r="E456" s="69" t="str">
        <f>HYPERLINK("https://www.google.ru/search?q=MC-BA863&amp;newwindow=1&amp;tbm=isch","Еще фото")</f>
        <v>Еще фото</v>
      </c>
      <c r="F456" s="13"/>
      <c r="G456" s="23" t="s">
        <v>615</v>
      </c>
      <c r="H456" s="23" t="s">
        <v>27</v>
      </c>
      <c r="I456" s="23" t="s">
        <v>616</v>
      </c>
      <c r="J456" s="14" t="s">
        <v>29</v>
      </c>
      <c r="K456" s="15" t="s">
        <v>30</v>
      </c>
      <c r="L456" s="87"/>
      <c r="M456" s="14" t="s">
        <v>73</v>
      </c>
      <c r="N456" s="14" t="s">
        <v>275</v>
      </c>
      <c r="O456" s="14"/>
      <c r="P456" s="15" t="s">
        <v>90</v>
      </c>
      <c r="Q456" s="16">
        <v>2399</v>
      </c>
      <c r="R456" s="17">
        <v>45</v>
      </c>
      <c r="S456" s="18">
        <v>1517.3674999999998</v>
      </c>
      <c r="T456" s="19" t="s">
        <v>34</v>
      </c>
      <c r="U456" s="20" t="s">
        <v>43</v>
      </c>
      <c r="V456" s="21">
        <v>110</v>
      </c>
      <c r="W456" s="21">
        <v>1</v>
      </c>
      <c r="X456" s="22"/>
    </row>
    <row r="457" spans="1:24" s="1" customFormat="1" ht="36.950000000000003" customHeight="1" x14ac:dyDescent="0.3">
      <c r="A457" s="23" t="s">
        <v>23</v>
      </c>
      <c r="B457" s="23" t="s">
        <v>613</v>
      </c>
      <c r="C457" s="12" t="s">
        <v>639</v>
      </c>
      <c r="D457" s="85"/>
      <c r="E457" s="69" t="str">
        <f>HYPERLINK("https://www.google.ru/search?q=MC-BA863&amp;newwindow=1&amp;tbm=isch","Еще фото")</f>
        <v>Еще фото</v>
      </c>
      <c r="F457" s="13"/>
      <c r="G457" s="23" t="s">
        <v>615</v>
      </c>
      <c r="H457" s="23" t="s">
        <v>27</v>
      </c>
      <c r="I457" s="23" t="s">
        <v>616</v>
      </c>
      <c r="J457" s="14" t="s">
        <v>29</v>
      </c>
      <c r="K457" s="15" t="s">
        <v>30</v>
      </c>
      <c r="L457" s="88"/>
      <c r="M457" s="14" t="s">
        <v>73</v>
      </c>
      <c r="N457" s="14" t="s">
        <v>275</v>
      </c>
      <c r="O457" s="14"/>
      <c r="P457" s="15" t="s">
        <v>90</v>
      </c>
      <c r="Q457" s="16">
        <v>2399</v>
      </c>
      <c r="R457" s="17">
        <v>45</v>
      </c>
      <c r="S457" s="18">
        <v>1517.3674999999998</v>
      </c>
      <c r="T457" s="19" t="s">
        <v>34</v>
      </c>
      <c r="U457" s="20" t="s">
        <v>36</v>
      </c>
      <c r="V457" s="21">
        <v>122</v>
      </c>
      <c r="W457" s="21">
        <v>1</v>
      </c>
      <c r="X457" s="22"/>
    </row>
    <row r="458" spans="1:24" s="1" customFormat="1" ht="14.1" customHeight="1" x14ac:dyDescent="0.3">
      <c r="A458" s="11" t="s">
        <v>23</v>
      </c>
      <c r="B458" s="11" t="s">
        <v>641</v>
      </c>
      <c r="C458" s="12" t="s">
        <v>642</v>
      </c>
      <c r="D458" s="83"/>
      <c r="E458" s="69" t="str">
        <f t="shared" ref="E458:E464" si="14">HYPERLINK("https://www.google.ru/search?q=MC-BA997&amp;newwindow=1&amp;tbm=isch","Еще фото")</f>
        <v>Еще фото</v>
      </c>
      <c r="F458" s="13"/>
      <c r="G458" s="11" t="s">
        <v>643</v>
      </c>
      <c r="H458" s="11" t="s">
        <v>27</v>
      </c>
      <c r="I458" s="14" t="s">
        <v>616</v>
      </c>
      <c r="J458" s="14" t="s">
        <v>29</v>
      </c>
      <c r="K458" s="15" t="s">
        <v>30</v>
      </c>
      <c r="L458" s="86"/>
      <c r="M458" s="14"/>
      <c r="N458" s="14" t="s">
        <v>32</v>
      </c>
      <c r="O458" s="14"/>
      <c r="P458" s="15" t="s">
        <v>74</v>
      </c>
      <c r="Q458" s="16">
        <v>2899</v>
      </c>
      <c r="R458" s="17">
        <v>45</v>
      </c>
      <c r="S458" s="18">
        <v>1833.6174999999998</v>
      </c>
      <c r="T458" s="19" t="s">
        <v>34</v>
      </c>
      <c r="U458" s="20" t="s">
        <v>94</v>
      </c>
      <c r="V458" s="21">
        <v>104</v>
      </c>
      <c r="W458" s="21">
        <v>4</v>
      </c>
      <c r="X458" s="22"/>
    </row>
    <row r="459" spans="1:24" s="1" customFormat="1" ht="14.1" customHeight="1" x14ac:dyDescent="0.3">
      <c r="A459" s="23" t="s">
        <v>23</v>
      </c>
      <c r="B459" s="23" t="s">
        <v>641</v>
      </c>
      <c r="C459" s="12" t="s">
        <v>642</v>
      </c>
      <c r="D459" s="84"/>
      <c r="E459" s="69" t="str">
        <f t="shared" si="14"/>
        <v>Еще фото</v>
      </c>
      <c r="F459" s="13"/>
      <c r="G459" s="23" t="s">
        <v>643</v>
      </c>
      <c r="H459" s="23" t="s">
        <v>27</v>
      </c>
      <c r="I459" s="23" t="s">
        <v>616</v>
      </c>
      <c r="J459" s="14" t="s">
        <v>29</v>
      </c>
      <c r="K459" s="15" t="s">
        <v>30</v>
      </c>
      <c r="L459" s="87"/>
      <c r="M459" s="14"/>
      <c r="N459" s="14" t="s">
        <v>32</v>
      </c>
      <c r="O459" s="14"/>
      <c r="P459" s="15" t="s">
        <v>74</v>
      </c>
      <c r="Q459" s="16">
        <v>2899</v>
      </c>
      <c r="R459" s="17">
        <v>45</v>
      </c>
      <c r="S459" s="18">
        <v>1833.6174999999998</v>
      </c>
      <c r="T459" s="19" t="s">
        <v>34</v>
      </c>
      <c r="U459" s="20" t="s">
        <v>43</v>
      </c>
      <c r="V459" s="21">
        <v>110</v>
      </c>
      <c r="W459" s="21">
        <v>1</v>
      </c>
      <c r="X459" s="22"/>
    </row>
    <row r="460" spans="1:24" s="1" customFormat="1" ht="14.1" customHeight="1" x14ac:dyDescent="0.3">
      <c r="A460" s="23" t="s">
        <v>23</v>
      </c>
      <c r="B460" s="23" t="s">
        <v>641</v>
      </c>
      <c r="C460" s="12" t="s">
        <v>642</v>
      </c>
      <c r="D460" s="84"/>
      <c r="E460" s="69" t="str">
        <f t="shared" si="14"/>
        <v>Еще фото</v>
      </c>
      <c r="F460" s="13"/>
      <c r="G460" s="23" t="s">
        <v>643</v>
      </c>
      <c r="H460" s="23" t="s">
        <v>27</v>
      </c>
      <c r="I460" s="23" t="s">
        <v>616</v>
      </c>
      <c r="J460" s="14" t="s">
        <v>29</v>
      </c>
      <c r="K460" s="15" t="s">
        <v>30</v>
      </c>
      <c r="L460" s="87"/>
      <c r="M460" s="14"/>
      <c r="N460" s="14" t="s">
        <v>32</v>
      </c>
      <c r="O460" s="14"/>
      <c r="P460" s="15" t="s">
        <v>74</v>
      </c>
      <c r="Q460" s="16">
        <v>2899</v>
      </c>
      <c r="R460" s="17">
        <v>45</v>
      </c>
      <c r="S460" s="18">
        <v>1833.6174999999998</v>
      </c>
      <c r="T460" s="19" t="s">
        <v>34</v>
      </c>
      <c r="U460" s="20" t="s">
        <v>35</v>
      </c>
      <c r="V460" s="21">
        <v>116</v>
      </c>
      <c r="W460" s="21">
        <v>3</v>
      </c>
      <c r="X460" s="22"/>
    </row>
    <row r="461" spans="1:24" s="1" customFormat="1" ht="14.1" customHeight="1" x14ac:dyDescent="0.3">
      <c r="A461" s="23" t="s">
        <v>23</v>
      </c>
      <c r="B461" s="23" t="s">
        <v>641</v>
      </c>
      <c r="C461" s="12" t="s">
        <v>642</v>
      </c>
      <c r="D461" s="84"/>
      <c r="E461" s="69" t="str">
        <f t="shared" si="14"/>
        <v>Еще фото</v>
      </c>
      <c r="F461" s="13"/>
      <c r="G461" s="23" t="s">
        <v>643</v>
      </c>
      <c r="H461" s="23" t="s">
        <v>27</v>
      </c>
      <c r="I461" s="23" t="s">
        <v>616</v>
      </c>
      <c r="J461" s="14" t="s">
        <v>29</v>
      </c>
      <c r="K461" s="15" t="s">
        <v>30</v>
      </c>
      <c r="L461" s="87"/>
      <c r="M461" s="14"/>
      <c r="N461" s="14" t="s">
        <v>32</v>
      </c>
      <c r="O461" s="14"/>
      <c r="P461" s="15" t="s">
        <v>74</v>
      </c>
      <c r="Q461" s="16">
        <v>2899</v>
      </c>
      <c r="R461" s="17">
        <v>45</v>
      </c>
      <c r="S461" s="18">
        <v>1833.6174999999998</v>
      </c>
      <c r="T461" s="19" t="s">
        <v>34</v>
      </c>
      <c r="U461" s="20" t="s">
        <v>36</v>
      </c>
      <c r="V461" s="21">
        <v>122</v>
      </c>
      <c r="W461" s="21">
        <v>3</v>
      </c>
      <c r="X461" s="22"/>
    </row>
    <row r="462" spans="1:24" s="1" customFormat="1" ht="14.1" customHeight="1" x14ac:dyDescent="0.3">
      <c r="A462" s="23" t="s">
        <v>23</v>
      </c>
      <c r="B462" s="23" t="s">
        <v>641</v>
      </c>
      <c r="C462" s="12" t="s">
        <v>642</v>
      </c>
      <c r="D462" s="84"/>
      <c r="E462" s="69" t="str">
        <f t="shared" si="14"/>
        <v>Еще фото</v>
      </c>
      <c r="F462" s="13"/>
      <c r="G462" s="23" t="s">
        <v>643</v>
      </c>
      <c r="H462" s="23" t="s">
        <v>27</v>
      </c>
      <c r="I462" s="23" t="s">
        <v>616</v>
      </c>
      <c r="J462" s="14" t="s">
        <v>29</v>
      </c>
      <c r="K462" s="15" t="s">
        <v>30</v>
      </c>
      <c r="L462" s="87"/>
      <c r="M462" s="14"/>
      <c r="N462" s="14" t="s">
        <v>32</v>
      </c>
      <c r="O462" s="14"/>
      <c r="P462" s="15" t="s">
        <v>74</v>
      </c>
      <c r="Q462" s="16">
        <v>2899</v>
      </c>
      <c r="R462" s="17">
        <v>45</v>
      </c>
      <c r="S462" s="18">
        <v>1833.6174999999998</v>
      </c>
      <c r="T462" s="19" t="s">
        <v>34</v>
      </c>
      <c r="U462" s="20" t="s">
        <v>37</v>
      </c>
      <c r="V462" s="21">
        <v>128</v>
      </c>
      <c r="W462" s="21">
        <v>3</v>
      </c>
      <c r="X462" s="22"/>
    </row>
    <row r="463" spans="1:24" s="1" customFormat="1" ht="14.1" customHeight="1" x14ac:dyDescent="0.3">
      <c r="A463" s="23" t="s">
        <v>23</v>
      </c>
      <c r="B463" s="23" t="s">
        <v>641</v>
      </c>
      <c r="C463" s="12" t="s">
        <v>642</v>
      </c>
      <c r="D463" s="84"/>
      <c r="E463" s="69" t="str">
        <f t="shared" si="14"/>
        <v>Еще фото</v>
      </c>
      <c r="F463" s="13"/>
      <c r="G463" s="23" t="s">
        <v>643</v>
      </c>
      <c r="H463" s="23" t="s">
        <v>27</v>
      </c>
      <c r="I463" s="23" t="s">
        <v>616</v>
      </c>
      <c r="J463" s="14" t="s">
        <v>29</v>
      </c>
      <c r="K463" s="15" t="s">
        <v>30</v>
      </c>
      <c r="L463" s="87"/>
      <c r="M463" s="14"/>
      <c r="N463" s="14" t="s">
        <v>32</v>
      </c>
      <c r="O463" s="14"/>
      <c r="P463" s="15" t="s">
        <v>74</v>
      </c>
      <c r="Q463" s="16">
        <v>2899</v>
      </c>
      <c r="R463" s="17">
        <v>45</v>
      </c>
      <c r="S463" s="18">
        <v>1833.6174999999998</v>
      </c>
      <c r="T463" s="19" t="s">
        <v>34</v>
      </c>
      <c r="U463" s="20" t="s">
        <v>91</v>
      </c>
      <c r="V463" s="21">
        <v>134</v>
      </c>
      <c r="W463" s="21">
        <v>3</v>
      </c>
      <c r="X463" s="22"/>
    </row>
    <row r="464" spans="1:24" s="1" customFormat="1" ht="17.100000000000001" customHeight="1" x14ac:dyDescent="0.3">
      <c r="A464" s="23" t="s">
        <v>23</v>
      </c>
      <c r="B464" s="23" t="s">
        <v>641</v>
      </c>
      <c r="C464" s="12" t="s">
        <v>642</v>
      </c>
      <c r="D464" s="85"/>
      <c r="E464" s="69" t="str">
        <f t="shared" si="14"/>
        <v>Еще фото</v>
      </c>
      <c r="F464" s="13"/>
      <c r="G464" s="23" t="s">
        <v>643</v>
      </c>
      <c r="H464" s="23" t="s">
        <v>27</v>
      </c>
      <c r="I464" s="23" t="s">
        <v>616</v>
      </c>
      <c r="J464" s="14" t="s">
        <v>29</v>
      </c>
      <c r="K464" s="15" t="s">
        <v>30</v>
      </c>
      <c r="L464" s="88"/>
      <c r="M464" s="14"/>
      <c r="N464" s="14" t="s">
        <v>32</v>
      </c>
      <c r="O464" s="14"/>
      <c r="P464" s="15" t="s">
        <v>74</v>
      </c>
      <c r="Q464" s="16">
        <v>2899</v>
      </c>
      <c r="R464" s="17">
        <v>45</v>
      </c>
      <c r="S464" s="18">
        <v>1833.6174999999998</v>
      </c>
      <c r="T464" s="19" t="s">
        <v>34</v>
      </c>
      <c r="U464" s="20" t="s">
        <v>290</v>
      </c>
      <c r="V464" s="21">
        <v>140</v>
      </c>
      <c r="W464" s="21">
        <v>1</v>
      </c>
      <c r="X464" s="22"/>
    </row>
    <row r="465" spans="1:24" s="1" customFormat="1" ht="51.95" customHeight="1" x14ac:dyDescent="0.3">
      <c r="A465" s="11" t="s">
        <v>23</v>
      </c>
      <c r="B465" s="11" t="s">
        <v>613</v>
      </c>
      <c r="C465" s="12" t="s">
        <v>644</v>
      </c>
      <c r="D465" s="89"/>
      <c r="E465" s="69" t="str">
        <f>HYPERLINK("https://www.google.ru/search?q=MC-BC367&amp;newwindow=1&amp;tbm=isch","Еще фото")</f>
        <v>Еще фото</v>
      </c>
      <c r="F465" s="13"/>
      <c r="G465" s="11" t="s">
        <v>615</v>
      </c>
      <c r="H465" s="11" t="s">
        <v>27</v>
      </c>
      <c r="I465" s="14" t="s">
        <v>616</v>
      </c>
      <c r="J465" s="14" t="s">
        <v>29</v>
      </c>
      <c r="K465" s="15" t="s">
        <v>30</v>
      </c>
      <c r="L465" s="86" t="s">
        <v>645</v>
      </c>
      <c r="M465" s="14"/>
      <c r="N465" s="14" t="s">
        <v>636</v>
      </c>
      <c r="O465" s="14"/>
      <c r="P465" s="15" t="s">
        <v>76</v>
      </c>
      <c r="Q465" s="16">
        <v>2399</v>
      </c>
      <c r="R465" s="17">
        <v>45</v>
      </c>
      <c r="S465" s="18">
        <v>1517.3674999999998</v>
      </c>
      <c r="T465" s="19" t="s">
        <v>34</v>
      </c>
      <c r="U465" s="20" t="s">
        <v>77</v>
      </c>
      <c r="V465" s="21">
        <v>92</v>
      </c>
      <c r="W465" s="21">
        <v>1</v>
      </c>
      <c r="X465" s="22"/>
    </row>
    <row r="466" spans="1:24" s="1" customFormat="1" ht="60.95" customHeight="1" x14ac:dyDescent="0.3">
      <c r="A466" s="23" t="s">
        <v>23</v>
      </c>
      <c r="B466" s="23" t="s">
        <v>613</v>
      </c>
      <c r="C466" s="12" t="s">
        <v>644</v>
      </c>
      <c r="D466" s="90"/>
      <c r="E466" s="69" t="str">
        <f>HYPERLINK("https://www.google.ru/search?q=MC-BC367&amp;newwindow=1&amp;tbm=isch","Еще фото")</f>
        <v>Еще фото</v>
      </c>
      <c r="F466" s="13"/>
      <c r="G466" s="23" t="s">
        <v>615</v>
      </c>
      <c r="H466" s="23" t="s">
        <v>27</v>
      </c>
      <c r="I466" s="23" t="s">
        <v>616</v>
      </c>
      <c r="J466" s="14" t="s">
        <v>29</v>
      </c>
      <c r="K466" s="15" t="s">
        <v>30</v>
      </c>
      <c r="L466" s="88"/>
      <c r="M466" s="14"/>
      <c r="N466" s="14" t="s">
        <v>636</v>
      </c>
      <c r="O466" s="14"/>
      <c r="P466" s="15" t="s">
        <v>76</v>
      </c>
      <c r="Q466" s="16">
        <v>2399</v>
      </c>
      <c r="R466" s="17">
        <v>45</v>
      </c>
      <c r="S466" s="18">
        <v>1517.3674999999998</v>
      </c>
      <c r="T466" s="19" t="s">
        <v>34</v>
      </c>
      <c r="U466" s="20" t="s">
        <v>36</v>
      </c>
      <c r="V466" s="21">
        <v>122</v>
      </c>
      <c r="W466" s="21">
        <v>1</v>
      </c>
      <c r="X466" s="22"/>
    </row>
    <row r="467" spans="1:24" s="1" customFormat="1" ht="51.95" customHeight="1" x14ac:dyDescent="0.3">
      <c r="A467" s="11" t="s">
        <v>23</v>
      </c>
      <c r="B467" s="11" t="s">
        <v>613</v>
      </c>
      <c r="C467" s="12" t="s">
        <v>646</v>
      </c>
      <c r="D467" s="89"/>
      <c r="E467" s="69" t="str">
        <f>HYPERLINK("https://www.google.ru/search?q=MC-BC375&amp;newwindow=1&amp;tbm=isch","Еще фото")</f>
        <v>Еще фото</v>
      </c>
      <c r="F467" s="13"/>
      <c r="G467" s="11" t="s">
        <v>615</v>
      </c>
      <c r="H467" s="11" t="s">
        <v>27</v>
      </c>
      <c r="I467" s="14" t="s">
        <v>616</v>
      </c>
      <c r="J467" s="14" t="s">
        <v>29</v>
      </c>
      <c r="K467" s="15" t="s">
        <v>30</v>
      </c>
      <c r="L467" s="86" t="s">
        <v>647</v>
      </c>
      <c r="M467" s="14" t="s">
        <v>73</v>
      </c>
      <c r="N467" s="14" t="s">
        <v>70</v>
      </c>
      <c r="O467" s="14"/>
      <c r="P467" s="15" t="s">
        <v>90</v>
      </c>
      <c r="Q467" s="16">
        <v>2099</v>
      </c>
      <c r="R467" s="17">
        <v>45</v>
      </c>
      <c r="S467" s="18">
        <v>1327.6174999999998</v>
      </c>
      <c r="T467" s="19" t="s">
        <v>34</v>
      </c>
      <c r="U467" s="20" t="s">
        <v>94</v>
      </c>
      <c r="V467" s="21">
        <v>104</v>
      </c>
      <c r="W467" s="21">
        <v>4</v>
      </c>
      <c r="X467" s="22"/>
    </row>
    <row r="468" spans="1:24" s="1" customFormat="1" ht="60.95" customHeight="1" x14ac:dyDescent="0.3">
      <c r="A468" s="23" t="s">
        <v>23</v>
      </c>
      <c r="B468" s="23" t="s">
        <v>613</v>
      </c>
      <c r="C468" s="12" t="s">
        <v>646</v>
      </c>
      <c r="D468" s="90"/>
      <c r="E468" s="69" t="str">
        <f>HYPERLINK("https://www.google.ru/search?q=MC-BC375&amp;newwindow=1&amp;tbm=isch","Еще фото")</f>
        <v>Еще фото</v>
      </c>
      <c r="F468" s="13"/>
      <c r="G468" s="23" t="s">
        <v>615</v>
      </c>
      <c r="H468" s="23" t="s">
        <v>27</v>
      </c>
      <c r="I468" s="23" t="s">
        <v>616</v>
      </c>
      <c r="J468" s="14" t="s">
        <v>29</v>
      </c>
      <c r="K468" s="15" t="s">
        <v>30</v>
      </c>
      <c r="L468" s="88"/>
      <c r="M468" s="14" t="s">
        <v>73</v>
      </c>
      <c r="N468" s="14" t="s">
        <v>70</v>
      </c>
      <c r="O468" s="14"/>
      <c r="P468" s="15" t="s">
        <v>90</v>
      </c>
      <c r="Q468" s="16">
        <v>2099</v>
      </c>
      <c r="R468" s="17">
        <v>45</v>
      </c>
      <c r="S468" s="18">
        <v>1327.6174999999998</v>
      </c>
      <c r="T468" s="19" t="s">
        <v>34</v>
      </c>
      <c r="U468" s="20" t="s">
        <v>43</v>
      </c>
      <c r="V468" s="21">
        <v>110</v>
      </c>
      <c r="W468" s="21">
        <v>2</v>
      </c>
      <c r="X468" s="22"/>
    </row>
    <row r="469" spans="1:24" s="1" customFormat="1" ht="108" customHeight="1" x14ac:dyDescent="0.3">
      <c r="A469" s="11" t="s">
        <v>23</v>
      </c>
      <c r="B469" s="11" t="s">
        <v>648</v>
      </c>
      <c r="C469" s="12" t="s">
        <v>649</v>
      </c>
      <c r="D469" s="24"/>
      <c r="E469" s="69" t="str">
        <f>HYPERLINK("https://www.google.ru/search?q=MC-BD221-1&amp;newwindow=1&amp;tbm=isch","Еще фото")</f>
        <v>Еще фото</v>
      </c>
      <c r="F469" s="13"/>
      <c r="G469" s="11" t="s">
        <v>650</v>
      </c>
      <c r="H469" s="11" t="s">
        <v>27</v>
      </c>
      <c r="I469" s="14" t="s">
        <v>616</v>
      </c>
      <c r="J469" s="14" t="s">
        <v>29</v>
      </c>
      <c r="K469" s="15" t="s">
        <v>30</v>
      </c>
      <c r="L469" s="14" t="s">
        <v>651</v>
      </c>
      <c r="M469" s="14"/>
      <c r="N469" s="14" t="s">
        <v>32</v>
      </c>
      <c r="O469" s="14"/>
      <c r="P469" s="15" t="s">
        <v>90</v>
      </c>
      <c r="Q469" s="16">
        <v>4299</v>
      </c>
      <c r="R469" s="17">
        <v>45</v>
      </c>
      <c r="S469" s="18">
        <v>2719.1174999999994</v>
      </c>
      <c r="T469" s="19" t="s">
        <v>34</v>
      </c>
      <c r="U469" s="20" t="s">
        <v>104</v>
      </c>
      <c r="V469" s="21">
        <v>50</v>
      </c>
      <c r="W469" s="21">
        <v>1</v>
      </c>
      <c r="X469" s="22"/>
    </row>
    <row r="470" spans="1:24" s="1" customFormat="1" ht="108" customHeight="1" x14ac:dyDescent="0.3">
      <c r="A470" s="11" t="s">
        <v>23</v>
      </c>
      <c r="B470" s="11" t="s">
        <v>652</v>
      </c>
      <c r="C470" s="12" t="s">
        <v>653</v>
      </c>
      <c r="D470" s="24"/>
      <c r="E470" s="69" t="str">
        <f>HYPERLINK("https://www.google.ru/search?q=MC-CA146&amp;newwindow=1&amp;tbm=isch","Еще фото")</f>
        <v>Еще фото</v>
      </c>
      <c r="F470" s="13"/>
      <c r="G470" s="11" t="s">
        <v>654</v>
      </c>
      <c r="H470" s="11" t="s">
        <v>27</v>
      </c>
      <c r="I470" s="14" t="s">
        <v>616</v>
      </c>
      <c r="J470" s="14" t="s">
        <v>29</v>
      </c>
      <c r="K470" s="15" t="s">
        <v>30</v>
      </c>
      <c r="L470" s="14"/>
      <c r="M470" s="14" t="s">
        <v>73</v>
      </c>
      <c r="N470" s="14" t="s">
        <v>70</v>
      </c>
      <c r="O470" s="14"/>
      <c r="P470" s="15" t="s">
        <v>74</v>
      </c>
      <c r="Q470" s="16">
        <v>1699</v>
      </c>
      <c r="R470" s="17">
        <v>45</v>
      </c>
      <c r="S470" s="29">
        <v>1074.6175000000001</v>
      </c>
      <c r="T470" s="19" t="s">
        <v>34</v>
      </c>
      <c r="U470" s="20" t="s">
        <v>43</v>
      </c>
      <c r="V470" s="21">
        <v>110</v>
      </c>
      <c r="W470" s="21">
        <v>1</v>
      </c>
      <c r="X470" s="22"/>
    </row>
    <row r="471" spans="1:24" s="1" customFormat="1" ht="108" customHeight="1" x14ac:dyDescent="0.3">
      <c r="A471" s="11" t="s">
        <v>23</v>
      </c>
      <c r="B471" s="11" t="s">
        <v>652</v>
      </c>
      <c r="C471" s="12" t="s">
        <v>655</v>
      </c>
      <c r="D471" s="24"/>
      <c r="E471" s="69" t="str">
        <f>HYPERLINK("https://www.google.ru/search?q=MC-CA438&amp;newwindow=1&amp;tbm=isch","Еще фото")</f>
        <v>Еще фото</v>
      </c>
      <c r="F471" s="13"/>
      <c r="G471" s="11" t="s">
        <v>654</v>
      </c>
      <c r="H471" s="11" t="s">
        <v>27</v>
      </c>
      <c r="I471" s="14" t="s">
        <v>616</v>
      </c>
      <c r="J471" s="14" t="s">
        <v>29</v>
      </c>
      <c r="K471" s="15" t="s">
        <v>30</v>
      </c>
      <c r="L471" s="14" t="s">
        <v>656</v>
      </c>
      <c r="M471" s="14" t="s">
        <v>73</v>
      </c>
      <c r="N471" s="14" t="s">
        <v>275</v>
      </c>
      <c r="O471" s="14"/>
      <c r="P471" s="15" t="s">
        <v>657</v>
      </c>
      <c r="Q471" s="16">
        <v>3199</v>
      </c>
      <c r="R471" s="17">
        <v>45</v>
      </c>
      <c r="S471" s="18">
        <v>2023.3674999999998</v>
      </c>
      <c r="T471" s="19" t="s">
        <v>34</v>
      </c>
      <c r="U471" s="20" t="s">
        <v>36</v>
      </c>
      <c r="V471" s="21">
        <v>122</v>
      </c>
      <c r="W471" s="21">
        <v>2</v>
      </c>
      <c r="X471" s="22"/>
    </row>
    <row r="472" spans="1:24" s="1" customFormat="1" ht="108" customHeight="1" x14ac:dyDescent="0.3">
      <c r="A472" s="11" t="s">
        <v>23</v>
      </c>
      <c r="B472" s="11" t="s">
        <v>658</v>
      </c>
      <c r="C472" s="12" t="s">
        <v>659</v>
      </c>
      <c r="D472" s="24"/>
      <c r="E472" s="69" t="str">
        <f>HYPERLINK("https://www.google.ru/search?q=MC-CA950&amp;newwindow=1&amp;tbm=isch","Еще фото")</f>
        <v>Еще фото</v>
      </c>
      <c r="F472" s="13"/>
      <c r="G472" s="11" t="s">
        <v>660</v>
      </c>
      <c r="H472" s="11" t="s">
        <v>27</v>
      </c>
      <c r="I472" s="14" t="s">
        <v>616</v>
      </c>
      <c r="J472" s="14" t="s">
        <v>29</v>
      </c>
      <c r="K472" s="15" t="s">
        <v>30</v>
      </c>
      <c r="L472" s="14"/>
      <c r="M472" s="14"/>
      <c r="N472" s="14" t="s">
        <v>661</v>
      </c>
      <c r="O472" s="14"/>
      <c r="P472" s="15" t="s">
        <v>74</v>
      </c>
      <c r="Q472" s="16">
        <v>1999</v>
      </c>
      <c r="R472" s="17">
        <v>45</v>
      </c>
      <c r="S472" s="18">
        <v>1264.3675000000001</v>
      </c>
      <c r="T472" s="19" t="s">
        <v>34</v>
      </c>
      <c r="U472" s="20" t="s">
        <v>91</v>
      </c>
      <c r="V472" s="21">
        <v>134</v>
      </c>
      <c r="W472" s="21">
        <v>1</v>
      </c>
      <c r="X472" s="22"/>
    </row>
    <row r="473" spans="1:24" s="1" customFormat="1" ht="12.95" customHeight="1" x14ac:dyDescent="0.3">
      <c r="A473" s="11" t="s">
        <v>23</v>
      </c>
      <c r="B473" s="11" t="s">
        <v>652</v>
      </c>
      <c r="C473" s="12" t="s">
        <v>662</v>
      </c>
      <c r="D473" s="83"/>
      <c r="E473" s="69" t="str">
        <f t="shared" ref="E473:E480" si="15">HYPERLINK("https://www.google.ru/search?q=MC-CB106&amp;newwindow=1&amp;tbm=isch","Еще фото")</f>
        <v>Еще фото</v>
      </c>
      <c r="F473" s="13"/>
      <c r="G473" s="11" t="s">
        <v>654</v>
      </c>
      <c r="H473" s="11" t="s">
        <v>27</v>
      </c>
      <c r="I473" s="14" t="s">
        <v>616</v>
      </c>
      <c r="J473" s="14" t="s">
        <v>29</v>
      </c>
      <c r="K473" s="15" t="s">
        <v>30</v>
      </c>
      <c r="L473" s="86"/>
      <c r="M473" s="14"/>
      <c r="N473" s="14" t="s">
        <v>242</v>
      </c>
      <c r="O473" s="14"/>
      <c r="P473" s="15" t="s">
        <v>74</v>
      </c>
      <c r="Q473" s="16">
        <v>3299</v>
      </c>
      <c r="R473" s="17">
        <v>45</v>
      </c>
      <c r="S473" s="18">
        <v>2086.6174999999998</v>
      </c>
      <c r="T473" s="19" t="s">
        <v>34</v>
      </c>
      <c r="U473" s="26" t="s">
        <v>77</v>
      </c>
      <c r="V473" s="21">
        <v>92</v>
      </c>
      <c r="W473" s="21">
        <v>1</v>
      </c>
      <c r="X473" s="22"/>
    </row>
    <row r="474" spans="1:24" s="1" customFormat="1" ht="12.95" customHeight="1" x14ac:dyDescent="0.3">
      <c r="A474" s="23" t="s">
        <v>23</v>
      </c>
      <c r="B474" s="23" t="s">
        <v>652</v>
      </c>
      <c r="C474" s="12" t="s">
        <v>662</v>
      </c>
      <c r="D474" s="84"/>
      <c r="E474" s="69" t="str">
        <f t="shared" si="15"/>
        <v>Еще фото</v>
      </c>
      <c r="F474" s="13"/>
      <c r="G474" s="23" t="s">
        <v>654</v>
      </c>
      <c r="H474" s="23" t="s">
        <v>27</v>
      </c>
      <c r="I474" s="23" t="s">
        <v>616</v>
      </c>
      <c r="J474" s="14" t="s">
        <v>29</v>
      </c>
      <c r="K474" s="15" t="s">
        <v>30</v>
      </c>
      <c r="L474" s="87"/>
      <c r="M474" s="14"/>
      <c r="N474" s="14" t="s">
        <v>242</v>
      </c>
      <c r="O474" s="14"/>
      <c r="P474" s="15" t="s">
        <v>74</v>
      </c>
      <c r="Q474" s="16">
        <v>3299</v>
      </c>
      <c r="R474" s="17">
        <v>45</v>
      </c>
      <c r="S474" s="18">
        <v>2086.6174999999998</v>
      </c>
      <c r="T474" s="19" t="s">
        <v>34</v>
      </c>
      <c r="U474" s="20" t="s">
        <v>94</v>
      </c>
      <c r="V474" s="21">
        <v>104</v>
      </c>
      <c r="W474" s="21">
        <v>4</v>
      </c>
      <c r="X474" s="22"/>
    </row>
    <row r="475" spans="1:24" s="1" customFormat="1" ht="12.95" customHeight="1" x14ac:dyDescent="0.3">
      <c r="A475" s="23" t="s">
        <v>23</v>
      </c>
      <c r="B475" s="23" t="s">
        <v>652</v>
      </c>
      <c r="C475" s="12" t="s">
        <v>662</v>
      </c>
      <c r="D475" s="84"/>
      <c r="E475" s="69" t="str">
        <f t="shared" si="15"/>
        <v>Еще фото</v>
      </c>
      <c r="F475" s="13"/>
      <c r="G475" s="23" t="s">
        <v>654</v>
      </c>
      <c r="H475" s="23" t="s">
        <v>27</v>
      </c>
      <c r="I475" s="23" t="s">
        <v>616</v>
      </c>
      <c r="J475" s="14" t="s">
        <v>29</v>
      </c>
      <c r="K475" s="15" t="s">
        <v>30</v>
      </c>
      <c r="L475" s="87"/>
      <c r="M475" s="14"/>
      <c r="N475" s="14" t="s">
        <v>242</v>
      </c>
      <c r="O475" s="14"/>
      <c r="P475" s="15" t="s">
        <v>74</v>
      </c>
      <c r="Q475" s="16">
        <v>3299</v>
      </c>
      <c r="R475" s="17">
        <v>45</v>
      </c>
      <c r="S475" s="18">
        <v>2086.6174999999998</v>
      </c>
      <c r="T475" s="19" t="s">
        <v>34</v>
      </c>
      <c r="U475" s="20" t="s">
        <v>43</v>
      </c>
      <c r="V475" s="21">
        <v>110</v>
      </c>
      <c r="W475" s="21">
        <v>5</v>
      </c>
      <c r="X475" s="22"/>
    </row>
    <row r="476" spans="1:24" s="1" customFormat="1" ht="12.95" customHeight="1" x14ac:dyDescent="0.3">
      <c r="A476" s="23" t="s">
        <v>23</v>
      </c>
      <c r="B476" s="23" t="s">
        <v>652</v>
      </c>
      <c r="C476" s="12" t="s">
        <v>662</v>
      </c>
      <c r="D476" s="84"/>
      <c r="E476" s="69" t="str">
        <f t="shared" si="15"/>
        <v>Еще фото</v>
      </c>
      <c r="F476" s="13"/>
      <c r="G476" s="23" t="s">
        <v>654</v>
      </c>
      <c r="H476" s="23" t="s">
        <v>27</v>
      </c>
      <c r="I476" s="23" t="s">
        <v>616</v>
      </c>
      <c r="J476" s="14" t="s">
        <v>29</v>
      </c>
      <c r="K476" s="15" t="s">
        <v>30</v>
      </c>
      <c r="L476" s="87"/>
      <c r="M476" s="14"/>
      <c r="N476" s="14" t="s">
        <v>242</v>
      </c>
      <c r="O476" s="14"/>
      <c r="P476" s="15" t="s">
        <v>74</v>
      </c>
      <c r="Q476" s="16">
        <v>3299</v>
      </c>
      <c r="R476" s="17">
        <v>45</v>
      </c>
      <c r="S476" s="18">
        <v>2086.6174999999998</v>
      </c>
      <c r="T476" s="19" t="s">
        <v>34</v>
      </c>
      <c r="U476" s="20" t="s">
        <v>35</v>
      </c>
      <c r="V476" s="21">
        <v>116</v>
      </c>
      <c r="W476" s="21">
        <v>5</v>
      </c>
      <c r="X476" s="22"/>
    </row>
    <row r="477" spans="1:24" s="1" customFormat="1" ht="12.95" customHeight="1" x14ac:dyDescent="0.3">
      <c r="A477" s="23" t="s">
        <v>23</v>
      </c>
      <c r="B477" s="23" t="s">
        <v>652</v>
      </c>
      <c r="C477" s="12" t="s">
        <v>662</v>
      </c>
      <c r="D477" s="84"/>
      <c r="E477" s="69" t="str">
        <f t="shared" si="15"/>
        <v>Еще фото</v>
      </c>
      <c r="F477" s="13"/>
      <c r="G477" s="23" t="s">
        <v>654</v>
      </c>
      <c r="H477" s="23" t="s">
        <v>27</v>
      </c>
      <c r="I477" s="23" t="s">
        <v>616</v>
      </c>
      <c r="J477" s="14" t="s">
        <v>29</v>
      </c>
      <c r="K477" s="15" t="s">
        <v>30</v>
      </c>
      <c r="L477" s="87"/>
      <c r="M477" s="14"/>
      <c r="N477" s="14" t="s">
        <v>242</v>
      </c>
      <c r="O477" s="14"/>
      <c r="P477" s="15" t="s">
        <v>74</v>
      </c>
      <c r="Q477" s="16">
        <v>3299</v>
      </c>
      <c r="R477" s="17">
        <v>45</v>
      </c>
      <c r="S477" s="18">
        <v>2086.6174999999998</v>
      </c>
      <c r="T477" s="19" t="s">
        <v>34</v>
      </c>
      <c r="U477" s="20" t="s">
        <v>36</v>
      </c>
      <c r="V477" s="21">
        <v>122</v>
      </c>
      <c r="W477" s="21">
        <v>5</v>
      </c>
      <c r="X477" s="22"/>
    </row>
    <row r="478" spans="1:24" s="1" customFormat="1" ht="12.95" customHeight="1" x14ac:dyDescent="0.3">
      <c r="A478" s="23" t="s">
        <v>23</v>
      </c>
      <c r="B478" s="23" t="s">
        <v>652</v>
      </c>
      <c r="C478" s="12" t="s">
        <v>662</v>
      </c>
      <c r="D478" s="84"/>
      <c r="E478" s="69" t="str">
        <f t="shared" si="15"/>
        <v>Еще фото</v>
      </c>
      <c r="F478" s="13"/>
      <c r="G478" s="23" t="s">
        <v>654</v>
      </c>
      <c r="H478" s="23" t="s">
        <v>27</v>
      </c>
      <c r="I478" s="23" t="s">
        <v>616</v>
      </c>
      <c r="J478" s="14" t="s">
        <v>29</v>
      </c>
      <c r="K478" s="15" t="s">
        <v>30</v>
      </c>
      <c r="L478" s="87"/>
      <c r="M478" s="14"/>
      <c r="N478" s="14" t="s">
        <v>242</v>
      </c>
      <c r="O478" s="14"/>
      <c r="P478" s="15" t="s">
        <v>74</v>
      </c>
      <c r="Q478" s="16">
        <v>3299</v>
      </c>
      <c r="R478" s="17">
        <v>45</v>
      </c>
      <c r="S478" s="18">
        <v>2086.6174999999998</v>
      </c>
      <c r="T478" s="19" t="s">
        <v>34</v>
      </c>
      <c r="U478" s="20" t="s">
        <v>37</v>
      </c>
      <c r="V478" s="21">
        <v>128</v>
      </c>
      <c r="W478" s="21">
        <v>5</v>
      </c>
      <c r="X478" s="22"/>
    </row>
    <row r="479" spans="1:24" s="1" customFormat="1" ht="12.95" customHeight="1" x14ac:dyDescent="0.3">
      <c r="A479" s="23" t="s">
        <v>23</v>
      </c>
      <c r="B479" s="23" t="s">
        <v>652</v>
      </c>
      <c r="C479" s="12" t="s">
        <v>662</v>
      </c>
      <c r="D479" s="84"/>
      <c r="E479" s="69" t="str">
        <f t="shared" si="15"/>
        <v>Еще фото</v>
      </c>
      <c r="F479" s="13"/>
      <c r="G479" s="23" t="s">
        <v>654</v>
      </c>
      <c r="H479" s="23" t="s">
        <v>27</v>
      </c>
      <c r="I479" s="23" t="s">
        <v>616</v>
      </c>
      <c r="J479" s="14" t="s">
        <v>29</v>
      </c>
      <c r="K479" s="15" t="s">
        <v>30</v>
      </c>
      <c r="L479" s="87"/>
      <c r="M479" s="14"/>
      <c r="N479" s="14" t="s">
        <v>242</v>
      </c>
      <c r="O479" s="14"/>
      <c r="P479" s="15" t="s">
        <v>74</v>
      </c>
      <c r="Q479" s="16">
        <v>3299</v>
      </c>
      <c r="R479" s="17">
        <v>45</v>
      </c>
      <c r="S479" s="18">
        <v>2086.6174999999998</v>
      </c>
      <c r="T479" s="19" t="s">
        <v>34</v>
      </c>
      <c r="U479" s="20" t="s">
        <v>91</v>
      </c>
      <c r="V479" s="21">
        <v>134</v>
      </c>
      <c r="W479" s="21">
        <v>5</v>
      </c>
      <c r="X479" s="22"/>
    </row>
    <row r="480" spans="1:24" s="1" customFormat="1" ht="18" customHeight="1" x14ac:dyDescent="0.3">
      <c r="A480" s="23" t="s">
        <v>23</v>
      </c>
      <c r="B480" s="23" t="s">
        <v>652</v>
      </c>
      <c r="C480" s="12" t="s">
        <v>662</v>
      </c>
      <c r="D480" s="85"/>
      <c r="E480" s="69" t="str">
        <f t="shared" si="15"/>
        <v>Еще фото</v>
      </c>
      <c r="F480" s="13"/>
      <c r="G480" s="23" t="s">
        <v>654</v>
      </c>
      <c r="H480" s="23" t="s">
        <v>27</v>
      </c>
      <c r="I480" s="23" t="s">
        <v>616</v>
      </c>
      <c r="J480" s="14" t="s">
        <v>29</v>
      </c>
      <c r="K480" s="15" t="s">
        <v>30</v>
      </c>
      <c r="L480" s="88"/>
      <c r="M480" s="14"/>
      <c r="N480" s="14" t="s">
        <v>242</v>
      </c>
      <c r="O480" s="14"/>
      <c r="P480" s="15" t="s">
        <v>74</v>
      </c>
      <c r="Q480" s="16">
        <v>3299</v>
      </c>
      <c r="R480" s="17">
        <v>45</v>
      </c>
      <c r="S480" s="18">
        <v>2086.6174999999998</v>
      </c>
      <c r="T480" s="19" t="s">
        <v>34</v>
      </c>
      <c r="U480" s="20" t="s">
        <v>290</v>
      </c>
      <c r="V480" s="21">
        <v>140</v>
      </c>
      <c r="W480" s="21">
        <v>5</v>
      </c>
      <c r="X480" s="22"/>
    </row>
    <row r="481" spans="1:24" s="1" customFormat="1" ht="108" customHeight="1" x14ac:dyDescent="0.3">
      <c r="A481" s="11" t="s">
        <v>23</v>
      </c>
      <c r="B481" s="11" t="s">
        <v>652</v>
      </c>
      <c r="C481" s="12" t="s">
        <v>663</v>
      </c>
      <c r="D481" s="24"/>
      <c r="E481" s="69" t="str">
        <f>HYPERLINK("https://www.google.ru/search?q=MC-CB106-1&amp;newwindow=1&amp;tbm=isch","Еще фото")</f>
        <v>Еще фото</v>
      </c>
      <c r="F481" s="13"/>
      <c r="G481" s="11" t="s">
        <v>654</v>
      </c>
      <c r="H481" s="11" t="s">
        <v>27</v>
      </c>
      <c r="I481" s="14" t="s">
        <v>616</v>
      </c>
      <c r="J481" s="14" t="s">
        <v>29</v>
      </c>
      <c r="K481" s="15" t="s">
        <v>30</v>
      </c>
      <c r="L481" s="14"/>
      <c r="M481" s="14"/>
      <c r="N481" s="14" t="s">
        <v>242</v>
      </c>
      <c r="O481" s="14"/>
      <c r="P481" s="15" t="s">
        <v>74</v>
      </c>
      <c r="Q481" s="16">
        <v>3299</v>
      </c>
      <c r="R481" s="17">
        <v>45</v>
      </c>
      <c r="S481" s="18">
        <v>2086.6174999999998</v>
      </c>
      <c r="T481" s="19" t="s">
        <v>34</v>
      </c>
      <c r="U481" s="20" t="s">
        <v>196</v>
      </c>
      <c r="V481" s="21">
        <v>86</v>
      </c>
      <c r="W481" s="21">
        <v>2</v>
      </c>
      <c r="X481" s="22"/>
    </row>
    <row r="482" spans="1:24" s="1" customFormat="1" ht="35.1" customHeight="1" x14ac:dyDescent="0.3">
      <c r="A482" s="11" t="s">
        <v>23</v>
      </c>
      <c r="B482" s="11" t="s">
        <v>664</v>
      </c>
      <c r="C482" s="12" t="s">
        <v>665</v>
      </c>
      <c r="D482" s="83"/>
      <c r="E482" s="69" t="str">
        <f>HYPERLINK("https://www.google.ru/search?q=MC-CB603&amp;newwindow=1&amp;tbm=isch","Еще фото")</f>
        <v>Еще фото</v>
      </c>
      <c r="F482" s="13"/>
      <c r="G482" s="11" t="s">
        <v>666</v>
      </c>
      <c r="H482" s="11" t="s">
        <v>112</v>
      </c>
      <c r="I482" s="14" t="s">
        <v>667</v>
      </c>
      <c r="J482" s="14" t="s">
        <v>29</v>
      </c>
      <c r="K482" s="15" t="s">
        <v>30</v>
      </c>
      <c r="L482" s="86"/>
      <c r="M482" s="14"/>
      <c r="N482" s="14" t="s">
        <v>32</v>
      </c>
      <c r="O482" s="14"/>
      <c r="P482" s="15" t="s">
        <v>74</v>
      </c>
      <c r="Q482" s="16">
        <v>2099</v>
      </c>
      <c r="R482" s="17">
        <v>45</v>
      </c>
      <c r="S482" s="18">
        <v>1327.6174999999998</v>
      </c>
      <c r="T482" s="19" t="s">
        <v>185</v>
      </c>
      <c r="U482" s="20" t="s">
        <v>668</v>
      </c>
      <c r="V482" s="25" t="s">
        <v>669</v>
      </c>
      <c r="W482" s="21">
        <v>1</v>
      </c>
      <c r="X482" s="22"/>
    </row>
    <row r="483" spans="1:24" s="1" customFormat="1" ht="35.1" customHeight="1" x14ac:dyDescent="0.3">
      <c r="A483" s="23" t="s">
        <v>23</v>
      </c>
      <c r="B483" s="23" t="s">
        <v>664</v>
      </c>
      <c r="C483" s="12" t="s">
        <v>665</v>
      </c>
      <c r="D483" s="84"/>
      <c r="E483" s="69" t="str">
        <f>HYPERLINK("https://www.google.ru/search?q=MC-CB603&amp;newwindow=1&amp;tbm=isch","Еще фото")</f>
        <v>Еще фото</v>
      </c>
      <c r="F483" s="13"/>
      <c r="G483" s="23" t="s">
        <v>666</v>
      </c>
      <c r="H483" s="23" t="s">
        <v>112</v>
      </c>
      <c r="I483" s="23" t="s">
        <v>667</v>
      </c>
      <c r="J483" s="14" t="s">
        <v>29</v>
      </c>
      <c r="K483" s="15" t="s">
        <v>30</v>
      </c>
      <c r="L483" s="87"/>
      <c r="M483" s="14"/>
      <c r="N483" s="14" t="s">
        <v>32</v>
      </c>
      <c r="O483" s="14"/>
      <c r="P483" s="15" t="s">
        <v>74</v>
      </c>
      <c r="Q483" s="16">
        <v>2099</v>
      </c>
      <c r="R483" s="17">
        <v>45</v>
      </c>
      <c r="S483" s="18">
        <v>1327.6174999999998</v>
      </c>
      <c r="T483" s="19" t="s">
        <v>185</v>
      </c>
      <c r="U483" s="20" t="s">
        <v>186</v>
      </c>
      <c r="V483" s="25" t="s">
        <v>187</v>
      </c>
      <c r="W483" s="21">
        <v>2</v>
      </c>
      <c r="X483" s="22"/>
    </row>
    <row r="484" spans="1:24" s="1" customFormat="1" ht="36.950000000000003" customHeight="1" x14ac:dyDescent="0.3">
      <c r="A484" s="23" t="s">
        <v>23</v>
      </c>
      <c r="B484" s="23" t="s">
        <v>664</v>
      </c>
      <c r="C484" s="12" t="s">
        <v>665</v>
      </c>
      <c r="D484" s="85"/>
      <c r="E484" s="69" t="str">
        <f>HYPERLINK("https://www.google.ru/search?q=MC-CB603&amp;newwindow=1&amp;tbm=isch","Еще фото")</f>
        <v>Еще фото</v>
      </c>
      <c r="F484" s="13"/>
      <c r="G484" s="23" t="s">
        <v>666</v>
      </c>
      <c r="H484" s="23" t="s">
        <v>112</v>
      </c>
      <c r="I484" s="23" t="s">
        <v>667</v>
      </c>
      <c r="J484" s="14" t="s">
        <v>29</v>
      </c>
      <c r="K484" s="15" t="s">
        <v>30</v>
      </c>
      <c r="L484" s="88"/>
      <c r="M484" s="14"/>
      <c r="N484" s="14" t="s">
        <v>32</v>
      </c>
      <c r="O484" s="14"/>
      <c r="P484" s="15" t="s">
        <v>74</v>
      </c>
      <c r="Q484" s="16">
        <v>2099</v>
      </c>
      <c r="R484" s="17">
        <v>45</v>
      </c>
      <c r="S484" s="18">
        <v>1327.6174999999998</v>
      </c>
      <c r="T484" s="19" t="s">
        <v>185</v>
      </c>
      <c r="U484" s="20" t="s">
        <v>670</v>
      </c>
      <c r="V484" s="25" t="s">
        <v>671</v>
      </c>
      <c r="W484" s="21">
        <v>1</v>
      </c>
      <c r="X484" s="22"/>
    </row>
    <row r="485" spans="1:24" s="1" customFormat="1" ht="108" customHeight="1" x14ac:dyDescent="0.3">
      <c r="A485" s="11" t="s">
        <v>23</v>
      </c>
      <c r="B485" s="11" t="s">
        <v>664</v>
      </c>
      <c r="C485" s="12" t="s">
        <v>672</v>
      </c>
      <c r="D485" s="24"/>
      <c r="E485" s="69" t="str">
        <f>HYPERLINK("https://www.google.ru/search?q=MC-CB819&amp;newwindow=1&amp;tbm=isch","Еще фото")</f>
        <v>Еще фото</v>
      </c>
      <c r="F485" s="13"/>
      <c r="G485" s="11" t="s">
        <v>666</v>
      </c>
      <c r="H485" s="11" t="s">
        <v>112</v>
      </c>
      <c r="I485" s="14" t="s">
        <v>667</v>
      </c>
      <c r="J485" s="14" t="s">
        <v>29</v>
      </c>
      <c r="K485" s="15" t="s">
        <v>30</v>
      </c>
      <c r="L485" s="14"/>
      <c r="M485" s="14"/>
      <c r="N485" s="14" t="s">
        <v>32</v>
      </c>
      <c r="O485" s="14"/>
      <c r="P485" s="15" t="s">
        <v>74</v>
      </c>
      <c r="Q485" s="16">
        <v>2099</v>
      </c>
      <c r="R485" s="17">
        <v>45</v>
      </c>
      <c r="S485" s="18">
        <v>1327.6174999999998</v>
      </c>
      <c r="T485" s="19" t="s">
        <v>185</v>
      </c>
      <c r="U485" s="20" t="s">
        <v>670</v>
      </c>
      <c r="V485" s="25" t="s">
        <v>671</v>
      </c>
      <c r="W485" s="21">
        <v>1</v>
      </c>
      <c r="X485" s="22"/>
    </row>
    <row r="486" spans="1:24" s="1" customFormat="1" ht="12.95" customHeight="1" x14ac:dyDescent="0.3">
      <c r="A486" s="11" t="s">
        <v>23</v>
      </c>
      <c r="B486" s="11" t="s">
        <v>673</v>
      </c>
      <c r="C486" s="12" t="s">
        <v>674</v>
      </c>
      <c r="D486" s="83"/>
      <c r="E486" s="69" t="str">
        <f t="shared" ref="E486:E493" si="16">HYPERLINK("https://www.google.ru/search?q=MC-BA852&amp;newwindow=1&amp;tbm=isch","Еще фото")</f>
        <v>Еще фото</v>
      </c>
      <c r="F486" s="13"/>
      <c r="G486" s="11" t="s">
        <v>675</v>
      </c>
      <c r="H486" s="11" t="s">
        <v>27</v>
      </c>
      <c r="I486" s="14" t="s">
        <v>675</v>
      </c>
      <c r="J486" s="14" t="s">
        <v>29</v>
      </c>
      <c r="K486" s="15" t="s">
        <v>30</v>
      </c>
      <c r="L486" s="86" t="s">
        <v>676</v>
      </c>
      <c r="M486" s="14" t="s">
        <v>73</v>
      </c>
      <c r="N486" s="14" t="s">
        <v>49</v>
      </c>
      <c r="O486" s="14"/>
      <c r="P486" s="15" t="s">
        <v>677</v>
      </c>
      <c r="Q486" s="16">
        <v>4299</v>
      </c>
      <c r="R486" s="17">
        <v>74.23</v>
      </c>
      <c r="S486" s="18">
        <v>1273.9354999999998</v>
      </c>
      <c r="T486" s="19" t="s">
        <v>34</v>
      </c>
      <c r="U486" s="26" t="s">
        <v>77</v>
      </c>
      <c r="V486" s="21">
        <v>92</v>
      </c>
      <c r="W486" s="21">
        <v>3</v>
      </c>
      <c r="X486" s="22"/>
    </row>
    <row r="487" spans="1:24" s="1" customFormat="1" ht="12.95" customHeight="1" x14ac:dyDescent="0.3">
      <c r="A487" s="23" t="s">
        <v>23</v>
      </c>
      <c r="B487" s="23" t="s">
        <v>673</v>
      </c>
      <c r="C487" s="12" t="s">
        <v>674</v>
      </c>
      <c r="D487" s="84"/>
      <c r="E487" s="69" t="str">
        <f t="shared" si="16"/>
        <v>Еще фото</v>
      </c>
      <c r="F487" s="13"/>
      <c r="G487" s="23" t="s">
        <v>675</v>
      </c>
      <c r="H487" s="23" t="s">
        <v>27</v>
      </c>
      <c r="I487" s="23" t="s">
        <v>675</v>
      </c>
      <c r="J487" s="14" t="s">
        <v>29</v>
      </c>
      <c r="K487" s="15" t="s">
        <v>30</v>
      </c>
      <c r="L487" s="87"/>
      <c r="M487" s="14" t="s">
        <v>73</v>
      </c>
      <c r="N487" s="14" t="s">
        <v>49</v>
      </c>
      <c r="O487" s="14"/>
      <c r="P487" s="15" t="s">
        <v>677</v>
      </c>
      <c r="Q487" s="16">
        <v>4299</v>
      </c>
      <c r="R487" s="17">
        <v>74.23</v>
      </c>
      <c r="S487" s="18">
        <v>1273.9354999999998</v>
      </c>
      <c r="T487" s="19" t="s">
        <v>34</v>
      </c>
      <c r="U487" s="20" t="s">
        <v>78</v>
      </c>
      <c r="V487" s="21">
        <v>98</v>
      </c>
      <c r="W487" s="21">
        <v>2</v>
      </c>
      <c r="X487" s="22"/>
    </row>
    <row r="488" spans="1:24" s="1" customFormat="1" ht="12.95" customHeight="1" x14ac:dyDescent="0.3">
      <c r="A488" s="23" t="s">
        <v>23</v>
      </c>
      <c r="B488" s="23" t="s">
        <v>673</v>
      </c>
      <c r="C488" s="12" t="s">
        <v>674</v>
      </c>
      <c r="D488" s="84"/>
      <c r="E488" s="69" t="str">
        <f t="shared" si="16"/>
        <v>Еще фото</v>
      </c>
      <c r="F488" s="13"/>
      <c r="G488" s="23" t="s">
        <v>675</v>
      </c>
      <c r="H488" s="23" t="s">
        <v>27</v>
      </c>
      <c r="I488" s="23" t="s">
        <v>675</v>
      </c>
      <c r="J488" s="14" t="s">
        <v>29</v>
      </c>
      <c r="K488" s="15" t="s">
        <v>30</v>
      </c>
      <c r="L488" s="87"/>
      <c r="M488" s="14" t="s">
        <v>73</v>
      </c>
      <c r="N488" s="14" t="s">
        <v>49</v>
      </c>
      <c r="O488" s="14"/>
      <c r="P488" s="15" t="s">
        <v>677</v>
      </c>
      <c r="Q488" s="16">
        <v>4299</v>
      </c>
      <c r="R488" s="17">
        <v>74.23</v>
      </c>
      <c r="S488" s="18">
        <v>1273.9354999999998</v>
      </c>
      <c r="T488" s="19" t="s">
        <v>34</v>
      </c>
      <c r="U488" s="20" t="s">
        <v>94</v>
      </c>
      <c r="V488" s="21">
        <v>104</v>
      </c>
      <c r="W488" s="21">
        <v>2</v>
      </c>
      <c r="X488" s="22"/>
    </row>
    <row r="489" spans="1:24" s="1" customFormat="1" ht="12.95" customHeight="1" x14ac:dyDescent="0.3">
      <c r="A489" s="23" t="s">
        <v>23</v>
      </c>
      <c r="B489" s="23" t="s">
        <v>673</v>
      </c>
      <c r="C489" s="12" t="s">
        <v>674</v>
      </c>
      <c r="D489" s="84"/>
      <c r="E489" s="69" t="str">
        <f t="shared" si="16"/>
        <v>Еще фото</v>
      </c>
      <c r="F489" s="13"/>
      <c r="G489" s="23" t="s">
        <v>675</v>
      </c>
      <c r="H489" s="23" t="s">
        <v>27</v>
      </c>
      <c r="I489" s="23" t="s">
        <v>675</v>
      </c>
      <c r="J489" s="14" t="s">
        <v>29</v>
      </c>
      <c r="K489" s="15" t="s">
        <v>30</v>
      </c>
      <c r="L489" s="87"/>
      <c r="M489" s="14" t="s">
        <v>73</v>
      </c>
      <c r="N489" s="14" t="s">
        <v>49</v>
      </c>
      <c r="O489" s="14"/>
      <c r="P489" s="15" t="s">
        <v>677</v>
      </c>
      <c r="Q489" s="16">
        <v>4299</v>
      </c>
      <c r="R489" s="17">
        <v>74.23</v>
      </c>
      <c r="S489" s="18">
        <v>1273.9354999999998</v>
      </c>
      <c r="T489" s="19" t="s">
        <v>34</v>
      </c>
      <c r="U489" s="20" t="s">
        <v>43</v>
      </c>
      <c r="V489" s="21">
        <v>110</v>
      </c>
      <c r="W489" s="21">
        <v>3</v>
      </c>
      <c r="X489" s="22"/>
    </row>
    <row r="490" spans="1:24" s="1" customFormat="1" ht="12.95" customHeight="1" x14ac:dyDescent="0.3">
      <c r="A490" s="23" t="s">
        <v>23</v>
      </c>
      <c r="B490" s="23" t="s">
        <v>673</v>
      </c>
      <c r="C490" s="12" t="s">
        <v>674</v>
      </c>
      <c r="D490" s="84"/>
      <c r="E490" s="69" t="str">
        <f t="shared" si="16"/>
        <v>Еще фото</v>
      </c>
      <c r="F490" s="13"/>
      <c r="G490" s="23" t="s">
        <v>675</v>
      </c>
      <c r="H490" s="23" t="s">
        <v>27</v>
      </c>
      <c r="I490" s="23" t="s">
        <v>675</v>
      </c>
      <c r="J490" s="14" t="s">
        <v>29</v>
      </c>
      <c r="K490" s="15" t="s">
        <v>30</v>
      </c>
      <c r="L490" s="87"/>
      <c r="M490" s="14" t="s">
        <v>73</v>
      </c>
      <c r="N490" s="14" t="s">
        <v>49</v>
      </c>
      <c r="O490" s="14"/>
      <c r="P490" s="15" t="s">
        <v>677</v>
      </c>
      <c r="Q490" s="16">
        <v>4299</v>
      </c>
      <c r="R490" s="17">
        <v>74.23</v>
      </c>
      <c r="S490" s="18">
        <v>1273.9354999999998</v>
      </c>
      <c r="T490" s="19" t="s">
        <v>34</v>
      </c>
      <c r="U490" s="20" t="s">
        <v>35</v>
      </c>
      <c r="V490" s="21">
        <v>116</v>
      </c>
      <c r="W490" s="21">
        <v>3</v>
      </c>
      <c r="X490" s="22"/>
    </row>
    <row r="491" spans="1:24" s="1" customFormat="1" ht="12.95" customHeight="1" x14ac:dyDescent="0.3">
      <c r="A491" s="23" t="s">
        <v>23</v>
      </c>
      <c r="B491" s="23" t="s">
        <v>673</v>
      </c>
      <c r="C491" s="12" t="s">
        <v>674</v>
      </c>
      <c r="D491" s="84"/>
      <c r="E491" s="69" t="str">
        <f t="shared" si="16"/>
        <v>Еще фото</v>
      </c>
      <c r="F491" s="13"/>
      <c r="G491" s="23" t="s">
        <v>675</v>
      </c>
      <c r="H491" s="23" t="s">
        <v>27</v>
      </c>
      <c r="I491" s="23" t="s">
        <v>675</v>
      </c>
      <c r="J491" s="14" t="s">
        <v>29</v>
      </c>
      <c r="K491" s="15" t="s">
        <v>30</v>
      </c>
      <c r="L491" s="87"/>
      <c r="M491" s="14" t="s">
        <v>73</v>
      </c>
      <c r="N491" s="14" t="s">
        <v>49</v>
      </c>
      <c r="O491" s="14"/>
      <c r="P491" s="15" t="s">
        <v>677</v>
      </c>
      <c r="Q491" s="16">
        <v>4299</v>
      </c>
      <c r="R491" s="17">
        <v>74.23</v>
      </c>
      <c r="S491" s="18">
        <v>1273.9354999999998</v>
      </c>
      <c r="T491" s="19" t="s">
        <v>34</v>
      </c>
      <c r="U491" s="20" t="s">
        <v>36</v>
      </c>
      <c r="V491" s="21">
        <v>122</v>
      </c>
      <c r="W491" s="21">
        <v>3</v>
      </c>
      <c r="X491" s="22"/>
    </row>
    <row r="492" spans="1:24" s="1" customFormat="1" ht="12.95" customHeight="1" x14ac:dyDescent="0.3">
      <c r="A492" s="23" t="s">
        <v>23</v>
      </c>
      <c r="B492" s="23" t="s">
        <v>673</v>
      </c>
      <c r="C492" s="12" t="s">
        <v>674</v>
      </c>
      <c r="D492" s="84"/>
      <c r="E492" s="69" t="str">
        <f t="shared" si="16"/>
        <v>Еще фото</v>
      </c>
      <c r="F492" s="13"/>
      <c r="G492" s="23" t="s">
        <v>675</v>
      </c>
      <c r="H492" s="23" t="s">
        <v>27</v>
      </c>
      <c r="I492" s="23" t="s">
        <v>675</v>
      </c>
      <c r="J492" s="14" t="s">
        <v>29</v>
      </c>
      <c r="K492" s="15" t="s">
        <v>30</v>
      </c>
      <c r="L492" s="87"/>
      <c r="M492" s="14" t="s">
        <v>73</v>
      </c>
      <c r="N492" s="14" t="s">
        <v>49</v>
      </c>
      <c r="O492" s="14"/>
      <c r="P492" s="15" t="s">
        <v>677</v>
      </c>
      <c r="Q492" s="16">
        <v>4299</v>
      </c>
      <c r="R492" s="17">
        <v>74.23</v>
      </c>
      <c r="S492" s="18">
        <v>1273.9354999999998</v>
      </c>
      <c r="T492" s="19" t="s">
        <v>34</v>
      </c>
      <c r="U492" s="20" t="s">
        <v>37</v>
      </c>
      <c r="V492" s="21">
        <v>128</v>
      </c>
      <c r="W492" s="21">
        <v>3</v>
      </c>
      <c r="X492" s="22"/>
    </row>
    <row r="493" spans="1:24" s="1" customFormat="1" ht="18" customHeight="1" x14ac:dyDescent="0.3">
      <c r="A493" s="23" t="s">
        <v>23</v>
      </c>
      <c r="B493" s="23" t="s">
        <v>673</v>
      </c>
      <c r="C493" s="12" t="s">
        <v>674</v>
      </c>
      <c r="D493" s="85"/>
      <c r="E493" s="69" t="str">
        <f t="shared" si="16"/>
        <v>Еще фото</v>
      </c>
      <c r="F493" s="13"/>
      <c r="G493" s="23" t="s">
        <v>675</v>
      </c>
      <c r="H493" s="23" t="s">
        <v>27</v>
      </c>
      <c r="I493" s="23" t="s">
        <v>675</v>
      </c>
      <c r="J493" s="14" t="s">
        <v>29</v>
      </c>
      <c r="K493" s="15" t="s">
        <v>30</v>
      </c>
      <c r="L493" s="88"/>
      <c r="M493" s="14" t="s">
        <v>73</v>
      </c>
      <c r="N493" s="14" t="s">
        <v>49</v>
      </c>
      <c r="O493" s="14"/>
      <c r="P493" s="15" t="s">
        <v>677</v>
      </c>
      <c r="Q493" s="16">
        <v>4299</v>
      </c>
      <c r="R493" s="17">
        <v>74.23</v>
      </c>
      <c r="S493" s="18">
        <v>1273.9354999999998</v>
      </c>
      <c r="T493" s="19" t="s">
        <v>34</v>
      </c>
      <c r="U493" s="20" t="s">
        <v>91</v>
      </c>
      <c r="V493" s="21">
        <v>134</v>
      </c>
      <c r="W493" s="21">
        <v>3</v>
      </c>
      <c r="X493" s="22"/>
    </row>
    <row r="494" spans="1:24" s="1" customFormat="1" ht="11.1" customHeight="1" x14ac:dyDescent="0.3">
      <c r="A494" s="11" t="s">
        <v>23</v>
      </c>
      <c r="B494" s="11" t="s">
        <v>673</v>
      </c>
      <c r="C494" s="12" t="s">
        <v>678</v>
      </c>
      <c r="D494" s="83"/>
      <c r="E494" s="69" t="str">
        <f t="shared" ref="E494:E502" si="17">HYPERLINK("https://www.google.ru/search?q=MC-BA485&amp;newwindow=1&amp;tbm=isch","Еще фото")</f>
        <v>Еще фото</v>
      </c>
      <c r="F494" s="13"/>
      <c r="G494" s="11" t="s">
        <v>675</v>
      </c>
      <c r="H494" s="11" t="s">
        <v>27</v>
      </c>
      <c r="I494" s="14" t="s">
        <v>675</v>
      </c>
      <c r="J494" s="14" t="s">
        <v>255</v>
      </c>
      <c r="K494" s="15" t="s">
        <v>30</v>
      </c>
      <c r="L494" s="86"/>
      <c r="M494" s="14"/>
      <c r="N494" s="14" t="s">
        <v>70</v>
      </c>
      <c r="O494" s="14"/>
      <c r="P494" s="15" t="s">
        <v>108</v>
      </c>
      <c r="Q494" s="16">
        <v>4499</v>
      </c>
      <c r="R494" s="17">
        <v>45</v>
      </c>
      <c r="S494" s="18">
        <v>2845.6174999999994</v>
      </c>
      <c r="T494" s="19" t="s">
        <v>34</v>
      </c>
      <c r="U494" s="20" t="s">
        <v>77</v>
      </c>
      <c r="V494" s="21">
        <v>92</v>
      </c>
      <c r="W494" s="21">
        <v>3</v>
      </c>
      <c r="X494" s="22"/>
    </row>
    <row r="495" spans="1:24" s="1" customFormat="1" ht="11.1" customHeight="1" x14ac:dyDescent="0.3">
      <c r="A495" s="23" t="s">
        <v>23</v>
      </c>
      <c r="B495" s="23" t="s">
        <v>673</v>
      </c>
      <c r="C495" s="12" t="s">
        <v>678</v>
      </c>
      <c r="D495" s="84"/>
      <c r="E495" s="69" t="str">
        <f t="shared" si="17"/>
        <v>Еще фото</v>
      </c>
      <c r="F495" s="13"/>
      <c r="G495" s="23" t="s">
        <v>675</v>
      </c>
      <c r="H495" s="23" t="s">
        <v>27</v>
      </c>
      <c r="I495" s="23" t="s">
        <v>675</v>
      </c>
      <c r="J495" s="14" t="s">
        <v>255</v>
      </c>
      <c r="K495" s="15" t="s">
        <v>30</v>
      </c>
      <c r="L495" s="87"/>
      <c r="M495" s="14"/>
      <c r="N495" s="14" t="s">
        <v>70</v>
      </c>
      <c r="O495" s="14"/>
      <c r="P495" s="15" t="s">
        <v>108</v>
      </c>
      <c r="Q495" s="16">
        <v>4499</v>
      </c>
      <c r="R495" s="17">
        <v>45</v>
      </c>
      <c r="S495" s="18">
        <v>2845.6174999999994</v>
      </c>
      <c r="T495" s="19" t="s">
        <v>34</v>
      </c>
      <c r="U495" s="20" t="s">
        <v>78</v>
      </c>
      <c r="V495" s="21">
        <v>98</v>
      </c>
      <c r="W495" s="21">
        <v>3</v>
      </c>
      <c r="X495" s="22"/>
    </row>
    <row r="496" spans="1:24" s="1" customFormat="1" ht="11.1" customHeight="1" x14ac:dyDescent="0.3">
      <c r="A496" s="23" t="s">
        <v>23</v>
      </c>
      <c r="B496" s="23" t="s">
        <v>673</v>
      </c>
      <c r="C496" s="12" t="s">
        <v>678</v>
      </c>
      <c r="D496" s="84"/>
      <c r="E496" s="69" t="str">
        <f t="shared" si="17"/>
        <v>Еще фото</v>
      </c>
      <c r="F496" s="13"/>
      <c r="G496" s="23" t="s">
        <v>675</v>
      </c>
      <c r="H496" s="23" t="s">
        <v>27</v>
      </c>
      <c r="I496" s="23" t="s">
        <v>675</v>
      </c>
      <c r="J496" s="14" t="s">
        <v>255</v>
      </c>
      <c r="K496" s="15" t="s">
        <v>30</v>
      </c>
      <c r="L496" s="87"/>
      <c r="M496" s="14"/>
      <c r="N496" s="14" t="s">
        <v>70</v>
      </c>
      <c r="O496" s="14"/>
      <c r="P496" s="15" t="s">
        <v>108</v>
      </c>
      <c r="Q496" s="16">
        <v>4499</v>
      </c>
      <c r="R496" s="17">
        <v>45</v>
      </c>
      <c r="S496" s="18">
        <v>2845.6174999999994</v>
      </c>
      <c r="T496" s="19" t="s">
        <v>34</v>
      </c>
      <c r="U496" s="20" t="s">
        <v>94</v>
      </c>
      <c r="V496" s="21">
        <v>104</v>
      </c>
      <c r="W496" s="21">
        <v>4</v>
      </c>
      <c r="X496" s="22"/>
    </row>
    <row r="497" spans="1:24" s="1" customFormat="1" ht="11.1" customHeight="1" x14ac:dyDescent="0.3">
      <c r="A497" s="23" t="s">
        <v>23</v>
      </c>
      <c r="B497" s="23" t="s">
        <v>673</v>
      </c>
      <c r="C497" s="12" t="s">
        <v>678</v>
      </c>
      <c r="D497" s="84"/>
      <c r="E497" s="69" t="str">
        <f t="shared" si="17"/>
        <v>Еще фото</v>
      </c>
      <c r="F497" s="13"/>
      <c r="G497" s="23" t="s">
        <v>675</v>
      </c>
      <c r="H497" s="23" t="s">
        <v>27</v>
      </c>
      <c r="I497" s="23" t="s">
        <v>675</v>
      </c>
      <c r="J497" s="14" t="s">
        <v>255</v>
      </c>
      <c r="K497" s="15" t="s">
        <v>30</v>
      </c>
      <c r="L497" s="87"/>
      <c r="M497" s="14"/>
      <c r="N497" s="14" t="s">
        <v>70</v>
      </c>
      <c r="O497" s="14"/>
      <c r="P497" s="15" t="s">
        <v>108</v>
      </c>
      <c r="Q497" s="16">
        <v>4499</v>
      </c>
      <c r="R497" s="17">
        <v>45</v>
      </c>
      <c r="S497" s="18">
        <v>2845.6174999999994</v>
      </c>
      <c r="T497" s="19" t="s">
        <v>34</v>
      </c>
      <c r="U497" s="20" t="s">
        <v>43</v>
      </c>
      <c r="V497" s="21">
        <v>110</v>
      </c>
      <c r="W497" s="21">
        <v>4</v>
      </c>
      <c r="X497" s="22"/>
    </row>
    <row r="498" spans="1:24" s="1" customFormat="1" ht="11.1" customHeight="1" x14ac:dyDescent="0.3">
      <c r="A498" s="23" t="s">
        <v>23</v>
      </c>
      <c r="B498" s="23" t="s">
        <v>673</v>
      </c>
      <c r="C498" s="12" t="s">
        <v>678</v>
      </c>
      <c r="D498" s="84"/>
      <c r="E498" s="69" t="str">
        <f t="shared" si="17"/>
        <v>Еще фото</v>
      </c>
      <c r="F498" s="13"/>
      <c r="G498" s="23" t="s">
        <v>675</v>
      </c>
      <c r="H498" s="23" t="s">
        <v>27</v>
      </c>
      <c r="I498" s="23" t="s">
        <v>675</v>
      </c>
      <c r="J498" s="14" t="s">
        <v>255</v>
      </c>
      <c r="K498" s="15" t="s">
        <v>30</v>
      </c>
      <c r="L498" s="87"/>
      <c r="M498" s="14"/>
      <c r="N498" s="14" t="s">
        <v>70</v>
      </c>
      <c r="O498" s="14"/>
      <c r="P498" s="15" t="s">
        <v>108</v>
      </c>
      <c r="Q498" s="16">
        <v>4499</v>
      </c>
      <c r="R498" s="17">
        <v>45</v>
      </c>
      <c r="S498" s="18">
        <v>2845.6174999999994</v>
      </c>
      <c r="T498" s="19" t="s">
        <v>34</v>
      </c>
      <c r="U498" s="20" t="s">
        <v>35</v>
      </c>
      <c r="V498" s="21">
        <v>116</v>
      </c>
      <c r="W498" s="21">
        <v>2</v>
      </c>
      <c r="X498" s="22"/>
    </row>
    <row r="499" spans="1:24" s="1" customFormat="1" ht="11.1" customHeight="1" x14ac:dyDescent="0.3">
      <c r="A499" s="23" t="s">
        <v>23</v>
      </c>
      <c r="B499" s="23" t="s">
        <v>673</v>
      </c>
      <c r="C499" s="12" t="s">
        <v>678</v>
      </c>
      <c r="D499" s="84"/>
      <c r="E499" s="69" t="str">
        <f t="shared" si="17"/>
        <v>Еще фото</v>
      </c>
      <c r="F499" s="13"/>
      <c r="G499" s="23" t="s">
        <v>675</v>
      </c>
      <c r="H499" s="23" t="s">
        <v>27</v>
      </c>
      <c r="I499" s="23" t="s">
        <v>675</v>
      </c>
      <c r="J499" s="14" t="s">
        <v>255</v>
      </c>
      <c r="K499" s="15" t="s">
        <v>30</v>
      </c>
      <c r="L499" s="87"/>
      <c r="M499" s="14"/>
      <c r="N499" s="14" t="s">
        <v>70</v>
      </c>
      <c r="O499" s="14"/>
      <c r="P499" s="15" t="s">
        <v>108</v>
      </c>
      <c r="Q499" s="16">
        <v>4499</v>
      </c>
      <c r="R499" s="17">
        <v>45</v>
      </c>
      <c r="S499" s="18">
        <v>2845.6174999999994</v>
      </c>
      <c r="T499" s="19" t="s">
        <v>34</v>
      </c>
      <c r="U499" s="20" t="s">
        <v>36</v>
      </c>
      <c r="V499" s="21">
        <v>122</v>
      </c>
      <c r="W499" s="21">
        <v>5</v>
      </c>
      <c r="X499" s="22"/>
    </row>
    <row r="500" spans="1:24" s="1" customFormat="1" ht="11.1" customHeight="1" x14ac:dyDescent="0.3">
      <c r="A500" s="23" t="s">
        <v>23</v>
      </c>
      <c r="B500" s="23" t="s">
        <v>673</v>
      </c>
      <c r="C500" s="12" t="s">
        <v>678</v>
      </c>
      <c r="D500" s="84"/>
      <c r="E500" s="69" t="str">
        <f t="shared" si="17"/>
        <v>Еще фото</v>
      </c>
      <c r="F500" s="13"/>
      <c r="G500" s="23" t="s">
        <v>675</v>
      </c>
      <c r="H500" s="23" t="s">
        <v>27</v>
      </c>
      <c r="I500" s="23" t="s">
        <v>675</v>
      </c>
      <c r="J500" s="14" t="s">
        <v>255</v>
      </c>
      <c r="K500" s="15" t="s">
        <v>30</v>
      </c>
      <c r="L500" s="87"/>
      <c r="M500" s="14"/>
      <c r="N500" s="14" t="s">
        <v>70</v>
      </c>
      <c r="O500" s="14"/>
      <c r="P500" s="15" t="s">
        <v>108</v>
      </c>
      <c r="Q500" s="16">
        <v>4499</v>
      </c>
      <c r="R500" s="17">
        <v>45</v>
      </c>
      <c r="S500" s="18">
        <v>2845.6174999999994</v>
      </c>
      <c r="T500" s="19" t="s">
        <v>34</v>
      </c>
      <c r="U500" s="20" t="s">
        <v>37</v>
      </c>
      <c r="V500" s="21">
        <v>128</v>
      </c>
      <c r="W500" s="21">
        <v>5</v>
      </c>
      <c r="X500" s="22"/>
    </row>
    <row r="501" spans="1:24" s="1" customFormat="1" ht="11.1" customHeight="1" x14ac:dyDescent="0.3">
      <c r="A501" s="23" t="s">
        <v>23</v>
      </c>
      <c r="B501" s="23" t="s">
        <v>673</v>
      </c>
      <c r="C501" s="12" t="s">
        <v>678</v>
      </c>
      <c r="D501" s="84"/>
      <c r="E501" s="69" t="str">
        <f t="shared" si="17"/>
        <v>Еще фото</v>
      </c>
      <c r="F501" s="13"/>
      <c r="G501" s="23" t="s">
        <v>675</v>
      </c>
      <c r="H501" s="23" t="s">
        <v>27</v>
      </c>
      <c r="I501" s="23" t="s">
        <v>675</v>
      </c>
      <c r="J501" s="14" t="s">
        <v>255</v>
      </c>
      <c r="K501" s="15" t="s">
        <v>30</v>
      </c>
      <c r="L501" s="87"/>
      <c r="M501" s="14"/>
      <c r="N501" s="14" t="s">
        <v>70</v>
      </c>
      <c r="O501" s="14"/>
      <c r="P501" s="15" t="s">
        <v>108</v>
      </c>
      <c r="Q501" s="16">
        <v>4499</v>
      </c>
      <c r="R501" s="17">
        <v>45</v>
      </c>
      <c r="S501" s="18">
        <v>2845.6174999999994</v>
      </c>
      <c r="T501" s="19" t="s">
        <v>34</v>
      </c>
      <c r="U501" s="20" t="s">
        <v>91</v>
      </c>
      <c r="V501" s="21">
        <v>134</v>
      </c>
      <c r="W501" s="21">
        <v>3</v>
      </c>
      <c r="X501" s="22"/>
    </row>
    <row r="502" spans="1:24" s="1" customFormat="1" ht="11.1" customHeight="1" x14ac:dyDescent="0.3">
      <c r="A502" s="23" t="s">
        <v>23</v>
      </c>
      <c r="B502" s="23" t="s">
        <v>673</v>
      </c>
      <c r="C502" s="12" t="s">
        <v>678</v>
      </c>
      <c r="D502" s="85"/>
      <c r="E502" s="69" t="str">
        <f t="shared" si="17"/>
        <v>Еще фото</v>
      </c>
      <c r="F502" s="13"/>
      <c r="G502" s="23" t="s">
        <v>675</v>
      </c>
      <c r="H502" s="23" t="s">
        <v>27</v>
      </c>
      <c r="I502" s="23" t="s">
        <v>675</v>
      </c>
      <c r="J502" s="14" t="s">
        <v>255</v>
      </c>
      <c r="K502" s="15" t="s">
        <v>30</v>
      </c>
      <c r="L502" s="88"/>
      <c r="M502" s="14"/>
      <c r="N502" s="14" t="s">
        <v>70</v>
      </c>
      <c r="O502" s="14"/>
      <c r="P502" s="15" t="s">
        <v>108</v>
      </c>
      <c r="Q502" s="16">
        <v>4499</v>
      </c>
      <c r="R502" s="17">
        <v>45</v>
      </c>
      <c r="S502" s="18">
        <v>2845.6174999999994</v>
      </c>
      <c r="T502" s="19" t="s">
        <v>34</v>
      </c>
      <c r="U502" s="20" t="s">
        <v>290</v>
      </c>
      <c r="V502" s="21">
        <v>140</v>
      </c>
      <c r="W502" s="21">
        <v>2</v>
      </c>
      <c r="X502" s="22"/>
    </row>
    <row r="503" spans="1:24" s="1" customFormat="1" ht="14.1" customHeight="1" x14ac:dyDescent="0.3">
      <c r="A503" s="11" t="s">
        <v>23</v>
      </c>
      <c r="B503" s="11" t="s">
        <v>673</v>
      </c>
      <c r="C503" s="12" t="s">
        <v>679</v>
      </c>
      <c r="D503" s="83"/>
      <c r="E503" s="69" t="str">
        <f t="shared" ref="E503:E509" si="18">HYPERLINK("https://www.google.ru/search?q=MC-BA567&amp;newwindow=1&amp;tbm=isch","Еще фото")</f>
        <v>Еще фото</v>
      </c>
      <c r="F503" s="13"/>
      <c r="G503" s="11" t="s">
        <v>675</v>
      </c>
      <c r="H503" s="11" t="s">
        <v>27</v>
      </c>
      <c r="I503" s="14" t="s">
        <v>675</v>
      </c>
      <c r="J503" s="14" t="s">
        <v>29</v>
      </c>
      <c r="K503" s="15" t="s">
        <v>30</v>
      </c>
      <c r="L503" s="86"/>
      <c r="M503" s="14"/>
      <c r="N503" s="14" t="s">
        <v>49</v>
      </c>
      <c r="O503" s="14"/>
      <c r="P503" s="15" t="s">
        <v>74</v>
      </c>
      <c r="Q503" s="16">
        <v>3599</v>
      </c>
      <c r="R503" s="17">
        <v>45</v>
      </c>
      <c r="S503" s="18">
        <v>2276.3674999999998</v>
      </c>
      <c r="T503" s="19" t="s">
        <v>34</v>
      </c>
      <c r="U503" s="20" t="s">
        <v>94</v>
      </c>
      <c r="V503" s="21">
        <v>104</v>
      </c>
      <c r="W503" s="21">
        <v>4</v>
      </c>
      <c r="X503" s="22"/>
    </row>
    <row r="504" spans="1:24" s="1" customFormat="1" ht="14.1" customHeight="1" x14ac:dyDescent="0.3">
      <c r="A504" s="23" t="s">
        <v>23</v>
      </c>
      <c r="B504" s="23" t="s">
        <v>673</v>
      </c>
      <c r="C504" s="12" t="s">
        <v>679</v>
      </c>
      <c r="D504" s="84"/>
      <c r="E504" s="69" t="str">
        <f t="shared" si="18"/>
        <v>Еще фото</v>
      </c>
      <c r="F504" s="13"/>
      <c r="G504" s="23" t="s">
        <v>675</v>
      </c>
      <c r="H504" s="23" t="s">
        <v>27</v>
      </c>
      <c r="I504" s="23" t="s">
        <v>675</v>
      </c>
      <c r="J504" s="14" t="s">
        <v>29</v>
      </c>
      <c r="K504" s="15" t="s">
        <v>30</v>
      </c>
      <c r="L504" s="87"/>
      <c r="M504" s="14"/>
      <c r="N504" s="14" t="s">
        <v>49</v>
      </c>
      <c r="O504" s="14"/>
      <c r="P504" s="15" t="s">
        <v>74</v>
      </c>
      <c r="Q504" s="16">
        <v>3599</v>
      </c>
      <c r="R504" s="17">
        <v>45</v>
      </c>
      <c r="S504" s="18">
        <v>2276.3674999999998</v>
      </c>
      <c r="T504" s="19" t="s">
        <v>34</v>
      </c>
      <c r="U504" s="20" t="s">
        <v>43</v>
      </c>
      <c r="V504" s="21">
        <v>110</v>
      </c>
      <c r="W504" s="21">
        <v>4</v>
      </c>
      <c r="X504" s="22"/>
    </row>
    <row r="505" spans="1:24" s="1" customFormat="1" ht="14.1" customHeight="1" x14ac:dyDescent="0.3">
      <c r="A505" s="23" t="s">
        <v>23</v>
      </c>
      <c r="B505" s="23" t="s">
        <v>673</v>
      </c>
      <c r="C505" s="12" t="s">
        <v>679</v>
      </c>
      <c r="D505" s="84"/>
      <c r="E505" s="69" t="str">
        <f t="shared" si="18"/>
        <v>Еще фото</v>
      </c>
      <c r="F505" s="13"/>
      <c r="G505" s="23" t="s">
        <v>675</v>
      </c>
      <c r="H505" s="23" t="s">
        <v>27</v>
      </c>
      <c r="I505" s="23" t="s">
        <v>675</v>
      </c>
      <c r="J505" s="14" t="s">
        <v>29</v>
      </c>
      <c r="K505" s="15" t="s">
        <v>30</v>
      </c>
      <c r="L505" s="87"/>
      <c r="M505" s="14"/>
      <c r="N505" s="14" t="s">
        <v>49</v>
      </c>
      <c r="O505" s="14"/>
      <c r="P505" s="15" t="s">
        <v>74</v>
      </c>
      <c r="Q505" s="16">
        <v>3599</v>
      </c>
      <c r="R505" s="17">
        <v>45</v>
      </c>
      <c r="S505" s="18">
        <v>2276.3674999999998</v>
      </c>
      <c r="T505" s="19" t="s">
        <v>34</v>
      </c>
      <c r="U505" s="20" t="s">
        <v>35</v>
      </c>
      <c r="V505" s="21">
        <v>116</v>
      </c>
      <c r="W505" s="21">
        <v>4</v>
      </c>
      <c r="X505" s="22"/>
    </row>
    <row r="506" spans="1:24" s="1" customFormat="1" ht="14.1" customHeight="1" x14ac:dyDescent="0.3">
      <c r="A506" s="23" t="s">
        <v>23</v>
      </c>
      <c r="B506" s="23" t="s">
        <v>673</v>
      </c>
      <c r="C506" s="12" t="s">
        <v>679</v>
      </c>
      <c r="D506" s="84"/>
      <c r="E506" s="69" t="str">
        <f t="shared" si="18"/>
        <v>Еще фото</v>
      </c>
      <c r="F506" s="13"/>
      <c r="G506" s="23" t="s">
        <v>675</v>
      </c>
      <c r="H506" s="23" t="s">
        <v>27</v>
      </c>
      <c r="I506" s="23" t="s">
        <v>675</v>
      </c>
      <c r="J506" s="14" t="s">
        <v>29</v>
      </c>
      <c r="K506" s="15" t="s">
        <v>30</v>
      </c>
      <c r="L506" s="87"/>
      <c r="M506" s="14"/>
      <c r="N506" s="14" t="s">
        <v>49</v>
      </c>
      <c r="O506" s="14"/>
      <c r="P506" s="15" t="s">
        <v>74</v>
      </c>
      <c r="Q506" s="16">
        <v>3599</v>
      </c>
      <c r="R506" s="17">
        <v>45</v>
      </c>
      <c r="S506" s="18">
        <v>2276.3674999999998</v>
      </c>
      <c r="T506" s="19" t="s">
        <v>34</v>
      </c>
      <c r="U506" s="20" t="s">
        <v>36</v>
      </c>
      <c r="V506" s="21">
        <v>122</v>
      </c>
      <c r="W506" s="21">
        <v>3</v>
      </c>
      <c r="X506" s="22"/>
    </row>
    <row r="507" spans="1:24" s="1" customFormat="1" ht="14.1" customHeight="1" x14ac:dyDescent="0.3">
      <c r="A507" s="23" t="s">
        <v>23</v>
      </c>
      <c r="B507" s="23" t="s">
        <v>673</v>
      </c>
      <c r="C507" s="12" t="s">
        <v>679</v>
      </c>
      <c r="D507" s="84"/>
      <c r="E507" s="69" t="str">
        <f t="shared" si="18"/>
        <v>Еще фото</v>
      </c>
      <c r="F507" s="13"/>
      <c r="G507" s="23" t="s">
        <v>675</v>
      </c>
      <c r="H507" s="23" t="s">
        <v>27</v>
      </c>
      <c r="I507" s="23" t="s">
        <v>675</v>
      </c>
      <c r="J507" s="14" t="s">
        <v>29</v>
      </c>
      <c r="K507" s="15" t="s">
        <v>30</v>
      </c>
      <c r="L507" s="87"/>
      <c r="M507" s="14"/>
      <c r="N507" s="14" t="s">
        <v>49</v>
      </c>
      <c r="O507" s="14"/>
      <c r="P507" s="15" t="s">
        <v>74</v>
      </c>
      <c r="Q507" s="16">
        <v>3599</v>
      </c>
      <c r="R507" s="17">
        <v>45</v>
      </c>
      <c r="S507" s="18">
        <v>2276.3674999999998</v>
      </c>
      <c r="T507" s="19" t="s">
        <v>34</v>
      </c>
      <c r="U507" s="20" t="s">
        <v>37</v>
      </c>
      <c r="V507" s="21">
        <v>128</v>
      </c>
      <c r="W507" s="21">
        <v>4</v>
      </c>
      <c r="X507" s="22"/>
    </row>
    <row r="508" spans="1:24" s="1" customFormat="1" ht="14.1" customHeight="1" x14ac:dyDescent="0.3">
      <c r="A508" s="23" t="s">
        <v>23</v>
      </c>
      <c r="B508" s="23" t="s">
        <v>673</v>
      </c>
      <c r="C508" s="12" t="s">
        <v>679</v>
      </c>
      <c r="D508" s="84"/>
      <c r="E508" s="69" t="str">
        <f t="shared" si="18"/>
        <v>Еще фото</v>
      </c>
      <c r="F508" s="13"/>
      <c r="G508" s="23" t="s">
        <v>675</v>
      </c>
      <c r="H508" s="23" t="s">
        <v>27</v>
      </c>
      <c r="I508" s="23" t="s">
        <v>675</v>
      </c>
      <c r="J508" s="14" t="s">
        <v>29</v>
      </c>
      <c r="K508" s="15" t="s">
        <v>30</v>
      </c>
      <c r="L508" s="87"/>
      <c r="M508" s="14"/>
      <c r="N508" s="14" t="s">
        <v>49</v>
      </c>
      <c r="O508" s="14"/>
      <c r="P508" s="15" t="s">
        <v>74</v>
      </c>
      <c r="Q508" s="16">
        <v>3599</v>
      </c>
      <c r="R508" s="17">
        <v>45</v>
      </c>
      <c r="S508" s="18">
        <v>2276.3674999999998</v>
      </c>
      <c r="T508" s="19" t="s">
        <v>34</v>
      </c>
      <c r="U508" s="20" t="s">
        <v>91</v>
      </c>
      <c r="V508" s="21">
        <v>134</v>
      </c>
      <c r="W508" s="21">
        <v>4</v>
      </c>
      <c r="X508" s="22"/>
    </row>
    <row r="509" spans="1:24" s="1" customFormat="1" ht="17.100000000000001" customHeight="1" x14ac:dyDescent="0.3">
      <c r="A509" s="23" t="s">
        <v>23</v>
      </c>
      <c r="B509" s="23" t="s">
        <v>673</v>
      </c>
      <c r="C509" s="12" t="s">
        <v>679</v>
      </c>
      <c r="D509" s="85"/>
      <c r="E509" s="69" t="str">
        <f t="shared" si="18"/>
        <v>Еще фото</v>
      </c>
      <c r="F509" s="13"/>
      <c r="G509" s="23" t="s">
        <v>675</v>
      </c>
      <c r="H509" s="23" t="s">
        <v>27</v>
      </c>
      <c r="I509" s="23" t="s">
        <v>675</v>
      </c>
      <c r="J509" s="14" t="s">
        <v>29</v>
      </c>
      <c r="K509" s="15" t="s">
        <v>30</v>
      </c>
      <c r="L509" s="88"/>
      <c r="M509" s="14"/>
      <c r="N509" s="14" t="s">
        <v>49</v>
      </c>
      <c r="O509" s="14"/>
      <c r="P509" s="15" t="s">
        <v>74</v>
      </c>
      <c r="Q509" s="16">
        <v>3599</v>
      </c>
      <c r="R509" s="17">
        <v>45</v>
      </c>
      <c r="S509" s="18">
        <v>2276.3674999999998</v>
      </c>
      <c r="T509" s="19" t="s">
        <v>34</v>
      </c>
      <c r="U509" s="20" t="s">
        <v>290</v>
      </c>
      <c r="V509" s="21">
        <v>140</v>
      </c>
      <c r="W509" s="21">
        <v>4</v>
      </c>
      <c r="X509" s="22"/>
    </row>
    <row r="510" spans="1:24" s="1" customFormat="1" ht="14.1" customHeight="1" x14ac:dyDescent="0.3">
      <c r="A510" s="11" t="s">
        <v>23</v>
      </c>
      <c r="B510" s="11" t="s">
        <v>673</v>
      </c>
      <c r="C510" s="12" t="s">
        <v>680</v>
      </c>
      <c r="D510" s="83"/>
      <c r="E510" s="69" t="str">
        <f t="shared" ref="E510:E516" si="19">HYPERLINK("https://www.google.ru/search?q=MC-BB264&amp;newwindow=1&amp;tbm=isch","Еще фото")</f>
        <v>Еще фото</v>
      </c>
      <c r="F510" s="13"/>
      <c r="G510" s="11" t="s">
        <v>675</v>
      </c>
      <c r="H510" s="11" t="s">
        <v>27</v>
      </c>
      <c r="I510" s="14" t="s">
        <v>675</v>
      </c>
      <c r="J510" s="14" t="s">
        <v>29</v>
      </c>
      <c r="K510" s="15" t="s">
        <v>30</v>
      </c>
      <c r="L510" s="86"/>
      <c r="M510" s="14"/>
      <c r="N510" s="14" t="s">
        <v>70</v>
      </c>
      <c r="O510" s="14"/>
      <c r="P510" s="15" t="s">
        <v>74</v>
      </c>
      <c r="Q510" s="16">
        <v>5099</v>
      </c>
      <c r="R510" s="17">
        <v>45</v>
      </c>
      <c r="S510" s="18">
        <v>3225.1174999999994</v>
      </c>
      <c r="T510" s="19" t="s">
        <v>34</v>
      </c>
      <c r="U510" s="20" t="s">
        <v>94</v>
      </c>
      <c r="V510" s="21">
        <v>104</v>
      </c>
      <c r="W510" s="21">
        <v>3</v>
      </c>
      <c r="X510" s="22"/>
    </row>
    <row r="511" spans="1:24" s="1" customFormat="1" ht="14.1" customHeight="1" x14ac:dyDescent="0.3">
      <c r="A511" s="23" t="s">
        <v>23</v>
      </c>
      <c r="B511" s="23" t="s">
        <v>673</v>
      </c>
      <c r="C511" s="12" t="s">
        <v>680</v>
      </c>
      <c r="D511" s="84"/>
      <c r="E511" s="69" t="str">
        <f t="shared" si="19"/>
        <v>Еще фото</v>
      </c>
      <c r="F511" s="13"/>
      <c r="G511" s="23" t="s">
        <v>675</v>
      </c>
      <c r="H511" s="23" t="s">
        <v>27</v>
      </c>
      <c r="I511" s="23" t="s">
        <v>675</v>
      </c>
      <c r="J511" s="14" t="s">
        <v>29</v>
      </c>
      <c r="K511" s="15" t="s">
        <v>30</v>
      </c>
      <c r="L511" s="87"/>
      <c r="M511" s="14"/>
      <c r="N511" s="14" t="s">
        <v>70</v>
      </c>
      <c r="O511" s="14"/>
      <c r="P511" s="15" t="s">
        <v>74</v>
      </c>
      <c r="Q511" s="16">
        <v>5099</v>
      </c>
      <c r="R511" s="17">
        <v>45</v>
      </c>
      <c r="S511" s="18">
        <v>3225.1174999999994</v>
      </c>
      <c r="T511" s="19" t="s">
        <v>34</v>
      </c>
      <c r="U511" s="20" t="s">
        <v>43</v>
      </c>
      <c r="V511" s="21">
        <v>110</v>
      </c>
      <c r="W511" s="21">
        <v>3</v>
      </c>
      <c r="X511" s="22"/>
    </row>
    <row r="512" spans="1:24" s="1" customFormat="1" ht="14.1" customHeight="1" x14ac:dyDescent="0.3">
      <c r="A512" s="23" t="s">
        <v>23</v>
      </c>
      <c r="B512" s="23" t="s">
        <v>673</v>
      </c>
      <c r="C512" s="12" t="s">
        <v>680</v>
      </c>
      <c r="D512" s="84"/>
      <c r="E512" s="69" t="str">
        <f t="shared" si="19"/>
        <v>Еще фото</v>
      </c>
      <c r="F512" s="13"/>
      <c r="G512" s="23" t="s">
        <v>675</v>
      </c>
      <c r="H512" s="23" t="s">
        <v>27</v>
      </c>
      <c r="I512" s="23" t="s">
        <v>675</v>
      </c>
      <c r="J512" s="14" t="s">
        <v>29</v>
      </c>
      <c r="K512" s="15" t="s">
        <v>30</v>
      </c>
      <c r="L512" s="87"/>
      <c r="M512" s="14"/>
      <c r="N512" s="14" t="s">
        <v>70</v>
      </c>
      <c r="O512" s="14"/>
      <c r="P512" s="15" t="s">
        <v>74</v>
      </c>
      <c r="Q512" s="16">
        <v>5099</v>
      </c>
      <c r="R512" s="17">
        <v>45</v>
      </c>
      <c r="S512" s="18">
        <v>3225.1174999999994</v>
      </c>
      <c r="T512" s="19" t="s">
        <v>34</v>
      </c>
      <c r="U512" s="20" t="s">
        <v>35</v>
      </c>
      <c r="V512" s="21">
        <v>116</v>
      </c>
      <c r="W512" s="21">
        <v>3</v>
      </c>
      <c r="X512" s="22"/>
    </row>
    <row r="513" spans="1:24" s="1" customFormat="1" ht="14.1" customHeight="1" x14ac:dyDescent="0.3">
      <c r="A513" s="23" t="s">
        <v>23</v>
      </c>
      <c r="B513" s="23" t="s">
        <v>673</v>
      </c>
      <c r="C513" s="12" t="s">
        <v>680</v>
      </c>
      <c r="D513" s="84"/>
      <c r="E513" s="69" t="str">
        <f t="shared" si="19"/>
        <v>Еще фото</v>
      </c>
      <c r="F513" s="13"/>
      <c r="G513" s="23" t="s">
        <v>675</v>
      </c>
      <c r="H513" s="23" t="s">
        <v>27</v>
      </c>
      <c r="I513" s="23" t="s">
        <v>675</v>
      </c>
      <c r="J513" s="14" t="s">
        <v>29</v>
      </c>
      <c r="K513" s="15" t="s">
        <v>30</v>
      </c>
      <c r="L513" s="87"/>
      <c r="M513" s="14"/>
      <c r="N513" s="14" t="s">
        <v>70</v>
      </c>
      <c r="O513" s="14"/>
      <c r="P513" s="15" t="s">
        <v>74</v>
      </c>
      <c r="Q513" s="16">
        <v>5099</v>
      </c>
      <c r="R513" s="17">
        <v>45</v>
      </c>
      <c r="S513" s="18">
        <v>3225.1174999999994</v>
      </c>
      <c r="T513" s="19" t="s">
        <v>34</v>
      </c>
      <c r="U513" s="20" t="s">
        <v>36</v>
      </c>
      <c r="V513" s="21">
        <v>122</v>
      </c>
      <c r="W513" s="21">
        <v>3</v>
      </c>
      <c r="X513" s="22"/>
    </row>
    <row r="514" spans="1:24" s="1" customFormat="1" ht="14.1" customHeight="1" x14ac:dyDescent="0.3">
      <c r="A514" s="23" t="s">
        <v>23</v>
      </c>
      <c r="B514" s="23" t="s">
        <v>673</v>
      </c>
      <c r="C514" s="12" t="s">
        <v>680</v>
      </c>
      <c r="D514" s="84"/>
      <c r="E514" s="69" t="str">
        <f t="shared" si="19"/>
        <v>Еще фото</v>
      </c>
      <c r="F514" s="13"/>
      <c r="G514" s="23" t="s">
        <v>675</v>
      </c>
      <c r="H514" s="23" t="s">
        <v>27</v>
      </c>
      <c r="I514" s="23" t="s">
        <v>675</v>
      </c>
      <c r="J514" s="14" t="s">
        <v>29</v>
      </c>
      <c r="K514" s="15" t="s">
        <v>30</v>
      </c>
      <c r="L514" s="87"/>
      <c r="M514" s="14"/>
      <c r="N514" s="14" t="s">
        <v>70</v>
      </c>
      <c r="O514" s="14"/>
      <c r="P514" s="15" t="s">
        <v>74</v>
      </c>
      <c r="Q514" s="16">
        <v>5099</v>
      </c>
      <c r="R514" s="17">
        <v>45</v>
      </c>
      <c r="S514" s="18">
        <v>3225.1174999999994</v>
      </c>
      <c r="T514" s="19" t="s">
        <v>34</v>
      </c>
      <c r="U514" s="20" t="s">
        <v>37</v>
      </c>
      <c r="V514" s="21">
        <v>128</v>
      </c>
      <c r="W514" s="21">
        <v>3</v>
      </c>
      <c r="X514" s="22"/>
    </row>
    <row r="515" spans="1:24" s="1" customFormat="1" ht="14.1" customHeight="1" x14ac:dyDescent="0.3">
      <c r="A515" s="23" t="s">
        <v>23</v>
      </c>
      <c r="B515" s="23" t="s">
        <v>673</v>
      </c>
      <c r="C515" s="12" t="s">
        <v>680</v>
      </c>
      <c r="D515" s="84"/>
      <c r="E515" s="69" t="str">
        <f t="shared" si="19"/>
        <v>Еще фото</v>
      </c>
      <c r="F515" s="13"/>
      <c r="G515" s="23" t="s">
        <v>675</v>
      </c>
      <c r="H515" s="23" t="s">
        <v>27</v>
      </c>
      <c r="I515" s="23" t="s">
        <v>675</v>
      </c>
      <c r="J515" s="14" t="s">
        <v>29</v>
      </c>
      <c r="K515" s="15" t="s">
        <v>30</v>
      </c>
      <c r="L515" s="87"/>
      <c r="M515" s="14"/>
      <c r="N515" s="14" t="s">
        <v>70</v>
      </c>
      <c r="O515" s="14"/>
      <c r="P515" s="15" t="s">
        <v>74</v>
      </c>
      <c r="Q515" s="16">
        <v>5099</v>
      </c>
      <c r="R515" s="17">
        <v>45</v>
      </c>
      <c r="S515" s="18">
        <v>3225.1174999999994</v>
      </c>
      <c r="T515" s="19" t="s">
        <v>34</v>
      </c>
      <c r="U515" s="20" t="s">
        <v>91</v>
      </c>
      <c r="V515" s="21">
        <v>134</v>
      </c>
      <c r="W515" s="21">
        <v>3</v>
      </c>
      <c r="X515" s="22"/>
    </row>
    <row r="516" spans="1:24" s="1" customFormat="1" ht="17.100000000000001" customHeight="1" x14ac:dyDescent="0.3">
      <c r="A516" s="23" t="s">
        <v>23</v>
      </c>
      <c r="B516" s="23" t="s">
        <v>673</v>
      </c>
      <c r="C516" s="12" t="s">
        <v>680</v>
      </c>
      <c r="D516" s="85"/>
      <c r="E516" s="69" t="str">
        <f t="shared" si="19"/>
        <v>Еще фото</v>
      </c>
      <c r="F516" s="13"/>
      <c r="G516" s="23" t="s">
        <v>675</v>
      </c>
      <c r="H516" s="23" t="s">
        <v>27</v>
      </c>
      <c r="I516" s="23" t="s">
        <v>675</v>
      </c>
      <c r="J516" s="14" t="s">
        <v>29</v>
      </c>
      <c r="K516" s="15" t="s">
        <v>30</v>
      </c>
      <c r="L516" s="88"/>
      <c r="M516" s="14"/>
      <c r="N516" s="14" t="s">
        <v>70</v>
      </c>
      <c r="O516" s="14"/>
      <c r="P516" s="15" t="s">
        <v>74</v>
      </c>
      <c r="Q516" s="16">
        <v>5099</v>
      </c>
      <c r="R516" s="17">
        <v>45</v>
      </c>
      <c r="S516" s="18">
        <v>3225.1174999999994</v>
      </c>
      <c r="T516" s="19" t="s">
        <v>34</v>
      </c>
      <c r="U516" s="20" t="s">
        <v>290</v>
      </c>
      <c r="V516" s="21">
        <v>140</v>
      </c>
      <c r="W516" s="21">
        <v>3</v>
      </c>
      <c r="X516" s="22"/>
    </row>
    <row r="517" spans="1:24" s="1" customFormat="1" ht="17.100000000000001" customHeight="1" x14ac:dyDescent="0.3">
      <c r="A517" s="11" t="s">
        <v>23</v>
      </c>
      <c r="B517" s="11" t="s">
        <v>673</v>
      </c>
      <c r="C517" s="12" t="s">
        <v>681</v>
      </c>
      <c r="D517" s="83"/>
      <c r="E517" s="69" t="str">
        <f t="shared" ref="E517:E522" si="20">HYPERLINK("https://www.google.ru/search?q=MC-BB282&amp;newwindow=1&amp;tbm=isch","Еще фото")</f>
        <v>Еще фото</v>
      </c>
      <c r="F517" s="13"/>
      <c r="G517" s="11" t="s">
        <v>675</v>
      </c>
      <c r="H517" s="11" t="s">
        <v>27</v>
      </c>
      <c r="I517" s="14" t="s">
        <v>675</v>
      </c>
      <c r="J517" s="14" t="s">
        <v>29</v>
      </c>
      <c r="K517" s="15" t="s">
        <v>30</v>
      </c>
      <c r="L517" s="86"/>
      <c r="M517" s="14"/>
      <c r="N517" s="14" t="s">
        <v>70</v>
      </c>
      <c r="O517" s="14"/>
      <c r="P517" s="15" t="s">
        <v>74</v>
      </c>
      <c r="Q517" s="16">
        <v>3599</v>
      </c>
      <c r="R517" s="17">
        <v>45</v>
      </c>
      <c r="S517" s="18">
        <v>2276.3674999999998</v>
      </c>
      <c r="T517" s="19" t="s">
        <v>34</v>
      </c>
      <c r="U517" s="20" t="s">
        <v>94</v>
      </c>
      <c r="V517" s="21">
        <v>104</v>
      </c>
      <c r="W517" s="21">
        <v>3</v>
      </c>
      <c r="X517" s="22"/>
    </row>
    <row r="518" spans="1:24" s="1" customFormat="1" ht="17.100000000000001" customHeight="1" x14ac:dyDescent="0.3">
      <c r="A518" s="23" t="s">
        <v>23</v>
      </c>
      <c r="B518" s="23" t="s">
        <v>673</v>
      </c>
      <c r="C518" s="12" t="s">
        <v>681</v>
      </c>
      <c r="D518" s="84"/>
      <c r="E518" s="69" t="str">
        <f t="shared" si="20"/>
        <v>Еще фото</v>
      </c>
      <c r="F518" s="13"/>
      <c r="G518" s="23" t="s">
        <v>675</v>
      </c>
      <c r="H518" s="23" t="s">
        <v>27</v>
      </c>
      <c r="I518" s="23" t="s">
        <v>675</v>
      </c>
      <c r="J518" s="14" t="s">
        <v>29</v>
      </c>
      <c r="K518" s="15" t="s">
        <v>30</v>
      </c>
      <c r="L518" s="87"/>
      <c r="M518" s="14"/>
      <c r="N518" s="14" t="s">
        <v>70</v>
      </c>
      <c r="O518" s="14"/>
      <c r="P518" s="15" t="s">
        <v>74</v>
      </c>
      <c r="Q518" s="16">
        <v>3599</v>
      </c>
      <c r="R518" s="17">
        <v>45</v>
      </c>
      <c r="S518" s="18">
        <v>2276.3674999999998</v>
      </c>
      <c r="T518" s="19" t="s">
        <v>34</v>
      </c>
      <c r="U518" s="20" t="s">
        <v>43</v>
      </c>
      <c r="V518" s="21">
        <v>110</v>
      </c>
      <c r="W518" s="21">
        <v>4</v>
      </c>
      <c r="X518" s="22"/>
    </row>
    <row r="519" spans="1:24" s="1" customFormat="1" ht="17.100000000000001" customHeight="1" x14ac:dyDescent="0.3">
      <c r="A519" s="23" t="s">
        <v>23</v>
      </c>
      <c r="B519" s="23" t="s">
        <v>673</v>
      </c>
      <c r="C519" s="12" t="s">
        <v>681</v>
      </c>
      <c r="D519" s="84"/>
      <c r="E519" s="69" t="str">
        <f t="shared" si="20"/>
        <v>Еще фото</v>
      </c>
      <c r="F519" s="13"/>
      <c r="G519" s="23" t="s">
        <v>675</v>
      </c>
      <c r="H519" s="23" t="s">
        <v>27</v>
      </c>
      <c r="I519" s="23" t="s">
        <v>675</v>
      </c>
      <c r="J519" s="14" t="s">
        <v>29</v>
      </c>
      <c r="K519" s="15" t="s">
        <v>30</v>
      </c>
      <c r="L519" s="87"/>
      <c r="M519" s="14"/>
      <c r="N519" s="14" t="s">
        <v>70</v>
      </c>
      <c r="O519" s="14"/>
      <c r="P519" s="15" t="s">
        <v>74</v>
      </c>
      <c r="Q519" s="16">
        <v>3599</v>
      </c>
      <c r="R519" s="17">
        <v>45</v>
      </c>
      <c r="S519" s="18">
        <v>2276.3674999999998</v>
      </c>
      <c r="T519" s="19" t="s">
        <v>34</v>
      </c>
      <c r="U519" s="20" t="s">
        <v>35</v>
      </c>
      <c r="V519" s="21">
        <v>116</v>
      </c>
      <c r="W519" s="21">
        <v>4</v>
      </c>
      <c r="X519" s="22"/>
    </row>
    <row r="520" spans="1:24" s="1" customFormat="1" ht="17.100000000000001" customHeight="1" x14ac:dyDescent="0.3">
      <c r="A520" s="23" t="s">
        <v>23</v>
      </c>
      <c r="B520" s="23" t="s">
        <v>673</v>
      </c>
      <c r="C520" s="12" t="s">
        <v>681</v>
      </c>
      <c r="D520" s="84"/>
      <c r="E520" s="69" t="str">
        <f t="shared" si="20"/>
        <v>Еще фото</v>
      </c>
      <c r="F520" s="13"/>
      <c r="G520" s="23" t="s">
        <v>675</v>
      </c>
      <c r="H520" s="23" t="s">
        <v>27</v>
      </c>
      <c r="I520" s="23" t="s">
        <v>675</v>
      </c>
      <c r="J520" s="14" t="s">
        <v>29</v>
      </c>
      <c r="K520" s="15" t="s">
        <v>30</v>
      </c>
      <c r="L520" s="87"/>
      <c r="M520" s="14"/>
      <c r="N520" s="14" t="s">
        <v>70</v>
      </c>
      <c r="O520" s="14"/>
      <c r="P520" s="15" t="s">
        <v>74</v>
      </c>
      <c r="Q520" s="16">
        <v>3599</v>
      </c>
      <c r="R520" s="17">
        <v>45</v>
      </c>
      <c r="S520" s="18">
        <v>2276.3674999999998</v>
      </c>
      <c r="T520" s="19" t="s">
        <v>34</v>
      </c>
      <c r="U520" s="20" t="s">
        <v>36</v>
      </c>
      <c r="V520" s="21">
        <v>122</v>
      </c>
      <c r="W520" s="21">
        <v>3</v>
      </c>
      <c r="X520" s="22"/>
    </row>
    <row r="521" spans="1:24" s="1" customFormat="1" ht="17.100000000000001" customHeight="1" x14ac:dyDescent="0.3">
      <c r="A521" s="23" t="s">
        <v>23</v>
      </c>
      <c r="B521" s="23" t="s">
        <v>673</v>
      </c>
      <c r="C521" s="12" t="s">
        <v>681</v>
      </c>
      <c r="D521" s="84"/>
      <c r="E521" s="69" t="str">
        <f t="shared" si="20"/>
        <v>Еще фото</v>
      </c>
      <c r="F521" s="13"/>
      <c r="G521" s="23" t="s">
        <v>675</v>
      </c>
      <c r="H521" s="23" t="s">
        <v>27</v>
      </c>
      <c r="I521" s="23" t="s">
        <v>675</v>
      </c>
      <c r="J521" s="14" t="s">
        <v>29</v>
      </c>
      <c r="K521" s="15" t="s">
        <v>30</v>
      </c>
      <c r="L521" s="87"/>
      <c r="M521" s="14"/>
      <c r="N521" s="14" t="s">
        <v>70</v>
      </c>
      <c r="O521" s="14"/>
      <c r="P521" s="15" t="s">
        <v>74</v>
      </c>
      <c r="Q521" s="16">
        <v>3599</v>
      </c>
      <c r="R521" s="17">
        <v>45</v>
      </c>
      <c r="S521" s="18">
        <v>2276.3674999999998</v>
      </c>
      <c r="T521" s="19" t="s">
        <v>34</v>
      </c>
      <c r="U521" s="20" t="s">
        <v>91</v>
      </c>
      <c r="V521" s="21">
        <v>134</v>
      </c>
      <c r="W521" s="21">
        <v>1</v>
      </c>
      <c r="X521" s="22"/>
    </row>
    <row r="522" spans="1:24" s="1" customFormat="1" ht="21.95" customHeight="1" x14ac:dyDescent="0.3">
      <c r="A522" s="23" t="s">
        <v>23</v>
      </c>
      <c r="B522" s="23" t="s">
        <v>673</v>
      </c>
      <c r="C522" s="12" t="s">
        <v>681</v>
      </c>
      <c r="D522" s="85"/>
      <c r="E522" s="69" t="str">
        <f t="shared" si="20"/>
        <v>Еще фото</v>
      </c>
      <c r="F522" s="13"/>
      <c r="G522" s="23" t="s">
        <v>675</v>
      </c>
      <c r="H522" s="23" t="s">
        <v>27</v>
      </c>
      <c r="I522" s="23" t="s">
        <v>675</v>
      </c>
      <c r="J522" s="14" t="s">
        <v>29</v>
      </c>
      <c r="K522" s="15" t="s">
        <v>30</v>
      </c>
      <c r="L522" s="88"/>
      <c r="M522" s="14"/>
      <c r="N522" s="14" t="s">
        <v>70</v>
      </c>
      <c r="O522" s="14"/>
      <c r="P522" s="15" t="s">
        <v>74</v>
      </c>
      <c r="Q522" s="16">
        <v>3599</v>
      </c>
      <c r="R522" s="17">
        <v>45</v>
      </c>
      <c r="S522" s="18">
        <v>2276.3674999999998</v>
      </c>
      <c r="T522" s="19" t="s">
        <v>34</v>
      </c>
      <c r="U522" s="20" t="s">
        <v>290</v>
      </c>
      <c r="V522" s="21">
        <v>140</v>
      </c>
      <c r="W522" s="21">
        <v>1</v>
      </c>
      <c r="X522" s="22"/>
    </row>
    <row r="523" spans="1:24" s="1" customFormat="1" ht="108" customHeight="1" x14ac:dyDescent="0.3">
      <c r="A523" s="11" t="s">
        <v>23</v>
      </c>
      <c r="B523" s="11" t="s">
        <v>682</v>
      </c>
      <c r="C523" s="12" t="s">
        <v>683</v>
      </c>
      <c r="D523" s="24"/>
      <c r="E523" s="69" t="str">
        <f>HYPERLINK("https://www.google.ru/search?q=MC-BC346&amp;newwindow=1&amp;tbm=isch","Еще фото")</f>
        <v>Еще фото</v>
      </c>
      <c r="F523" s="13"/>
      <c r="G523" s="11" t="s">
        <v>684</v>
      </c>
      <c r="H523" s="11" t="s">
        <v>27</v>
      </c>
      <c r="I523" s="14" t="s">
        <v>675</v>
      </c>
      <c r="J523" s="14" t="s">
        <v>29</v>
      </c>
      <c r="K523" s="15" t="s">
        <v>30</v>
      </c>
      <c r="L523" s="14" t="s">
        <v>685</v>
      </c>
      <c r="M523" s="14"/>
      <c r="N523" s="14" t="s">
        <v>32</v>
      </c>
      <c r="O523" s="14"/>
      <c r="P523" s="15" t="s">
        <v>76</v>
      </c>
      <c r="Q523" s="16">
        <v>6599</v>
      </c>
      <c r="R523" s="17">
        <v>45</v>
      </c>
      <c r="S523" s="18">
        <v>4173.8674999999994</v>
      </c>
      <c r="T523" s="19" t="s">
        <v>34</v>
      </c>
      <c r="U523" s="20" t="s">
        <v>77</v>
      </c>
      <c r="V523" s="21">
        <v>92</v>
      </c>
      <c r="W523" s="21">
        <v>2</v>
      </c>
      <c r="X523" s="22"/>
    </row>
    <row r="524" spans="1:24" s="1" customFormat="1" ht="51.95" customHeight="1" x14ac:dyDescent="0.3">
      <c r="A524" s="11" t="s">
        <v>23</v>
      </c>
      <c r="B524" s="11" t="s">
        <v>673</v>
      </c>
      <c r="C524" s="12" t="s">
        <v>686</v>
      </c>
      <c r="D524" s="89"/>
      <c r="E524" s="69" t="str">
        <f>HYPERLINK("https://www.google.ru/search?q=MC-BC365&amp;newwindow=1&amp;tbm=isch","Еще фото")</f>
        <v>Еще фото</v>
      </c>
      <c r="F524" s="13"/>
      <c r="G524" s="11" t="s">
        <v>675</v>
      </c>
      <c r="H524" s="11" t="s">
        <v>27</v>
      </c>
      <c r="I524" s="14" t="s">
        <v>675</v>
      </c>
      <c r="J524" s="14" t="s">
        <v>29</v>
      </c>
      <c r="K524" s="15" t="s">
        <v>30</v>
      </c>
      <c r="L524" s="86" t="s">
        <v>687</v>
      </c>
      <c r="M524" s="14" t="s">
        <v>73</v>
      </c>
      <c r="N524" s="14" t="s">
        <v>32</v>
      </c>
      <c r="O524" s="14"/>
      <c r="P524" s="15" t="s">
        <v>688</v>
      </c>
      <c r="Q524" s="16">
        <v>4699</v>
      </c>
      <c r="R524" s="17">
        <v>45</v>
      </c>
      <c r="S524" s="18">
        <v>2972.1174999999994</v>
      </c>
      <c r="T524" s="19" t="s">
        <v>34</v>
      </c>
      <c r="U524" s="20" t="s">
        <v>77</v>
      </c>
      <c r="V524" s="21">
        <v>92</v>
      </c>
      <c r="W524" s="21">
        <v>2</v>
      </c>
      <c r="X524" s="22"/>
    </row>
    <row r="525" spans="1:24" s="1" customFormat="1" ht="60.95" customHeight="1" x14ac:dyDescent="0.3">
      <c r="A525" s="23" t="s">
        <v>23</v>
      </c>
      <c r="B525" s="23" t="s">
        <v>673</v>
      </c>
      <c r="C525" s="12" t="s">
        <v>686</v>
      </c>
      <c r="D525" s="90"/>
      <c r="E525" s="69" t="str">
        <f>HYPERLINK("https://www.google.ru/search?q=MC-BC365&amp;newwindow=1&amp;tbm=isch","Еще фото")</f>
        <v>Еще фото</v>
      </c>
      <c r="F525" s="13"/>
      <c r="G525" s="23" t="s">
        <v>675</v>
      </c>
      <c r="H525" s="23" t="s">
        <v>27</v>
      </c>
      <c r="I525" s="23" t="s">
        <v>675</v>
      </c>
      <c r="J525" s="14" t="s">
        <v>29</v>
      </c>
      <c r="K525" s="15" t="s">
        <v>30</v>
      </c>
      <c r="L525" s="88"/>
      <c r="M525" s="14" t="s">
        <v>73</v>
      </c>
      <c r="N525" s="14" t="s">
        <v>32</v>
      </c>
      <c r="O525" s="14"/>
      <c r="P525" s="15" t="s">
        <v>688</v>
      </c>
      <c r="Q525" s="16">
        <v>4699</v>
      </c>
      <c r="R525" s="17">
        <v>45</v>
      </c>
      <c r="S525" s="18">
        <v>2972.1174999999994</v>
      </c>
      <c r="T525" s="19" t="s">
        <v>34</v>
      </c>
      <c r="U525" s="20" t="s">
        <v>94</v>
      </c>
      <c r="V525" s="21">
        <v>104</v>
      </c>
      <c r="W525" s="21">
        <v>1</v>
      </c>
      <c r="X525" s="22"/>
    </row>
    <row r="526" spans="1:24" s="1" customFormat="1" ht="35.1" customHeight="1" x14ac:dyDescent="0.3">
      <c r="A526" s="11" t="s">
        <v>23</v>
      </c>
      <c r="B526" s="11" t="s">
        <v>673</v>
      </c>
      <c r="C526" s="12" t="s">
        <v>689</v>
      </c>
      <c r="D526" s="83"/>
      <c r="E526" s="69" t="str">
        <f>HYPERLINK("https://www.google.ru/search?q=MC-BC636&amp;newwindow=1&amp;tbm=isch","Еще фото")</f>
        <v>Еще фото</v>
      </c>
      <c r="F526" s="13"/>
      <c r="G526" s="11" t="s">
        <v>675</v>
      </c>
      <c r="H526" s="11" t="s">
        <v>27</v>
      </c>
      <c r="I526" s="14" t="s">
        <v>675</v>
      </c>
      <c r="J526" s="14" t="s">
        <v>29</v>
      </c>
      <c r="K526" s="15" t="s">
        <v>30</v>
      </c>
      <c r="L526" s="86"/>
      <c r="M526" s="14"/>
      <c r="N526" s="14" t="s">
        <v>70</v>
      </c>
      <c r="O526" s="14"/>
      <c r="P526" s="15" t="s">
        <v>74</v>
      </c>
      <c r="Q526" s="16">
        <v>5099</v>
      </c>
      <c r="R526" s="17">
        <v>45</v>
      </c>
      <c r="S526" s="18">
        <v>3225.1174999999994</v>
      </c>
      <c r="T526" s="19" t="s">
        <v>34</v>
      </c>
      <c r="U526" s="20" t="s">
        <v>78</v>
      </c>
      <c r="V526" s="21">
        <v>98</v>
      </c>
      <c r="W526" s="21">
        <v>3</v>
      </c>
      <c r="X526" s="22"/>
    </row>
    <row r="527" spans="1:24" s="1" customFormat="1" ht="35.1" customHeight="1" x14ac:dyDescent="0.3">
      <c r="A527" s="23" t="s">
        <v>23</v>
      </c>
      <c r="B527" s="23" t="s">
        <v>673</v>
      </c>
      <c r="C527" s="12" t="s">
        <v>689</v>
      </c>
      <c r="D527" s="84"/>
      <c r="E527" s="69" t="str">
        <f>HYPERLINK("https://www.google.ru/search?q=MC-BC636&amp;newwindow=1&amp;tbm=isch","Еще фото")</f>
        <v>Еще фото</v>
      </c>
      <c r="F527" s="13"/>
      <c r="G527" s="23" t="s">
        <v>675</v>
      </c>
      <c r="H527" s="23" t="s">
        <v>27</v>
      </c>
      <c r="I527" s="23" t="s">
        <v>675</v>
      </c>
      <c r="J527" s="14" t="s">
        <v>29</v>
      </c>
      <c r="K527" s="15" t="s">
        <v>30</v>
      </c>
      <c r="L527" s="87"/>
      <c r="M527" s="14"/>
      <c r="N527" s="14" t="s">
        <v>70</v>
      </c>
      <c r="O527" s="14"/>
      <c r="P527" s="15" t="s">
        <v>74</v>
      </c>
      <c r="Q527" s="16">
        <v>5099</v>
      </c>
      <c r="R527" s="17">
        <v>45</v>
      </c>
      <c r="S527" s="18">
        <v>3225.1174999999994</v>
      </c>
      <c r="T527" s="19" t="s">
        <v>34</v>
      </c>
      <c r="U527" s="20" t="s">
        <v>94</v>
      </c>
      <c r="V527" s="21">
        <v>104</v>
      </c>
      <c r="W527" s="21">
        <v>3</v>
      </c>
      <c r="X527" s="22"/>
    </row>
    <row r="528" spans="1:24" s="1" customFormat="1" ht="36.950000000000003" customHeight="1" x14ac:dyDescent="0.3">
      <c r="A528" s="23" t="s">
        <v>23</v>
      </c>
      <c r="B528" s="23" t="s">
        <v>673</v>
      </c>
      <c r="C528" s="12" t="s">
        <v>689</v>
      </c>
      <c r="D528" s="85"/>
      <c r="E528" s="69" t="str">
        <f>HYPERLINK("https://www.google.ru/search?q=MC-BC636&amp;newwindow=1&amp;tbm=isch","Еще фото")</f>
        <v>Еще фото</v>
      </c>
      <c r="F528" s="13"/>
      <c r="G528" s="23" t="s">
        <v>675</v>
      </c>
      <c r="H528" s="23" t="s">
        <v>27</v>
      </c>
      <c r="I528" s="23" t="s">
        <v>675</v>
      </c>
      <c r="J528" s="14" t="s">
        <v>29</v>
      </c>
      <c r="K528" s="15" t="s">
        <v>30</v>
      </c>
      <c r="L528" s="88"/>
      <c r="M528" s="14"/>
      <c r="N528" s="14" t="s">
        <v>70</v>
      </c>
      <c r="O528" s="14"/>
      <c r="P528" s="15" t="s">
        <v>74</v>
      </c>
      <c r="Q528" s="16">
        <v>5099</v>
      </c>
      <c r="R528" s="17">
        <v>45</v>
      </c>
      <c r="S528" s="18">
        <v>3225.1174999999994</v>
      </c>
      <c r="T528" s="19" t="s">
        <v>34</v>
      </c>
      <c r="U528" s="20" t="s">
        <v>43</v>
      </c>
      <c r="V528" s="21">
        <v>110</v>
      </c>
      <c r="W528" s="21">
        <v>5</v>
      </c>
      <c r="X528" s="22"/>
    </row>
    <row r="529" spans="1:24" s="1" customFormat="1" ht="108" customHeight="1" x14ac:dyDescent="0.3">
      <c r="A529" s="11" t="s">
        <v>23</v>
      </c>
      <c r="B529" s="11" t="s">
        <v>673</v>
      </c>
      <c r="C529" s="12" t="s">
        <v>690</v>
      </c>
      <c r="D529" s="24"/>
      <c r="E529" s="69" t="str">
        <f>HYPERLINK("https://www.google.ru/search?q=MC-BC722&amp;newwindow=1&amp;tbm=isch","Еще фото")</f>
        <v>Еще фото</v>
      </c>
      <c r="F529" s="13"/>
      <c r="G529" s="11" t="s">
        <v>691</v>
      </c>
      <c r="H529" s="11" t="s">
        <v>27</v>
      </c>
      <c r="I529" s="14" t="s">
        <v>675</v>
      </c>
      <c r="J529" s="14" t="s">
        <v>29</v>
      </c>
      <c r="K529" s="15" t="s">
        <v>30</v>
      </c>
      <c r="L529" s="14" t="s">
        <v>692</v>
      </c>
      <c r="M529" s="14" t="s">
        <v>73</v>
      </c>
      <c r="N529" s="14" t="s">
        <v>32</v>
      </c>
      <c r="O529" s="14"/>
      <c r="P529" s="15" t="s">
        <v>90</v>
      </c>
      <c r="Q529" s="16">
        <v>5299</v>
      </c>
      <c r="R529" s="17">
        <v>45</v>
      </c>
      <c r="S529" s="18">
        <v>3351.6174999999994</v>
      </c>
      <c r="T529" s="19" t="s">
        <v>34</v>
      </c>
      <c r="U529" s="20" t="s">
        <v>36</v>
      </c>
      <c r="V529" s="21">
        <v>122</v>
      </c>
      <c r="W529" s="21">
        <v>1</v>
      </c>
      <c r="X529" s="22"/>
    </row>
    <row r="530" spans="1:24" s="1" customFormat="1" ht="26.1" customHeight="1" x14ac:dyDescent="0.3">
      <c r="A530" s="11" t="s">
        <v>23</v>
      </c>
      <c r="B530" s="11" t="s">
        <v>673</v>
      </c>
      <c r="C530" s="12" t="s">
        <v>693</v>
      </c>
      <c r="D530" s="83"/>
      <c r="E530" s="69" t="str">
        <f>HYPERLINK("https://www.google.ru/search?q=MC-VD477&amp;newwindow=1&amp;tbm=isch","Еще фото")</f>
        <v>Еще фото</v>
      </c>
      <c r="F530" s="13"/>
      <c r="G530" s="11" t="s">
        <v>691</v>
      </c>
      <c r="H530" s="11" t="s">
        <v>27</v>
      </c>
      <c r="I530" s="14" t="s">
        <v>675</v>
      </c>
      <c r="J530" s="14" t="s">
        <v>29</v>
      </c>
      <c r="K530" s="15" t="s">
        <v>30</v>
      </c>
      <c r="L530" s="86"/>
      <c r="M530" s="14"/>
      <c r="N530" s="14" t="s">
        <v>32</v>
      </c>
      <c r="O530" s="14"/>
      <c r="P530" s="15" t="s">
        <v>145</v>
      </c>
      <c r="Q530" s="16">
        <v>4499</v>
      </c>
      <c r="R530" s="17">
        <v>45</v>
      </c>
      <c r="S530" s="18">
        <v>2845.6174999999994</v>
      </c>
      <c r="T530" s="19" t="s">
        <v>34</v>
      </c>
      <c r="U530" s="20" t="s">
        <v>78</v>
      </c>
      <c r="V530" s="21">
        <v>98</v>
      </c>
      <c r="W530" s="21">
        <v>6</v>
      </c>
      <c r="X530" s="22"/>
    </row>
    <row r="531" spans="1:24" s="1" customFormat="1" ht="26.1" customHeight="1" x14ac:dyDescent="0.3">
      <c r="A531" s="23" t="s">
        <v>23</v>
      </c>
      <c r="B531" s="23" t="s">
        <v>673</v>
      </c>
      <c r="C531" s="12" t="s">
        <v>693</v>
      </c>
      <c r="D531" s="84"/>
      <c r="E531" s="69" t="str">
        <f>HYPERLINK("https://www.google.ru/search?q=MC-VD477&amp;newwindow=1&amp;tbm=isch","Еще фото")</f>
        <v>Еще фото</v>
      </c>
      <c r="F531" s="13"/>
      <c r="G531" s="23" t="s">
        <v>691</v>
      </c>
      <c r="H531" s="23" t="s">
        <v>27</v>
      </c>
      <c r="I531" s="23" t="s">
        <v>675</v>
      </c>
      <c r="J531" s="14" t="s">
        <v>29</v>
      </c>
      <c r="K531" s="15" t="s">
        <v>30</v>
      </c>
      <c r="L531" s="87"/>
      <c r="M531" s="14"/>
      <c r="N531" s="14" t="s">
        <v>32</v>
      </c>
      <c r="O531" s="14"/>
      <c r="P531" s="15" t="s">
        <v>145</v>
      </c>
      <c r="Q531" s="16">
        <v>4499</v>
      </c>
      <c r="R531" s="17">
        <v>45</v>
      </c>
      <c r="S531" s="18">
        <v>2845.6174999999994</v>
      </c>
      <c r="T531" s="19" t="s">
        <v>34</v>
      </c>
      <c r="U531" s="20" t="s">
        <v>94</v>
      </c>
      <c r="V531" s="21">
        <v>104</v>
      </c>
      <c r="W531" s="21">
        <v>5</v>
      </c>
      <c r="X531" s="22"/>
    </row>
    <row r="532" spans="1:24" s="1" customFormat="1" ht="26.1" customHeight="1" x14ac:dyDescent="0.3">
      <c r="A532" s="23" t="s">
        <v>23</v>
      </c>
      <c r="B532" s="23" t="s">
        <v>673</v>
      </c>
      <c r="C532" s="12" t="s">
        <v>693</v>
      </c>
      <c r="D532" s="84"/>
      <c r="E532" s="69" t="str">
        <f>HYPERLINK("https://www.google.ru/search?q=MC-VD477&amp;newwindow=1&amp;tbm=isch","Еще фото")</f>
        <v>Еще фото</v>
      </c>
      <c r="F532" s="13"/>
      <c r="G532" s="23" t="s">
        <v>691</v>
      </c>
      <c r="H532" s="23" t="s">
        <v>27</v>
      </c>
      <c r="I532" s="23" t="s">
        <v>675</v>
      </c>
      <c r="J532" s="14" t="s">
        <v>29</v>
      </c>
      <c r="K532" s="15" t="s">
        <v>30</v>
      </c>
      <c r="L532" s="87"/>
      <c r="M532" s="14"/>
      <c r="N532" s="14" t="s">
        <v>32</v>
      </c>
      <c r="O532" s="14"/>
      <c r="P532" s="15" t="s">
        <v>145</v>
      </c>
      <c r="Q532" s="16">
        <v>4499</v>
      </c>
      <c r="R532" s="17">
        <v>45</v>
      </c>
      <c r="S532" s="18">
        <v>2845.6174999999994</v>
      </c>
      <c r="T532" s="19" t="s">
        <v>34</v>
      </c>
      <c r="U532" s="20" t="s">
        <v>43</v>
      </c>
      <c r="V532" s="21">
        <v>110</v>
      </c>
      <c r="W532" s="21">
        <v>6</v>
      </c>
      <c r="X532" s="22"/>
    </row>
    <row r="533" spans="1:24" s="1" customFormat="1" ht="26.1" customHeight="1" x14ac:dyDescent="0.3">
      <c r="A533" s="23" t="s">
        <v>23</v>
      </c>
      <c r="B533" s="23" t="s">
        <v>673</v>
      </c>
      <c r="C533" s="12" t="s">
        <v>693</v>
      </c>
      <c r="D533" s="85"/>
      <c r="E533" s="69" t="str">
        <f>HYPERLINK("https://www.google.ru/search?q=MC-VD477&amp;newwindow=1&amp;tbm=isch","Еще фото")</f>
        <v>Еще фото</v>
      </c>
      <c r="F533" s="13"/>
      <c r="G533" s="23" t="s">
        <v>691</v>
      </c>
      <c r="H533" s="23" t="s">
        <v>27</v>
      </c>
      <c r="I533" s="23" t="s">
        <v>675</v>
      </c>
      <c r="J533" s="14" t="s">
        <v>29</v>
      </c>
      <c r="K533" s="15" t="s">
        <v>30</v>
      </c>
      <c r="L533" s="88"/>
      <c r="M533" s="14"/>
      <c r="N533" s="14" t="s">
        <v>32</v>
      </c>
      <c r="O533" s="14"/>
      <c r="P533" s="15" t="s">
        <v>145</v>
      </c>
      <c r="Q533" s="16">
        <v>4499</v>
      </c>
      <c r="R533" s="17">
        <v>45</v>
      </c>
      <c r="S533" s="18">
        <v>2845.6174999999994</v>
      </c>
      <c r="T533" s="19" t="s">
        <v>34</v>
      </c>
      <c r="U533" s="20" t="s">
        <v>35</v>
      </c>
      <c r="V533" s="21">
        <v>116</v>
      </c>
      <c r="W533" s="21">
        <v>1</v>
      </c>
      <c r="X533" s="22"/>
    </row>
    <row r="534" spans="1:24" s="1" customFormat="1" ht="35.1" customHeight="1" x14ac:dyDescent="0.3">
      <c r="A534" s="11" t="s">
        <v>23</v>
      </c>
      <c r="B534" s="11" t="s">
        <v>694</v>
      </c>
      <c r="C534" s="12" t="s">
        <v>695</v>
      </c>
      <c r="D534" s="83"/>
      <c r="E534" s="69" t="str">
        <f>HYPERLINK("https://www.google.ru/search?q=MC-CA410&amp;newwindow=1&amp;tbm=isch","Еще фото")</f>
        <v>Еще фото</v>
      </c>
      <c r="F534" s="13"/>
      <c r="G534" s="11" t="s">
        <v>696</v>
      </c>
      <c r="H534" s="11" t="s">
        <v>27</v>
      </c>
      <c r="I534" s="14" t="s">
        <v>697</v>
      </c>
      <c r="J534" s="14" t="s">
        <v>29</v>
      </c>
      <c r="K534" s="15" t="s">
        <v>30</v>
      </c>
      <c r="L534" s="86" t="s">
        <v>698</v>
      </c>
      <c r="M534" s="14" t="s">
        <v>73</v>
      </c>
      <c r="N534" s="14" t="s">
        <v>32</v>
      </c>
      <c r="O534" s="14"/>
      <c r="P534" s="15" t="s">
        <v>699</v>
      </c>
      <c r="Q534" s="16">
        <v>4899</v>
      </c>
      <c r="R534" s="17">
        <v>84.33</v>
      </c>
      <c r="S534" s="29">
        <v>882.93549999999993</v>
      </c>
      <c r="T534" s="19" t="s">
        <v>34</v>
      </c>
      <c r="U534" s="20" t="s">
        <v>77</v>
      </c>
      <c r="V534" s="21">
        <v>92</v>
      </c>
      <c r="W534" s="21">
        <v>5</v>
      </c>
      <c r="X534" s="22"/>
    </row>
    <row r="535" spans="1:24" s="1" customFormat="1" ht="35.1" customHeight="1" x14ac:dyDescent="0.3">
      <c r="A535" s="23" t="s">
        <v>23</v>
      </c>
      <c r="B535" s="23" t="s">
        <v>694</v>
      </c>
      <c r="C535" s="12" t="s">
        <v>695</v>
      </c>
      <c r="D535" s="84"/>
      <c r="E535" s="69" t="str">
        <f>HYPERLINK("https://www.google.ru/search?q=MC-CA410&amp;newwindow=1&amp;tbm=isch","Еще фото")</f>
        <v>Еще фото</v>
      </c>
      <c r="F535" s="13"/>
      <c r="G535" s="23" t="s">
        <v>696</v>
      </c>
      <c r="H535" s="23" t="s">
        <v>27</v>
      </c>
      <c r="I535" s="23" t="s">
        <v>697</v>
      </c>
      <c r="J535" s="14" t="s">
        <v>29</v>
      </c>
      <c r="K535" s="15" t="s">
        <v>30</v>
      </c>
      <c r="L535" s="87"/>
      <c r="M535" s="14" t="s">
        <v>73</v>
      </c>
      <c r="N535" s="14" t="s">
        <v>32</v>
      </c>
      <c r="O535" s="14"/>
      <c r="P535" s="15" t="s">
        <v>699</v>
      </c>
      <c r="Q535" s="16">
        <v>4899</v>
      </c>
      <c r="R535" s="17">
        <v>84.33</v>
      </c>
      <c r="S535" s="29">
        <v>882.93549999999993</v>
      </c>
      <c r="T535" s="19" t="s">
        <v>34</v>
      </c>
      <c r="U535" s="20" t="s">
        <v>78</v>
      </c>
      <c r="V535" s="21">
        <v>98</v>
      </c>
      <c r="W535" s="21">
        <v>2</v>
      </c>
      <c r="X535" s="22"/>
    </row>
    <row r="536" spans="1:24" s="1" customFormat="1" ht="36.950000000000003" customHeight="1" x14ac:dyDescent="0.3">
      <c r="A536" s="23" t="s">
        <v>23</v>
      </c>
      <c r="B536" s="23" t="s">
        <v>694</v>
      </c>
      <c r="C536" s="12" t="s">
        <v>695</v>
      </c>
      <c r="D536" s="85"/>
      <c r="E536" s="69" t="str">
        <f>HYPERLINK("https://www.google.ru/search?q=MC-CA410&amp;newwindow=1&amp;tbm=isch","Еще фото")</f>
        <v>Еще фото</v>
      </c>
      <c r="F536" s="13"/>
      <c r="G536" s="23" t="s">
        <v>696</v>
      </c>
      <c r="H536" s="23" t="s">
        <v>27</v>
      </c>
      <c r="I536" s="23" t="s">
        <v>697</v>
      </c>
      <c r="J536" s="14" t="s">
        <v>29</v>
      </c>
      <c r="K536" s="15" t="s">
        <v>30</v>
      </c>
      <c r="L536" s="88"/>
      <c r="M536" s="14" t="s">
        <v>73</v>
      </c>
      <c r="N536" s="14" t="s">
        <v>32</v>
      </c>
      <c r="O536" s="14"/>
      <c r="P536" s="15" t="s">
        <v>699</v>
      </c>
      <c r="Q536" s="16">
        <v>4899</v>
      </c>
      <c r="R536" s="17">
        <v>84.33</v>
      </c>
      <c r="S536" s="29">
        <v>882.93549999999993</v>
      </c>
      <c r="T536" s="19" t="s">
        <v>34</v>
      </c>
      <c r="U536" s="20" t="s">
        <v>37</v>
      </c>
      <c r="V536" s="21">
        <v>128</v>
      </c>
      <c r="W536" s="21">
        <v>2</v>
      </c>
      <c r="X536" s="22"/>
    </row>
    <row r="537" spans="1:24" s="1" customFormat="1" ht="35.1" customHeight="1" x14ac:dyDescent="0.3">
      <c r="A537" s="11" t="s">
        <v>23</v>
      </c>
      <c r="B537" s="11" t="s">
        <v>700</v>
      </c>
      <c r="C537" s="12" t="s">
        <v>701</v>
      </c>
      <c r="D537" s="83"/>
      <c r="E537" s="69" t="str">
        <f>HYPERLINK("https://www.google.ru/search?q=MC-VA128-1&amp;newwindow=1&amp;tbm=isch","Еще фото")</f>
        <v>Еще фото</v>
      </c>
      <c r="F537" s="13"/>
      <c r="G537" s="11" t="s">
        <v>702</v>
      </c>
      <c r="H537" s="11" t="s">
        <v>27</v>
      </c>
      <c r="I537" s="14" t="s">
        <v>697</v>
      </c>
      <c r="J537" s="14" t="s">
        <v>29</v>
      </c>
      <c r="K537" s="15" t="s">
        <v>30</v>
      </c>
      <c r="L537" s="86" t="s">
        <v>703</v>
      </c>
      <c r="M537" s="14" t="s">
        <v>73</v>
      </c>
      <c r="N537" s="14" t="s">
        <v>70</v>
      </c>
      <c r="O537" s="14"/>
      <c r="P537" s="15" t="s">
        <v>76</v>
      </c>
      <c r="Q537" s="16">
        <v>3399</v>
      </c>
      <c r="R537" s="17">
        <v>77.12</v>
      </c>
      <c r="S537" s="29">
        <v>894.43549999999993</v>
      </c>
      <c r="T537" s="19" t="s">
        <v>34</v>
      </c>
      <c r="U537" s="20" t="s">
        <v>104</v>
      </c>
      <c r="V537" s="21">
        <v>50</v>
      </c>
      <c r="W537" s="21">
        <v>9</v>
      </c>
      <c r="X537" s="22"/>
    </row>
    <row r="538" spans="1:24" s="1" customFormat="1" ht="35.1" customHeight="1" x14ac:dyDescent="0.3">
      <c r="A538" s="23" t="s">
        <v>23</v>
      </c>
      <c r="B538" s="23" t="s">
        <v>700</v>
      </c>
      <c r="C538" s="12" t="s">
        <v>701</v>
      </c>
      <c r="D538" s="84"/>
      <c r="E538" s="69" t="str">
        <f>HYPERLINK("https://www.google.ru/search?q=MC-VA128-1&amp;newwindow=1&amp;tbm=isch","Еще фото")</f>
        <v>Еще фото</v>
      </c>
      <c r="F538" s="13"/>
      <c r="G538" s="23" t="s">
        <v>702</v>
      </c>
      <c r="H538" s="23" t="s">
        <v>27</v>
      </c>
      <c r="I538" s="23" t="s">
        <v>697</v>
      </c>
      <c r="J538" s="14" t="s">
        <v>29</v>
      </c>
      <c r="K538" s="15" t="s">
        <v>30</v>
      </c>
      <c r="L538" s="87"/>
      <c r="M538" s="14" t="s">
        <v>73</v>
      </c>
      <c r="N538" s="14" t="s">
        <v>70</v>
      </c>
      <c r="O538" s="14"/>
      <c r="P538" s="15" t="s">
        <v>76</v>
      </c>
      <c r="Q538" s="16">
        <v>3399</v>
      </c>
      <c r="R538" s="17">
        <v>77.12</v>
      </c>
      <c r="S538" s="29">
        <v>894.43549999999993</v>
      </c>
      <c r="T538" s="19" t="s">
        <v>34</v>
      </c>
      <c r="U538" s="20" t="s">
        <v>199</v>
      </c>
      <c r="V538" s="21">
        <v>56</v>
      </c>
      <c r="W538" s="21">
        <v>7</v>
      </c>
      <c r="X538" s="22"/>
    </row>
    <row r="539" spans="1:24" s="1" customFormat="1" ht="36.950000000000003" customHeight="1" x14ac:dyDescent="0.3">
      <c r="A539" s="23" t="s">
        <v>23</v>
      </c>
      <c r="B539" s="23" t="s">
        <v>700</v>
      </c>
      <c r="C539" s="12" t="s">
        <v>701</v>
      </c>
      <c r="D539" s="85"/>
      <c r="E539" s="69" t="str">
        <f>HYPERLINK("https://www.google.ru/search?q=MC-VA128-1&amp;newwindow=1&amp;tbm=isch","Еще фото")</f>
        <v>Еще фото</v>
      </c>
      <c r="F539" s="13"/>
      <c r="G539" s="23" t="s">
        <v>702</v>
      </c>
      <c r="H539" s="23" t="s">
        <v>27</v>
      </c>
      <c r="I539" s="23" t="s">
        <v>697</v>
      </c>
      <c r="J539" s="14" t="s">
        <v>29</v>
      </c>
      <c r="K539" s="15" t="s">
        <v>30</v>
      </c>
      <c r="L539" s="88"/>
      <c r="M539" s="14" t="s">
        <v>73</v>
      </c>
      <c r="N539" s="14" t="s">
        <v>70</v>
      </c>
      <c r="O539" s="14"/>
      <c r="P539" s="15" t="s">
        <v>76</v>
      </c>
      <c r="Q539" s="16">
        <v>3399</v>
      </c>
      <c r="R539" s="17">
        <v>77.12</v>
      </c>
      <c r="S539" s="29">
        <v>894.43549999999993</v>
      </c>
      <c r="T539" s="19" t="s">
        <v>34</v>
      </c>
      <c r="U539" s="20" t="s">
        <v>105</v>
      </c>
      <c r="V539" s="21">
        <v>62</v>
      </c>
      <c r="W539" s="21">
        <v>9</v>
      </c>
      <c r="X539" s="22"/>
    </row>
    <row r="540" spans="1:24" s="1" customFormat="1" ht="14.1" customHeight="1" x14ac:dyDescent="0.3">
      <c r="A540" s="11" t="s">
        <v>23</v>
      </c>
      <c r="B540" s="11" t="s">
        <v>694</v>
      </c>
      <c r="C540" s="12" t="s">
        <v>704</v>
      </c>
      <c r="D540" s="83"/>
      <c r="E540" s="69" t="str">
        <f t="shared" ref="E540:E546" si="21">HYPERLINK("https://www.google.ru/search?q=MC-CA411&amp;newwindow=1&amp;tbm=isch","Еще фото")</f>
        <v>Еще фото</v>
      </c>
      <c r="F540" s="13"/>
      <c r="G540" s="11" t="s">
        <v>696</v>
      </c>
      <c r="H540" s="11" t="s">
        <v>27</v>
      </c>
      <c r="I540" s="14" t="s">
        <v>697</v>
      </c>
      <c r="J540" s="14" t="s">
        <v>29</v>
      </c>
      <c r="K540" s="15" t="s">
        <v>30</v>
      </c>
      <c r="L540" s="86" t="s">
        <v>705</v>
      </c>
      <c r="M540" s="14"/>
      <c r="N540" s="14" t="s">
        <v>275</v>
      </c>
      <c r="O540" s="14"/>
      <c r="P540" s="15" t="s">
        <v>76</v>
      </c>
      <c r="Q540" s="16">
        <v>4699</v>
      </c>
      <c r="R540" s="17">
        <v>76.430000000000007</v>
      </c>
      <c r="S540" s="18">
        <v>1273.9354999999998</v>
      </c>
      <c r="T540" s="19" t="s">
        <v>34</v>
      </c>
      <c r="U540" s="20" t="s">
        <v>94</v>
      </c>
      <c r="V540" s="21">
        <v>104</v>
      </c>
      <c r="W540" s="21">
        <v>5</v>
      </c>
      <c r="X540" s="22"/>
    </row>
    <row r="541" spans="1:24" s="1" customFormat="1" ht="14.1" customHeight="1" x14ac:dyDescent="0.3">
      <c r="A541" s="23" t="s">
        <v>23</v>
      </c>
      <c r="B541" s="23" t="s">
        <v>694</v>
      </c>
      <c r="C541" s="12" t="s">
        <v>704</v>
      </c>
      <c r="D541" s="84"/>
      <c r="E541" s="69" t="str">
        <f t="shared" si="21"/>
        <v>Еще фото</v>
      </c>
      <c r="F541" s="13"/>
      <c r="G541" s="23" t="s">
        <v>696</v>
      </c>
      <c r="H541" s="23" t="s">
        <v>27</v>
      </c>
      <c r="I541" s="23" t="s">
        <v>697</v>
      </c>
      <c r="J541" s="14" t="s">
        <v>29</v>
      </c>
      <c r="K541" s="15" t="s">
        <v>30</v>
      </c>
      <c r="L541" s="87"/>
      <c r="M541" s="14"/>
      <c r="N541" s="14" t="s">
        <v>275</v>
      </c>
      <c r="O541" s="14"/>
      <c r="P541" s="15" t="s">
        <v>76</v>
      </c>
      <c r="Q541" s="16">
        <v>4699</v>
      </c>
      <c r="R541" s="17">
        <v>76.430000000000007</v>
      </c>
      <c r="S541" s="18">
        <v>1273.9354999999998</v>
      </c>
      <c r="T541" s="19" t="s">
        <v>34</v>
      </c>
      <c r="U541" s="20" t="s">
        <v>43</v>
      </c>
      <c r="V541" s="21">
        <v>110</v>
      </c>
      <c r="W541" s="21">
        <v>3</v>
      </c>
      <c r="X541" s="22"/>
    </row>
    <row r="542" spans="1:24" s="1" customFormat="1" ht="14.1" customHeight="1" x14ac:dyDescent="0.3">
      <c r="A542" s="23" t="s">
        <v>23</v>
      </c>
      <c r="B542" s="23" t="s">
        <v>694</v>
      </c>
      <c r="C542" s="12" t="s">
        <v>704</v>
      </c>
      <c r="D542" s="84"/>
      <c r="E542" s="69" t="str">
        <f t="shared" si="21"/>
        <v>Еще фото</v>
      </c>
      <c r="F542" s="13"/>
      <c r="G542" s="23" t="s">
        <v>696</v>
      </c>
      <c r="H542" s="23" t="s">
        <v>27</v>
      </c>
      <c r="I542" s="23" t="s">
        <v>697</v>
      </c>
      <c r="J542" s="14" t="s">
        <v>29</v>
      </c>
      <c r="K542" s="15" t="s">
        <v>30</v>
      </c>
      <c r="L542" s="87"/>
      <c r="M542" s="14"/>
      <c r="N542" s="14" t="s">
        <v>275</v>
      </c>
      <c r="O542" s="14"/>
      <c r="P542" s="15" t="s">
        <v>76</v>
      </c>
      <c r="Q542" s="16">
        <v>4699</v>
      </c>
      <c r="R542" s="17">
        <v>76.430000000000007</v>
      </c>
      <c r="S542" s="18">
        <v>1273.9354999999998</v>
      </c>
      <c r="T542" s="19" t="s">
        <v>34</v>
      </c>
      <c r="U542" s="20" t="s">
        <v>35</v>
      </c>
      <c r="V542" s="21">
        <v>116</v>
      </c>
      <c r="W542" s="21">
        <v>4</v>
      </c>
      <c r="X542" s="22"/>
    </row>
    <row r="543" spans="1:24" s="1" customFormat="1" ht="14.1" customHeight="1" x14ac:dyDescent="0.3">
      <c r="A543" s="23" t="s">
        <v>23</v>
      </c>
      <c r="B543" s="23" t="s">
        <v>694</v>
      </c>
      <c r="C543" s="12" t="s">
        <v>704</v>
      </c>
      <c r="D543" s="84"/>
      <c r="E543" s="69" t="str">
        <f t="shared" si="21"/>
        <v>Еще фото</v>
      </c>
      <c r="F543" s="13"/>
      <c r="G543" s="23" t="s">
        <v>696</v>
      </c>
      <c r="H543" s="23" t="s">
        <v>27</v>
      </c>
      <c r="I543" s="23" t="s">
        <v>697</v>
      </c>
      <c r="J543" s="14" t="s">
        <v>29</v>
      </c>
      <c r="K543" s="15" t="s">
        <v>30</v>
      </c>
      <c r="L543" s="87"/>
      <c r="M543" s="14"/>
      <c r="N543" s="14" t="s">
        <v>275</v>
      </c>
      <c r="O543" s="14"/>
      <c r="P543" s="15" t="s">
        <v>76</v>
      </c>
      <c r="Q543" s="16">
        <v>4699</v>
      </c>
      <c r="R543" s="17">
        <v>76.430000000000007</v>
      </c>
      <c r="S543" s="18">
        <v>1273.9354999999998</v>
      </c>
      <c r="T543" s="19" t="s">
        <v>34</v>
      </c>
      <c r="U543" s="20" t="s">
        <v>36</v>
      </c>
      <c r="V543" s="21">
        <v>122</v>
      </c>
      <c r="W543" s="21">
        <v>5</v>
      </c>
      <c r="X543" s="22"/>
    </row>
    <row r="544" spans="1:24" s="1" customFormat="1" ht="14.1" customHeight="1" x14ac:dyDescent="0.3">
      <c r="A544" s="23" t="s">
        <v>23</v>
      </c>
      <c r="B544" s="23" t="s">
        <v>694</v>
      </c>
      <c r="C544" s="12" t="s">
        <v>704</v>
      </c>
      <c r="D544" s="84"/>
      <c r="E544" s="69" t="str">
        <f t="shared" si="21"/>
        <v>Еще фото</v>
      </c>
      <c r="F544" s="13"/>
      <c r="G544" s="23" t="s">
        <v>696</v>
      </c>
      <c r="H544" s="23" t="s">
        <v>27</v>
      </c>
      <c r="I544" s="23" t="s">
        <v>697</v>
      </c>
      <c r="J544" s="14" t="s">
        <v>29</v>
      </c>
      <c r="K544" s="15" t="s">
        <v>30</v>
      </c>
      <c r="L544" s="87"/>
      <c r="M544" s="14"/>
      <c r="N544" s="14" t="s">
        <v>275</v>
      </c>
      <c r="O544" s="14"/>
      <c r="P544" s="15" t="s">
        <v>76</v>
      </c>
      <c r="Q544" s="16">
        <v>4699</v>
      </c>
      <c r="R544" s="17">
        <v>76.430000000000007</v>
      </c>
      <c r="S544" s="18">
        <v>1273.9354999999998</v>
      </c>
      <c r="T544" s="19" t="s">
        <v>34</v>
      </c>
      <c r="U544" s="20" t="s">
        <v>37</v>
      </c>
      <c r="V544" s="21">
        <v>128</v>
      </c>
      <c r="W544" s="21">
        <v>3</v>
      </c>
      <c r="X544" s="22"/>
    </row>
    <row r="545" spans="1:24" s="1" customFormat="1" ht="14.1" customHeight="1" x14ac:dyDescent="0.3">
      <c r="A545" s="23" t="s">
        <v>23</v>
      </c>
      <c r="B545" s="23" t="s">
        <v>694</v>
      </c>
      <c r="C545" s="12" t="s">
        <v>704</v>
      </c>
      <c r="D545" s="84"/>
      <c r="E545" s="69" t="str">
        <f t="shared" si="21"/>
        <v>Еще фото</v>
      </c>
      <c r="F545" s="13"/>
      <c r="G545" s="23" t="s">
        <v>696</v>
      </c>
      <c r="H545" s="23" t="s">
        <v>27</v>
      </c>
      <c r="I545" s="23" t="s">
        <v>697</v>
      </c>
      <c r="J545" s="14" t="s">
        <v>29</v>
      </c>
      <c r="K545" s="15" t="s">
        <v>30</v>
      </c>
      <c r="L545" s="87"/>
      <c r="M545" s="14"/>
      <c r="N545" s="14" t="s">
        <v>275</v>
      </c>
      <c r="O545" s="14"/>
      <c r="P545" s="15" t="s">
        <v>76</v>
      </c>
      <c r="Q545" s="16">
        <v>4699</v>
      </c>
      <c r="R545" s="17">
        <v>76.430000000000007</v>
      </c>
      <c r="S545" s="18">
        <v>1273.9354999999998</v>
      </c>
      <c r="T545" s="19" t="s">
        <v>34</v>
      </c>
      <c r="U545" s="20" t="s">
        <v>91</v>
      </c>
      <c r="V545" s="21">
        <v>134</v>
      </c>
      <c r="W545" s="21">
        <v>4</v>
      </c>
      <c r="X545" s="22"/>
    </row>
    <row r="546" spans="1:24" s="1" customFormat="1" ht="17.100000000000001" customHeight="1" x14ac:dyDescent="0.3">
      <c r="A546" s="23" t="s">
        <v>23</v>
      </c>
      <c r="B546" s="23" t="s">
        <v>694</v>
      </c>
      <c r="C546" s="12" t="s">
        <v>704</v>
      </c>
      <c r="D546" s="85"/>
      <c r="E546" s="69" t="str">
        <f t="shared" si="21"/>
        <v>Еще фото</v>
      </c>
      <c r="F546" s="13"/>
      <c r="G546" s="23" t="s">
        <v>696</v>
      </c>
      <c r="H546" s="23" t="s">
        <v>27</v>
      </c>
      <c r="I546" s="23" t="s">
        <v>697</v>
      </c>
      <c r="J546" s="14" t="s">
        <v>29</v>
      </c>
      <c r="K546" s="15" t="s">
        <v>30</v>
      </c>
      <c r="L546" s="88"/>
      <c r="M546" s="14"/>
      <c r="N546" s="14" t="s">
        <v>275</v>
      </c>
      <c r="O546" s="14"/>
      <c r="P546" s="15" t="s">
        <v>76</v>
      </c>
      <c r="Q546" s="16">
        <v>4699</v>
      </c>
      <c r="R546" s="17">
        <v>76.430000000000007</v>
      </c>
      <c r="S546" s="18">
        <v>1273.9354999999998</v>
      </c>
      <c r="T546" s="19" t="s">
        <v>34</v>
      </c>
      <c r="U546" s="20" t="s">
        <v>290</v>
      </c>
      <c r="V546" s="21">
        <v>140</v>
      </c>
      <c r="W546" s="21">
        <v>4</v>
      </c>
      <c r="X546" s="22"/>
    </row>
    <row r="547" spans="1:24" s="1" customFormat="1" ht="17.100000000000001" customHeight="1" x14ac:dyDescent="0.3">
      <c r="A547" s="11" t="s">
        <v>23</v>
      </c>
      <c r="B547" s="11" t="s">
        <v>694</v>
      </c>
      <c r="C547" s="12" t="s">
        <v>706</v>
      </c>
      <c r="D547" s="83"/>
      <c r="E547" s="69" t="str">
        <f t="shared" ref="E547:E552" si="22">HYPERLINK("https://www.google.ru/search?q=MC-CA365&amp;newwindow=1&amp;tbm=isch","Еще фото")</f>
        <v>Еще фото</v>
      </c>
      <c r="F547" s="13"/>
      <c r="G547" s="11" t="s">
        <v>696</v>
      </c>
      <c r="H547" s="11" t="s">
        <v>27</v>
      </c>
      <c r="I547" s="14" t="s">
        <v>697</v>
      </c>
      <c r="J547" s="14" t="s">
        <v>29</v>
      </c>
      <c r="K547" s="15" t="s">
        <v>30</v>
      </c>
      <c r="L547" s="86" t="s">
        <v>707</v>
      </c>
      <c r="M547" s="14"/>
      <c r="N547" s="14" t="s">
        <v>41</v>
      </c>
      <c r="O547" s="14"/>
      <c r="P547" s="15" t="s">
        <v>76</v>
      </c>
      <c r="Q547" s="16">
        <v>4899</v>
      </c>
      <c r="R547" s="17">
        <v>76.37</v>
      </c>
      <c r="S547" s="18">
        <v>1331.4354999999998</v>
      </c>
      <c r="T547" s="19" t="s">
        <v>34</v>
      </c>
      <c r="U547" s="20" t="s">
        <v>94</v>
      </c>
      <c r="V547" s="21">
        <v>104</v>
      </c>
      <c r="W547" s="21">
        <v>4</v>
      </c>
      <c r="X547" s="22"/>
    </row>
    <row r="548" spans="1:24" s="1" customFormat="1" ht="17.100000000000001" customHeight="1" x14ac:dyDescent="0.3">
      <c r="A548" s="23" t="s">
        <v>23</v>
      </c>
      <c r="B548" s="23" t="s">
        <v>694</v>
      </c>
      <c r="C548" s="12" t="s">
        <v>706</v>
      </c>
      <c r="D548" s="84"/>
      <c r="E548" s="69" t="str">
        <f t="shared" si="22"/>
        <v>Еще фото</v>
      </c>
      <c r="F548" s="13"/>
      <c r="G548" s="23" t="s">
        <v>696</v>
      </c>
      <c r="H548" s="23" t="s">
        <v>27</v>
      </c>
      <c r="I548" s="23" t="s">
        <v>697</v>
      </c>
      <c r="J548" s="14" t="s">
        <v>29</v>
      </c>
      <c r="K548" s="15" t="s">
        <v>30</v>
      </c>
      <c r="L548" s="87"/>
      <c r="M548" s="14"/>
      <c r="N548" s="14" t="s">
        <v>41</v>
      </c>
      <c r="O548" s="14"/>
      <c r="P548" s="15" t="s">
        <v>76</v>
      </c>
      <c r="Q548" s="16">
        <v>4899</v>
      </c>
      <c r="R548" s="17">
        <v>76.37</v>
      </c>
      <c r="S548" s="18">
        <v>1331.4354999999998</v>
      </c>
      <c r="T548" s="19" t="s">
        <v>34</v>
      </c>
      <c r="U548" s="20" t="s">
        <v>43</v>
      </c>
      <c r="V548" s="21">
        <v>110</v>
      </c>
      <c r="W548" s="21">
        <v>1</v>
      </c>
      <c r="X548" s="22"/>
    </row>
    <row r="549" spans="1:24" s="1" customFormat="1" ht="17.100000000000001" customHeight="1" x14ac:dyDescent="0.3">
      <c r="A549" s="23" t="s">
        <v>23</v>
      </c>
      <c r="B549" s="23" t="s">
        <v>694</v>
      </c>
      <c r="C549" s="12" t="s">
        <v>706</v>
      </c>
      <c r="D549" s="84"/>
      <c r="E549" s="69" t="str">
        <f t="shared" si="22"/>
        <v>Еще фото</v>
      </c>
      <c r="F549" s="13"/>
      <c r="G549" s="23" t="s">
        <v>696</v>
      </c>
      <c r="H549" s="23" t="s">
        <v>27</v>
      </c>
      <c r="I549" s="23" t="s">
        <v>697</v>
      </c>
      <c r="J549" s="14" t="s">
        <v>29</v>
      </c>
      <c r="K549" s="15" t="s">
        <v>30</v>
      </c>
      <c r="L549" s="87"/>
      <c r="M549" s="14"/>
      <c r="N549" s="14" t="s">
        <v>41</v>
      </c>
      <c r="O549" s="14"/>
      <c r="P549" s="15" t="s">
        <v>76</v>
      </c>
      <c r="Q549" s="16">
        <v>4899</v>
      </c>
      <c r="R549" s="17">
        <v>76.37</v>
      </c>
      <c r="S549" s="18">
        <v>1331.4354999999998</v>
      </c>
      <c r="T549" s="19" t="s">
        <v>34</v>
      </c>
      <c r="U549" s="20" t="s">
        <v>35</v>
      </c>
      <c r="V549" s="21">
        <v>116</v>
      </c>
      <c r="W549" s="21">
        <v>4</v>
      </c>
      <c r="X549" s="22"/>
    </row>
    <row r="550" spans="1:24" s="1" customFormat="1" ht="17.100000000000001" customHeight="1" x14ac:dyDescent="0.3">
      <c r="A550" s="23" t="s">
        <v>23</v>
      </c>
      <c r="B550" s="23" t="s">
        <v>694</v>
      </c>
      <c r="C550" s="12" t="s">
        <v>706</v>
      </c>
      <c r="D550" s="84"/>
      <c r="E550" s="69" t="str">
        <f t="shared" si="22"/>
        <v>Еще фото</v>
      </c>
      <c r="F550" s="13"/>
      <c r="G550" s="23" t="s">
        <v>696</v>
      </c>
      <c r="H550" s="23" t="s">
        <v>27</v>
      </c>
      <c r="I550" s="23" t="s">
        <v>697</v>
      </c>
      <c r="J550" s="14" t="s">
        <v>29</v>
      </c>
      <c r="K550" s="15" t="s">
        <v>30</v>
      </c>
      <c r="L550" s="87"/>
      <c r="M550" s="14"/>
      <c r="N550" s="14" t="s">
        <v>41</v>
      </c>
      <c r="O550" s="14"/>
      <c r="P550" s="15" t="s">
        <v>76</v>
      </c>
      <c r="Q550" s="16">
        <v>4899</v>
      </c>
      <c r="R550" s="17">
        <v>76.37</v>
      </c>
      <c r="S550" s="18">
        <v>1331.4354999999998</v>
      </c>
      <c r="T550" s="19" t="s">
        <v>34</v>
      </c>
      <c r="U550" s="20" t="s">
        <v>36</v>
      </c>
      <c r="V550" s="21">
        <v>122</v>
      </c>
      <c r="W550" s="21">
        <v>6</v>
      </c>
      <c r="X550" s="22"/>
    </row>
    <row r="551" spans="1:24" s="1" customFormat="1" ht="17.100000000000001" customHeight="1" x14ac:dyDescent="0.3">
      <c r="A551" s="23" t="s">
        <v>23</v>
      </c>
      <c r="B551" s="23" t="s">
        <v>694</v>
      </c>
      <c r="C551" s="12" t="s">
        <v>706</v>
      </c>
      <c r="D551" s="84"/>
      <c r="E551" s="69" t="str">
        <f t="shared" si="22"/>
        <v>Еще фото</v>
      </c>
      <c r="F551" s="13"/>
      <c r="G551" s="23" t="s">
        <v>696</v>
      </c>
      <c r="H551" s="23" t="s">
        <v>27</v>
      </c>
      <c r="I551" s="23" t="s">
        <v>697</v>
      </c>
      <c r="J551" s="14" t="s">
        <v>29</v>
      </c>
      <c r="K551" s="15" t="s">
        <v>30</v>
      </c>
      <c r="L551" s="87"/>
      <c r="M551" s="14"/>
      <c r="N551" s="14" t="s">
        <v>41</v>
      </c>
      <c r="O551" s="14"/>
      <c r="P551" s="15" t="s">
        <v>76</v>
      </c>
      <c r="Q551" s="16">
        <v>4899</v>
      </c>
      <c r="R551" s="17">
        <v>76.37</v>
      </c>
      <c r="S551" s="18">
        <v>1331.4354999999998</v>
      </c>
      <c r="T551" s="19" t="s">
        <v>34</v>
      </c>
      <c r="U551" s="20" t="s">
        <v>91</v>
      </c>
      <c r="V551" s="21">
        <v>134</v>
      </c>
      <c r="W551" s="21">
        <v>1</v>
      </c>
      <c r="X551" s="22"/>
    </row>
    <row r="552" spans="1:24" s="1" customFormat="1" ht="21.95" customHeight="1" x14ac:dyDescent="0.3">
      <c r="A552" s="23" t="s">
        <v>23</v>
      </c>
      <c r="B552" s="23" t="s">
        <v>694</v>
      </c>
      <c r="C552" s="12" t="s">
        <v>706</v>
      </c>
      <c r="D552" s="85"/>
      <c r="E552" s="69" t="str">
        <f t="shared" si="22"/>
        <v>Еще фото</v>
      </c>
      <c r="F552" s="13"/>
      <c r="G552" s="23" t="s">
        <v>696</v>
      </c>
      <c r="H552" s="23" t="s">
        <v>27</v>
      </c>
      <c r="I552" s="23" t="s">
        <v>697</v>
      </c>
      <c r="J552" s="14" t="s">
        <v>29</v>
      </c>
      <c r="K552" s="15" t="s">
        <v>30</v>
      </c>
      <c r="L552" s="88"/>
      <c r="M552" s="14"/>
      <c r="N552" s="14" t="s">
        <v>41</v>
      </c>
      <c r="O552" s="14"/>
      <c r="P552" s="15" t="s">
        <v>76</v>
      </c>
      <c r="Q552" s="16">
        <v>4899</v>
      </c>
      <c r="R552" s="17">
        <v>76.37</v>
      </c>
      <c r="S552" s="18">
        <v>1331.4354999999998</v>
      </c>
      <c r="T552" s="19" t="s">
        <v>34</v>
      </c>
      <c r="U552" s="20" t="s">
        <v>290</v>
      </c>
      <c r="V552" s="21">
        <v>140</v>
      </c>
      <c r="W552" s="21">
        <v>1</v>
      </c>
      <c r="X552" s="22"/>
    </row>
    <row r="553" spans="1:24" s="1" customFormat="1" ht="108" customHeight="1" x14ac:dyDescent="0.3">
      <c r="A553" s="11" t="s">
        <v>23</v>
      </c>
      <c r="B553" s="11" t="s">
        <v>708</v>
      </c>
      <c r="C553" s="12" t="s">
        <v>709</v>
      </c>
      <c r="D553" s="24"/>
      <c r="E553" s="69" t="str">
        <f>HYPERLINK("https://www.google.ru/search?q=MC-CD215&amp;newwindow=1&amp;tbm=isch","Еще фото")</f>
        <v>Еще фото</v>
      </c>
      <c r="F553" s="13"/>
      <c r="G553" s="11" t="s">
        <v>710</v>
      </c>
      <c r="H553" s="11" t="s">
        <v>27</v>
      </c>
      <c r="I553" s="14" t="s">
        <v>697</v>
      </c>
      <c r="J553" s="14" t="s">
        <v>29</v>
      </c>
      <c r="K553" s="15" t="s">
        <v>30</v>
      </c>
      <c r="L553" s="14" t="s">
        <v>711</v>
      </c>
      <c r="M553" s="14"/>
      <c r="N553" s="14" t="s">
        <v>576</v>
      </c>
      <c r="O553" s="14"/>
      <c r="P553" s="15" t="s">
        <v>76</v>
      </c>
      <c r="Q553" s="16">
        <v>5999</v>
      </c>
      <c r="R553" s="17">
        <v>71.2</v>
      </c>
      <c r="S553" s="18">
        <v>1986.9354999999998</v>
      </c>
      <c r="T553" s="19" t="s">
        <v>34</v>
      </c>
      <c r="U553" s="20" t="s">
        <v>36</v>
      </c>
      <c r="V553" s="21">
        <v>122</v>
      </c>
      <c r="W553" s="21">
        <v>2</v>
      </c>
      <c r="X553" s="22"/>
    </row>
    <row r="554" spans="1:24" s="1" customFormat="1" ht="108" customHeight="1" x14ac:dyDescent="0.3">
      <c r="A554" s="11" t="s">
        <v>23</v>
      </c>
      <c r="B554" s="11" t="s">
        <v>712</v>
      </c>
      <c r="C554" s="12" t="s">
        <v>713</v>
      </c>
      <c r="D554" s="24"/>
      <c r="E554" s="69" t="str">
        <f>HYPERLINK("https://www.google.ru/search?q=MC-YC561&amp;newwindow=1&amp;tbm=isch","Еще фото")</f>
        <v>Еще фото</v>
      </c>
      <c r="F554" s="13"/>
      <c r="G554" s="11" t="s">
        <v>714</v>
      </c>
      <c r="H554" s="11" t="s">
        <v>27</v>
      </c>
      <c r="I554" s="14" t="s">
        <v>697</v>
      </c>
      <c r="J554" s="14" t="s">
        <v>29</v>
      </c>
      <c r="K554" s="15" t="s">
        <v>30</v>
      </c>
      <c r="L554" s="14" t="s">
        <v>715</v>
      </c>
      <c r="M554" s="14" t="s">
        <v>73</v>
      </c>
      <c r="N554" s="14" t="s">
        <v>326</v>
      </c>
      <c r="O554" s="14"/>
      <c r="P554" s="15" t="s">
        <v>76</v>
      </c>
      <c r="Q554" s="16">
        <v>2199</v>
      </c>
      <c r="R554" s="17">
        <v>48.71</v>
      </c>
      <c r="S554" s="18">
        <v>1296.9354999999998</v>
      </c>
      <c r="T554" s="19" t="s">
        <v>34</v>
      </c>
      <c r="U554" s="20" t="s">
        <v>94</v>
      </c>
      <c r="V554" s="21">
        <v>104</v>
      </c>
      <c r="W554" s="21">
        <v>2</v>
      </c>
      <c r="X554" s="22"/>
    </row>
    <row r="555" spans="1:24" s="1" customFormat="1" ht="108" customHeight="1" x14ac:dyDescent="0.3">
      <c r="A555" s="11" t="s">
        <v>23</v>
      </c>
      <c r="B555" s="11" t="s">
        <v>694</v>
      </c>
      <c r="C555" s="12" t="s">
        <v>716</v>
      </c>
      <c r="D555" s="24"/>
      <c r="E555" s="69" t="str">
        <f>HYPERLINK("https://www.google.ru/search?q=MC-BA813&amp;newwindow=1&amp;tbm=isch","Еще фото")</f>
        <v>Еще фото</v>
      </c>
      <c r="F555" s="13"/>
      <c r="G555" s="11" t="s">
        <v>696</v>
      </c>
      <c r="H555" s="11" t="s">
        <v>27</v>
      </c>
      <c r="I555" s="14" t="s">
        <v>697</v>
      </c>
      <c r="J555" s="14" t="s">
        <v>29</v>
      </c>
      <c r="K555" s="15" t="s">
        <v>30</v>
      </c>
      <c r="L555" s="14" t="s">
        <v>717</v>
      </c>
      <c r="M555" s="14"/>
      <c r="N555" s="14" t="s">
        <v>70</v>
      </c>
      <c r="O555" s="14"/>
      <c r="P555" s="15" t="s">
        <v>76</v>
      </c>
      <c r="Q555" s="16">
        <v>7099</v>
      </c>
      <c r="R555" s="17">
        <v>45</v>
      </c>
      <c r="S555" s="18">
        <v>4490.1174999999994</v>
      </c>
      <c r="T555" s="19" t="s">
        <v>34</v>
      </c>
      <c r="U555" s="20" t="s">
        <v>35</v>
      </c>
      <c r="V555" s="21">
        <v>116</v>
      </c>
      <c r="W555" s="21">
        <v>1</v>
      </c>
      <c r="X555" s="22"/>
    </row>
    <row r="556" spans="1:24" s="1" customFormat="1" ht="26.1" customHeight="1" x14ac:dyDescent="0.3">
      <c r="A556" s="11" t="s">
        <v>23</v>
      </c>
      <c r="B556" s="11" t="s">
        <v>694</v>
      </c>
      <c r="C556" s="12" t="s">
        <v>718</v>
      </c>
      <c r="D556" s="83"/>
      <c r="E556" s="69" t="str">
        <f>HYPERLINK("https://www.google.ru/search?q=MC-CA211&amp;newwindow=1&amp;tbm=isch","Еще фото")</f>
        <v>Еще фото</v>
      </c>
      <c r="F556" s="13"/>
      <c r="G556" s="11" t="s">
        <v>696</v>
      </c>
      <c r="H556" s="11" t="s">
        <v>27</v>
      </c>
      <c r="I556" s="14" t="s">
        <v>697</v>
      </c>
      <c r="J556" s="14" t="s">
        <v>29</v>
      </c>
      <c r="K556" s="15" t="s">
        <v>30</v>
      </c>
      <c r="L556" s="86"/>
      <c r="M556" s="14"/>
      <c r="N556" s="14" t="s">
        <v>32</v>
      </c>
      <c r="O556" s="14"/>
      <c r="P556" s="15" t="s">
        <v>74</v>
      </c>
      <c r="Q556" s="16">
        <v>2899</v>
      </c>
      <c r="R556" s="17">
        <v>45</v>
      </c>
      <c r="S556" s="18">
        <v>1833.6174999999998</v>
      </c>
      <c r="T556" s="19" t="s">
        <v>34</v>
      </c>
      <c r="U556" s="20" t="s">
        <v>94</v>
      </c>
      <c r="V556" s="21">
        <v>104</v>
      </c>
      <c r="W556" s="21">
        <v>1</v>
      </c>
      <c r="X556" s="22"/>
    </row>
    <row r="557" spans="1:24" s="1" customFormat="1" ht="26.1" customHeight="1" x14ac:dyDescent="0.3">
      <c r="A557" s="23" t="s">
        <v>23</v>
      </c>
      <c r="B557" s="23" t="s">
        <v>694</v>
      </c>
      <c r="C557" s="12" t="s">
        <v>718</v>
      </c>
      <c r="D557" s="84"/>
      <c r="E557" s="69" t="str">
        <f>HYPERLINK("https://www.google.ru/search?q=MC-CA211&amp;newwindow=1&amp;tbm=isch","Еще фото")</f>
        <v>Еще фото</v>
      </c>
      <c r="F557" s="13"/>
      <c r="G557" s="23" t="s">
        <v>696</v>
      </c>
      <c r="H557" s="23" t="s">
        <v>27</v>
      </c>
      <c r="I557" s="23" t="s">
        <v>697</v>
      </c>
      <c r="J557" s="14" t="s">
        <v>29</v>
      </c>
      <c r="K557" s="15" t="s">
        <v>30</v>
      </c>
      <c r="L557" s="87"/>
      <c r="M557" s="14"/>
      <c r="N557" s="14" t="s">
        <v>32</v>
      </c>
      <c r="O557" s="14"/>
      <c r="P557" s="15" t="s">
        <v>74</v>
      </c>
      <c r="Q557" s="16">
        <v>2899</v>
      </c>
      <c r="R557" s="17">
        <v>45</v>
      </c>
      <c r="S557" s="18">
        <v>1833.6174999999998</v>
      </c>
      <c r="T557" s="19" t="s">
        <v>34</v>
      </c>
      <c r="U557" s="20" t="s">
        <v>43</v>
      </c>
      <c r="V557" s="21">
        <v>110</v>
      </c>
      <c r="W557" s="21">
        <v>1</v>
      </c>
      <c r="X557" s="22"/>
    </row>
    <row r="558" spans="1:24" s="1" customFormat="1" ht="26.1" customHeight="1" x14ac:dyDescent="0.3">
      <c r="A558" s="23" t="s">
        <v>23</v>
      </c>
      <c r="B558" s="23" t="s">
        <v>694</v>
      </c>
      <c r="C558" s="12" t="s">
        <v>718</v>
      </c>
      <c r="D558" s="84"/>
      <c r="E558" s="69" t="str">
        <f>HYPERLINK("https://www.google.ru/search?q=MC-CA211&amp;newwindow=1&amp;tbm=isch","Еще фото")</f>
        <v>Еще фото</v>
      </c>
      <c r="F558" s="13"/>
      <c r="G558" s="23" t="s">
        <v>696</v>
      </c>
      <c r="H558" s="23" t="s">
        <v>27</v>
      </c>
      <c r="I558" s="23" t="s">
        <v>697</v>
      </c>
      <c r="J558" s="14" t="s">
        <v>29</v>
      </c>
      <c r="K558" s="15" t="s">
        <v>30</v>
      </c>
      <c r="L558" s="87"/>
      <c r="M558" s="14"/>
      <c r="N558" s="14" t="s">
        <v>32</v>
      </c>
      <c r="O558" s="14"/>
      <c r="P558" s="15" t="s">
        <v>74</v>
      </c>
      <c r="Q558" s="16">
        <v>2899</v>
      </c>
      <c r="R558" s="17">
        <v>45</v>
      </c>
      <c r="S558" s="18">
        <v>1833.6174999999998</v>
      </c>
      <c r="T558" s="19" t="s">
        <v>34</v>
      </c>
      <c r="U558" s="20" t="s">
        <v>35</v>
      </c>
      <c r="V558" s="21">
        <v>116</v>
      </c>
      <c r="W558" s="21">
        <v>1</v>
      </c>
      <c r="X558" s="22"/>
    </row>
    <row r="559" spans="1:24" s="1" customFormat="1" ht="26.1" customHeight="1" x14ac:dyDescent="0.3">
      <c r="A559" s="23" t="s">
        <v>23</v>
      </c>
      <c r="B559" s="23" t="s">
        <v>694</v>
      </c>
      <c r="C559" s="12" t="s">
        <v>718</v>
      </c>
      <c r="D559" s="85"/>
      <c r="E559" s="69" t="str">
        <f>HYPERLINK("https://www.google.ru/search?q=MC-CA211&amp;newwindow=1&amp;tbm=isch","Еще фото")</f>
        <v>Еще фото</v>
      </c>
      <c r="F559" s="13"/>
      <c r="G559" s="23" t="s">
        <v>696</v>
      </c>
      <c r="H559" s="23" t="s">
        <v>27</v>
      </c>
      <c r="I559" s="23" t="s">
        <v>697</v>
      </c>
      <c r="J559" s="14" t="s">
        <v>29</v>
      </c>
      <c r="K559" s="15" t="s">
        <v>30</v>
      </c>
      <c r="L559" s="88"/>
      <c r="M559" s="14"/>
      <c r="N559" s="14" t="s">
        <v>32</v>
      </c>
      <c r="O559" s="14"/>
      <c r="P559" s="15" t="s">
        <v>74</v>
      </c>
      <c r="Q559" s="16">
        <v>2899</v>
      </c>
      <c r="R559" s="17">
        <v>45</v>
      </c>
      <c r="S559" s="18">
        <v>1833.6174999999998</v>
      </c>
      <c r="T559" s="19" t="s">
        <v>34</v>
      </c>
      <c r="U559" s="20" t="s">
        <v>36</v>
      </c>
      <c r="V559" s="21">
        <v>122</v>
      </c>
      <c r="W559" s="21">
        <v>1</v>
      </c>
      <c r="X559" s="22"/>
    </row>
    <row r="560" spans="1:24" s="1" customFormat="1" ht="14.1" customHeight="1" x14ac:dyDescent="0.3">
      <c r="A560" s="11" t="s">
        <v>719</v>
      </c>
      <c r="B560" s="11" t="s">
        <v>720</v>
      </c>
      <c r="C560" s="12" t="s">
        <v>721</v>
      </c>
      <c r="D560" s="83"/>
      <c r="E560" s="69" t="str">
        <f t="shared" ref="E560:E566" si="23">HYPERLINK("https://www.google.ru/search?q=V00D5INVY&amp;newwindow=1&amp;tbm=isch","Еще фото")</f>
        <v>Еще фото</v>
      </c>
      <c r="F560" s="13"/>
      <c r="G560" s="11" t="s">
        <v>722</v>
      </c>
      <c r="H560" s="11" t="s">
        <v>151</v>
      </c>
      <c r="I560" s="14" t="s">
        <v>424</v>
      </c>
      <c r="J560" s="14" t="s">
        <v>29</v>
      </c>
      <c r="K560" s="15" t="s">
        <v>114</v>
      </c>
      <c r="L560" s="86" t="s">
        <v>723</v>
      </c>
      <c r="M560" s="14"/>
      <c r="N560" s="14" t="s">
        <v>70</v>
      </c>
      <c r="O560" s="14"/>
      <c r="P560" s="15" t="s">
        <v>724</v>
      </c>
      <c r="Q560" s="16">
        <v>12399</v>
      </c>
      <c r="R560" s="17">
        <v>87.68</v>
      </c>
      <c r="S560" s="18">
        <v>1756.9354999999998</v>
      </c>
      <c r="T560" s="19" t="s">
        <v>117</v>
      </c>
      <c r="U560" s="20" t="s">
        <v>725</v>
      </c>
      <c r="V560" s="21">
        <v>34</v>
      </c>
      <c r="W560" s="21">
        <v>2</v>
      </c>
      <c r="X560" s="22"/>
    </row>
    <row r="561" spans="1:24" s="1" customFormat="1" ht="14.1" customHeight="1" x14ac:dyDescent="0.3">
      <c r="A561" s="23" t="s">
        <v>719</v>
      </c>
      <c r="B561" s="23" t="s">
        <v>720</v>
      </c>
      <c r="C561" s="12" t="s">
        <v>721</v>
      </c>
      <c r="D561" s="84"/>
      <c r="E561" s="69" t="str">
        <f t="shared" si="23"/>
        <v>Еще фото</v>
      </c>
      <c r="F561" s="13"/>
      <c r="G561" s="23" t="s">
        <v>722</v>
      </c>
      <c r="H561" s="23" t="s">
        <v>151</v>
      </c>
      <c r="I561" s="23" t="s">
        <v>424</v>
      </c>
      <c r="J561" s="14" t="s">
        <v>29</v>
      </c>
      <c r="K561" s="15" t="s">
        <v>114</v>
      </c>
      <c r="L561" s="87"/>
      <c r="M561" s="14"/>
      <c r="N561" s="14" t="s">
        <v>70</v>
      </c>
      <c r="O561" s="14"/>
      <c r="P561" s="15" t="s">
        <v>724</v>
      </c>
      <c r="Q561" s="16">
        <v>12399</v>
      </c>
      <c r="R561" s="17">
        <v>87.68</v>
      </c>
      <c r="S561" s="18">
        <v>1756.9354999999998</v>
      </c>
      <c r="T561" s="19" t="s">
        <v>117</v>
      </c>
      <c r="U561" s="20" t="s">
        <v>726</v>
      </c>
      <c r="V561" s="30">
        <v>34.5</v>
      </c>
      <c r="W561" s="21">
        <v>7</v>
      </c>
      <c r="X561" s="22"/>
    </row>
    <row r="562" spans="1:24" s="1" customFormat="1" ht="14.1" customHeight="1" x14ac:dyDescent="0.3">
      <c r="A562" s="23" t="s">
        <v>719</v>
      </c>
      <c r="B562" s="23" t="s">
        <v>720</v>
      </c>
      <c r="C562" s="12" t="s">
        <v>721</v>
      </c>
      <c r="D562" s="84"/>
      <c r="E562" s="69" t="str">
        <f t="shared" si="23"/>
        <v>Еще фото</v>
      </c>
      <c r="F562" s="13"/>
      <c r="G562" s="23" t="s">
        <v>722</v>
      </c>
      <c r="H562" s="23" t="s">
        <v>151</v>
      </c>
      <c r="I562" s="23" t="s">
        <v>424</v>
      </c>
      <c r="J562" s="14" t="s">
        <v>29</v>
      </c>
      <c r="K562" s="15" t="s">
        <v>114</v>
      </c>
      <c r="L562" s="87"/>
      <c r="M562" s="14"/>
      <c r="N562" s="14" t="s">
        <v>70</v>
      </c>
      <c r="O562" s="14"/>
      <c r="P562" s="15" t="s">
        <v>724</v>
      </c>
      <c r="Q562" s="16">
        <v>12399</v>
      </c>
      <c r="R562" s="17">
        <v>87.68</v>
      </c>
      <c r="S562" s="18">
        <v>1756.9354999999998</v>
      </c>
      <c r="T562" s="19" t="s">
        <v>117</v>
      </c>
      <c r="U562" s="20" t="s">
        <v>727</v>
      </c>
      <c r="V562" s="30">
        <v>35.5</v>
      </c>
      <c r="W562" s="21">
        <v>9</v>
      </c>
      <c r="X562" s="22"/>
    </row>
    <row r="563" spans="1:24" s="1" customFormat="1" ht="14.1" customHeight="1" x14ac:dyDescent="0.3">
      <c r="A563" s="23" t="s">
        <v>719</v>
      </c>
      <c r="B563" s="23" t="s">
        <v>720</v>
      </c>
      <c r="C563" s="12" t="s">
        <v>721</v>
      </c>
      <c r="D563" s="84"/>
      <c r="E563" s="69" t="str">
        <f t="shared" si="23"/>
        <v>Еще фото</v>
      </c>
      <c r="F563" s="13"/>
      <c r="G563" s="23" t="s">
        <v>722</v>
      </c>
      <c r="H563" s="23" t="s">
        <v>151</v>
      </c>
      <c r="I563" s="23" t="s">
        <v>424</v>
      </c>
      <c r="J563" s="14" t="s">
        <v>29</v>
      </c>
      <c r="K563" s="15" t="s">
        <v>114</v>
      </c>
      <c r="L563" s="87"/>
      <c r="M563" s="14"/>
      <c r="N563" s="14" t="s">
        <v>70</v>
      </c>
      <c r="O563" s="14"/>
      <c r="P563" s="15" t="s">
        <v>724</v>
      </c>
      <c r="Q563" s="16">
        <v>12399</v>
      </c>
      <c r="R563" s="17">
        <v>87.68</v>
      </c>
      <c r="S563" s="18">
        <v>1756.9354999999998</v>
      </c>
      <c r="T563" s="19" t="s">
        <v>117</v>
      </c>
      <c r="U563" s="20" t="s">
        <v>728</v>
      </c>
      <c r="V563" s="21">
        <v>36</v>
      </c>
      <c r="W563" s="21">
        <v>17</v>
      </c>
      <c r="X563" s="22"/>
    </row>
    <row r="564" spans="1:24" s="1" customFormat="1" ht="14.1" customHeight="1" x14ac:dyDescent="0.3">
      <c r="A564" s="23" t="s">
        <v>719</v>
      </c>
      <c r="B564" s="23" t="s">
        <v>720</v>
      </c>
      <c r="C564" s="12" t="s">
        <v>721</v>
      </c>
      <c r="D564" s="84"/>
      <c r="E564" s="69" t="str">
        <f t="shared" si="23"/>
        <v>Еще фото</v>
      </c>
      <c r="F564" s="13"/>
      <c r="G564" s="23" t="s">
        <v>722</v>
      </c>
      <c r="H564" s="23" t="s">
        <v>151</v>
      </c>
      <c r="I564" s="23" t="s">
        <v>424</v>
      </c>
      <c r="J564" s="14" t="s">
        <v>29</v>
      </c>
      <c r="K564" s="15" t="s">
        <v>114</v>
      </c>
      <c r="L564" s="87"/>
      <c r="M564" s="14"/>
      <c r="N564" s="14" t="s">
        <v>70</v>
      </c>
      <c r="O564" s="14"/>
      <c r="P564" s="15" t="s">
        <v>724</v>
      </c>
      <c r="Q564" s="16">
        <v>12399</v>
      </c>
      <c r="R564" s="17">
        <v>87.68</v>
      </c>
      <c r="S564" s="18">
        <v>1756.9354999999998</v>
      </c>
      <c r="T564" s="19" t="s">
        <v>117</v>
      </c>
      <c r="U564" s="20" t="s">
        <v>729</v>
      </c>
      <c r="V564" s="30">
        <v>36.5</v>
      </c>
      <c r="W564" s="21">
        <v>11</v>
      </c>
      <c r="X564" s="22"/>
    </row>
    <row r="565" spans="1:24" s="1" customFormat="1" ht="14.1" customHeight="1" x14ac:dyDescent="0.3">
      <c r="A565" s="23" t="s">
        <v>719</v>
      </c>
      <c r="B565" s="23" t="s">
        <v>720</v>
      </c>
      <c r="C565" s="12" t="s">
        <v>721</v>
      </c>
      <c r="D565" s="84"/>
      <c r="E565" s="69" t="str">
        <f t="shared" si="23"/>
        <v>Еще фото</v>
      </c>
      <c r="F565" s="13"/>
      <c r="G565" s="23" t="s">
        <v>722</v>
      </c>
      <c r="H565" s="23" t="s">
        <v>151</v>
      </c>
      <c r="I565" s="23" t="s">
        <v>424</v>
      </c>
      <c r="J565" s="14" t="s">
        <v>29</v>
      </c>
      <c r="K565" s="15" t="s">
        <v>114</v>
      </c>
      <c r="L565" s="87"/>
      <c r="M565" s="14"/>
      <c r="N565" s="14" t="s">
        <v>70</v>
      </c>
      <c r="O565" s="14"/>
      <c r="P565" s="15" t="s">
        <v>724</v>
      </c>
      <c r="Q565" s="16">
        <v>12399</v>
      </c>
      <c r="R565" s="17">
        <v>87.68</v>
      </c>
      <c r="S565" s="18">
        <v>1756.9354999999998</v>
      </c>
      <c r="T565" s="19" t="s">
        <v>117</v>
      </c>
      <c r="U565" s="20" t="s">
        <v>730</v>
      </c>
      <c r="V565" s="30">
        <v>39.5</v>
      </c>
      <c r="W565" s="21">
        <v>4</v>
      </c>
      <c r="X565" s="22"/>
    </row>
    <row r="566" spans="1:24" s="1" customFormat="1" ht="17.100000000000001" customHeight="1" x14ac:dyDescent="0.3">
      <c r="A566" s="23" t="s">
        <v>719</v>
      </c>
      <c r="B566" s="23" t="s">
        <v>720</v>
      </c>
      <c r="C566" s="12" t="s">
        <v>721</v>
      </c>
      <c r="D566" s="85"/>
      <c r="E566" s="69" t="str">
        <f t="shared" si="23"/>
        <v>Еще фото</v>
      </c>
      <c r="F566" s="13"/>
      <c r="G566" s="23" t="s">
        <v>722</v>
      </c>
      <c r="H566" s="23" t="s">
        <v>151</v>
      </c>
      <c r="I566" s="23" t="s">
        <v>424</v>
      </c>
      <c r="J566" s="14" t="s">
        <v>29</v>
      </c>
      <c r="K566" s="15" t="s">
        <v>114</v>
      </c>
      <c r="L566" s="88"/>
      <c r="M566" s="14"/>
      <c r="N566" s="14" t="s">
        <v>70</v>
      </c>
      <c r="O566" s="14"/>
      <c r="P566" s="15" t="s">
        <v>724</v>
      </c>
      <c r="Q566" s="16">
        <v>12399</v>
      </c>
      <c r="R566" s="17">
        <v>87.68</v>
      </c>
      <c r="S566" s="18">
        <v>1756.9354999999998</v>
      </c>
      <c r="T566" s="19" t="s">
        <v>117</v>
      </c>
      <c r="U566" s="20" t="s">
        <v>731</v>
      </c>
      <c r="V566" s="30">
        <v>40.5</v>
      </c>
      <c r="W566" s="21">
        <v>38</v>
      </c>
      <c r="X566" s="22"/>
    </row>
    <row r="567" spans="1:24" s="1" customFormat="1" ht="21" customHeight="1" x14ac:dyDescent="0.3">
      <c r="A567" s="11" t="s">
        <v>719</v>
      </c>
      <c r="B567" s="11" t="s">
        <v>732</v>
      </c>
      <c r="C567" s="27" t="s">
        <v>733</v>
      </c>
      <c r="D567" s="83"/>
      <c r="E567" s="69" t="str">
        <f>HYPERLINK("https://www.google.ru/search?q=V00D5IB8C&amp;newwindow=1&amp;tbm=isch","Еще фото")</f>
        <v>Еще фото</v>
      </c>
      <c r="F567" s="13"/>
      <c r="G567" s="11" t="s">
        <v>722</v>
      </c>
      <c r="H567" s="11" t="s">
        <v>151</v>
      </c>
      <c r="I567" s="14" t="s">
        <v>424</v>
      </c>
      <c r="J567" s="14" t="s">
        <v>29</v>
      </c>
      <c r="K567" s="15" t="s">
        <v>114</v>
      </c>
      <c r="L567" s="86" t="s">
        <v>734</v>
      </c>
      <c r="M567" s="14"/>
      <c r="N567" s="14" t="s">
        <v>49</v>
      </c>
      <c r="O567" s="14"/>
      <c r="P567" s="15" t="s">
        <v>724</v>
      </c>
      <c r="Q567" s="16">
        <v>13499</v>
      </c>
      <c r="R567" s="17">
        <v>86.61</v>
      </c>
      <c r="S567" s="18">
        <v>2078.9354999999996</v>
      </c>
      <c r="T567" s="19" t="s">
        <v>117</v>
      </c>
      <c r="U567" s="20" t="s">
        <v>725</v>
      </c>
      <c r="V567" s="21">
        <v>34</v>
      </c>
      <c r="W567" s="21">
        <v>4</v>
      </c>
      <c r="X567" s="22"/>
    </row>
    <row r="568" spans="1:24" s="1" customFormat="1" ht="21" customHeight="1" x14ac:dyDescent="0.3">
      <c r="A568" s="23" t="s">
        <v>719</v>
      </c>
      <c r="B568" s="23" t="s">
        <v>732</v>
      </c>
      <c r="C568" s="28" t="s">
        <v>733</v>
      </c>
      <c r="D568" s="84"/>
      <c r="E568" s="69" t="str">
        <f>HYPERLINK("https://www.google.ru/search?q=V00D5IB8C&amp;newwindow=1&amp;tbm=isch","Еще фото")</f>
        <v>Еще фото</v>
      </c>
      <c r="F568" s="13"/>
      <c r="G568" s="23" t="s">
        <v>722</v>
      </c>
      <c r="H568" s="23" t="s">
        <v>151</v>
      </c>
      <c r="I568" s="23" t="s">
        <v>424</v>
      </c>
      <c r="J568" s="14" t="s">
        <v>29</v>
      </c>
      <c r="K568" s="15" t="s">
        <v>114</v>
      </c>
      <c r="L568" s="87"/>
      <c r="M568" s="14"/>
      <c r="N568" s="14" t="s">
        <v>49</v>
      </c>
      <c r="O568" s="14"/>
      <c r="P568" s="15" t="s">
        <v>724</v>
      </c>
      <c r="Q568" s="16">
        <v>13499</v>
      </c>
      <c r="R568" s="17">
        <v>86.61</v>
      </c>
      <c r="S568" s="18">
        <v>2078.9354999999996</v>
      </c>
      <c r="T568" s="19" t="s">
        <v>117</v>
      </c>
      <c r="U568" s="20" t="s">
        <v>726</v>
      </c>
      <c r="V568" s="30">
        <v>34.5</v>
      </c>
      <c r="W568" s="21">
        <v>32</v>
      </c>
      <c r="X568" s="22"/>
    </row>
    <row r="569" spans="1:24" s="1" customFormat="1" ht="21" customHeight="1" x14ac:dyDescent="0.3">
      <c r="A569" s="23" t="s">
        <v>719</v>
      </c>
      <c r="B569" s="23" t="s">
        <v>732</v>
      </c>
      <c r="C569" s="28" t="s">
        <v>733</v>
      </c>
      <c r="D569" s="84"/>
      <c r="E569" s="69" t="str">
        <f>HYPERLINK("https://www.google.ru/search?q=V00D5IB8C&amp;newwindow=1&amp;tbm=isch","Еще фото")</f>
        <v>Еще фото</v>
      </c>
      <c r="F569" s="13"/>
      <c r="G569" s="23" t="s">
        <v>722</v>
      </c>
      <c r="H569" s="23" t="s">
        <v>151</v>
      </c>
      <c r="I569" s="23" t="s">
        <v>424</v>
      </c>
      <c r="J569" s="14" t="s">
        <v>29</v>
      </c>
      <c r="K569" s="15" t="s">
        <v>114</v>
      </c>
      <c r="L569" s="87"/>
      <c r="M569" s="14"/>
      <c r="N569" s="14" t="s">
        <v>49</v>
      </c>
      <c r="O569" s="14"/>
      <c r="P569" s="15" t="s">
        <v>724</v>
      </c>
      <c r="Q569" s="16">
        <v>13499</v>
      </c>
      <c r="R569" s="17">
        <v>86.61</v>
      </c>
      <c r="S569" s="18">
        <v>2078.9354999999996</v>
      </c>
      <c r="T569" s="19" t="s">
        <v>117</v>
      </c>
      <c r="U569" s="20" t="s">
        <v>727</v>
      </c>
      <c r="V569" s="30">
        <v>35.5</v>
      </c>
      <c r="W569" s="21">
        <v>9</v>
      </c>
      <c r="X569" s="22"/>
    </row>
    <row r="570" spans="1:24" s="1" customFormat="1" ht="21" customHeight="1" x14ac:dyDescent="0.3">
      <c r="A570" s="23" t="s">
        <v>719</v>
      </c>
      <c r="B570" s="23" t="s">
        <v>732</v>
      </c>
      <c r="C570" s="28" t="s">
        <v>733</v>
      </c>
      <c r="D570" s="84"/>
      <c r="E570" s="69" t="str">
        <f>HYPERLINK("https://www.google.ru/search?q=V00D5IB8C&amp;newwindow=1&amp;tbm=isch","Еще фото")</f>
        <v>Еще фото</v>
      </c>
      <c r="F570" s="13"/>
      <c r="G570" s="23" t="s">
        <v>722</v>
      </c>
      <c r="H570" s="23" t="s">
        <v>151</v>
      </c>
      <c r="I570" s="23" t="s">
        <v>424</v>
      </c>
      <c r="J570" s="14" t="s">
        <v>29</v>
      </c>
      <c r="K570" s="15" t="s">
        <v>114</v>
      </c>
      <c r="L570" s="87"/>
      <c r="M570" s="14"/>
      <c r="N570" s="14" t="s">
        <v>49</v>
      </c>
      <c r="O570" s="14"/>
      <c r="P570" s="15" t="s">
        <v>724</v>
      </c>
      <c r="Q570" s="16">
        <v>13499</v>
      </c>
      <c r="R570" s="17">
        <v>86.61</v>
      </c>
      <c r="S570" s="18">
        <v>2078.9354999999996</v>
      </c>
      <c r="T570" s="19" t="s">
        <v>117</v>
      </c>
      <c r="U570" s="20" t="s">
        <v>728</v>
      </c>
      <c r="V570" s="21">
        <v>36</v>
      </c>
      <c r="W570" s="21">
        <v>45</v>
      </c>
      <c r="X570" s="22"/>
    </row>
    <row r="571" spans="1:24" s="1" customFormat="1" ht="32.1" customHeight="1" x14ac:dyDescent="0.3">
      <c r="A571" s="23" t="s">
        <v>719</v>
      </c>
      <c r="B571" s="23" t="s">
        <v>732</v>
      </c>
      <c r="C571" s="28" t="s">
        <v>733</v>
      </c>
      <c r="D571" s="85"/>
      <c r="E571" s="69" t="str">
        <f>HYPERLINK("https://www.google.ru/search?q=V00D5IB8C&amp;newwindow=1&amp;tbm=isch","Еще фото")</f>
        <v>Еще фото</v>
      </c>
      <c r="F571" s="13"/>
      <c r="G571" s="23" t="s">
        <v>722</v>
      </c>
      <c r="H571" s="23" t="s">
        <v>151</v>
      </c>
      <c r="I571" s="23" t="s">
        <v>424</v>
      </c>
      <c r="J571" s="14" t="s">
        <v>29</v>
      </c>
      <c r="K571" s="15" t="s">
        <v>114</v>
      </c>
      <c r="L571" s="88"/>
      <c r="M571" s="14"/>
      <c r="N571" s="14" t="s">
        <v>49</v>
      </c>
      <c r="O571" s="14"/>
      <c r="P571" s="15" t="s">
        <v>724</v>
      </c>
      <c r="Q571" s="16">
        <v>13499</v>
      </c>
      <c r="R571" s="17">
        <v>86.61</v>
      </c>
      <c r="S571" s="18">
        <v>2078.9354999999996</v>
      </c>
      <c r="T571" s="19" t="s">
        <v>117</v>
      </c>
      <c r="U571" s="20" t="s">
        <v>735</v>
      </c>
      <c r="V571" s="21">
        <v>41</v>
      </c>
      <c r="W571" s="21">
        <v>75</v>
      </c>
      <c r="X571" s="22"/>
    </row>
    <row r="572" spans="1:24" s="1" customFormat="1" ht="11.1" customHeight="1" x14ac:dyDescent="0.3">
      <c r="A572" s="11" t="s">
        <v>719</v>
      </c>
      <c r="B572" s="11" t="s">
        <v>736</v>
      </c>
      <c r="C572" s="12" t="s">
        <v>737</v>
      </c>
      <c r="D572" s="83"/>
      <c r="E572" s="69" t="str">
        <f t="shared" ref="E572:E581" si="24">HYPERLINK("https://www.google.ru/search?q=V00D3HBKA&amp;newwindow=1&amp;tbm=isch","Еще фото")</f>
        <v>Еще фото</v>
      </c>
      <c r="F572" s="31" t="s">
        <v>738</v>
      </c>
      <c r="G572" s="11" t="s">
        <v>484</v>
      </c>
      <c r="H572" s="11" t="s">
        <v>151</v>
      </c>
      <c r="I572" s="14" t="s">
        <v>424</v>
      </c>
      <c r="J572" s="14" t="s">
        <v>29</v>
      </c>
      <c r="K572" s="15" t="s">
        <v>114</v>
      </c>
      <c r="L572" s="86" t="s">
        <v>739</v>
      </c>
      <c r="M572" s="14"/>
      <c r="N572" s="14" t="s">
        <v>49</v>
      </c>
      <c r="O572" s="14"/>
      <c r="P572" s="15" t="s">
        <v>740</v>
      </c>
      <c r="Q572" s="16">
        <v>10999</v>
      </c>
      <c r="R572" s="17">
        <v>75.47</v>
      </c>
      <c r="S572" s="18">
        <v>3102.4354999999996</v>
      </c>
      <c r="T572" s="19" t="s">
        <v>117</v>
      </c>
      <c r="U572" s="20" t="s">
        <v>725</v>
      </c>
      <c r="V572" s="21">
        <v>34</v>
      </c>
      <c r="W572" s="21">
        <v>36</v>
      </c>
      <c r="X572" s="22"/>
    </row>
    <row r="573" spans="1:24" s="1" customFormat="1" ht="11.1" customHeight="1" x14ac:dyDescent="0.3">
      <c r="A573" s="23" t="s">
        <v>719</v>
      </c>
      <c r="B573" s="23" t="s">
        <v>736</v>
      </c>
      <c r="C573" s="12" t="s">
        <v>737</v>
      </c>
      <c r="D573" s="84"/>
      <c r="E573" s="69" t="str">
        <f t="shared" si="24"/>
        <v>Еще фото</v>
      </c>
      <c r="F573" s="31" t="s">
        <v>738</v>
      </c>
      <c r="G573" s="23" t="s">
        <v>484</v>
      </c>
      <c r="H573" s="23" t="s">
        <v>151</v>
      </c>
      <c r="I573" s="23" t="s">
        <v>424</v>
      </c>
      <c r="J573" s="14" t="s">
        <v>29</v>
      </c>
      <c r="K573" s="15" t="s">
        <v>114</v>
      </c>
      <c r="L573" s="87"/>
      <c r="M573" s="14"/>
      <c r="N573" s="14" t="s">
        <v>49</v>
      </c>
      <c r="O573" s="14"/>
      <c r="P573" s="15" t="s">
        <v>740</v>
      </c>
      <c r="Q573" s="16">
        <v>10999</v>
      </c>
      <c r="R573" s="17">
        <v>75.47</v>
      </c>
      <c r="S573" s="18">
        <v>3102.4354999999996</v>
      </c>
      <c r="T573" s="19" t="s">
        <v>117</v>
      </c>
      <c r="U573" s="20" t="s">
        <v>726</v>
      </c>
      <c r="V573" s="30">
        <v>34.5</v>
      </c>
      <c r="W573" s="21">
        <v>30</v>
      </c>
      <c r="X573" s="22"/>
    </row>
    <row r="574" spans="1:24" s="1" customFormat="1" ht="11.1" customHeight="1" x14ac:dyDescent="0.3">
      <c r="A574" s="23" t="s">
        <v>719</v>
      </c>
      <c r="B574" s="23" t="s">
        <v>736</v>
      </c>
      <c r="C574" s="12" t="s">
        <v>737</v>
      </c>
      <c r="D574" s="84"/>
      <c r="E574" s="69" t="str">
        <f t="shared" si="24"/>
        <v>Еще фото</v>
      </c>
      <c r="F574" s="31" t="s">
        <v>738</v>
      </c>
      <c r="G574" s="23" t="s">
        <v>484</v>
      </c>
      <c r="H574" s="23" t="s">
        <v>151</v>
      </c>
      <c r="I574" s="23" t="s">
        <v>424</v>
      </c>
      <c r="J574" s="14" t="s">
        <v>29</v>
      </c>
      <c r="K574" s="15" t="s">
        <v>114</v>
      </c>
      <c r="L574" s="87"/>
      <c r="M574" s="14"/>
      <c r="N574" s="14" t="s">
        <v>49</v>
      </c>
      <c r="O574" s="14"/>
      <c r="P574" s="15" t="s">
        <v>740</v>
      </c>
      <c r="Q574" s="16">
        <v>10999</v>
      </c>
      <c r="R574" s="17">
        <v>75.47</v>
      </c>
      <c r="S574" s="18">
        <v>3102.4354999999996</v>
      </c>
      <c r="T574" s="19" t="s">
        <v>117</v>
      </c>
      <c r="U574" s="20" t="s">
        <v>727</v>
      </c>
      <c r="V574" s="30">
        <v>35.5</v>
      </c>
      <c r="W574" s="21">
        <v>66</v>
      </c>
      <c r="X574" s="22"/>
    </row>
    <row r="575" spans="1:24" s="1" customFormat="1" ht="11.1" customHeight="1" x14ac:dyDescent="0.3">
      <c r="A575" s="23" t="s">
        <v>719</v>
      </c>
      <c r="B575" s="23" t="s">
        <v>736</v>
      </c>
      <c r="C575" s="12" t="s">
        <v>737</v>
      </c>
      <c r="D575" s="84"/>
      <c r="E575" s="69" t="str">
        <f t="shared" si="24"/>
        <v>Еще фото</v>
      </c>
      <c r="F575" s="31" t="s">
        <v>738</v>
      </c>
      <c r="G575" s="23" t="s">
        <v>484</v>
      </c>
      <c r="H575" s="23" t="s">
        <v>151</v>
      </c>
      <c r="I575" s="23" t="s">
        <v>424</v>
      </c>
      <c r="J575" s="14" t="s">
        <v>29</v>
      </c>
      <c r="K575" s="15" t="s">
        <v>114</v>
      </c>
      <c r="L575" s="87"/>
      <c r="M575" s="14"/>
      <c r="N575" s="14" t="s">
        <v>49</v>
      </c>
      <c r="O575" s="14"/>
      <c r="P575" s="15" t="s">
        <v>740</v>
      </c>
      <c r="Q575" s="16">
        <v>10999</v>
      </c>
      <c r="R575" s="17">
        <v>75.47</v>
      </c>
      <c r="S575" s="18">
        <v>3102.4354999999996</v>
      </c>
      <c r="T575" s="19" t="s">
        <v>117</v>
      </c>
      <c r="U575" s="20" t="s">
        <v>728</v>
      </c>
      <c r="V575" s="21">
        <v>36</v>
      </c>
      <c r="W575" s="21">
        <v>37</v>
      </c>
      <c r="X575" s="22"/>
    </row>
    <row r="576" spans="1:24" s="1" customFormat="1" ht="11.1" customHeight="1" x14ac:dyDescent="0.3">
      <c r="A576" s="23" t="s">
        <v>719</v>
      </c>
      <c r="B576" s="23" t="s">
        <v>736</v>
      </c>
      <c r="C576" s="12" t="s">
        <v>737</v>
      </c>
      <c r="D576" s="84"/>
      <c r="E576" s="69" t="str">
        <f t="shared" si="24"/>
        <v>Еще фото</v>
      </c>
      <c r="F576" s="31" t="s">
        <v>738</v>
      </c>
      <c r="G576" s="23" t="s">
        <v>484</v>
      </c>
      <c r="H576" s="23" t="s">
        <v>151</v>
      </c>
      <c r="I576" s="23" t="s">
        <v>424</v>
      </c>
      <c r="J576" s="14" t="s">
        <v>29</v>
      </c>
      <c r="K576" s="15" t="s">
        <v>114</v>
      </c>
      <c r="L576" s="87"/>
      <c r="M576" s="14"/>
      <c r="N576" s="14" t="s">
        <v>49</v>
      </c>
      <c r="O576" s="14"/>
      <c r="P576" s="15" t="s">
        <v>740</v>
      </c>
      <c r="Q576" s="16">
        <v>10999</v>
      </c>
      <c r="R576" s="17">
        <v>75.47</v>
      </c>
      <c r="S576" s="18">
        <v>3102.4354999999996</v>
      </c>
      <c r="T576" s="19" t="s">
        <v>117</v>
      </c>
      <c r="U576" s="20" t="s">
        <v>729</v>
      </c>
      <c r="V576" s="30">
        <v>36.5</v>
      </c>
      <c r="W576" s="21">
        <v>66</v>
      </c>
      <c r="X576" s="22"/>
    </row>
    <row r="577" spans="1:24" s="1" customFormat="1" ht="11.1" customHeight="1" x14ac:dyDescent="0.3">
      <c r="A577" s="23" t="s">
        <v>719</v>
      </c>
      <c r="B577" s="23" t="s">
        <v>736</v>
      </c>
      <c r="C577" s="12" t="s">
        <v>737</v>
      </c>
      <c r="D577" s="84"/>
      <c r="E577" s="69" t="str">
        <f t="shared" si="24"/>
        <v>Еще фото</v>
      </c>
      <c r="F577" s="31" t="s">
        <v>738</v>
      </c>
      <c r="G577" s="23" t="s">
        <v>484</v>
      </c>
      <c r="H577" s="23" t="s">
        <v>151</v>
      </c>
      <c r="I577" s="23" t="s">
        <v>424</v>
      </c>
      <c r="J577" s="14" t="s">
        <v>29</v>
      </c>
      <c r="K577" s="15" t="s">
        <v>114</v>
      </c>
      <c r="L577" s="87"/>
      <c r="M577" s="14"/>
      <c r="N577" s="14" t="s">
        <v>49</v>
      </c>
      <c r="O577" s="14"/>
      <c r="P577" s="15" t="s">
        <v>740</v>
      </c>
      <c r="Q577" s="16">
        <v>10999</v>
      </c>
      <c r="R577" s="17">
        <v>75.47</v>
      </c>
      <c r="S577" s="18">
        <v>3102.4354999999996</v>
      </c>
      <c r="T577" s="19" t="s">
        <v>117</v>
      </c>
      <c r="U577" s="20" t="s">
        <v>741</v>
      </c>
      <c r="V577" s="30">
        <v>37.5</v>
      </c>
      <c r="W577" s="21">
        <v>5</v>
      </c>
      <c r="X577" s="22"/>
    </row>
    <row r="578" spans="1:24" s="1" customFormat="1" ht="11.1" customHeight="1" x14ac:dyDescent="0.3">
      <c r="A578" s="23" t="s">
        <v>719</v>
      </c>
      <c r="B578" s="23" t="s">
        <v>736</v>
      </c>
      <c r="C578" s="12" t="s">
        <v>737</v>
      </c>
      <c r="D578" s="84"/>
      <c r="E578" s="69" t="str">
        <f t="shared" si="24"/>
        <v>Еще фото</v>
      </c>
      <c r="F578" s="31" t="s">
        <v>738</v>
      </c>
      <c r="G578" s="23" t="s">
        <v>484</v>
      </c>
      <c r="H578" s="23" t="s">
        <v>151</v>
      </c>
      <c r="I578" s="23" t="s">
        <v>424</v>
      </c>
      <c r="J578" s="14" t="s">
        <v>29</v>
      </c>
      <c r="K578" s="15" t="s">
        <v>114</v>
      </c>
      <c r="L578" s="87"/>
      <c r="M578" s="14"/>
      <c r="N578" s="14" t="s">
        <v>49</v>
      </c>
      <c r="O578" s="14"/>
      <c r="P578" s="15" t="s">
        <v>740</v>
      </c>
      <c r="Q578" s="16">
        <v>10999</v>
      </c>
      <c r="R578" s="17">
        <v>75.47</v>
      </c>
      <c r="S578" s="18">
        <v>3102.4354999999996</v>
      </c>
      <c r="T578" s="19" t="s">
        <v>117</v>
      </c>
      <c r="U578" s="20" t="s">
        <v>742</v>
      </c>
      <c r="V578" s="21">
        <v>38</v>
      </c>
      <c r="W578" s="21">
        <v>1</v>
      </c>
      <c r="X578" s="22"/>
    </row>
    <row r="579" spans="1:24" s="1" customFormat="1" ht="11.1" customHeight="1" x14ac:dyDescent="0.3">
      <c r="A579" s="23" t="s">
        <v>719</v>
      </c>
      <c r="B579" s="23" t="s">
        <v>736</v>
      </c>
      <c r="C579" s="12" t="s">
        <v>737</v>
      </c>
      <c r="D579" s="84"/>
      <c r="E579" s="69" t="str">
        <f t="shared" si="24"/>
        <v>Еще фото</v>
      </c>
      <c r="F579" s="31" t="s">
        <v>738</v>
      </c>
      <c r="G579" s="23" t="s">
        <v>484</v>
      </c>
      <c r="H579" s="23" t="s">
        <v>151</v>
      </c>
      <c r="I579" s="23" t="s">
        <v>424</v>
      </c>
      <c r="J579" s="14" t="s">
        <v>29</v>
      </c>
      <c r="K579" s="15" t="s">
        <v>114</v>
      </c>
      <c r="L579" s="87"/>
      <c r="M579" s="14"/>
      <c r="N579" s="14" t="s">
        <v>49</v>
      </c>
      <c r="O579" s="14"/>
      <c r="P579" s="15" t="s">
        <v>740</v>
      </c>
      <c r="Q579" s="16">
        <v>10999</v>
      </c>
      <c r="R579" s="17">
        <v>75.47</v>
      </c>
      <c r="S579" s="18">
        <v>3102.4354999999996</v>
      </c>
      <c r="T579" s="19" t="s">
        <v>117</v>
      </c>
      <c r="U579" s="20" t="s">
        <v>743</v>
      </c>
      <c r="V579" s="30">
        <v>38.5</v>
      </c>
      <c r="W579" s="21">
        <v>66</v>
      </c>
      <c r="X579" s="22"/>
    </row>
    <row r="580" spans="1:24" s="1" customFormat="1" ht="11.1" customHeight="1" x14ac:dyDescent="0.3">
      <c r="A580" s="23" t="s">
        <v>719</v>
      </c>
      <c r="B580" s="23" t="s">
        <v>736</v>
      </c>
      <c r="C580" s="12" t="s">
        <v>737</v>
      </c>
      <c r="D580" s="84"/>
      <c r="E580" s="69" t="str">
        <f t="shared" si="24"/>
        <v>Еще фото</v>
      </c>
      <c r="F580" s="31" t="s">
        <v>738</v>
      </c>
      <c r="G580" s="23" t="s">
        <v>484</v>
      </c>
      <c r="H580" s="23" t="s">
        <v>151</v>
      </c>
      <c r="I580" s="23" t="s">
        <v>424</v>
      </c>
      <c r="J580" s="14" t="s">
        <v>29</v>
      </c>
      <c r="K580" s="15" t="s">
        <v>114</v>
      </c>
      <c r="L580" s="87"/>
      <c r="M580" s="14"/>
      <c r="N580" s="14" t="s">
        <v>49</v>
      </c>
      <c r="O580" s="14"/>
      <c r="P580" s="15" t="s">
        <v>740</v>
      </c>
      <c r="Q580" s="16">
        <v>10999</v>
      </c>
      <c r="R580" s="17">
        <v>75.47</v>
      </c>
      <c r="S580" s="18">
        <v>3102.4354999999996</v>
      </c>
      <c r="T580" s="19" t="s">
        <v>117</v>
      </c>
      <c r="U580" s="20" t="s">
        <v>730</v>
      </c>
      <c r="V580" s="30">
        <v>39.5</v>
      </c>
      <c r="W580" s="21">
        <v>65</v>
      </c>
      <c r="X580" s="22"/>
    </row>
    <row r="581" spans="1:24" s="1" customFormat="1" ht="11.1" customHeight="1" x14ac:dyDescent="0.3">
      <c r="A581" s="14" t="s">
        <v>719</v>
      </c>
      <c r="B581" s="14" t="s">
        <v>736</v>
      </c>
      <c r="C581" s="12" t="s">
        <v>737</v>
      </c>
      <c r="D581" s="85"/>
      <c r="E581" s="69" t="str">
        <f t="shared" si="24"/>
        <v>Еще фото</v>
      </c>
      <c r="F581" s="32" t="s">
        <v>738</v>
      </c>
      <c r="G581" s="14" t="s">
        <v>484</v>
      </c>
      <c r="H581" s="14" t="s">
        <v>151</v>
      </c>
      <c r="I581" s="14" t="s">
        <v>424</v>
      </c>
      <c r="J581" s="14" t="s">
        <v>29</v>
      </c>
      <c r="K581" s="14" t="s">
        <v>114</v>
      </c>
      <c r="L581" s="88"/>
      <c r="M581" s="14"/>
      <c r="N581" s="14" t="s">
        <v>49</v>
      </c>
      <c r="O581" s="14"/>
      <c r="P581" s="14" t="s">
        <v>740</v>
      </c>
      <c r="Q581" s="33">
        <v>10999</v>
      </c>
      <c r="R581" s="34">
        <v>75.47</v>
      </c>
      <c r="S581" s="35">
        <v>3102.4354999999996</v>
      </c>
      <c r="T581" s="19" t="s">
        <v>117</v>
      </c>
      <c r="U581" s="20" t="s">
        <v>744</v>
      </c>
      <c r="V581" s="21">
        <v>40</v>
      </c>
      <c r="W581" s="21">
        <v>60</v>
      </c>
      <c r="X581" s="22"/>
    </row>
    <row r="582" spans="1:24" s="1" customFormat="1" ht="12.95" customHeight="1" x14ac:dyDescent="0.3">
      <c r="A582" s="11" t="s">
        <v>719</v>
      </c>
      <c r="B582" s="11" t="s">
        <v>745</v>
      </c>
      <c r="C582" s="12" t="s">
        <v>746</v>
      </c>
      <c r="D582" s="83"/>
      <c r="E582" s="69" t="str">
        <f t="shared" ref="E582:E589" si="25">HYPERLINK("https://www.google.ru/search?q=VN000CVVBA2&amp;newwindow=1&amp;tbm=isch","Еще фото")</f>
        <v>Еще фото</v>
      </c>
      <c r="F582" s="13"/>
      <c r="G582" s="11" t="s">
        <v>394</v>
      </c>
      <c r="H582" s="11" t="s">
        <v>151</v>
      </c>
      <c r="I582" s="14" t="s">
        <v>424</v>
      </c>
      <c r="J582" s="14" t="s">
        <v>29</v>
      </c>
      <c r="K582" s="15" t="s">
        <v>55</v>
      </c>
      <c r="L582" s="86" t="s">
        <v>747</v>
      </c>
      <c r="M582" s="14"/>
      <c r="N582" s="14" t="s">
        <v>748</v>
      </c>
      <c r="O582" s="14"/>
      <c r="P582" s="15" t="s">
        <v>749</v>
      </c>
      <c r="Q582" s="16">
        <v>20899</v>
      </c>
      <c r="R582" s="17">
        <v>58.91</v>
      </c>
      <c r="S582" s="18">
        <v>9875.9354999999996</v>
      </c>
      <c r="T582" s="19" t="s">
        <v>117</v>
      </c>
      <c r="U582" s="26" t="s">
        <v>729</v>
      </c>
      <c r="V582" s="30">
        <v>36.5</v>
      </c>
      <c r="W582" s="21">
        <v>1</v>
      </c>
      <c r="X582" s="22"/>
    </row>
    <row r="583" spans="1:24" s="1" customFormat="1" ht="12.95" customHeight="1" x14ac:dyDescent="0.3">
      <c r="A583" s="23" t="s">
        <v>719</v>
      </c>
      <c r="B583" s="23" t="s">
        <v>745</v>
      </c>
      <c r="C583" s="12" t="s">
        <v>746</v>
      </c>
      <c r="D583" s="84"/>
      <c r="E583" s="69" t="str">
        <f t="shared" si="25"/>
        <v>Еще фото</v>
      </c>
      <c r="F583" s="13"/>
      <c r="G583" s="23" t="s">
        <v>394</v>
      </c>
      <c r="H583" s="23" t="s">
        <v>151</v>
      </c>
      <c r="I583" s="23" t="s">
        <v>424</v>
      </c>
      <c r="J583" s="14" t="s">
        <v>29</v>
      </c>
      <c r="K583" s="15" t="s">
        <v>55</v>
      </c>
      <c r="L583" s="87"/>
      <c r="M583" s="14"/>
      <c r="N583" s="14" t="s">
        <v>748</v>
      </c>
      <c r="O583" s="14"/>
      <c r="P583" s="15" t="s">
        <v>749</v>
      </c>
      <c r="Q583" s="16">
        <v>20899</v>
      </c>
      <c r="R583" s="17">
        <v>58.91</v>
      </c>
      <c r="S583" s="18">
        <v>9875.9354999999996</v>
      </c>
      <c r="T583" s="19" t="s">
        <v>117</v>
      </c>
      <c r="U583" s="20" t="s">
        <v>741</v>
      </c>
      <c r="V583" s="30">
        <v>37.5</v>
      </c>
      <c r="W583" s="21">
        <v>2</v>
      </c>
      <c r="X583" s="22"/>
    </row>
    <row r="584" spans="1:24" s="1" customFormat="1" ht="12.95" customHeight="1" x14ac:dyDescent="0.3">
      <c r="A584" s="23" t="s">
        <v>719</v>
      </c>
      <c r="B584" s="23" t="s">
        <v>745</v>
      </c>
      <c r="C584" s="12" t="s">
        <v>746</v>
      </c>
      <c r="D584" s="84"/>
      <c r="E584" s="69" t="str">
        <f t="shared" si="25"/>
        <v>Еще фото</v>
      </c>
      <c r="F584" s="13"/>
      <c r="G584" s="23" t="s">
        <v>394</v>
      </c>
      <c r="H584" s="23" t="s">
        <v>151</v>
      </c>
      <c r="I584" s="23" t="s">
        <v>424</v>
      </c>
      <c r="J584" s="14" t="s">
        <v>29</v>
      </c>
      <c r="K584" s="15" t="s">
        <v>55</v>
      </c>
      <c r="L584" s="87"/>
      <c r="M584" s="14"/>
      <c r="N584" s="14" t="s">
        <v>748</v>
      </c>
      <c r="O584" s="14"/>
      <c r="P584" s="15" t="s">
        <v>749</v>
      </c>
      <c r="Q584" s="16">
        <v>20899</v>
      </c>
      <c r="R584" s="17">
        <v>58.91</v>
      </c>
      <c r="S584" s="18">
        <v>9875.9354999999996</v>
      </c>
      <c r="T584" s="19" t="s">
        <v>117</v>
      </c>
      <c r="U584" s="20" t="s">
        <v>743</v>
      </c>
      <c r="V584" s="30">
        <v>38.5</v>
      </c>
      <c r="W584" s="21">
        <v>3</v>
      </c>
      <c r="X584" s="22"/>
    </row>
    <row r="585" spans="1:24" s="1" customFormat="1" ht="12.95" customHeight="1" x14ac:dyDescent="0.3">
      <c r="A585" s="23" t="s">
        <v>719</v>
      </c>
      <c r="B585" s="23" t="s">
        <v>745</v>
      </c>
      <c r="C585" s="12" t="s">
        <v>746</v>
      </c>
      <c r="D585" s="84"/>
      <c r="E585" s="69" t="str">
        <f t="shared" si="25"/>
        <v>Еще фото</v>
      </c>
      <c r="F585" s="13"/>
      <c r="G585" s="23" t="s">
        <v>394</v>
      </c>
      <c r="H585" s="23" t="s">
        <v>151</v>
      </c>
      <c r="I585" s="23" t="s">
        <v>424</v>
      </c>
      <c r="J585" s="14" t="s">
        <v>29</v>
      </c>
      <c r="K585" s="15" t="s">
        <v>55</v>
      </c>
      <c r="L585" s="87"/>
      <c r="M585" s="14"/>
      <c r="N585" s="14" t="s">
        <v>748</v>
      </c>
      <c r="O585" s="14"/>
      <c r="P585" s="15" t="s">
        <v>749</v>
      </c>
      <c r="Q585" s="16">
        <v>20899</v>
      </c>
      <c r="R585" s="17">
        <v>58.91</v>
      </c>
      <c r="S585" s="18">
        <v>9875.9354999999996</v>
      </c>
      <c r="T585" s="19" t="s">
        <v>117</v>
      </c>
      <c r="U585" s="20" t="s">
        <v>730</v>
      </c>
      <c r="V585" s="30">
        <v>39.5</v>
      </c>
      <c r="W585" s="21">
        <v>4</v>
      </c>
      <c r="X585" s="22"/>
    </row>
    <row r="586" spans="1:24" s="1" customFormat="1" ht="12.95" customHeight="1" x14ac:dyDescent="0.3">
      <c r="A586" s="23" t="s">
        <v>719</v>
      </c>
      <c r="B586" s="23" t="s">
        <v>745</v>
      </c>
      <c r="C586" s="12" t="s">
        <v>746</v>
      </c>
      <c r="D586" s="84"/>
      <c r="E586" s="69" t="str">
        <f t="shared" si="25"/>
        <v>Еще фото</v>
      </c>
      <c r="F586" s="13"/>
      <c r="G586" s="23" t="s">
        <v>394</v>
      </c>
      <c r="H586" s="23" t="s">
        <v>151</v>
      </c>
      <c r="I586" s="23" t="s">
        <v>424</v>
      </c>
      <c r="J586" s="14" t="s">
        <v>29</v>
      </c>
      <c r="K586" s="15" t="s">
        <v>55</v>
      </c>
      <c r="L586" s="87"/>
      <c r="M586" s="14"/>
      <c r="N586" s="14" t="s">
        <v>748</v>
      </c>
      <c r="O586" s="14"/>
      <c r="P586" s="15" t="s">
        <v>749</v>
      </c>
      <c r="Q586" s="16">
        <v>20899</v>
      </c>
      <c r="R586" s="17">
        <v>58.91</v>
      </c>
      <c r="S586" s="18">
        <v>9875.9354999999996</v>
      </c>
      <c r="T586" s="19" t="s">
        <v>117</v>
      </c>
      <c r="U586" s="20" t="s">
        <v>744</v>
      </c>
      <c r="V586" s="21">
        <v>40</v>
      </c>
      <c r="W586" s="21">
        <v>1</v>
      </c>
      <c r="X586" s="22"/>
    </row>
    <row r="587" spans="1:24" s="1" customFormat="1" ht="12.95" customHeight="1" x14ac:dyDescent="0.3">
      <c r="A587" s="23" t="s">
        <v>719</v>
      </c>
      <c r="B587" s="23" t="s">
        <v>745</v>
      </c>
      <c r="C587" s="12" t="s">
        <v>746</v>
      </c>
      <c r="D587" s="84"/>
      <c r="E587" s="69" t="str">
        <f t="shared" si="25"/>
        <v>Еще фото</v>
      </c>
      <c r="F587" s="13"/>
      <c r="G587" s="23" t="s">
        <v>394</v>
      </c>
      <c r="H587" s="23" t="s">
        <v>151</v>
      </c>
      <c r="I587" s="23" t="s">
        <v>424</v>
      </c>
      <c r="J587" s="14" t="s">
        <v>29</v>
      </c>
      <c r="K587" s="15" t="s">
        <v>55</v>
      </c>
      <c r="L587" s="87"/>
      <c r="M587" s="14"/>
      <c r="N587" s="14" t="s">
        <v>748</v>
      </c>
      <c r="O587" s="14"/>
      <c r="P587" s="15" t="s">
        <v>749</v>
      </c>
      <c r="Q587" s="16">
        <v>20899</v>
      </c>
      <c r="R587" s="17">
        <v>58.91</v>
      </c>
      <c r="S587" s="18">
        <v>9875.9354999999996</v>
      </c>
      <c r="T587" s="19" t="s">
        <v>117</v>
      </c>
      <c r="U587" s="20" t="s">
        <v>731</v>
      </c>
      <c r="V587" s="30">
        <v>40.5</v>
      </c>
      <c r="W587" s="21">
        <v>9</v>
      </c>
      <c r="X587" s="22"/>
    </row>
    <row r="588" spans="1:24" s="1" customFormat="1" ht="12.95" customHeight="1" x14ac:dyDescent="0.3">
      <c r="A588" s="23" t="s">
        <v>719</v>
      </c>
      <c r="B588" s="23" t="s">
        <v>745</v>
      </c>
      <c r="C588" s="12" t="s">
        <v>746</v>
      </c>
      <c r="D588" s="84"/>
      <c r="E588" s="69" t="str">
        <f t="shared" si="25"/>
        <v>Еще фото</v>
      </c>
      <c r="F588" s="13"/>
      <c r="G588" s="23" t="s">
        <v>394</v>
      </c>
      <c r="H588" s="23" t="s">
        <v>151</v>
      </c>
      <c r="I588" s="23" t="s">
        <v>424</v>
      </c>
      <c r="J588" s="14" t="s">
        <v>29</v>
      </c>
      <c r="K588" s="15" t="s">
        <v>55</v>
      </c>
      <c r="L588" s="87"/>
      <c r="M588" s="14"/>
      <c r="N588" s="14" t="s">
        <v>748</v>
      </c>
      <c r="O588" s="14"/>
      <c r="P588" s="15" t="s">
        <v>749</v>
      </c>
      <c r="Q588" s="16">
        <v>20899</v>
      </c>
      <c r="R588" s="17">
        <v>58.91</v>
      </c>
      <c r="S588" s="18">
        <v>9875.9354999999996</v>
      </c>
      <c r="T588" s="19" t="s">
        <v>117</v>
      </c>
      <c r="U588" s="20" t="s">
        <v>735</v>
      </c>
      <c r="V588" s="21">
        <v>41</v>
      </c>
      <c r="W588" s="21">
        <v>7</v>
      </c>
      <c r="X588" s="22"/>
    </row>
    <row r="589" spans="1:24" s="1" customFormat="1" ht="18" customHeight="1" x14ac:dyDescent="0.3">
      <c r="A589" s="23" t="s">
        <v>719</v>
      </c>
      <c r="B589" s="23" t="s">
        <v>745</v>
      </c>
      <c r="C589" s="12" t="s">
        <v>746</v>
      </c>
      <c r="D589" s="85"/>
      <c r="E589" s="69" t="str">
        <f t="shared" si="25"/>
        <v>Еще фото</v>
      </c>
      <c r="F589" s="13"/>
      <c r="G589" s="23" t="s">
        <v>394</v>
      </c>
      <c r="H589" s="23" t="s">
        <v>151</v>
      </c>
      <c r="I589" s="23" t="s">
        <v>424</v>
      </c>
      <c r="J589" s="14" t="s">
        <v>29</v>
      </c>
      <c r="K589" s="15" t="s">
        <v>55</v>
      </c>
      <c r="L589" s="88"/>
      <c r="M589" s="14"/>
      <c r="N589" s="14" t="s">
        <v>748</v>
      </c>
      <c r="O589" s="14"/>
      <c r="P589" s="15" t="s">
        <v>749</v>
      </c>
      <c r="Q589" s="16">
        <v>20899</v>
      </c>
      <c r="R589" s="17">
        <v>58.91</v>
      </c>
      <c r="S589" s="18">
        <v>9875.9354999999996</v>
      </c>
      <c r="T589" s="19" t="s">
        <v>117</v>
      </c>
      <c r="U589" s="20" t="s">
        <v>750</v>
      </c>
      <c r="V589" s="30">
        <v>42.5</v>
      </c>
      <c r="W589" s="21">
        <v>4</v>
      </c>
      <c r="X589" s="22"/>
    </row>
    <row r="590" spans="1:24" s="1" customFormat="1" ht="17.100000000000001" customHeight="1" x14ac:dyDescent="0.3">
      <c r="A590" s="11" t="s">
        <v>719</v>
      </c>
      <c r="B590" s="11" t="s">
        <v>751</v>
      </c>
      <c r="C590" s="12" t="s">
        <v>752</v>
      </c>
      <c r="D590" s="83"/>
      <c r="E590" s="69" t="str">
        <f t="shared" ref="E590:E595" si="26">HYPERLINK("https://www.google.ru/search?q=VN000D5IBKA&amp;newwindow=1&amp;tbm=isch","Еще фото")</f>
        <v>Еще фото</v>
      </c>
      <c r="F590" s="13"/>
      <c r="G590" s="11" t="s">
        <v>722</v>
      </c>
      <c r="H590" s="11" t="s">
        <v>151</v>
      </c>
      <c r="I590" s="14" t="s">
        <v>424</v>
      </c>
      <c r="J590" s="14" t="s">
        <v>29</v>
      </c>
      <c r="K590" s="15" t="s">
        <v>114</v>
      </c>
      <c r="L590" s="86" t="s">
        <v>753</v>
      </c>
      <c r="M590" s="14"/>
      <c r="N590" s="14" t="s">
        <v>49</v>
      </c>
      <c r="O590" s="14"/>
      <c r="P590" s="15" t="s">
        <v>724</v>
      </c>
      <c r="Q590" s="16">
        <v>12999</v>
      </c>
      <c r="R590" s="17">
        <v>56.48</v>
      </c>
      <c r="S590" s="18">
        <v>6506.4354999999996</v>
      </c>
      <c r="T590" s="19" t="s">
        <v>117</v>
      </c>
      <c r="U590" s="20" t="s">
        <v>725</v>
      </c>
      <c r="V590" s="21">
        <v>34</v>
      </c>
      <c r="W590" s="21">
        <v>2</v>
      </c>
      <c r="X590" s="22"/>
    </row>
    <row r="591" spans="1:24" s="1" customFormat="1" ht="17.100000000000001" customHeight="1" x14ac:dyDescent="0.3">
      <c r="A591" s="23" t="s">
        <v>719</v>
      </c>
      <c r="B591" s="23" t="s">
        <v>751</v>
      </c>
      <c r="C591" s="12" t="s">
        <v>752</v>
      </c>
      <c r="D591" s="84"/>
      <c r="E591" s="69" t="str">
        <f t="shared" si="26"/>
        <v>Еще фото</v>
      </c>
      <c r="F591" s="13"/>
      <c r="G591" s="23" t="s">
        <v>722</v>
      </c>
      <c r="H591" s="23" t="s">
        <v>151</v>
      </c>
      <c r="I591" s="23" t="s">
        <v>424</v>
      </c>
      <c r="J591" s="14" t="s">
        <v>29</v>
      </c>
      <c r="K591" s="15" t="s">
        <v>114</v>
      </c>
      <c r="L591" s="87"/>
      <c r="M591" s="14"/>
      <c r="N591" s="14" t="s">
        <v>49</v>
      </c>
      <c r="O591" s="14"/>
      <c r="P591" s="15" t="s">
        <v>724</v>
      </c>
      <c r="Q591" s="16">
        <v>12999</v>
      </c>
      <c r="R591" s="17">
        <v>56.48</v>
      </c>
      <c r="S591" s="18">
        <v>6506.4354999999996</v>
      </c>
      <c r="T591" s="19" t="s">
        <v>117</v>
      </c>
      <c r="U591" s="20" t="s">
        <v>726</v>
      </c>
      <c r="V591" s="30">
        <v>34.5</v>
      </c>
      <c r="W591" s="21">
        <v>8</v>
      </c>
      <c r="X591" s="22"/>
    </row>
    <row r="592" spans="1:24" s="1" customFormat="1" ht="17.100000000000001" customHeight="1" x14ac:dyDescent="0.3">
      <c r="A592" s="23" t="s">
        <v>719</v>
      </c>
      <c r="B592" s="23" t="s">
        <v>751</v>
      </c>
      <c r="C592" s="12" t="s">
        <v>752</v>
      </c>
      <c r="D592" s="84"/>
      <c r="E592" s="69" t="str">
        <f t="shared" si="26"/>
        <v>Еще фото</v>
      </c>
      <c r="F592" s="13"/>
      <c r="G592" s="23" t="s">
        <v>722</v>
      </c>
      <c r="H592" s="23" t="s">
        <v>151</v>
      </c>
      <c r="I592" s="23" t="s">
        <v>424</v>
      </c>
      <c r="J592" s="14" t="s">
        <v>29</v>
      </c>
      <c r="K592" s="15" t="s">
        <v>114</v>
      </c>
      <c r="L592" s="87"/>
      <c r="M592" s="14"/>
      <c r="N592" s="14" t="s">
        <v>49</v>
      </c>
      <c r="O592" s="14"/>
      <c r="P592" s="15" t="s">
        <v>724</v>
      </c>
      <c r="Q592" s="16">
        <v>12999</v>
      </c>
      <c r="R592" s="17">
        <v>56.48</v>
      </c>
      <c r="S592" s="18">
        <v>6506.4354999999996</v>
      </c>
      <c r="T592" s="19" t="s">
        <v>117</v>
      </c>
      <c r="U592" s="20" t="s">
        <v>727</v>
      </c>
      <c r="V592" s="30">
        <v>35.5</v>
      </c>
      <c r="W592" s="21">
        <v>3</v>
      </c>
      <c r="X592" s="22"/>
    </row>
    <row r="593" spans="1:24" s="1" customFormat="1" ht="17.100000000000001" customHeight="1" x14ac:dyDescent="0.3">
      <c r="A593" s="23" t="s">
        <v>719</v>
      </c>
      <c r="B593" s="23" t="s">
        <v>751</v>
      </c>
      <c r="C593" s="12" t="s">
        <v>752</v>
      </c>
      <c r="D593" s="84"/>
      <c r="E593" s="69" t="str">
        <f t="shared" si="26"/>
        <v>Еще фото</v>
      </c>
      <c r="F593" s="13"/>
      <c r="G593" s="23" t="s">
        <v>722</v>
      </c>
      <c r="H593" s="23" t="s">
        <v>151</v>
      </c>
      <c r="I593" s="23" t="s">
        <v>424</v>
      </c>
      <c r="J593" s="14" t="s">
        <v>29</v>
      </c>
      <c r="K593" s="15" t="s">
        <v>114</v>
      </c>
      <c r="L593" s="87"/>
      <c r="M593" s="14"/>
      <c r="N593" s="14" t="s">
        <v>49</v>
      </c>
      <c r="O593" s="14"/>
      <c r="P593" s="15" t="s">
        <v>724</v>
      </c>
      <c r="Q593" s="16">
        <v>12999</v>
      </c>
      <c r="R593" s="17">
        <v>56.48</v>
      </c>
      <c r="S593" s="18">
        <v>6506.4354999999996</v>
      </c>
      <c r="T593" s="19" t="s">
        <v>117</v>
      </c>
      <c r="U593" s="20" t="s">
        <v>728</v>
      </c>
      <c r="V593" s="21">
        <v>36</v>
      </c>
      <c r="W593" s="21">
        <v>8</v>
      </c>
      <c r="X593" s="22"/>
    </row>
    <row r="594" spans="1:24" s="1" customFormat="1" ht="17.100000000000001" customHeight="1" x14ac:dyDescent="0.3">
      <c r="A594" s="23" t="s">
        <v>719</v>
      </c>
      <c r="B594" s="23" t="s">
        <v>751</v>
      </c>
      <c r="C594" s="12" t="s">
        <v>752</v>
      </c>
      <c r="D594" s="84"/>
      <c r="E594" s="69" t="str">
        <f t="shared" si="26"/>
        <v>Еще фото</v>
      </c>
      <c r="F594" s="13"/>
      <c r="G594" s="23" t="s">
        <v>722</v>
      </c>
      <c r="H594" s="23" t="s">
        <v>151</v>
      </c>
      <c r="I594" s="23" t="s">
        <v>424</v>
      </c>
      <c r="J594" s="14" t="s">
        <v>29</v>
      </c>
      <c r="K594" s="15" t="s">
        <v>114</v>
      </c>
      <c r="L594" s="87"/>
      <c r="M594" s="14"/>
      <c r="N594" s="14" t="s">
        <v>49</v>
      </c>
      <c r="O594" s="14"/>
      <c r="P594" s="15" t="s">
        <v>724</v>
      </c>
      <c r="Q594" s="16">
        <v>12999</v>
      </c>
      <c r="R594" s="17">
        <v>56.48</v>
      </c>
      <c r="S594" s="18">
        <v>6506.4354999999996</v>
      </c>
      <c r="T594" s="19" t="s">
        <v>117</v>
      </c>
      <c r="U594" s="20" t="s">
        <v>729</v>
      </c>
      <c r="V594" s="30">
        <v>36.5</v>
      </c>
      <c r="W594" s="21">
        <v>17</v>
      </c>
      <c r="X594" s="22"/>
    </row>
    <row r="595" spans="1:24" s="1" customFormat="1" ht="21.95" customHeight="1" x14ac:dyDescent="0.3">
      <c r="A595" s="23" t="s">
        <v>719</v>
      </c>
      <c r="B595" s="23" t="s">
        <v>751</v>
      </c>
      <c r="C595" s="12" t="s">
        <v>752</v>
      </c>
      <c r="D595" s="85"/>
      <c r="E595" s="69" t="str">
        <f t="shared" si="26"/>
        <v>Еще фото</v>
      </c>
      <c r="F595" s="13"/>
      <c r="G595" s="23" t="s">
        <v>722</v>
      </c>
      <c r="H595" s="23" t="s">
        <v>151</v>
      </c>
      <c r="I595" s="23" t="s">
        <v>424</v>
      </c>
      <c r="J595" s="14" t="s">
        <v>29</v>
      </c>
      <c r="K595" s="15" t="s">
        <v>114</v>
      </c>
      <c r="L595" s="88"/>
      <c r="M595" s="14"/>
      <c r="N595" s="14" t="s">
        <v>49</v>
      </c>
      <c r="O595" s="14"/>
      <c r="P595" s="15" t="s">
        <v>724</v>
      </c>
      <c r="Q595" s="16">
        <v>12999</v>
      </c>
      <c r="R595" s="17">
        <v>56.48</v>
      </c>
      <c r="S595" s="18">
        <v>6506.4354999999996</v>
      </c>
      <c r="T595" s="19" t="s">
        <v>117</v>
      </c>
      <c r="U595" s="20" t="s">
        <v>741</v>
      </c>
      <c r="V595" s="30">
        <v>37.5</v>
      </c>
      <c r="W595" s="21">
        <v>11</v>
      </c>
      <c r="X595" s="22"/>
    </row>
    <row r="596" spans="1:24" s="1" customFormat="1" ht="26.1" customHeight="1" x14ac:dyDescent="0.3">
      <c r="A596" s="11" t="s">
        <v>719</v>
      </c>
      <c r="B596" s="11" t="s">
        <v>754</v>
      </c>
      <c r="C596" s="12" t="s">
        <v>755</v>
      </c>
      <c r="D596" s="83"/>
      <c r="E596" s="69" t="str">
        <f>HYPERLINK("https://www.google.ru/search?q=VN000CQQCHZ&amp;newwindow=1&amp;tbm=isch","Еще фото")</f>
        <v>Еще фото</v>
      </c>
      <c r="F596" s="13"/>
      <c r="G596" s="11" t="s">
        <v>484</v>
      </c>
      <c r="H596" s="11" t="s">
        <v>151</v>
      </c>
      <c r="I596" s="14" t="s">
        <v>424</v>
      </c>
      <c r="J596" s="14" t="s">
        <v>29</v>
      </c>
      <c r="K596" s="15" t="s">
        <v>55</v>
      </c>
      <c r="L596" s="86" t="s">
        <v>756</v>
      </c>
      <c r="M596" s="14"/>
      <c r="N596" s="14" t="s">
        <v>154</v>
      </c>
      <c r="O596" s="14"/>
      <c r="P596" s="15" t="s">
        <v>757</v>
      </c>
      <c r="Q596" s="16">
        <v>15999</v>
      </c>
      <c r="R596" s="17">
        <v>55.89</v>
      </c>
      <c r="S596" s="18">
        <v>8116.4354999999996</v>
      </c>
      <c r="T596" s="19" t="s">
        <v>117</v>
      </c>
      <c r="U596" s="20" t="s">
        <v>742</v>
      </c>
      <c r="V596" s="21">
        <v>38</v>
      </c>
      <c r="W596" s="21">
        <v>2</v>
      </c>
      <c r="X596" s="22"/>
    </row>
    <row r="597" spans="1:24" s="1" customFormat="1" ht="26.1" customHeight="1" x14ac:dyDescent="0.3">
      <c r="A597" s="23" t="s">
        <v>719</v>
      </c>
      <c r="B597" s="23" t="s">
        <v>754</v>
      </c>
      <c r="C597" s="12" t="s">
        <v>755</v>
      </c>
      <c r="D597" s="84"/>
      <c r="E597" s="69" t="str">
        <f>HYPERLINK("https://www.google.ru/search?q=VN000CQQCHZ&amp;newwindow=1&amp;tbm=isch","Еще фото")</f>
        <v>Еще фото</v>
      </c>
      <c r="F597" s="13"/>
      <c r="G597" s="23" t="s">
        <v>484</v>
      </c>
      <c r="H597" s="23" t="s">
        <v>151</v>
      </c>
      <c r="I597" s="23" t="s">
        <v>424</v>
      </c>
      <c r="J597" s="14" t="s">
        <v>29</v>
      </c>
      <c r="K597" s="15" t="s">
        <v>55</v>
      </c>
      <c r="L597" s="87"/>
      <c r="M597" s="14"/>
      <c r="N597" s="14" t="s">
        <v>154</v>
      </c>
      <c r="O597" s="14"/>
      <c r="P597" s="15" t="s">
        <v>757</v>
      </c>
      <c r="Q597" s="16">
        <v>15999</v>
      </c>
      <c r="R597" s="17">
        <v>55.89</v>
      </c>
      <c r="S597" s="18">
        <v>8116.4354999999996</v>
      </c>
      <c r="T597" s="19" t="s">
        <v>117</v>
      </c>
      <c r="U597" s="20" t="s">
        <v>744</v>
      </c>
      <c r="V597" s="21">
        <v>40</v>
      </c>
      <c r="W597" s="21">
        <v>1</v>
      </c>
      <c r="X597" s="22"/>
    </row>
    <row r="598" spans="1:24" s="1" customFormat="1" ht="26.1" customHeight="1" x14ac:dyDescent="0.3">
      <c r="A598" s="23" t="s">
        <v>719</v>
      </c>
      <c r="B598" s="23" t="s">
        <v>754</v>
      </c>
      <c r="C598" s="12" t="s">
        <v>755</v>
      </c>
      <c r="D598" s="84"/>
      <c r="E598" s="69" t="str">
        <f>HYPERLINK("https://www.google.ru/search?q=VN000CQQCHZ&amp;newwindow=1&amp;tbm=isch","Еще фото")</f>
        <v>Еще фото</v>
      </c>
      <c r="F598" s="13"/>
      <c r="G598" s="23" t="s">
        <v>484</v>
      </c>
      <c r="H598" s="23" t="s">
        <v>151</v>
      </c>
      <c r="I598" s="23" t="s">
        <v>424</v>
      </c>
      <c r="J598" s="14" t="s">
        <v>29</v>
      </c>
      <c r="K598" s="15" t="s">
        <v>55</v>
      </c>
      <c r="L598" s="87"/>
      <c r="M598" s="14"/>
      <c r="N598" s="14" t="s">
        <v>154</v>
      </c>
      <c r="O598" s="14"/>
      <c r="P598" s="15" t="s">
        <v>757</v>
      </c>
      <c r="Q598" s="16">
        <v>15999</v>
      </c>
      <c r="R598" s="17">
        <v>55.89</v>
      </c>
      <c r="S598" s="18">
        <v>8116.4354999999996</v>
      </c>
      <c r="T598" s="19" t="s">
        <v>117</v>
      </c>
      <c r="U598" s="20" t="s">
        <v>758</v>
      </c>
      <c r="V598" s="21">
        <v>42</v>
      </c>
      <c r="W598" s="21">
        <v>1</v>
      </c>
      <c r="X598" s="22"/>
    </row>
    <row r="599" spans="1:24" s="1" customFormat="1" ht="26.1" customHeight="1" x14ac:dyDescent="0.3">
      <c r="A599" s="23" t="s">
        <v>719</v>
      </c>
      <c r="B599" s="23" t="s">
        <v>754</v>
      </c>
      <c r="C599" s="12" t="s">
        <v>755</v>
      </c>
      <c r="D599" s="85"/>
      <c r="E599" s="69" t="str">
        <f>HYPERLINK("https://www.google.ru/search?q=VN000CQQCHZ&amp;newwindow=1&amp;tbm=isch","Еще фото")</f>
        <v>Еще фото</v>
      </c>
      <c r="F599" s="13"/>
      <c r="G599" s="23" t="s">
        <v>484</v>
      </c>
      <c r="H599" s="23" t="s">
        <v>151</v>
      </c>
      <c r="I599" s="23" t="s">
        <v>424</v>
      </c>
      <c r="J599" s="14" t="s">
        <v>29</v>
      </c>
      <c r="K599" s="15" t="s">
        <v>55</v>
      </c>
      <c r="L599" s="88"/>
      <c r="M599" s="14"/>
      <c r="N599" s="14" t="s">
        <v>154</v>
      </c>
      <c r="O599" s="14"/>
      <c r="P599" s="15" t="s">
        <v>757</v>
      </c>
      <c r="Q599" s="16">
        <v>15999</v>
      </c>
      <c r="R599" s="17">
        <v>55.89</v>
      </c>
      <c r="S599" s="18">
        <v>8116.4354999999996</v>
      </c>
      <c r="T599" s="19" t="s">
        <v>117</v>
      </c>
      <c r="U599" s="20" t="s">
        <v>759</v>
      </c>
      <c r="V599" s="30">
        <v>43.5</v>
      </c>
      <c r="W599" s="21">
        <v>1</v>
      </c>
      <c r="X599" s="22"/>
    </row>
    <row r="600" spans="1:24" s="1" customFormat="1" ht="11.1" customHeight="1" x14ac:dyDescent="0.3">
      <c r="A600" s="11" t="s">
        <v>719</v>
      </c>
      <c r="B600" s="11" t="s">
        <v>760</v>
      </c>
      <c r="C600" s="12" t="s">
        <v>761</v>
      </c>
      <c r="D600" s="83"/>
      <c r="E600" s="69" t="str">
        <f t="shared" ref="E600:E610" si="27">HYPERLINK("https://www.google.ru/search?q=VN000CQFCPM&amp;newwindow=1&amp;tbm=isch","Еще фото")</f>
        <v>Еще фото</v>
      </c>
      <c r="F600" s="13"/>
      <c r="G600" s="11" t="s">
        <v>394</v>
      </c>
      <c r="H600" s="11" t="s">
        <v>151</v>
      </c>
      <c r="I600" s="14" t="s">
        <v>424</v>
      </c>
      <c r="J600" s="14" t="s">
        <v>29</v>
      </c>
      <c r="K600" s="15" t="s">
        <v>55</v>
      </c>
      <c r="L600" s="86" t="s">
        <v>762</v>
      </c>
      <c r="M600" s="14"/>
      <c r="N600" s="14" t="s">
        <v>763</v>
      </c>
      <c r="O600" s="14"/>
      <c r="P600" s="15" t="s">
        <v>764</v>
      </c>
      <c r="Q600" s="16">
        <v>19999</v>
      </c>
      <c r="R600" s="17">
        <v>55.86</v>
      </c>
      <c r="S600" s="18">
        <v>10151.9355</v>
      </c>
      <c r="T600" s="19" t="s">
        <v>117</v>
      </c>
      <c r="U600" s="20" t="s">
        <v>741</v>
      </c>
      <c r="V600" s="30">
        <v>37.5</v>
      </c>
      <c r="W600" s="21">
        <v>3</v>
      </c>
      <c r="X600" s="22"/>
    </row>
    <row r="601" spans="1:24" s="1" customFormat="1" ht="11.1" customHeight="1" x14ac:dyDescent="0.3">
      <c r="A601" s="23" t="s">
        <v>719</v>
      </c>
      <c r="B601" s="23" t="s">
        <v>760</v>
      </c>
      <c r="C601" s="12" t="s">
        <v>761</v>
      </c>
      <c r="D601" s="84"/>
      <c r="E601" s="69" t="str">
        <f t="shared" si="27"/>
        <v>Еще фото</v>
      </c>
      <c r="F601" s="13"/>
      <c r="G601" s="23" t="s">
        <v>394</v>
      </c>
      <c r="H601" s="23" t="s">
        <v>151</v>
      </c>
      <c r="I601" s="23" t="s">
        <v>424</v>
      </c>
      <c r="J601" s="14" t="s">
        <v>29</v>
      </c>
      <c r="K601" s="15" t="s">
        <v>55</v>
      </c>
      <c r="L601" s="87"/>
      <c r="M601" s="14"/>
      <c r="N601" s="14" t="s">
        <v>763</v>
      </c>
      <c r="O601" s="14"/>
      <c r="P601" s="15" t="s">
        <v>764</v>
      </c>
      <c r="Q601" s="16">
        <v>19999</v>
      </c>
      <c r="R601" s="17">
        <v>55.86</v>
      </c>
      <c r="S601" s="18">
        <v>10151.9355</v>
      </c>
      <c r="T601" s="19" t="s">
        <v>117</v>
      </c>
      <c r="U601" s="20" t="s">
        <v>742</v>
      </c>
      <c r="V601" s="21">
        <v>38</v>
      </c>
      <c r="W601" s="21">
        <v>5</v>
      </c>
      <c r="X601" s="22"/>
    </row>
    <row r="602" spans="1:24" s="1" customFormat="1" ht="11.1" customHeight="1" x14ac:dyDescent="0.3">
      <c r="A602" s="23" t="s">
        <v>719</v>
      </c>
      <c r="B602" s="23" t="s">
        <v>760</v>
      </c>
      <c r="C602" s="12" t="s">
        <v>761</v>
      </c>
      <c r="D602" s="84"/>
      <c r="E602" s="69" t="str">
        <f t="shared" si="27"/>
        <v>Еще фото</v>
      </c>
      <c r="F602" s="13"/>
      <c r="G602" s="23" t="s">
        <v>394</v>
      </c>
      <c r="H602" s="23" t="s">
        <v>151</v>
      </c>
      <c r="I602" s="23" t="s">
        <v>424</v>
      </c>
      <c r="J602" s="14" t="s">
        <v>29</v>
      </c>
      <c r="K602" s="15" t="s">
        <v>55</v>
      </c>
      <c r="L602" s="87"/>
      <c r="M602" s="14"/>
      <c r="N602" s="14" t="s">
        <v>763</v>
      </c>
      <c r="O602" s="14"/>
      <c r="P602" s="15" t="s">
        <v>764</v>
      </c>
      <c r="Q602" s="16">
        <v>19999</v>
      </c>
      <c r="R602" s="17">
        <v>55.86</v>
      </c>
      <c r="S602" s="18">
        <v>10151.9355</v>
      </c>
      <c r="T602" s="19" t="s">
        <v>117</v>
      </c>
      <c r="U602" s="20" t="s">
        <v>743</v>
      </c>
      <c r="V602" s="30">
        <v>38.5</v>
      </c>
      <c r="W602" s="21">
        <v>6</v>
      </c>
      <c r="X602" s="22"/>
    </row>
    <row r="603" spans="1:24" s="1" customFormat="1" ht="11.1" customHeight="1" x14ac:dyDescent="0.3">
      <c r="A603" s="23" t="s">
        <v>719</v>
      </c>
      <c r="B603" s="23" t="s">
        <v>760</v>
      </c>
      <c r="C603" s="12" t="s">
        <v>761</v>
      </c>
      <c r="D603" s="84"/>
      <c r="E603" s="69" t="str">
        <f t="shared" si="27"/>
        <v>Еще фото</v>
      </c>
      <c r="F603" s="13"/>
      <c r="G603" s="23" t="s">
        <v>394</v>
      </c>
      <c r="H603" s="23" t="s">
        <v>151</v>
      </c>
      <c r="I603" s="23" t="s">
        <v>424</v>
      </c>
      <c r="J603" s="14" t="s">
        <v>29</v>
      </c>
      <c r="K603" s="15" t="s">
        <v>55</v>
      </c>
      <c r="L603" s="87"/>
      <c r="M603" s="14"/>
      <c r="N603" s="14" t="s">
        <v>763</v>
      </c>
      <c r="O603" s="14"/>
      <c r="P603" s="15" t="s">
        <v>764</v>
      </c>
      <c r="Q603" s="16">
        <v>19999</v>
      </c>
      <c r="R603" s="17">
        <v>55.86</v>
      </c>
      <c r="S603" s="18">
        <v>10151.9355</v>
      </c>
      <c r="T603" s="19" t="s">
        <v>117</v>
      </c>
      <c r="U603" s="20" t="s">
        <v>730</v>
      </c>
      <c r="V603" s="30">
        <v>39.5</v>
      </c>
      <c r="W603" s="21">
        <v>3</v>
      </c>
      <c r="X603" s="22"/>
    </row>
    <row r="604" spans="1:24" s="1" customFormat="1" ht="11.1" customHeight="1" x14ac:dyDescent="0.3">
      <c r="A604" s="23" t="s">
        <v>719</v>
      </c>
      <c r="B604" s="23" t="s">
        <v>760</v>
      </c>
      <c r="C604" s="12" t="s">
        <v>761</v>
      </c>
      <c r="D604" s="84"/>
      <c r="E604" s="69" t="str">
        <f t="shared" si="27"/>
        <v>Еще фото</v>
      </c>
      <c r="F604" s="13"/>
      <c r="G604" s="23" t="s">
        <v>394</v>
      </c>
      <c r="H604" s="23" t="s">
        <v>151</v>
      </c>
      <c r="I604" s="23" t="s">
        <v>424</v>
      </c>
      <c r="J604" s="14" t="s">
        <v>29</v>
      </c>
      <c r="K604" s="15" t="s">
        <v>55</v>
      </c>
      <c r="L604" s="87"/>
      <c r="M604" s="14"/>
      <c r="N604" s="14" t="s">
        <v>763</v>
      </c>
      <c r="O604" s="14"/>
      <c r="P604" s="15" t="s">
        <v>764</v>
      </c>
      <c r="Q604" s="16">
        <v>19999</v>
      </c>
      <c r="R604" s="17">
        <v>55.86</v>
      </c>
      <c r="S604" s="18">
        <v>10151.9355</v>
      </c>
      <c r="T604" s="19" t="s">
        <v>117</v>
      </c>
      <c r="U604" s="20" t="s">
        <v>744</v>
      </c>
      <c r="V604" s="21">
        <v>40</v>
      </c>
      <c r="W604" s="21">
        <v>2</v>
      </c>
      <c r="X604" s="22"/>
    </row>
    <row r="605" spans="1:24" s="1" customFormat="1" ht="11.1" customHeight="1" x14ac:dyDescent="0.3">
      <c r="A605" s="23" t="s">
        <v>719</v>
      </c>
      <c r="B605" s="23" t="s">
        <v>760</v>
      </c>
      <c r="C605" s="12" t="s">
        <v>761</v>
      </c>
      <c r="D605" s="84"/>
      <c r="E605" s="69" t="str">
        <f t="shared" si="27"/>
        <v>Еще фото</v>
      </c>
      <c r="F605" s="13"/>
      <c r="G605" s="23" t="s">
        <v>394</v>
      </c>
      <c r="H605" s="23" t="s">
        <v>151</v>
      </c>
      <c r="I605" s="23" t="s">
        <v>424</v>
      </c>
      <c r="J605" s="14" t="s">
        <v>29</v>
      </c>
      <c r="K605" s="15" t="s">
        <v>55</v>
      </c>
      <c r="L605" s="87"/>
      <c r="M605" s="14"/>
      <c r="N605" s="14" t="s">
        <v>763</v>
      </c>
      <c r="O605" s="14"/>
      <c r="P605" s="15" t="s">
        <v>764</v>
      </c>
      <c r="Q605" s="16">
        <v>19999</v>
      </c>
      <c r="R605" s="17">
        <v>55.86</v>
      </c>
      <c r="S605" s="18">
        <v>10151.9355</v>
      </c>
      <c r="T605" s="19" t="s">
        <v>117</v>
      </c>
      <c r="U605" s="20" t="s">
        <v>731</v>
      </c>
      <c r="V605" s="30">
        <v>40.5</v>
      </c>
      <c r="W605" s="21">
        <v>4</v>
      </c>
      <c r="X605" s="22"/>
    </row>
    <row r="606" spans="1:24" s="1" customFormat="1" ht="11.1" customHeight="1" x14ac:dyDescent="0.3">
      <c r="A606" s="23" t="s">
        <v>719</v>
      </c>
      <c r="B606" s="23" t="s">
        <v>760</v>
      </c>
      <c r="C606" s="12" t="s">
        <v>761</v>
      </c>
      <c r="D606" s="84"/>
      <c r="E606" s="69" t="str">
        <f t="shared" si="27"/>
        <v>Еще фото</v>
      </c>
      <c r="F606" s="13"/>
      <c r="G606" s="23" t="s">
        <v>394</v>
      </c>
      <c r="H606" s="23" t="s">
        <v>151</v>
      </c>
      <c r="I606" s="23" t="s">
        <v>424</v>
      </c>
      <c r="J606" s="14" t="s">
        <v>29</v>
      </c>
      <c r="K606" s="15" t="s">
        <v>55</v>
      </c>
      <c r="L606" s="87"/>
      <c r="M606" s="14"/>
      <c r="N606" s="14" t="s">
        <v>763</v>
      </c>
      <c r="O606" s="14"/>
      <c r="P606" s="15" t="s">
        <v>764</v>
      </c>
      <c r="Q606" s="16">
        <v>19999</v>
      </c>
      <c r="R606" s="17">
        <v>55.86</v>
      </c>
      <c r="S606" s="18">
        <v>10151.9355</v>
      </c>
      <c r="T606" s="19" t="s">
        <v>117</v>
      </c>
      <c r="U606" s="20" t="s">
        <v>735</v>
      </c>
      <c r="V606" s="21">
        <v>41</v>
      </c>
      <c r="W606" s="21">
        <v>8</v>
      </c>
      <c r="X606" s="22"/>
    </row>
    <row r="607" spans="1:24" s="1" customFormat="1" ht="11.1" customHeight="1" x14ac:dyDescent="0.3">
      <c r="A607" s="23" t="s">
        <v>719</v>
      </c>
      <c r="B607" s="23" t="s">
        <v>760</v>
      </c>
      <c r="C607" s="12" t="s">
        <v>761</v>
      </c>
      <c r="D607" s="84"/>
      <c r="E607" s="69" t="str">
        <f t="shared" si="27"/>
        <v>Еще фото</v>
      </c>
      <c r="F607" s="13"/>
      <c r="G607" s="23" t="s">
        <v>394</v>
      </c>
      <c r="H607" s="23" t="s">
        <v>151</v>
      </c>
      <c r="I607" s="23" t="s">
        <v>424</v>
      </c>
      <c r="J607" s="14" t="s">
        <v>29</v>
      </c>
      <c r="K607" s="15" t="s">
        <v>55</v>
      </c>
      <c r="L607" s="87"/>
      <c r="M607" s="14"/>
      <c r="N607" s="14" t="s">
        <v>763</v>
      </c>
      <c r="O607" s="14"/>
      <c r="P607" s="15" t="s">
        <v>764</v>
      </c>
      <c r="Q607" s="16">
        <v>19999</v>
      </c>
      <c r="R607" s="17">
        <v>55.86</v>
      </c>
      <c r="S607" s="18">
        <v>10151.9355</v>
      </c>
      <c r="T607" s="19" t="s">
        <v>117</v>
      </c>
      <c r="U607" s="20" t="s">
        <v>758</v>
      </c>
      <c r="V607" s="21">
        <v>42</v>
      </c>
      <c r="W607" s="21">
        <v>10</v>
      </c>
      <c r="X607" s="22"/>
    </row>
    <row r="608" spans="1:24" s="1" customFormat="1" ht="11.1" customHeight="1" x14ac:dyDescent="0.3">
      <c r="A608" s="23" t="s">
        <v>719</v>
      </c>
      <c r="B608" s="23" t="s">
        <v>760</v>
      </c>
      <c r="C608" s="12" t="s">
        <v>761</v>
      </c>
      <c r="D608" s="84"/>
      <c r="E608" s="69" t="str">
        <f t="shared" si="27"/>
        <v>Еще фото</v>
      </c>
      <c r="F608" s="13"/>
      <c r="G608" s="23" t="s">
        <v>394</v>
      </c>
      <c r="H608" s="23" t="s">
        <v>151</v>
      </c>
      <c r="I608" s="23" t="s">
        <v>424</v>
      </c>
      <c r="J608" s="14" t="s">
        <v>29</v>
      </c>
      <c r="K608" s="15" t="s">
        <v>55</v>
      </c>
      <c r="L608" s="87"/>
      <c r="M608" s="14"/>
      <c r="N608" s="14" t="s">
        <v>763</v>
      </c>
      <c r="O608" s="14"/>
      <c r="P608" s="15" t="s">
        <v>764</v>
      </c>
      <c r="Q608" s="16">
        <v>19999</v>
      </c>
      <c r="R608" s="17">
        <v>55.86</v>
      </c>
      <c r="S608" s="18">
        <v>10151.9355</v>
      </c>
      <c r="T608" s="19" t="s">
        <v>117</v>
      </c>
      <c r="U608" s="20" t="s">
        <v>750</v>
      </c>
      <c r="V608" s="30">
        <v>42.5</v>
      </c>
      <c r="W608" s="21">
        <v>10</v>
      </c>
      <c r="X608" s="22"/>
    </row>
    <row r="609" spans="1:24" s="1" customFormat="1" ht="11.1" customHeight="1" x14ac:dyDescent="0.3">
      <c r="A609" s="14" t="s">
        <v>719</v>
      </c>
      <c r="B609" s="14" t="s">
        <v>760</v>
      </c>
      <c r="C609" s="12" t="s">
        <v>761</v>
      </c>
      <c r="D609" s="84"/>
      <c r="E609" s="69" t="str">
        <f t="shared" si="27"/>
        <v>Еще фото</v>
      </c>
      <c r="F609" s="36"/>
      <c r="G609" s="14" t="s">
        <v>394</v>
      </c>
      <c r="H609" s="14" t="s">
        <v>151</v>
      </c>
      <c r="I609" s="14" t="s">
        <v>424</v>
      </c>
      <c r="J609" s="14" t="s">
        <v>29</v>
      </c>
      <c r="K609" s="14" t="s">
        <v>55</v>
      </c>
      <c r="L609" s="87"/>
      <c r="M609" s="14"/>
      <c r="N609" s="14" t="s">
        <v>763</v>
      </c>
      <c r="O609" s="14"/>
      <c r="P609" s="14" t="s">
        <v>764</v>
      </c>
      <c r="Q609" s="33">
        <v>19999</v>
      </c>
      <c r="R609" s="34">
        <v>55.86</v>
      </c>
      <c r="S609" s="35">
        <v>10151.9355</v>
      </c>
      <c r="T609" s="19" t="s">
        <v>117</v>
      </c>
      <c r="U609" s="20" t="s">
        <v>759</v>
      </c>
      <c r="V609" s="30">
        <v>43.5</v>
      </c>
      <c r="W609" s="21">
        <v>5</v>
      </c>
      <c r="X609" s="22"/>
    </row>
    <row r="610" spans="1:24" s="1" customFormat="1" ht="11.1" customHeight="1" x14ac:dyDescent="0.3">
      <c r="A610" s="14" t="s">
        <v>719</v>
      </c>
      <c r="B610" s="14" t="s">
        <v>760</v>
      </c>
      <c r="C610" s="12" t="s">
        <v>761</v>
      </c>
      <c r="D610" s="85"/>
      <c r="E610" s="69" t="str">
        <f t="shared" si="27"/>
        <v>Еще фото</v>
      </c>
      <c r="F610" s="36"/>
      <c r="G610" s="14" t="s">
        <v>394</v>
      </c>
      <c r="H610" s="14" t="s">
        <v>151</v>
      </c>
      <c r="I610" s="14" t="s">
        <v>424</v>
      </c>
      <c r="J610" s="14" t="s">
        <v>29</v>
      </c>
      <c r="K610" s="14" t="s">
        <v>55</v>
      </c>
      <c r="L610" s="88"/>
      <c r="M610" s="14"/>
      <c r="N610" s="14" t="s">
        <v>763</v>
      </c>
      <c r="O610" s="14"/>
      <c r="P610" s="14" t="s">
        <v>764</v>
      </c>
      <c r="Q610" s="33">
        <v>19999</v>
      </c>
      <c r="R610" s="34">
        <v>55.86</v>
      </c>
      <c r="S610" s="35">
        <v>10151.9355</v>
      </c>
      <c r="T610" s="19" t="s">
        <v>117</v>
      </c>
      <c r="U610" s="20" t="s">
        <v>43</v>
      </c>
      <c r="V610" s="21">
        <v>44</v>
      </c>
      <c r="W610" s="21">
        <v>3</v>
      </c>
      <c r="X610" s="22"/>
    </row>
    <row r="611" spans="1:24" s="1" customFormat="1" ht="11.1" customHeight="1" x14ac:dyDescent="0.3">
      <c r="A611" s="11" t="s">
        <v>719</v>
      </c>
      <c r="B611" s="11" t="s">
        <v>765</v>
      </c>
      <c r="C611" s="12" t="s">
        <v>766</v>
      </c>
      <c r="D611" s="83"/>
      <c r="E611" s="69" t="str">
        <f t="shared" ref="E611:E619" si="28">HYPERLINK("https://www.google.ru/search?q=VN000CQFINK&amp;newwindow=1&amp;tbm=isch","Еще фото")</f>
        <v>Еще фото</v>
      </c>
      <c r="F611" s="13"/>
      <c r="G611" s="11" t="s">
        <v>394</v>
      </c>
      <c r="H611" s="11" t="s">
        <v>151</v>
      </c>
      <c r="I611" s="14" t="s">
        <v>424</v>
      </c>
      <c r="J611" s="14" t="s">
        <v>29</v>
      </c>
      <c r="K611" s="15" t="s">
        <v>55</v>
      </c>
      <c r="L611" s="86" t="s">
        <v>762</v>
      </c>
      <c r="M611" s="14"/>
      <c r="N611" s="14" t="s">
        <v>767</v>
      </c>
      <c r="O611" s="14"/>
      <c r="P611" s="15" t="s">
        <v>764</v>
      </c>
      <c r="Q611" s="16">
        <v>19999</v>
      </c>
      <c r="R611" s="17">
        <v>55.86</v>
      </c>
      <c r="S611" s="18">
        <v>10151.9355</v>
      </c>
      <c r="T611" s="19" t="s">
        <v>117</v>
      </c>
      <c r="U611" s="20" t="s">
        <v>741</v>
      </c>
      <c r="V611" s="30">
        <v>37.5</v>
      </c>
      <c r="W611" s="21">
        <v>1</v>
      </c>
      <c r="X611" s="22"/>
    </row>
    <row r="612" spans="1:24" s="1" customFormat="1" ht="11.1" customHeight="1" x14ac:dyDescent="0.3">
      <c r="A612" s="23" t="s">
        <v>719</v>
      </c>
      <c r="B612" s="23" t="s">
        <v>765</v>
      </c>
      <c r="C612" s="12" t="s">
        <v>766</v>
      </c>
      <c r="D612" s="84"/>
      <c r="E612" s="69" t="str">
        <f t="shared" si="28"/>
        <v>Еще фото</v>
      </c>
      <c r="F612" s="13"/>
      <c r="G612" s="23" t="s">
        <v>394</v>
      </c>
      <c r="H612" s="23" t="s">
        <v>151</v>
      </c>
      <c r="I612" s="23" t="s">
        <v>424</v>
      </c>
      <c r="J612" s="14" t="s">
        <v>29</v>
      </c>
      <c r="K612" s="15" t="s">
        <v>55</v>
      </c>
      <c r="L612" s="87"/>
      <c r="M612" s="14"/>
      <c r="N612" s="14" t="s">
        <v>767</v>
      </c>
      <c r="O612" s="14"/>
      <c r="P612" s="15" t="s">
        <v>764</v>
      </c>
      <c r="Q612" s="16">
        <v>19999</v>
      </c>
      <c r="R612" s="17">
        <v>55.86</v>
      </c>
      <c r="S612" s="18">
        <v>10151.9355</v>
      </c>
      <c r="T612" s="19" t="s">
        <v>117</v>
      </c>
      <c r="U612" s="20" t="s">
        <v>742</v>
      </c>
      <c r="V612" s="21">
        <v>38</v>
      </c>
      <c r="W612" s="21">
        <v>3</v>
      </c>
      <c r="X612" s="22"/>
    </row>
    <row r="613" spans="1:24" s="1" customFormat="1" ht="11.1" customHeight="1" x14ac:dyDescent="0.3">
      <c r="A613" s="23" t="s">
        <v>719</v>
      </c>
      <c r="B613" s="23" t="s">
        <v>765</v>
      </c>
      <c r="C613" s="12" t="s">
        <v>766</v>
      </c>
      <c r="D613" s="84"/>
      <c r="E613" s="69" t="str">
        <f t="shared" si="28"/>
        <v>Еще фото</v>
      </c>
      <c r="F613" s="13"/>
      <c r="G613" s="23" t="s">
        <v>394</v>
      </c>
      <c r="H613" s="23" t="s">
        <v>151</v>
      </c>
      <c r="I613" s="23" t="s">
        <v>424</v>
      </c>
      <c r="J613" s="14" t="s">
        <v>29</v>
      </c>
      <c r="K613" s="15" t="s">
        <v>55</v>
      </c>
      <c r="L613" s="87"/>
      <c r="M613" s="14"/>
      <c r="N613" s="14" t="s">
        <v>767</v>
      </c>
      <c r="O613" s="14"/>
      <c r="P613" s="15" t="s">
        <v>764</v>
      </c>
      <c r="Q613" s="16">
        <v>19999</v>
      </c>
      <c r="R613" s="17">
        <v>55.86</v>
      </c>
      <c r="S613" s="18">
        <v>10151.9355</v>
      </c>
      <c r="T613" s="19" t="s">
        <v>117</v>
      </c>
      <c r="U613" s="20" t="s">
        <v>743</v>
      </c>
      <c r="V613" s="30">
        <v>38.5</v>
      </c>
      <c r="W613" s="21">
        <v>2</v>
      </c>
      <c r="X613" s="22"/>
    </row>
    <row r="614" spans="1:24" s="1" customFormat="1" ht="11.1" customHeight="1" x14ac:dyDescent="0.3">
      <c r="A614" s="23" t="s">
        <v>719</v>
      </c>
      <c r="B614" s="23" t="s">
        <v>765</v>
      </c>
      <c r="C614" s="12" t="s">
        <v>766</v>
      </c>
      <c r="D614" s="84"/>
      <c r="E614" s="69" t="str">
        <f t="shared" si="28"/>
        <v>Еще фото</v>
      </c>
      <c r="F614" s="13"/>
      <c r="G614" s="23" t="s">
        <v>394</v>
      </c>
      <c r="H614" s="23" t="s">
        <v>151</v>
      </c>
      <c r="I614" s="23" t="s">
        <v>424</v>
      </c>
      <c r="J614" s="14" t="s">
        <v>29</v>
      </c>
      <c r="K614" s="15" t="s">
        <v>55</v>
      </c>
      <c r="L614" s="87"/>
      <c r="M614" s="14"/>
      <c r="N614" s="14" t="s">
        <v>767</v>
      </c>
      <c r="O614" s="14"/>
      <c r="P614" s="15" t="s">
        <v>764</v>
      </c>
      <c r="Q614" s="16">
        <v>19999</v>
      </c>
      <c r="R614" s="17">
        <v>55.86</v>
      </c>
      <c r="S614" s="18">
        <v>10151.9355</v>
      </c>
      <c r="T614" s="19" t="s">
        <v>117</v>
      </c>
      <c r="U614" s="20" t="s">
        <v>730</v>
      </c>
      <c r="V614" s="30">
        <v>39.5</v>
      </c>
      <c r="W614" s="21">
        <v>4</v>
      </c>
      <c r="X614" s="22"/>
    </row>
    <row r="615" spans="1:24" s="1" customFormat="1" ht="11.1" customHeight="1" x14ac:dyDescent="0.3">
      <c r="A615" s="23" t="s">
        <v>719</v>
      </c>
      <c r="B615" s="23" t="s">
        <v>765</v>
      </c>
      <c r="C615" s="12" t="s">
        <v>766</v>
      </c>
      <c r="D615" s="84"/>
      <c r="E615" s="69" t="str">
        <f t="shared" si="28"/>
        <v>Еще фото</v>
      </c>
      <c r="F615" s="13"/>
      <c r="G615" s="23" t="s">
        <v>394</v>
      </c>
      <c r="H615" s="23" t="s">
        <v>151</v>
      </c>
      <c r="I615" s="23" t="s">
        <v>424</v>
      </c>
      <c r="J615" s="14" t="s">
        <v>29</v>
      </c>
      <c r="K615" s="15" t="s">
        <v>55</v>
      </c>
      <c r="L615" s="87"/>
      <c r="M615" s="14"/>
      <c r="N615" s="14" t="s">
        <v>767</v>
      </c>
      <c r="O615" s="14"/>
      <c r="P615" s="15" t="s">
        <v>764</v>
      </c>
      <c r="Q615" s="16">
        <v>19999</v>
      </c>
      <c r="R615" s="17">
        <v>55.86</v>
      </c>
      <c r="S615" s="18">
        <v>10151.9355</v>
      </c>
      <c r="T615" s="19" t="s">
        <v>117</v>
      </c>
      <c r="U615" s="20" t="s">
        <v>744</v>
      </c>
      <c r="V615" s="21">
        <v>40</v>
      </c>
      <c r="W615" s="21">
        <v>4</v>
      </c>
      <c r="X615" s="22"/>
    </row>
    <row r="616" spans="1:24" s="1" customFormat="1" ht="11.1" customHeight="1" x14ac:dyDescent="0.3">
      <c r="A616" s="23" t="s">
        <v>719</v>
      </c>
      <c r="B616" s="23" t="s">
        <v>765</v>
      </c>
      <c r="C616" s="12" t="s">
        <v>766</v>
      </c>
      <c r="D616" s="84"/>
      <c r="E616" s="69" t="str">
        <f t="shared" si="28"/>
        <v>Еще фото</v>
      </c>
      <c r="F616" s="13"/>
      <c r="G616" s="23" t="s">
        <v>394</v>
      </c>
      <c r="H616" s="23" t="s">
        <v>151</v>
      </c>
      <c r="I616" s="23" t="s">
        <v>424</v>
      </c>
      <c r="J616" s="14" t="s">
        <v>29</v>
      </c>
      <c r="K616" s="15" t="s">
        <v>55</v>
      </c>
      <c r="L616" s="87"/>
      <c r="M616" s="14"/>
      <c r="N616" s="14" t="s">
        <v>767</v>
      </c>
      <c r="O616" s="14"/>
      <c r="P616" s="15" t="s">
        <v>764</v>
      </c>
      <c r="Q616" s="16">
        <v>19999</v>
      </c>
      <c r="R616" s="17">
        <v>55.86</v>
      </c>
      <c r="S616" s="18">
        <v>10151.9355</v>
      </c>
      <c r="T616" s="19" t="s">
        <v>117</v>
      </c>
      <c r="U616" s="20" t="s">
        <v>731</v>
      </c>
      <c r="V616" s="30">
        <v>40.5</v>
      </c>
      <c r="W616" s="21">
        <v>2</v>
      </c>
      <c r="X616" s="22"/>
    </row>
    <row r="617" spans="1:24" s="1" customFormat="1" ht="11.1" customHeight="1" x14ac:dyDescent="0.3">
      <c r="A617" s="23" t="s">
        <v>719</v>
      </c>
      <c r="B617" s="23" t="s">
        <v>765</v>
      </c>
      <c r="C617" s="12" t="s">
        <v>766</v>
      </c>
      <c r="D617" s="84"/>
      <c r="E617" s="69" t="str">
        <f t="shared" si="28"/>
        <v>Еще фото</v>
      </c>
      <c r="F617" s="13"/>
      <c r="G617" s="23" t="s">
        <v>394</v>
      </c>
      <c r="H617" s="23" t="s">
        <v>151</v>
      </c>
      <c r="I617" s="23" t="s">
        <v>424</v>
      </c>
      <c r="J617" s="14" t="s">
        <v>29</v>
      </c>
      <c r="K617" s="15" t="s">
        <v>55</v>
      </c>
      <c r="L617" s="87"/>
      <c r="M617" s="14"/>
      <c r="N617" s="14" t="s">
        <v>767</v>
      </c>
      <c r="O617" s="14"/>
      <c r="P617" s="15" t="s">
        <v>764</v>
      </c>
      <c r="Q617" s="16">
        <v>19999</v>
      </c>
      <c r="R617" s="17">
        <v>55.86</v>
      </c>
      <c r="S617" s="18">
        <v>10151.9355</v>
      </c>
      <c r="T617" s="19" t="s">
        <v>117</v>
      </c>
      <c r="U617" s="20" t="s">
        <v>735</v>
      </c>
      <c r="V617" s="21">
        <v>41</v>
      </c>
      <c r="W617" s="21">
        <v>2</v>
      </c>
      <c r="X617" s="22"/>
    </row>
    <row r="618" spans="1:24" s="1" customFormat="1" ht="11.1" customHeight="1" x14ac:dyDescent="0.3">
      <c r="A618" s="23" t="s">
        <v>719</v>
      </c>
      <c r="B618" s="23" t="s">
        <v>765</v>
      </c>
      <c r="C618" s="12" t="s">
        <v>766</v>
      </c>
      <c r="D618" s="84"/>
      <c r="E618" s="69" t="str">
        <f t="shared" si="28"/>
        <v>Еще фото</v>
      </c>
      <c r="F618" s="13"/>
      <c r="G618" s="23" t="s">
        <v>394</v>
      </c>
      <c r="H618" s="23" t="s">
        <v>151</v>
      </c>
      <c r="I618" s="23" t="s">
        <v>424</v>
      </c>
      <c r="J618" s="14" t="s">
        <v>29</v>
      </c>
      <c r="K618" s="15" t="s">
        <v>55</v>
      </c>
      <c r="L618" s="87"/>
      <c r="M618" s="14"/>
      <c r="N618" s="14" t="s">
        <v>767</v>
      </c>
      <c r="O618" s="14"/>
      <c r="P618" s="15" t="s">
        <v>764</v>
      </c>
      <c r="Q618" s="16">
        <v>19999</v>
      </c>
      <c r="R618" s="17">
        <v>55.86</v>
      </c>
      <c r="S618" s="18">
        <v>10151.9355</v>
      </c>
      <c r="T618" s="19" t="s">
        <v>117</v>
      </c>
      <c r="U618" s="20" t="s">
        <v>758</v>
      </c>
      <c r="V618" s="21">
        <v>42</v>
      </c>
      <c r="W618" s="21">
        <v>5</v>
      </c>
      <c r="X618" s="22"/>
    </row>
    <row r="619" spans="1:24" s="1" customFormat="1" ht="11.1" customHeight="1" x14ac:dyDescent="0.3">
      <c r="A619" s="23" t="s">
        <v>719</v>
      </c>
      <c r="B619" s="23" t="s">
        <v>765</v>
      </c>
      <c r="C619" s="12" t="s">
        <v>766</v>
      </c>
      <c r="D619" s="85"/>
      <c r="E619" s="69" t="str">
        <f t="shared" si="28"/>
        <v>Еще фото</v>
      </c>
      <c r="F619" s="13"/>
      <c r="G619" s="23" t="s">
        <v>394</v>
      </c>
      <c r="H619" s="23" t="s">
        <v>151</v>
      </c>
      <c r="I619" s="23" t="s">
        <v>424</v>
      </c>
      <c r="J619" s="14" t="s">
        <v>29</v>
      </c>
      <c r="K619" s="15" t="s">
        <v>55</v>
      </c>
      <c r="L619" s="88"/>
      <c r="M619" s="14"/>
      <c r="N619" s="14" t="s">
        <v>767</v>
      </c>
      <c r="O619" s="14"/>
      <c r="P619" s="15" t="s">
        <v>764</v>
      </c>
      <c r="Q619" s="16">
        <v>19999</v>
      </c>
      <c r="R619" s="17">
        <v>55.86</v>
      </c>
      <c r="S619" s="18">
        <v>10151.9355</v>
      </c>
      <c r="T619" s="19" t="s">
        <v>117</v>
      </c>
      <c r="U619" s="20" t="s">
        <v>750</v>
      </c>
      <c r="V619" s="30">
        <v>42.5</v>
      </c>
      <c r="W619" s="21">
        <v>1</v>
      </c>
      <c r="X619" s="22"/>
    </row>
    <row r="620" spans="1:24" s="1" customFormat="1" ht="21" customHeight="1" x14ac:dyDescent="0.3">
      <c r="A620" s="11" t="s">
        <v>719</v>
      </c>
      <c r="B620" s="11" t="s">
        <v>768</v>
      </c>
      <c r="C620" s="27" t="s">
        <v>769</v>
      </c>
      <c r="D620" s="83"/>
      <c r="E620" s="69" t="str">
        <f>HYPERLINK("https://www.google.ru/search?q=VN000CQFSTN&amp;newwindow=1&amp;tbm=isch","Еще фото")</f>
        <v>Еще фото</v>
      </c>
      <c r="F620" s="13"/>
      <c r="G620" s="11" t="s">
        <v>394</v>
      </c>
      <c r="H620" s="11" t="s">
        <v>151</v>
      </c>
      <c r="I620" s="14" t="s">
        <v>424</v>
      </c>
      <c r="J620" s="14" t="s">
        <v>29</v>
      </c>
      <c r="K620" s="15" t="s">
        <v>55</v>
      </c>
      <c r="L620" s="86" t="s">
        <v>762</v>
      </c>
      <c r="M620" s="14"/>
      <c r="N620" s="14" t="s">
        <v>275</v>
      </c>
      <c r="O620" s="14"/>
      <c r="P620" s="15" t="s">
        <v>764</v>
      </c>
      <c r="Q620" s="16">
        <v>19999</v>
      </c>
      <c r="R620" s="17">
        <v>55.86</v>
      </c>
      <c r="S620" s="18">
        <v>10151.9355</v>
      </c>
      <c r="T620" s="19" t="s">
        <v>117</v>
      </c>
      <c r="U620" s="20" t="s">
        <v>735</v>
      </c>
      <c r="V620" s="21">
        <v>41</v>
      </c>
      <c r="W620" s="21">
        <v>6</v>
      </c>
      <c r="X620" s="22"/>
    </row>
    <row r="621" spans="1:24" s="1" customFormat="1" ht="21" customHeight="1" x14ac:dyDescent="0.3">
      <c r="A621" s="23" t="s">
        <v>719</v>
      </c>
      <c r="B621" s="23" t="s">
        <v>768</v>
      </c>
      <c r="C621" s="28" t="s">
        <v>769</v>
      </c>
      <c r="D621" s="84"/>
      <c r="E621" s="69" t="str">
        <f>HYPERLINK("https://www.google.ru/search?q=VN000CQFSTN&amp;newwindow=1&amp;tbm=isch","Еще фото")</f>
        <v>Еще фото</v>
      </c>
      <c r="F621" s="13"/>
      <c r="G621" s="23" t="s">
        <v>394</v>
      </c>
      <c r="H621" s="23" t="s">
        <v>151</v>
      </c>
      <c r="I621" s="23" t="s">
        <v>424</v>
      </c>
      <c r="J621" s="14" t="s">
        <v>29</v>
      </c>
      <c r="K621" s="15" t="s">
        <v>55</v>
      </c>
      <c r="L621" s="87"/>
      <c r="M621" s="14"/>
      <c r="N621" s="14" t="s">
        <v>275</v>
      </c>
      <c r="O621" s="14"/>
      <c r="P621" s="15" t="s">
        <v>764</v>
      </c>
      <c r="Q621" s="16">
        <v>19999</v>
      </c>
      <c r="R621" s="17">
        <v>55.86</v>
      </c>
      <c r="S621" s="18">
        <v>10151.9355</v>
      </c>
      <c r="T621" s="19" t="s">
        <v>117</v>
      </c>
      <c r="U621" s="20" t="s">
        <v>758</v>
      </c>
      <c r="V621" s="21">
        <v>42</v>
      </c>
      <c r="W621" s="21">
        <v>6</v>
      </c>
      <c r="X621" s="22"/>
    </row>
    <row r="622" spans="1:24" s="1" customFormat="1" ht="21" customHeight="1" x14ac:dyDescent="0.3">
      <c r="A622" s="23" t="s">
        <v>719</v>
      </c>
      <c r="B622" s="23" t="s">
        <v>768</v>
      </c>
      <c r="C622" s="28" t="s">
        <v>769</v>
      </c>
      <c r="D622" s="84"/>
      <c r="E622" s="69" t="str">
        <f>HYPERLINK("https://www.google.ru/search?q=VN000CQFSTN&amp;newwindow=1&amp;tbm=isch","Еще фото")</f>
        <v>Еще фото</v>
      </c>
      <c r="F622" s="13"/>
      <c r="G622" s="23" t="s">
        <v>394</v>
      </c>
      <c r="H622" s="23" t="s">
        <v>151</v>
      </c>
      <c r="I622" s="23" t="s">
        <v>424</v>
      </c>
      <c r="J622" s="14" t="s">
        <v>29</v>
      </c>
      <c r="K622" s="15" t="s">
        <v>55</v>
      </c>
      <c r="L622" s="87"/>
      <c r="M622" s="14"/>
      <c r="N622" s="14" t="s">
        <v>275</v>
      </c>
      <c r="O622" s="14"/>
      <c r="P622" s="15" t="s">
        <v>764</v>
      </c>
      <c r="Q622" s="16">
        <v>19999</v>
      </c>
      <c r="R622" s="17">
        <v>55.86</v>
      </c>
      <c r="S622" s="18">
        <v>10151.9355</v>
      </c>
      <c r="T622" s="19" t="s">
        <v>117</v>
      </c>
      <c r="U622" s="20" t="s">
        <v>750</v>
      </c>
      <c r="V622" s="30">
        <v>42.5</v>
      </c>
      <c r="W622" s="21">
        <v>2</v>
      </c>
      <c r="X622" s="22"/>
    </row>
    <row r="623" spans="1:24" s="1" customFormat="1" ht="21" customHeight="1" x14ac:dyDescent="0.3">
      <c r="A623" s="23" t="s">
        <v>719</v>
      </c>
      <c r="B623" s="23" t="s">
        <v>768</v>
      </c>
      <c r="C623" s="28" t="s">
        <v>769</v>
      </c>
      <c r="D623" s="84"/>
      <c r="E623" s="69" t="str">
        <f>HYPERLINK("https://www.google.ru/search?q=VN000CQFSTN&amp;newwindow=1&amp;tbm=isch","Еще фото")</f>
        <v>Еще фото</v>
      </c>
      <c r="F623" s="13"/>
      <c r="G623" s="23" t="s">
        <v>394</v>
      </c>
      <c r="H623" s="23" t="s">
        <v>151</v>
      </c>
      <c r="I623" s="23" t="s">
        <v>424</v>
      </c>
      <c r="J623" s="14" t="s">
        <v>29</v>
      </c>
      <c r="K623" s="15" t="s">
        <v>55</v>
      </c>
      <c r="L623" s="87"/>
      <c r="M623" s="14"/>
      <c r="N623" s="14" t="s">
        <v>275</v>
      </c>
      <c r="O623" s="14"/>
      <c r="P623" s="15" t="s">
        <v>764</v>
      </c>
      <c r="Q623" s="16">
        <v>19999</v>
      </c>
      <c r="R623" s="17">
        <v>55.86</v>
      </c>
      <c r="S623" s="18">
        <v>10151.9355</v>
      </c>
      <c r="T623" s="19" t="s">
        <v>117</v>
      </c>
      <c r="U623" s="20" t="s">
        <v>759</v>
      </c>
      <c r="V623" s="30">
        <v>43.5</v>
      </c>
      <c r="W623" s="21">
        <v>4</v>
      </c>
      <c r="X623" s="22"/>
    </row>
    <row r="624" spans="1:24" s="1" customFormat="1" ht="32.1" customHeight="1" x14ac:dyDescent="0.3">
      <c r="A624" s="23" t="s">
        <v>719</v>
      </c>
      <c r="B624" s="23" t="s">
        <v>768</v>
      </c>
      <c r="C624" s="28" t="s">
        <v>769</v>
      </c>
      <c r="D624" s="85"/>
      <c r="E624" s="69" t="str">
        <f>HYPERLINK("https://www.google.ru/search?q=VN000CQFSTN&amp;newwindow=1&amp;tbm=isch","Еще фото")</f>
        <v>Еще фото</v>
      </c>
      <c r="F624" s="13"/>
      <c r="G624" s="23" t="s">
        <v>394</v>
      </c>
      <c r="H624" s="23" t="s">
        <v>151</v>
      </c>
      <c r="I624" s="23" t="s">
        <v>424</v>
      </c>
      <c r="J624" s="14" t="s">
        <v>29</v>
      </c>
      <c r="K624" s="15" t="s">
        <v>55</v>
      </c>
      <c r="L624" s="88"/>
      <c r="M624" s="14"/>
      <c r="N624" s="14" t="s">
        <v>275</v>
      </c>
      <c r="O624" s="14"/>
      <c r="P624" s="15" t="s">
        <v>764</v>
      </c>
      <c r="Q624" s="16">
        <v>19999</v>
      </c>
      <c r="R624" s="17">
        <v>55.86</v>
      </c>
      <c r="S624" s="18">
        <v>10151.9355</v>
      </c>
      <c r="T624" s="19" t="s">
        <v>117</v>
      </c>
      <c r="U624" s="20" t="s">
        <v>43</v>
      </c>
      <c r="V624" s="21">
        <v>44</v>
      </c>
      <c r="W624" s="21">
        <v>2</v>
      </c>
      <c r="X624" s="22"/>
    </row>
    <row r="625" spans="1:24" s="1" customFormat="1" ht="26.1" customHeight="1" x14ac:dyDescent="0.3">
      <c r="A625" s="11" t="s">
        <v>719</v>
      </c>
      <c r="B625" s="11" t="s">
        <v>770</v>
      </c>
      <c r="C625" s="12" t="s">
        <v>771</v>
      </c>
      <c r="D625" s="83"/>
      <c r="E625" s="69" t="str">
        <f>HYPERLINK("https://www.google.ru/search?q=VN0A5EE7B7H&amp;newwindow=1&amp;tbm=isch","Еще фото")</f>
        <v>Еще фото</v>
      </c>
      <c r="F625" s="13"/>
      <c r="G625" s="11" t="s">
        <v>722</v>
      </c>
      <c r="H625" s="11" t="s">
        <v>151</v>
      </c>
      <c r="I625" s="14" t="s">
        <v>424</v>
      </c>
      <c r="J625" s="14" t="s">
        <v>29</v>
      </c>
      <c r="K625" s="15" t="s">
        <v>55</v>
      </c>
      <c r="L625" s="86" t="s">
        <v>772</v>
      </c>
      <c r="M625" s="14"/>
      <c r="N625" s="14" t="s">
        <v>49</v>
      </c>
      <c r="O625" s="14"/>
      <c r="P625" s="15" t="s">
        <v>757</v>
      </c>
      <c r="Q625" s="16">
        <v>19999</v>
      </c>
      <c r="R625" s="17">
        <v>49.76</v>
      </c>
      <c r="S625" s="18">
        <v>11554.9355</v>
      </c>
      <c r="T625" s="19" t="s">
        <v>117</v>
      </c>
      <c r="U625" s="20" t="s">
        <v>741</v>
      </c>
      <c r="V625" s="30">
        <v>37.5</v>
      </c>
      <c r="W625" s="21">
        <v>3</v>
      </c>
      <c r="X625" s="22"/>
    </row>
    <row r="626" spans="1:24" s="1" customFormat="1" ht="26.1" customHeight="1" x14ac:dyDescent="0.3">
      <c r="A626" s="23" t="s">
        <v>719</v>
      </c>
      <c r="B626" s="23" t="s">
        <v>770</v>
      </c>
      <c r="C626" s="12" t="s">
        <v>771</v>
      </c>
      <c r="D626" s="84"/>
      <c r="E626" s="69" t="str">
        <f>HYPERLINK("https://www.google.ru/search?q=VN0A5EE7B7H&amp;newwindow=1&amp;tbm=isch","Еще фото")</f>
        <v>Еще фото</v>
      </c>
      <c r="F626" s="13"/>
      <c r="G626" s="23" t="s">
        <v>722</v>
      </c>
      <c r="H626" s="23" t="s">
        <v>151</v>
      </c>
      <c r="I626" s="23" t="s">
        <v>424</v>
      </c>
      <c r="J626" s="14" t="s">
        <v>29</v>
      </c>
      <c r="K626" s="15" t="s">
        <v>55</v>
      </c>
      <c r="L626" s="87"/>
      <c r="M626" s="14"/>
      <c r="N626" s="14" t="s">
        <v>49</v>
      </c>
      <c r="O626" s="14"/>
      <c r="P626" s="15" t="s">
        <v>757</v>
      </c>
      <c r="Q626" s="16">
        <v>19999</v>
      </c>
      <c r="R626" s="17">
        <v>49.76</v>
      </c>
      <c r="S626" s="18">
        <v>11554.9355</v>
      </c>
      <c r="T626" s="19" t="s">
        <v>117</v>
      </c>
      <c r="U626" s="20" t="s">
        <v>742</v>
      </c>
      <c r="V626" s="21">
        <v>38</v>
      </c>
      <c r="W626" s="21">
        <v>3</v>
      </c>
      <c r="X626" s="22"/>
    </row>
    <row r="627" spans="1:24" s="1" customFormat="1" ht="26.1" customHeight="1" x14ac:dyDescent="0.3">
      <c r="A627" s="23" t="s">
        <v>719</v>
      </c>
      <c r="B627" s="23" t="s">
        <v>770</v>
      </c>
      <c r="C627" s="12" t="s">
        <v>771</v>
      </c>
      <c r="D627" s="84"/>
      <c r="E627" s="69" t="str">
        <f>HYPERLINK("https://www.google.ru/search?q=VN0A5EE7B7H&amp;newwindow=1&amp;tbm=isch","Еще фото")</f>
        <v>Еще фото</v>
      </c>
      <c r="F627" s="13"/>
      <c r="G627" s="23" t="s">
        <v>722</v>
      </c>
      <c r="H627" s="23" t="s">
        <v>151</v>
      </c>
      <c r="I627" s="23" t="s">
        <v>424</v>
      </c>
      <c r="J627" s="14" t="s">
        <v>29</v>
      </c>
      <c r="K627" s="15" t="s">
        <v>55</v>
      </c>
      <c r="L627" s="87"/>
      <c r="M627" s="14"/>
      <c r="N627" s="14" t="s">
        <v>49</v>
      </c>
      <c r="O627" s="14"/>
      <c r="P627" s="15" t="s">
        <v>757</v>
      </c>
      <c r="Q627" s="16">
        <v>19999</v>
      </c>
      <c r="R627" s="17">
        <v>49.76</v>
      </c>
      <c r="S627" s="18">
        <v>11554.9355</v>
      </c>
      <c r="T627" s="19" t="s">
        <v>117</v>
      </c>
      <c r="U627" s="20" t="s">
        <v>743</v>
      </c>
      <c r="V627" s="30">
        <v>38.5</v>
      </c>
      <c r="W627" s="21">
        <v>4</v>
      </c>
      <c r="X627" s="22"/>
    </row>
    <row r="628" spans="1:24" s="1" customFormat="1" ht="26.1" customHeight="1" x14ac:dyDescent="0.3">
      <c r="A628" s="23" t="s">
        <v>719</v>
      </c>
      <c r="B628" s="23" t="s">
        <v>770</v>
      </c>
      <c r="C628" s="12" t="s">
        <v>771</v>
      </c>
      <c r="D628" s="85"/>
      <c r="E628" s="69" t="str">
        <f>HYPERLINK("https://www.google.ru/search?q=VN0A5EE7B7H&amp;newwindow=1&amp;tbm=isch","Еще фото")</f>
        <v>Еще фото</v>
      </c>
      <c r="F628" s="13"/>
      <c r="G628" s="23" t="s">
        <v>722</v>
      </c>
      <c r="H628" s="23" t="s">
        <v>151</v>
      </c>
      <c r="I628" s="23" t="s">
        <v>424</v>
      </c>
      <c r="J628" s="14" t="s">
        <v>29</v>
      </c>
      <c r="K628" s="15" t="s">
        <v>55</v>
      </c>
      <c r="L628" s="88"/>
      <c r="M628" s="14"/>
      <c r="N628" s="14" t="s">
        <v>49</v>
      </c>
      <c r="O628" s="14"/>
      <c r="P628" s="15" t="s">
        <v>757</v>
      </c>
      <c r="Q628" s="16">
        <v>19999</v>
      </c>
      <c r="R628" s="17">
        <v>49.76</v>
      </c>
      <c r="S628" s="18">
        <v>11554.9355</v>
      </c>
      <c r="T628" s="19" t="s">
        <v>117</v>
      </c>
      <c r="U628" s="20" t="s">
        <v>744</v>
      </c>
      <c r="V628" s="21">
        <v>40</v>
      </c>
      <c r="W628" s="21">
        <v>1</v>
      </c>
      <c r="X628" s="22"/>
    </row>
    <row r="629" spans="1:24" s="1" customFormat="1" ht="108" customHeight="1" x14ac:dyDescent="0.3">
      <c r="A629" s="11" t="s">
        <v>719</v>
      </c>
      <c r="B629" s="11" t="s">
        <v>773</v>
      </c>
      <c r="C629" s="12" t="s">
        <v>774</v>
      </c>
      <c r="D629" s="24"/>
      <c r="E629" s="69" t="str">
        <f>HYPERLINK("https://www.google.ru/search?q=VN000BCERV2&amp;newwindow=1&amp;tbm=isch","Еще фото")</f>
        <v>Еще фото</v>
      </c>
      <c r="F629" s="13"/>
      <c r="G629" s="11" t="s">
        <v>394</v>
      </c>
      <c r="H629" s="11" t="s">
        <v>151</v>
      </c>
      <c r="I629" s="14" t="s">
        <v>424</v>
      </c>
      <c r="J629" s="14" t="s">
        <v>29</v>
      </c>
      <c r="K629" s="15" t="s">
        <v>55</v>
      </c>
      <c r="L629" s="14" t="s">
        <v>775</v>
      </c>
      <c r="M629" s="14"/>
      <c r="N629" s="14" t="s">
        <v>70</v>
      </c>
      <c r="O629" s="14"/>
      <c r="P629" s="15" t="s">
        <v>776</v>
      </c>
      <c r="Q629" s="16">
        <v>18999</v>
      </c>
      <c r="R629" s="17">
        <v>46.31</v>
      </c>
      <c r="S629" s="18">
        <v>11729.988499999999</v>
      </c>
      <c r="T629" s="19" t="s">
        <v>117</v>
      </c>
      <c r="U629" s="20" t="s">
        <v>730</v>
      </c>
      <c r="V629" s="30">
        <v>39.5</v>
      </c>
      <c r="W629" s="21">
        <v>1</v>
      </c>
      <c r="X629" s="22"/>
    </row>
    <row r="630" spans="1:24" s="1" customFormat="1" ht="108" customHeight="1" x14ac:dyDescent="0.3">
      <c r="A630" s="11" t="s">
        <v>719</v>
      </c>
      <c r="B630" s="11" t="s">
        <v>777</v>
      </c>
      <c r="C630" s="12" t="s">
        <v>778</v>
      </c>
      <c r="D630" s="24"/>
      <c r="E630" s="69" t="str">
        <f>HYPERLINK("https://www.google.ru/search?q=VN000D7ZY7U&amp;newwindow=1&amp;tbm=isch","Еще фото")</f>
        <v>Еще фото</v>
      </c>
      <c r="F630" s="13"/>
      <c r="G630" s="11" t="s">
        <v>484</v>
      </c>
      <c r="H630" s="11" t="s">
        <v>151</v>
      </c>
      <c r="I630" s="14" t="s">
        <v>424</v>
      </c>
      <c r="J630" s="14" t="s">
        <v>29</v>
      </c>
      <c r="K630" s="15" t="s">
        <v>55</v>
      </c>
      <c r="L630" s="14" t="s">
        <v>779</v>
      </c>
      <c r="M630" s="14"/>
      <c r="N630" s="14" t="s">
        <v>49</v>
      </c>
      <c r="O630" s="14"/>
      <c r="P630" s="15" t="s">
        <v>776</v>
      </c>
      <c r="Q630" s="16">
        <v>13899</v>
      </c>
      <c r="R630" s="17">
        <v>46.04</v>
      </c>
      <c r="S630" s="18">
        <v>8624.9884999999995</v>
      </c>
      <c r="T630" s="19" t="s">
        <v>117</v>
      </c>
      <c r="U630" s="20" t="s">
        <v>735</v>
      </c>
      <c r="V630" s="21">
        <v>41</v>
      </c>
      <c r="W630" s="21">
        <v>1</v>
      </c>
      <c r="X630" s="22"/>
    </row>
    <row r="631" spans="1:24" s="1" customFormat="1" ht="26.1" customHeight="1" x14ac:dyDescent="0.3">
      <c r="A631" s="11" t="s">
        <v>719</v>
      </c>
      <c r="B631" s="11" t="s">
        <v>780</v>
      </c>
      <c r="C631" s="12" t="s">
        <v>781</v>
      </c>
      <c r="D631" s="83"/>
      <c r="E631" s="69" t="str">
        <f>HYPERLINK("https://www.google.ru/search?q=V00D3HNVY&amp;newwindow=1&amp;tbm=isch","Еще фото")</f>
        <v>Еще фото</v>
      </c>
      <c r="F631" s="13"/>
      <c r="G631" s="11" t="s">
        <v>484</v>
      </c>
      <c r="H631" s="11" t="s">
        <v>151</v>
      </c>
      <c r="I631" s="14" t="s">
        <v>424</v>
      </c>
      <c r="J631" s="14" t="s">
        <v>29</v>
      </c>
      <c r="K631" s="15" t="s">
        <v>114</v>
      </c>
      <c r="L631" s="86" t="s">
        <v>782</v>
      </c>
      <c r="M631" s="14"/>
      <c r="N631" s="14" t="s">
        <v>70</v>
      </c>
      <c r="O631" s="14"/>
      <c r="P631" s="15" t="s">
        <v>783</v>
      </c>
      <c r="Q631" s="16">
        <v>11999</v>
      </c>
      <c r="R631" s="17">
        <v>46</v>
      </c>
      <c r="S631" s="18">
        <v>7451.3789999999999</v>
      </c>
      <c r="T631" s="19" t="s">
        <v>117</v>
      </c>
      <c r="U631" s="20" t="s">
        <v>725</v>
      </c>
      <c r="V631" s="21">
        <v>34</v>
      </c>
      <c r="W631" s="21">
        <v>1</v>
      </c>
      <c r="X631" s="22"/>
    </row>
    <row r="632" spans="1:24" s="1" customFormat="1" ht="26.1" customHeight="1" x14ac:dyDescent="0.3">
      <c r="A632" s="23" t="s">
        <v>719</v>
      </c>
      <c r="B632" s="23" t="s">
        <v>780</v>
      </c>
      <c r="C632" s="12" t="s">
        <v>781</v>
      </c>
      <c r="D632" s="84"/>
      <c r="E632" s="69" t="str">
        <f>HYPERLINK("https://www.google.ru/search?q=V00D3HNVY&amp;newwindow=1&amp;tbm=isch","Еще фото")</f>
        <v>Еще фото</v>
      </c>
      <c r="F632" s="13"/>
      <c r="G632" s="23" t="s">
        <v>484</v>
      </c>
      <c r="H632" s="23" t="s">
        <v>151</v>
      </c>
      <c r="I632" s="23" t="s">
        <v>424</v>
      </c>
      <c r="J632" s="14" t="s">
        <v>29</v>
      </c>
      <c r="K632" s="15" t="s">
        <v>114</v>
      </c>
      <c r="L632" s="87"/>
      <c r="M632" s="14"/>
      <c r="N632" s="14" t="s">
        <v>70</v>
      </c>
      <c r="O632" s="14"/>
      <c r="P632" s="15" t="s">
        <v>783</v>
      </c>
      <c r="Q632" s="16">
        <v>11999</v>
      </c>
      <c r="R632" s="17">
        <v>46</v>
      </c>
      <c r="S632" s="18">
        <v>7451.3789999999999</v>
      </c>
      <c r="T632" s="19" t="s">
        <v>117</v>
      </c>
      <c r="U632" s="20" t="s">
        <v>726</v>
      </c>
      <c r="V632" s="30">
        <v>34.5</v>
      </c>
      <c r="W632" s="21">
        <v>12</v>
      </c>
      <c r="X632" s="22"/>
    </row>
    <row r="633" spans="1:24" s="1" customFormat="1" ht="26.1" customHeight="1" x14ac:dyDescent="0.3">
      <c r="A633" s="23" t="s">
        <v>719</v>
      </c>
      <c r="B633" s="23" t="s">
        <v>780</v>
      </c>
      <c r="C633" s="12" t="s">
        <v>781</v>
      </c>
      <c r="D633" s="84"/>
      <c r="E633" s="69" t="str">
        <f>HYPERLINK("https://www.google.ru/search?q=V00D3HNVY&amp;newwindow=1&amp;tbm=isch","Еще фото")</f>
        <v>Еще фото</v>
      </c>
      <c r="F633" s="13"/>
      <c r="G633" s="23" t="s">
        <v>484</v>
      </c>
      <c r="H633" s="23" t="s">
        <v>151</v>
      </c>
      <c r="I633" s="23" t="s">
        <v>424</v>
      </c>
      <c r="J633" s="14" t="s">
        <v>29</v>
      </c>
      <c r="K633" s="15" t="s">
        <v>114</v>
      </c>
      <c r="L633" s="87"/>
      <c r="M633" s="14"/>
      <c r="N633" s="14" t="s">
        <v>70</v>
      </c>
      <c r="O633" s="14"/>
      <c r="P633" s="15" t="s">
        <v>783</v>
      </c>
      <c r="Q633" s="16">
        <v>11999</v>
      </c>
      <c r="R633" s="17">
        <v>46</v>
      </c>
      <c r="S633" s="18">
        <v>7451.3789999999999</v>
      </c>
      <c r="T633" s="19" t="s">
        <v>117</v>
      </c>
      <c r="U633" s="20" t="s">
        <v>727</v>
      </c>
      <c r="V633" s="30">
        <v>35.5</v>
      </c>
      <c r="W633" s="21">
        <v>10</v>
      </c>
      <c r="X633" s="22"/>
    </row>
    <row r="634" spans="1:24" s="1" customFormat="1" ht="26.1" customHeight="1" x14ac:dyDescent="0.3">
      <c r="A634" s="23" t="s">
        <v>719</v>
      </c>
      <c r="B634" s="23" t="s">
        <v>780</v>
      </c>
      <c r="C634" s="12" t="s">
        <v>781</v>
      </c>
      <c r="D634" s="85"/>
      <c r="E634" s="69" t="str">
        <f>HYPERLINK("https://www.google.ru/search?q=V00D3HNVY&amp;newwindow=1&amp;tbm=isch","Еще фото")</f>
        <v>Еще фото</v>
      </c>
      <c r="F634" s="13"/>
      <c r="G634" s="23" t="s">
        <v>484</v>
      </c>
      <c r="H634" s="23" t="s">
        <v>151</v>
      </c>
      <c r="I634" s="23" t="s">
        <v>424</v>
      </c>
      <c r="J634" s="14" t="s">
        <v>29</v>
      </c>
      <c r="K634" s="15" t="s">
        <v>114</v>
      </c>
      <c r="L634" s="88"/>
      <c r="M634" s="14"/>
      <c r="N634" s="14" t="s">
        <v>70</v>
      </c>
      <c r="O634" s="14"/>
      <c r="P634" s="15" t="s">
        <v>783</v>
      </c>
      <c r="Q634" s="16">
        <v>11999</v>
      </c>
      <c r="R634" s="17">
        <v>46</v>
      </c>
      <c r="S634" s="18">
        <v>7451.3789999999999</v>
      </c>
      <c r="T634" s="19" t="s">
        <v>117</v>
      </c>
      <c r="U634" s="20" t="s">
        <v>728</v>
      </c>
      <c r="V634" s="21">
        <v>36</v>
      </c>
      <c r="W634" s="21">
        <v>24</v>
      </c>
      <c r="X634" s="22"/>
    </row>
    <row r="635" spans="1:24" s="1" customFormat="1" ht="108" customHeight="1" x14ac:dyDescent="0.3">
      <c r="A635" s="11" t="s">
        <v>784</v>
      </c>
      <c r="B635" s="11" t="s">
        <v>785</v>
      </c>
      <c r="C635" s="12" t="s">
        <v>786</v>
      </c>
      <c r="D635" s="24"/>
      <c r="E635" s="69" t="str">
        <f>HYPERLINK("https://www.google.ru/search?q=67BF351-22&amp;newwindow=1&amp;tbm=isch","Еще фото")</f>
        <v>Еще фото</v>
      </c>
      <c r="F635" s="31" t="s">
        <v>738</v>
      </c>
      <c r="G635" s="11" t="s">
        <v>517</v>
      </c>
      <c r="H635" s="11" t="s">
        <v>112</v>
      </c>
      <c r="I635" s="14" t="s">
        <v>113</v>
      </c>
      <c r="J635" s="14" t="s">
        <v>406</v>
      </c>
      <c r="K635" s="15" t="s">
        <v>114</v>
      </c>
      <c r="L635" s="14"/>
      <c r="M635" s="14"/>
      <c r="N635" s="14" t="s">
        <v>70</v>
      </c>
      <c r="O635" s="14"/>
      <c r="P635" s="15" t="s">
        <v>787</v>
      </c>
      <c r="Q635" s="16">
        <v>1399</v>
      </c>
      <c r="R635" s="17">
        <v>40</v>
      </c>
      <c r="S635" s="29">
        <v>965.31</v>
      </c>
      <c r="T635" s="19" t="s">
        <v>117</v>
      </c>
      <c r="U635" s="20" t="s">
        <v>788</v>
      </c>
      <c r="V635" s="25" t="s">
        <v>119</v>
      </c>
      <c r="W635" s="21">
        <v>22</v>
      </c>
      <c r="X635" s="22"/>
    </row>
    <row r="636" spans="1:24" s="1" customFormat="1" ht="108" customHeight="1" x14ac:dyDescent="0.3">
      <c r="A636" s="11" t="s">
        <v>784</v>
      </c>
      <c r="B636" s="11" t="s">
        <v>789</v>
      </c>
      <c r="C636" s="12" t="s">
        <v>790</v>
      </c>
      <c r="D636" s="24"/>
      <c r="E636" s="69" t="str">
        <f>HYPERLINK("https://www.google.ru/search?q=67BF351-55&amp;newwindow=1&amp;tbm=isch","Еще фото")</f>
        <v>Еще фото</v>
      </c>
      <c r="F636" s="31" t="s">
        <v>738</v>
      </c>
      <c r="G636" s="11" t="s">
        <v>517</v>
      </c>
      <c r="H636" s="11" t="s">
        <v>112</v>
      </c>
      <c r="I636" s="14" t="s">
        <v>113</v>
      </c>
      <c r="J636" s="14" t="s">
        <v>406</v>
      </c>
      <c r="K636" s="15" t="s">
        <v>114</v>
      </c>
      <c r="L636" s="14"/>
      <c r="M636" s="14"/>
      <c r="N636" s="14" t="s">
        <v>636</v>
      </c>
      <c r="O636" s="14"/>
      <c r="P636" s="15" t="s">
        <v>787</v>
      </c>
      <c r="Q636" s="16">
        <v>1399</v>
      </c>
      <c r="R636" s="17">
        <v>40</v>
      </c>
      <c r="S636" s="29">
        <v>965.31</v>
      </c>
      <c r="T636" s="19" t="s">
        <v>117</v>
      </c>
      <c r="U636" s="20" t="s">
        <v>788</v>
      </c>
      <c r="V636" s="25" t="s">
        <v>119</v>
      </c>
      <c r="W636" s="21">
        <v>29</v>
      </c>
      <c r="X636" s="22"/>
    </row>
    <row r="637" spans="1:24" s="1" customFormat="1" ht="108" customHeight="1" x14ac:dyDescent="0.3">
      <c r="A637" s="11" t="s">
        <v>784</v>
      </c>
      <c r="B637" s="11" t="s">
        <v>791</v>
      </c>
      <c r="C637" s="12" t="s">
        <v>792</v>
      </c>
      <c r="D637" s="24"/>
      <c r="E637" s="69" t="str">
        <f>HYPERLINK("https://www.google.ru/search?q=J2GW0030Z-61&amp;newwindow=1&amp;tbm=isch","Еще фото")</f>
        <v>Еще фото</v>
      </c>
      <c r="F637" s="31" t="s">
        <v>738</v>
      </c>
      <c r="G637" s="11" t="s">
        <v>793</v>
      </c>
      <c r="H637" s="11" t="s">
        <v>112</v>
      </c>
      <c r="I637" s="14" t="s">
        <v>113</v>
      </c>
      <c r="J637" s="14" t="s">
        <v>406</v>
      </c>
      <c r="K637" s="15" t="s">
        <v>114</v>
      </c>
      <c r="L637" s="14"/>
      <c r="M637" s="14"/>
      <c r="N637" s="14" t="s">
        <v>794</v>
      </c>
      <c r="O637" s="14"/>
      <c r="P637" s="15" t="s">
        <v>108</v>
      </c>
      <c r="Q637" s="16">
        <v>1799</v>
      </c>
      <c r="R637" s="17">
        <v>40</v>
      </c>
      <c r="S637" s="18">
        <v>1241.31</v>
      </c>
      <c r="T637" s="19" t="s">
        <v>117</v>
      </c>
      <c r="U637" s="20" t="s">
        <v>788</v>
      </c>
      <c r="V637" s="25" t="s">
        <v>119</v>
      </c>
      <c r="W637" s="21">
        <v>11</v>
      </c>
      <c r="X637" s="22"/>
    </row>
    <row r="638" spans="1:24" s="1" customFormat="1" ht="108" customHeight="1" x14ac:dyDescent="0.3">
      <c r="A638" s="11" t="s">
        <v>784</v>
      </c>
      <c r="B638" s="11" t="s">
        <v>795</v>
      </c>
      <c r="C638" s="12" t="s">
        <v>796</v>
      </c>
      <c r="D638" s="24"/>
      <c r="E638" s="69" t="str">
        <f>HYPERLINK("https://www.google.ru/search?q=K2GW0R95-03&amp;newwindow=1&amp;tbm=isch","Еще фото")</f>
        <v>Еще фото</v>
      </c>
      <c r="F638" s="31" t="s">
        <v>738</v>
      </c>
      <c r="G638" s="11" t="s">
        <v>517</v>
      </c>
      <c r="H638" s="11" t="s">
        <v>112</v>
      </c>
      <c r="I638" s="14" t="s">
        <v>113</v>
      </c>
      <c r="J638" s="14" t="s">
        <v>406</v>
      </c>
      <c r="K638" s="15" t="s">
        <v>114</v>
      </c>
      <c r="L638" s="14"/>
      <c r="M638" s="14"/>
      <c r="N638" s="14" t="s">
        <v>275</v>
      </c>
      <c r="O638" s="14"/>
      <c r="P638" s="15" t="s">
        <v>797</v>
      </c>
      <c r="Q638" s="16">
        <v>1799</v>
      </c>
      <c r="R638" s="17">
        <v>40</v>
      </c>
      <c r="S638" s="18">
        <v>1241.31</v>
      </c>
      <c r="T638" s="19" t="s">
        <v>117</v>
      </c>
      <c r="U638" s="20" t="s">
        <v>788</v>
      </c>
      <c r="V638" s="25" t="s">
        <v>119</v>
      </c>
      <c r="W638" s="21">
        <v>16</v>
      </c>
      <c r="X638" s="22"/>
    </row>
    <row r="639" spans="1:24" s="1" customFormat="1" ht="108" customHeight="1" x14ac:dyDescent="0.3">
      <c r="A639" s="11" t="s">
        <v>784</v>
      </c>
      <c r="B639" s="11" t="s">
        <v>798</v>
      </c>
      <c r="C639" s="12" t="s">
        <v>799</v>
      </c>
      <c r="D639" s="24"/>
      <c r="E639" s="69" t="str">
        <f>HYPERLINK("https://www.google.ru/search?q=K2GW0R95-24&amp;newwindow=1&amp;tbm=isch","Еще фото")</f>
        <v>Еще фото</v>
      </c>
      <c r="F639" s="31" t="s">
        <v>738</v>
      </c>
      <c r="G639" s="11" t="s">
        <v>517</v>
      </c>
      <c r="H639" s="11" t="s">
        <v>112</v>
      </c>
      <c r="I639" s="14" t="s">
        <v>113</v>
      </c>
      <c r="J639" s="14" t="s">
        <v>406</v>
      </c>
      <c r="K639" s="15" t="s">
        <v>114</v>
      </c>
      <c r="L639" s="14"/>
      <c r="M639" s="14"/>
      <c r="N639" s="14" t="s">
        <v>800</v>
      </c>
      <c r="O639" s="14"/>
      <c r="P639" s="15" t="s">
        <v>797</v>
      </c>
      <c r="Q639" s="16">
        <v>1599</v>
      </c>
      <c r="R639" s="17">
        <v>40</v>
      </c>
      <c r="S639" s="29">
        <v>1103.31</v>
      </c>
      <c r="T639" s="19" t="s">
        <v>117</v>
      </c>
      <c r="U639" s="20" t="s">
        <v>788</v>
      </c>
      <c r="V639" s="25" t="s">
        <v>119</v>
      </c>
      <c r="W639" s="21">
        <v>24</v>
      </c>
      <c r="X639" s="22"/>
    </row>
    <row r="640" spans="1:24" s="1" customFormat="1" ht="108" customHeight="1" x14ac:dyDescent="0.3">
      <c r="A640" s="11" t="s">
        <v>784</v>
      </c>
      <c r="B640" s="11" t="s">
        <v>801</v>
      </c>
      <c r="C640" s="12" t="s">
        <v>802</v>
      </c>
      <c r="D640" s="24"/>
      <c r="E640" s="69" t="str">
        <f>HYPERLINK("https://www.google.ru/search?q=K2GW0R95-28&amp;newwindow=1&amp;tbm=isch","Еще фото")</f>
        <v>Еще фото</v>
      </c>
      <c r="F640" s="31" t="s">
        <v>738</v>
      </c>
      <c r="G640" s="11" t="s">
        <v>517</v>
      </c>
      <c r="H640" s="11" t="s">
        <v>112</v>
      </c>
      <c r="I640" s="14" t="s">
        <v>113</v>
      </c>
      <c r="J640" s="14" t="s">
        <v>406</v>
      </c>
      <c r="K640" s="15" t="s">
        <v>114</v>
      </c>
      <c r="L640" s="14"/>
      <c r="M640" s="14"/>
      <c r="N640" s="14" t="s">
        <v>70</v>
      </c>
      <c r="O640" s="14"/>
      <c r="P640" s="15" t="s">
        <v>797</v>
      </c>
      <c r="Q640" s="16">
        <v>1799</v>
      </c>
      <c r="R640" s="17">
        <v>40</v>
      </c>
      <c r="S640" s="18">
        <v>1241.31</v>
      </c>
      <c r="T640" s="19" t="s">
        <v>117</v>
      </c>
      <c r="U640" s="20" t="s">
        <v>788</v>
      </c>
      <c r="V640" s="25" t="s">
        <v>119</v>
      </c>
      <c r="W640" s="21">
        <v>24</v>
      </c>
      <c r="X640" s="22"/>
    </row>
    <row r="641" spans="1:24" s="1" customFormat="1" ht="108" customHeight="1" x14ac:dyDescent="0.3">
      <c r="A641" s="11" t="s">
        <v>784</v>
      </c>
      <c r="B641" s="11" t="s">
        <v>803</v>
      </c>
      <c r="C641" s="12" t="s">
        <v>804</v>
      </c>
      <c r="D641" s="24"/>
      <c r="E641" s="69" t="str">
        <f>HYPERLINK("https://www.google.ru/search?q=K2GW0R95-38&amp;newwindow=1&amp;tbm=isch","Еще фото")</f>
        <v>Еще фото</v>
      </c>
      <c r="F641" s="31" t="s">
        <v>738</v>
      </c>
      <c r="G641" s="11" t="s">
        <v>517</v>
      </c>
      <c r="H641" s="11" t="s">
        <v>112</v>
      </c>
      <c r="I641" s="14" t="s">
        <v>113</v>
      </c>
      <c r="J641" s="14" t="s">
        <v>406</v>
      </c>
      <c r="K641" s="15" t="s">
        <v>114</v>
      </c>
      <c r="L641" s="14"/>
      <c r="M641" s="14"/>
      <c r="N641" s="14" t="s">
        <v>800</v>
      </c>
      <c r="O641" s="14"/>
      <c r="P641" s="15" t="s">
        <v>797</v>
      </c>
      <c r="Q641" s="16">
        <v>1799</v>
      </c>
      <c r="R641" s="17">
        <v>40</v>
      </c>
      <c r="S641" s="18">
        <v>1241.31</v>
      </c>
      <c r="T641" s="19" t="s">
        <v>117</v>
      </c>
      <c r="U641" s="20" t="s">
        <v>788</v>
      </c>
      <c r="V641" s="25" t="s">
        <v>119</v>
      </c>
      <c r="W641" s="21">
        <v>70</v>
      </c>
      <c r="X641" s="22"/>
    </row>
    <row r="642" spans="1:24" s="1" customFormat="1" ht="108" customHeight="1" x14ac:dyDescent="0.3">
      <c r="A642" s="11" t="s">
        <v>784</v>
      </c>
      <c r="B642" s="11" t="s">
        <v>805</v>
      </c>
      <c r="C642" s="12" t="s">
        <v>806</v>
      </c>
      <c r="D642" s="24"/>
      <c r="E642" s="69" t="str">
        <f>HYPERLINK("https://www.google.ru/search?q=J2GW0030Z-66&amp;newwindow=1&amp;tbm=isch","Еще фото")</f>
        <v>Еще фото</v>
      </c>
      <c r="F642" s="31" t="s">
        <v>738</v>
      </c>
      <c r="G642" s="11" t="s">
        <v>793</v>
      </c>
      <c r="H642" s="11" t="s">
        <v>112</v>
      </c>
      <c r="I642" s="14" t="s">
        <v>182</v>
      </c>
      <c r="J642" s="14" t="s">
        <v>406</v>
      </c>
      <c r="K642" s="15" t="s">
        <v>114</v>
      </c>
      <c r="L642" s="14"/>
      <c r="M642" s="14"/>
      <c r="N642" s="14" t="s">
        <v>794</v>
      </c>
      <c r="O642" s="14"/>
      <c r="P642" s="15" t="s">
        <v>108</v>
      </c>
      <c r="Q642" s="16">
        <v>1799</v>
      </c>
      <c r="R642" s="17">
        <v>40</v>
      </c>
      <c r="S642" s="18">
        <v>1241.31</v>
      </c>
      <c r="T642" s="19" t="s">
        <v>117</v>
      </c>
      <c r="U642" s="20" t="s">
        <v>788</v>
      </c>
      <c r="V642" s="25" t="s">
        <v>119</v>
      </c>
      <c r="W642" s="21">
        <v>12</v>
      </c>
      <c r="X642" s="22"/>
    </row>
    <row r="643" spans="1:24" s="1" customFormat="1" ht="108" customHeight="1" x14ac:dyDescent="0.3">
      <c r="A643" s="11" t="s">
        <v>784</v>
      </c>
      <c r="B643" s="11" t="s">
        <v>807</v>
      </c>
      <c r="C643" s="12" t="s">
        <v>808</v>
      </c>
      <c r="D643" s="24"/>
      <c r="E643" s="69" t="str">
        <f>HYPERLINK("https://www.google.ru/search?q=J2GW0030ZP-40&amp;newwindow=1&amp;tbm=isch","Еще фото")</f>
        <v>Еще фото</v>
      </c>
      <c r="F643" s="31" t="s">
        <v>738</v>
      </c>
      <c r="G643" s="11" t="s">
        <v>793</v>
      </c>
      <c r="H643" s="11" t="s">
        <v>112</v>
      </c>
      <c r="I643" s="14" t="s">
        <v>182</v>
      </c>
      <c r="J643" s="14" t="s">
        <v>29</v>
      </c>
      <c r="K643" s="15" t="s">
        <v>114</v>
      </c>
      <c r="L643" s="14"/>
      <c r="M643" s="14"/>
      <c r="N643" s="14" t="s">
        <v>49</v>
      </c>
      <c r="O643" s="14"/>
      <c r="P643" s="15" t="s">
        <v>108</v>
      </c>
      <c r="Q643" s="16">
        <v>1799</v>
      </c>
      <c r="R643" s="17">
        <v>40</v>
      </c>
      <c r="S643" s="18">
        <v>1241.31</v>
      </c>
      <c r="T643" s="19" t="s">
        <v>117</v>
      </c>
      <c r="U643" s="20" t="s">
        <v>788</v>
      </c>
      <c r="V643" s="25" t="s">
        <v>119</v>
      </c>
      <c r="W643" s="21">
        <v>54</v>
      </c>
      <c r="X643" s="22"/>
    </row>
    <row r="644" spans="1:24" s="1" customFormat="1" ht="108" customHeight="1" x14ac:dyDescent="0.3">
      <c r="A644" s="11" t="s">
        <v>784</v>
      </c>
      <c r="B644" s="11" t="s">
        <v>809</v>
      </c>
      <c r="C644" s="12" t="s">
        <v>810</v>
      </c>
      <c r="D644" s="24"/>
      <c r="E644" s="69" t="str">
        <f>HYPERLINK("https://www.google.ru/search?q=J2GW0030ZP-63&amp;newwindow=1&amp;tbm=isch","Еще фото")</f>
        <v>Еще фото</v>
      </c>
      <c r="F644" s="31" t="s">
        <v>738</v>
      </c>
      <c r="G644" s="11" t="s">
        <v>793</v>
      </c>
      <c r="H644" s="11" t="s">
        <v>112</v>
      </c>
      <c r="I644" s="14" t="s">
        <v>182</v>
      </c>
      <c r="J644" s="14" t="s">
        <v>29</v>
      </c>
      <c r="K644" s="15" t="s">
        <v>114</v>
      </c>
      <c r="L644" s="14"/>
      <c r="M644" s="14"/>
      <c r="N644" s="14" t="s">
        <v>275</v>
      </c>
      <c r="O644" s="14"/>
      <c r="P644" s="15" t="s">
        <v>108</v>
      </c>
      <c r="Q644" s="16">
        <v>1799</v>
      </c>
      <c r="R644" s="17">
        <v>40</v>
      </c>
      <c r="S644" s="18">
        <v>1241.31</v>
      </c>
      <c r="T644" s="19" t="s">
        <v>117</v>
      </c>
      <c r="U644" s="20" t="s">
        <v>788</v>
      </c>
      <c r="V644" s="25" t="s">
        <v>119</v>
      </c>
      <c r="W644" s="21">
        <v>24</v>
      </c>
      <c r="X644" s="22"/>
    </row>
    <row r="645" spans="1:24" s="1" customFormat="1" ht="108" customHeight="1" x14ac:dyDescent="0.3">
      <c r="A645" s="11" t="s">
        <v>784</v>
      </c>
      <c r="B645" s="11" t="s">
        <v>811</v>
      </c>
      <c r="C645" s="12" t="s">
        <v>812</v>
      </c>
      <c r="D645" s="24"/>
      <c r="E645" s="69" t="str">
        <f>HYPERLINK("https://www.google.ru/search?q=P3EY1W0-01&amp;newwindow=1&amp;tbm=isch","Еще фото")</f>
        <v>Еще фото</v>
      </c>
      <c r="F645" s="13"/>
      <c r="G645" s="11" t="s">
        <v>813</v>
      </c>
      <c r="H645" s="11" t="s">
        <v>814</v>
      </c>
      <c r="I645" s="14" t="s">
        <v>815</v>
      </c>
      <c r="J645" s="14" t="s">
        <v>29</v>
      </c>
      <c r="K645" s="15" t="s">
        <v>114</v>
      </c>
      <c r="L645" s="14"/>
      <c r="M645" s="14"/>
      <c r="N645" s="14" t="s">
        <v>816</v>
      </c>
      <c r="O645" s="14"/>
      <c r="P645" s="15" t="s">
        <v>817</v>
      </c>
      <c r="Q645" s="16">
        <v>2099</v>
      </c>
      <c r="R645" s="17">
        <v>40</v>
      </c>
      <c r="S645" s="18">
        <v>1448.31</v>
      </c>
      <c r="T645" s="19" t="s">
        <v>117</v>
      </c>
      <c r="U645" s="20" t="s">
        <v>818</v>
      </c>
      <c r="V645" s="21">
        <v>5</v>
      </c>
      <c r="W645" s="21">
        <v>56</v>
      </c>
      <c r="X645" s="22"/>
    </row>
    <row r="646" spans="1:24" s="1" customFormat="1" ht="51.95" customHeight="1" x14ac:dyDescent="0.3">
      <c r="A646" s="11" t="s">
        <v>784</v>
      </c>
      <c r="B646" s="11" t="s">
        <v>819</v>
      </c>
      <c r="C646" s="12" t="s">
        <v>820</v>
      </c>
      <c r="D646" s="89"/>
      <c r="E646" s="69" t="str">
        <f>HYPERLINK("https://www.google.ru/search?q=P3EY2W0-01&amp;newwindow=1&amp;tbm=isch","Еще фото")</f>
        <v>Еще фото</v>
      </c>
      <c r="F646" s="13"/>
      <c r="G646" s="11" t="s">
        <v>813</v>
      </c>
      <c r="H646" s="11" t="s">
        <v>814</v>
      </c>
      <c r="I646" s="14" t="s">
        <v>815</v>
      </c>
      <c r="J646" s="14" t="s">
        <v>29</v>
      </c>
      <c r="K646" s="15" t="s">
        <v>114</v>
      </c>
      <c r="L646" s="86"/>
      <c r="M646" s="14"/>
      <c r="N646" s="14" t="s">
        <v>89</v>
      </c>
      <c r="O646" s="14"/>
      <c r="P646" s="15" t="s">
        <v>817</v>
      </c>
      <c r="Q646" s="16">
        <v>2099</v>
      </c>
      <c r="R646" s="17">
        <v>40</v>
      </c>
      <c r="S646" s="18">
        <v>1448.31</v>
      </c>
      <c r="T646" s="19" t="s">
        <v>117</v>
      </c>
      <c r="U646" s="20" t="s">
        <v>821</v>
      </c>
      <c r="V646" s="21">
        <v>4</v>
      </c>
      <c r="W646" s="21">
        <v>24</v>
      </c>
      <c r="X646" s="22"/>
    </row>
    <row r="647" spans="1:24" s="1" customFormat="1" ht="60.95" customHeight="1" x14ac:dyDescent="0.3">
      <c r="A647" s="23" t="s">
        <v>784</v>
      </c>
      <c r="B647" s="23" t="s">
        <v>819</v>
      </c>
      <c r="C647" s="12" t="s">
        <v>820</v>
      </c>
      <c r="D647" s="90"/>
      <c r="E647" s="69" t="str">
        <f>HYPERLINK("https://www.google.ru/search?q=P3EY2W0-01&amp;newwindow=1&amp;tbm=isch","Еще фото")</f>
        <v>Еще фото</v>
      </c>
      <c r="F647" s="13"/>
      <c r="G647" s="23" t="s">
        <v>813</v>
      </c>
      <c r="H647" s="23" t="s">
        <v>814</v>
      </c>
      <c r="I647" s="23" t="s">
        <v>815</v>
      </c>
      <c r="J647" s="14" t="s">
        <v>29</v>
      </c>
      <c r="K647" s="15" t="s">
        <v>114</v>
      </c>
      <c r="L647" s="88"/>
      <c r="M647" s="14"/>
      <c r="N647" s="14" t="s">
        <v>89</v>
      </c>
      <c r="O647" s="14"/>
      <c r="P647" s="15" t="s">
        <v>817</v>
      </c>
      <c r="Q647" s="16">
        <v>2099</v>
      </c>
      <c r="R647" s="17">
        <v>40</v>
      </c>
      <c r="S647" s="18">
        <v>1448.31</v>
      </c>
      <c r="T647" s="19" t="s">
        <v>117</v>
      </c>
      <c r="U647" s="20" t="s">
        <v>818</v>
      </c>
      <c r="V647" s="21">
        <v>5</v>
      </c>
      <c r="W647" s="21">
        <v>59</v>
      </c>
      <c r="X647" s="22"/>
    </row>
    <row r="648" spans="1:24" s="1" customFormat="1" ht="35.1" customHeight="1" x14ac:dyDescent="0.3">
      <c r="A648" s="11" t="s">
        <v>784</v>
      </c>
      <c r="B648" s="11" t="s">
        <v>822</v>
      </c>
      <c r="C648" s="12" t="s">
        <v>823</v>
      </c>
      <c r="D648" s="83"/>
      <c r="E648" s="69" t="str">
        <f>HYPERLINK("https://www.google.ru/search?q=32EX8A10Z-70&amp;newwindow=1&amp;tbm=isch","Еще фото")</f>
        <v>Еще фото</v>
      </c>
      <c r="F648" s="31" t="s">
        <v>738</v>
      </c>
      <c r="G648" s="11" t="s">
        <v>824</v>
      </c>
      <c r="H648" s="11" t="s">
        <v>112</v>
      </c>
      <c r="I648" s="14" t="s">
        <v>825</v>
      </c>
      <c r="J648" s="14" t="s">
        <v>29</v>
      </c>
      <c r="K648" s="15" t="s">
        <v>114</v>
      </c>
      <c r="L648" s="86"/>
      <c r="M648" s="14"/>
      <c r="N648" s="14" t="s">
        <v>826</v>
      </c>
      <c r="O648" s="14"/>
      <c r="P648" s="15" t="s">
        <v>827</v>
      </c>
      <c r="Q648" s="16">
        <v>1399</v>
      </c>
      <c r="R648" s="17">
        <v>40</v>
      </c>
      <c r="S648" s="29">
        <v>965.31</v>
      </c>
      <c r="T648" s="19" t="s">
        <v>51</v>
      </c>
      <c r="U648" s="20" t="s">
        <v>64</v>
      </c>
      <c r="V648" s="25" t="s">
        <v>828</v>
      </c>
      <c r="W648" s="21">
        <v>6</v>
      </c>
      <c r="X648" s="22"/>
    </row>
    <row r="649" spans="1:24" s="1" customFormat="1" ht="35.1" customHeight="1" x14ac:dyDescent="0.3">
      <c r="A649" s="23" t="s">
        <v>784</v>
      </c>
      <c r="B649" s="23" t="s">
        <v>822</v>
      </c>
      <c r="C649" s="12" t="s">
        <v>823</v>
      </c>
      <c r="D649" s="84"/>
      <c r="E649" s="69" t="str">
        <f>HYPERLINK("https://www.google.ru/search?q=32EX8A10Z-70&amp;newwindow=1&amp;tbm=isch","Еще фото")</f>
        <v>Еще фото</v>
      </c>
      <c r="F649" s="31" t="s">
        <v>738</v>
      </c>
      <c r="G649" s="23" t="s">
        <v>824</v>
      </c>
      <c r="H649" s="23" t="s">
        <v>112</v>
      </c>
      <c r="I649" s="23" t="s">
        <v>825</v>
      </c>
      <c r="J649" s="14" t="s">
        <v>29</v>
      </c>
      <c r="K649" s="15" t="s">
        <v>114</v>
      </c>
      <c r="L649" s="87"/>
      <c r="M649" s="14"/>
      <c r="N649" s="14" t="s">
        <v>826</v>
      </c>
      <c r="O649" s="14"/>
      <c r="P649" s="15" t="s">
        <v>827</v>
      </c>
      <c r="Q649" s="16">
        <v>1399</v>
      </c>
      <c r="R649" s="17">
        <v>40</v>
      </c>
      <c r="S649" s="29">
        <v>965.31</v>
      </c>
      <c r="T649" s="19" t="s">
        <v>51</v>
      </c>
      <c r="U649" s="20" t="s">
        <v>66</v>
      </c>
      <c r="V649" s="25" t="s">
        <v>829</v>
      </c>
      <c r="W649" s="21">
        <v>9</v>
      </c>
      <c r="X649" s="22"/>
    </row>
    <row r="650" spans="1:24" s="1" customFormat="1" ht="36.950000000000003" customHeight="1" x14ac:dyDescent="0.3">
      <c r="A650" s="23" t="s">
        <v>784</v>
      </c>
      <c r="B650" s="23" t="s">
        <v>822</v>
      </c>
      <c r="C650" s="12" t="s">
        <v>823</v>
      </c>
      <c r="D650" s="85"/>
      <c r="E650" s="69" t="str">
        <f>HYPERLINK("https://www.google.ru/search?q=32EX8A10Z-70&amp;newwindow=1&amp;tbm=isch","Еще фото")</f>
        <v>Еще фото</v>
      </c>
      <c r="F650" s="31" t="s">
        <v>738</v>
      </c>
      <c r="G650" s="23" t="s">
        <v>824</v>
      </c>
      <c r="H650" s="23" t="s">
        <v>112</v>
      </c>
      <c r="I650" s="23" t="s">
        <v>825</v>
      </c>
      <c r="J650" s="14" t="s">
        <v>29</v>
      </c>
      <c r="K650" s="15" t="s">
        <v>114</v>
      </c>
      <c r="L650" s="88"/>
      <c r="M650" s="14"/>
      <c r="N650" s="14" t="s">
        <v>826</v>
      </c>
      <c r="O650" s="14"/>
      <c r="P650" s="15" t="s">
        <v>827</v>
      </c>
      <c r="Q650" s="16">
        <v>1399</v>
      </c>
      <c r="R650" s="17">
        <v>40</v>
      </c>
      <c r="S650" s="29">
        <v>965.31</v>
      </c>
      <c r="T650" s="19" t="s">
        <v>51</v>
      </c>
      <c r="U650" s="20" t="s">
        <v>58</v>
      </c>
      <c r="V650" s="25" t="s">
        <v>830</v>
      </c>
      <c r="W650" s="21">
        <v>11</v>
      </c>
      <c r="X650" s="22"/>
    </row>
    <row r="651" spans="1:24" s="1" customFormat="1" ht="51.95" customHeight="1" x14ac:dyDescent="0.3">
      <c r="A651" s="11" t="s">
        <v>784</v>
      </c>
      <c r="B651" s="11" t="s">
        <v>831</v>
      </c>
      <c r="C651" s="12" t="s">
        <v>832</v>
      </c>
      <c r="D651" s="89"/>
      <c r="E651" s="69" t="str">
        <f>HYPERLINK("https://www.google.ru/search?q=32GX025WZ-03&amp;newwindow=1&amp;tbm=isch","Еще фото")</f>
        <v>Еще фото</v>
      </c>
      <c r="F651" s="13"/>
      <c r="G651" s="11" t="s">
        <v>833</v>
      </c>
      <c r="H651" s="11" t="s">
        <v>112</v>
      </c>
      <c r="I651" s="14" t="s">
        <v>825</v>
      </c>
      <c r="J651" s="14" t="s">
        <v>29</v>
      </c>
      <c r="K651" s="15" t="s">
        <v>114</v>
      </c>
      <c r="L651" s="86"/>
      <c r="M651" s="14"/>
      <c r="N651" s="14" t="s">
        <v>834</v>
      </c>
      <c r="O651" s="14"/>
      <c r="P651" s="15" t="s">
        <v>835</v>
      </c>
      <c r="Q651" s="16">
        <v>1399</v>
      </c>
      <c r="R651" s="17">
        <v>40</v>
      </c>
      <c r="S651" s="29">
        <v>965.31</v>
      </c>
      <c r="T651" s="19" t="s">
        <v>51</v>
      </c>
      <c r="U651" s="20" t="s">
        <v>66</v>
      </c>
      <c r="V651" s="25" t="s">
        <v>829</v>
      </c>
      <c r="W651" s="21">
        <v>34</v>
      </c>
      <c r="X651" s="22"/>
    </row>
    <row r="652" spans="1:24" s="1" customFormat="1" ht="60.95" customHeight="1" x14ac:dyDescent="0.3">
      <c r="A652" s="23" t="s">
        <v>784</v>
      </c>
      <c r="B652" s="23" t="s">
        <v>831</v>
      </c>
      <c r="C652" s="12" t="s">
        <v>832</v>
      </c>
      <c r="D652" s="90"/>
      <c r="E652" s="69" t="str">
        <f>HYPERLINK("https://www.google.ru/search?q=32GX025WZ-03&amp;newwindow=1&amp;tbm=isch","Еще фото")</f>
        <v>Еще фото</v>
      </c>
      <c r="F652" s="13"/>
      <c r="G652" s="23" t="s">
        <v>833</v>
      </c>
      <c r="H652" s="23" t="s">
        <v>112</v>
      </c>
      <c r="I652" s="23" t="s">
        <v>825</v>
      </c>
      <c r="J652" s="14" t="s">
        <v>29</v>
      </c>
      <c r="K652" s="15" t="s">
        <v>114</v>
      </c>
      <c r="L652" s="88"/>
      <c r="M652" s="14"/>
      <c r="N652" s="14" t="s">
        <v>834</v>
      </c>
      <c r="O652" s="14"/>
      <c r="P652" s="15" t="s">
        <v>835</v>
      </c>
      <c r="Q652" s="16">
        <v>1399</v>
      </c>
      <c r="R652" s="17">
        <v>40</v>
      </c>
      <c r="S652" s="29">
        <v>965.31</v>
      </c>
      <c r="T652" s="19" t="s">
        <v>51</v>
      </c>
      <c r="U652" s="20" t="s">
        <v>58</v>
      </c>
      <c r="V652" s="25" t="s">
        <v>830</v>
      </c>
      <c r="W652" s="21">
        <v>13</v>
      </c>
      <c r="X652" s="22"/>
    </row>
    <row r="653" spans="1:24" s="1" customFormat="1" ht="35.1" customHeight="1" x14ac:dyDescent="0.3">
      <c r="A653" s="11" t="s">
        <v>784</v>
      </c>
      <c r="B653" s="11" t="s">
        <v>831</v>
      </c>
      <c r="C653" s="12" t="s">
        <v>836</v>
      </c>
      <c r="D653" s="83"/>
      <c r="E653" s="69" t="str">
        <f>HYPERLINK("https://www.google.ru/search?q=32GX025WZ-13&amp;newwindow=1&amp;tbm=isch","Еще фото")</f>
        <v>Еще фото</v>
      </c>
      <c r="F653" s="13"/>
      <c r="G653" s="11" t="s">
        <v>833</v>
      </c>
      <c r="H653" s="11" t="s">
        <v>112</v>
      </c>
      <c r="I653" s="14" t="s">
        <v>825</v>
      </c>
      <c r="J653" s="14" t="s">
        <v>29</v>
      </c>
      <c r="K653" s="15" t="s">
        <v>114</v>
      </c>
      <c r="L653" s="86"/>
      <c r="M653" s="14"/>
      <c r="N653" s="14" t="s">
        <v>837</v>
      </c>
      <c r="O653" s="14"/>
      <c r="P653" s="15" t="s">
        <v>835</v>
      </c>
      <c r="Q653" s="16">
        <v>1499</v>
      </c>
      <c r="R653" s="17">
        <v>40</v>
      </c>
      <c r="S653" s="29">
        <v>1034.31</v>
      </c>
      <c r="T653" s="19" t="s">
        <v>51</v>
      </c>
      <c r="U653" s="20" t="s">
        <v>64</v>
      </c>
      <c r="V653" s="25" t="s">
        <v>828</v>
      </c>
      <c r="W653" s="21">
        <v>12</v>
      </c>
      <c r="X653" s="22"/>
    </row>
    <row r="654" spans="1:24" s="1" customFormat="1" ht="35.1" customHeight="1" x14ac:dyDescent="0.3">
      <c r="A654" s="23" t="s">
        <v>784</v>
      </c>
      <c r="B654" s="23" t="s">
        <v>831</v>
      </c>
      <c r="C654" s="12" t="s">
        <v>836</v>
      </c>
      <c r="D654" s="84"/>
      <c r="E654" s="69" t="str">
        <f>HYPERLINK("https://www.google.ru/search?q=32GX025WZ-13&amp;newwindow=1&amp;tbm=isch","Еще фото")</f>
        <v>Еще фото</v>
      </c>
      <c r="F654" s="13"/>
      <c r="G654" s="23" t="s">
        <v>833</v>
      </c>
      <c r="H654" s="23" t="s">
        <v>112</v>
      </c>
      <c r="I654" s="23" t="s">
        <v>825</v>
      </c>
      <c r="J654" s="14" t="s">
        <v>29</v>
      </c>
      <c r="K654" s="15" t="s">
        <v>114</v>
      </c>
      <c r="L654" s="87"/>
      <c r="M654" s="14"/>
      <c r="N654" s="14" t="s">
        <v>837</v>
      </c>
      <c r="O654" s="14"/>
      <c r="P654" s="15" t="s">
        <v>835</v>
      </c>
      <c r="Q654" s="16">
        <v>1499</v>
      </c>
      <c r="R654" s="17">
        <v>40</v>
      </c>
      <c r="S654" s="29">
        <v>1034.31</v>
      </c>
      <c r="T654" s="19" t="s">
        <v>51</v>
      </c>
      <c r="U654" s="20" t="s">
        <v>66</v>
      </c>
      <c r="V654" s="25" t="s">
        <v>829</v>
      </c>
      <c r="W654" s="21">
        <v>42</v>
      </c>
      <c r="X654" s="22"/>
    </row>
    <row r="655" spans="1:24" s="1" customFormat="1" ht="36.950000000000003" customHeight="1" x14ac:dyDescent="0.3">
      <c r="A655" s="23" t="s">
        <v>784</v>
      </c>
      <c r="B655" s="23" t="s">
        <v>831</v>
      </c>
      <c r="C655" s="12" t="s">
        <v>836</v>
      </c>
      <c r="D655" s="85"/>
      <c r="E655" s="69" t="str">
        <f>HYPERLINK("https://www.google.ru/search?q=32GX025WZ-13&amp;newwindow=1&amp;tbm=isch","Еще фото")</f>
        <v>Еще фото</v>
      </c>
      <c r="F655" s="13"/>
      <c r="G655" s="23" t="s">
        <v>833</v>
      </c>
      <c r="H655" s="23" t="s">
        <v>112</v>
      </c>
      <c r="I655" s="23" t="s">
        <v>825</v>
      </c>
      <c r="J655" s="14" t="s">
        <v>29</v>
      </c>
      <c r="K655" s="15" t="s">
        <v>114</v>
      </c>
      <c r="L655" s="88"/>
      <c r="M655" s="14"/>
      <c r="N655" s="14" t="s">
        <v>837</v>
      </c>
      <c r="O655" s="14"/>
      <c r="P655" s="15" t="s">
        <v>835</v>
      </c>
      <c r="Q655" s="16">
        <v>1499</v>
      </c>
      <c r="R655" s="17">
        <v>40</v>
      </c>
      <c r="S655" s="29">
        <v>1034.31</v>
      </c>
      <c r="T655" s="19" t="s">
        <v>51</v>
      </c>
      <c r="U655" s="20" t="s">
        <v>58</v>
      </c>
      <c r="V655" s="25" t="s">
        <v>830</v>
      </c>
      <c r="W655" s="21">
        <v>24</v>
      </c>
      <c r="X655" s="22"/>
    </row>
    <row r="656" spans="1:24" s="1" customFormat="1" ht="51.95" customHeight="1" x14ac:dyDescent="0.3">
      <c r="A656" s="11" t="s">
        <v>784</v>
      </c>
      <c r="B656" s="11" t="s">
        <v>838</v>
      </c>
      <c r="C656" s="12" t="s">
        <v>839</v>
      </c>
      <c r="D656" s="89"/>
      <c r="E656" s="69" t="str">
        <f>HYPERLINK("https://www.google.ru/search?q=67UU950-96&amp;newwindow=1&amp;tbm=isch","Еще фото")</f>
        <v>Еще фото</v>
      </c>
      <c r="F656" s="31" t="s">
        <v>738</v>
      </c>
      <c r="G656" s="11" t="s">
        <v>833</v>
      </c>
      <c r="H656" s="11" t="s">
        <v>112</v>
      </c>
      <c r="I656" s="14" t="s">
        <v>825</v>
      </c>
      <c r="J656" s="14" t="s">
        <v>29</v>
      </c>
      <c r="K656" s="15" t="s">
        <v>114</v>
      </c>
      <c r="L656" s="86"/>
      <c r="M656" s="14"/>
      <c r="N656" s="14" t="s">
        <v>816</v>
      </c>
      <c r="O656" s="14"/>
      <c r="P656" s="15" t="s">
        <v>840</v>
      </c>
      <c r="Q656" s="16">
        <v>1799</v>
      </c>
      <c r="R656" s="17">
        <v>40</v>
      </c>
      <c r="S656" s="18">
        <v>1241.31</v>
      </c>
      <c r="T656" s="19" t="s">
        <v>51</v>
      </c>
      <c r="U656" s="20" t="s">
        <v>64</v>
      </c>
      <c r="V656" s="25" t="s">
        <v>828</v>
      </c>
      <c r="W656" s="21">
        <v>4</v>
      </c>
      <c r="X656" s="22"/>
    </row>
    <row r="657" spans="1:24" s="1" customFormat="1" ht="60.95" customHeight="1" x14ac:dyDescent="0.3">
      <c r="A657" s="23" t="s">
        <v>784</v>
      </c>
      <c r="B657" s="23" t="s">
        <v>838</v>
      </c>
      <c r="C657" s="12" t="s">
        <v>839</v>
      </c>
      <c r="D657" s="90"/>
      <c r="E657" s="69" t="str">
        <f>HYPERLINK("https://www.google.ru/search?q=67UU950-96&amp;newwindow=1&amp;tbm=isch","Еще фото")</f>
        <v>Еще фото</v>
      </c>
      <c r="F657" s="31" t="s">
        <v>738</v>
      </c>
      <c r="G657" s="23" t="s">
        <v>833</v>
      </c>
      <c r="H657" s="23" t="s">
        <v>112</v>
      </c>
      <c r="I657" s="23" t="s">
        <v>825</v>
      </c>
      <c r="J657" s="14" t="s">
        <v>29</v>
      </c>
      <c r="K657" s="15" t="s">
        <v>114</v>
      </c>
      <c r="L657" s="88"/>
      <c r="M657" s="14"/>
      <c r="N657" s="14" t="s">
        <v>816</v>
      </c>
      <c r="O657" s="14"/>
      <c r="P657" s="15" t="s">
        <v>840</v>
      </c>
      <c r="Q657" s="16">
        <v>1799</v>
      </c>
      <c r="R657" s="17">
        <v>40</v>
      </c>
      <c r="S657" s="18">
        <v>1241.31</v>
      </c>
      <c r="T657" s="19" t="s">
        <v>51</v>
      </c>
      <c r="U657" s="20" t="s">
        <v>66</v>
      </c>
      <c r="V657" s="25" t="s">
        <v>829</v>
      </c>
      <c r="W657" s="21">
        <v>13</v>
      </c>
      <c r="X657" s="22"/>
    </row>
    <row r="658" spans="1:24" s="1" customFormat="1" ht="26.1" customHeight="1" x14ac:dyDescent="0.3">
      <c r="A658" s="11" t="s">
        <v>784</v>
      </c>
      <c r="B658" s="11" t="s">
        <v>841</v>
      </c>
      <c r="C658" s="12" t="s">
        <v>842</v>
      </c>
      <c r="D658" s="83"/>
      <c r="E658" s="69" t="str">
        <f>HYPERLINK("https://www.google.ru/search?q=D1GA2202-01&amp;newwindow=1&amp;tbm=isch","Еще фото")</f>
        <v>Еще фото</v>
      </c>
      <c r="F658" s="13"/>
      <c r="G658" s="11" t="s">
        <v>394</v>
      </c>
      <c r="H658" s="11" t="s">
        <v>151</v>
      </c>
      <c r="I658" s="14" t="s">
        <v>395</v>
      </c>
      <c r="J658" s="14" t="s">
        <v>406</v>
      </c>
      <c r="K658" s="15" t="s">
        <v>114</v>
      </c>
      <c r="L658" s="86" t="s">
        <v>843</v>
      </c>
      <c r="M658" s="14" t="s">
        <v>844</v>
      </c>
      <c r="N658" s="14" t="s">
        <v>89</v>
      </c>
      <c r="O658" s="14"/>
      <c r="P658" s="15" t="s">
        <v>845</v>
      </c>
      <c r="Q658" s="16">
        <v>17199</v>
      </c>
      <c r="R658" s="17">
        <v>69.14</v>
      </c>
      <c r="S658" s="18">
        <v>6103.9354999999996</v>
      </c>
      <c r="T658" s="19" t="s">
        <v>846</v>
      </c>
      <c r="U658" s="20" t="s">
        <v>847</v>
      </c>
      <c r="V658" s="30">
        <v>36.5</v>
      </c>
      <c r="W658" s="21">
        <v>1</v>
      </c>
      <c r="X658" s="22"/>
    </row>
    <row r="659" spans="1:24" s="1" customFormat="1" ht="26.1" customHeight="1" x14ac:dyDescent="0.3">
      <c r="A659" s="23" t="s">
        <v>784</v>
      </c>
      <c r="B659" s="23" t="s">
        <v>841</v>
      </c>
      <c r="C659" s="12" t="s">
        <v>842</v>
      </c>
      <c r="D659" s="84"/>
      <c r="E659" s="69" t="str">
        <f>HYPERLINK("https://www.google.ru/search?q=D1GA2202-01&amp;newwindow=1&amp;tbm=isch","Еще фото")</f>
        <v>Еще фото</v>
      </c>
      <c r="F659" s="13"/>
      <c r="G659" s="23" t="s">
        <v>394</v>
      </c>
      <c r="H659" s="23" t="s">
        <v>151</v>
      </c>
      <c r="I659" s="23" t="s">
        <v>395</v>
      </c>
      <c r="J659" s="14" t="s">
        <v>406</v>
      </c>
      <c r="K659" s="15" t="s">
        <v>114</v>
      </c>
      <c r="L659" s="87"/>
      <c r="M659" s="14" t="s">
        <v>844</v>
      </c>
      <c r="N659" s="14" t="s">
        <v>89</v>
      </c>
      <c r="O659" s="14"/>
      <c r="P659" s="15" t="s">
        <v>845</v>
      </c>
      <c r="Q659" s="16">
        <v>17199</v>
      </c>
      <c r="R659" s="17">
        <v>69.14</v>
      </c>
      <c r="S659" s="18">
        <v>6103.9354999999996</v>
      </c>
      <c r="T659" s="19" t="s">
        <v>846</v>
      </c>
      <c r="U659" s="20" t="s">
        <v>818</v>
      </c>
      <c r="V659" s="21">
        <v>37</v>
      </c>
      <c r="W659" s="21">
        <v>2</v>
      </c>
      <c r="X659" s="22"/>
    </row>
    <row r="660" spans="1:24" s="1" customFormat="1" ht="26.1" customHeight="1" x14ac:dyDescent="0.3">
      <c r="A660" s="23" t="s">
        <v>784</v>
      </c>
      <c r="B660" s="23" t="s">
        <v>841</v>
      </c>
      <c r="C660" s="12" t="s">
        <v>842</v>
      </c>
      <c r="D660" s="84"/>
      <c r="E660" s="69" t="str">
        <f>HYPERLINK("https://www.google.ru/search?q=D1GA2202-01&amp;newwindow=1&amp;tbm=isch","Еще фото")</f>
        <v>Еще фото</v>
      </c>
      <c r="F660" s="13"/>
      <c r="G660" s="23" t="s">
        <v>394</v>
      </c>
      <c r="H660" s="23" t="s">
        <v>151</v>
      </c>
      <c r="I660" s="23" t="s">
        <v>395</v>
      </c>
      <c r="J660" s="14" t="s">
        <v>406</v>
      </c>
      <c r="K660" s="15" t="s">
        <v>114</v>
      </c>
      <c r="L660" s="87"/>
      <c r="M660" s="14" t="s">
        <v>844</v>
      </c>
      <c r="N660" s="14" t="s">
        <v>89</v>
      </c>
      <c r="O660" s="14"/>
      <c r="P660" s="15" t="s">
        <v>845</v>
      </c>
      <c r="Q660" s="16">
        <v>17199</v>
      </c>
      <c r="R660" s="17">
        <v>69.14</v>
      </c>
      <c r="S660" s="18">
        <v>6103.9354999999996</v>
      </c>
      <c r="T660" s="19" t="s">
        <v>846</v>
      </c>
      <c r="U660" s="20" t="s">
        <v>848</v>
      </c>
      <c r="V660" s="30">
        <v>37.5</v>
      </c>
      <c r="W660" s="21">
        <v>2</v>
      </c>
      <c r="X660" s="22"/>
    </row>
    <row r="661" spans="1:24" s="1" customFormat="1" ht="26.1" customHeight="1" x14ac:dyDescent="0.3">
      <c r="A661" s="23" t="s">
        <v>784</v>
      </c>
      <c r="B661" s="23" t="s">
        <v>841</v>
      </c>
      <c r="C661" s="12" t="s">
        <v>842</v>
      </c>
      <c r="D661" s="85"/>
      <c r="E661" s="69" t="str">
        <f>HYPERLINK("https://www.google.ru/search?q=D1GA2202-01&amp;newwindow=1&amp;tbm=isch","Еще фото")</f>
        <v>Еще фото</v>
      </c>
      <c r="F661" s="13"/>
      <c r="G661" s="23" t="s">
        <v>394</v>
      </c>
      <c r="H661" s="23" t="s">
        <v>151</v>
      </c>
      <c r="I661" s="23" t="s">
        <v>395</v>
      </c>
      <c r="J661" s="14" t="s">
        <v>406</v>
      </c>
      <c r="K661" s="15" t="s">
        <v>114</v>
      </c>
      <c r="L661" s="88"/>
      <c r="M661" s="14" t="s">
        <v>844</v>
      </c>
      <c r="N661" s="14" t="s">
        <v>89</v>
      </c>
      <c r="O661" s="14"/>
      <c r="P661" s="15" t="s">
        <v>845</v>
      </c>
      <c r="Q661" s="16">
        <v>17199</v>
      </c>
      <c r="R661" s="17">
        <v>69.14</v>
      </c>
      <c r="S661" s="18">
        <v>6103.9354999999996</v>
      </c>
      <c r="T661" s="19" t="s">
        <v>846</v>
      </c>
      <c r="U661" s="20" t="s">
        <v>849</v>
      </c>
      <c r="V661" s="21">
        <v>38</v>
      </c>
      <c r="W661" s="21">
        <v>2</v>
      </c>
      <c r="X661" s="22"/>
    </row>
    <row r="662" spans="1:24" s="1" customFormat="1" ht="11.1" customHeight="1" x14ac:dyDescent="0.3">
      <c r="A662" s="11" t="s">
        <v>784</v>
      </c>
      <c r="B662" s="11" t="s">
        <v>850</v>
      </c>
      <c r="C662" s="12" t="s">
        <v>851</v>
      </c>
      <c r="D662" s="83"/>
      <c r="E662" s="69" t="str">
        <f t="shared" ref="E662:E670" si="29">HYPERLINK("https://www.google.ru/search?q=J1GD2134-23&amp;newwindow=1&amp;tbm=isch","Еще фото")</f>
        <v>Еще фото</v>
      </c>
      <c r="F662" s="13"/>
      <c r="G662" s="11" t="s">
        <v>394</v>
      </c>
      <c r="H662" s="11" t="s">
        <v>151</v>
      </c>
      <c r="I662" s="14" t="s">
        <v>395</v>
      </c>
      <c r="J662" s="14" t="s">
        <v>406</v>
      </c>
      <c r="K662" s="15" t="s">
        <v>47</v>
      </c>
      <c r="L662" s="86" t="s">
        <v>852</v>
      </c>
      <c r="M662" s="14"/>
      <c r="N662" s="14" t="s">
        <v>41</v>
      </c>
      <c r="O662" s="14"/>
      <c r="P662" s="15" t="s">
        <v>853</v>
      </c>
      <c r="Q662" s="16">
        <v>22999</v>
      </c>
      <c r="R662" s="17">
        <v>56.53</v>
      </c>
      <c r="S662" s="18">
        <v>11497.4355</v>
      </c>
      <c r="T662" s="19" t="s">
        <v>846</v>
      </c>
      <c r="U662" s="20" t="s">
        <v>821</v>
      </c>
      <c r="V662" s="21">
        <v>36</v>
      </c>
      <c r="W662" s="21">
        <v>2</v>
      </c>
      <c r="X662" s="22"/>
    </row>
    <row r="663" spans="1:24" s="1" customFormat="1" ht="11.1" customHeight="1" x14ac:dyDescent="0.3">
      <c r="A663" s="23" t="s">
        <v>784</v>
      </c>
      <c r="B663" s="23" t="s">
        <v>850</v>
      </c>
      <c r="C663" s="12" t="s">
        <v>851</v>
      </c>
      <c r="D663" s="84"/>
      <c r="E663" s="69" t="str">
        <f t="shared" si="29"/>
        <v>Еще фото</v>
      </c>
      <c r="F663" s="13"/>
      <c r="G663" s="23" t="s">
        <v>394</v>
      </c>
      <c r="H663" s="23" t="s">
        <v>151</v>
      </c>
      <c r="I663" s="23" t="s">
        <v>395</v>
      </c>
      <c r="J663" s="14" t="s">
        <v>406</v>
      </c>
      <c r="K663" s="15" t="s">
        <v>47</v>
      </c>
      <c r="L663" s="87"/>
      <c r="M663" s="14"/>
      <c r="N663" s="14" t="s">
        <v>41</v>
      </c>
      <c r="O663" s="14"/>
      <c r="P663" s="15" t="s">
        <v>853</v>
      </c>
      <c r="Q663" s="16">
        <v>22999</v>
      </c>
      <c r="R663" s="17">
        <v>56.53</v>
      </c>
      <c r="S663" s="18">
        <v>11497.4355</v>
      </c>
      <c r="T663" s="19" t="s">
        <v>846</v>
      </c>
      <c r="U663" s="20" t="s">
        <v>847</v>
      </c>
      <c r="V663" s="30">
        <v>36.5</v>
      </c>
      <c r="W663" s="21">
        <v>3</v>
      </c>
      <c r="X663" s="22"/>
    </row>
    <row r="664" spans="1:24" s="1" customFormat="1" ht="11.1" customHeight="1" x14ac:dyDescent="0.3">
      <c r="A664" s="23" t="s">
        <v>784</v>
      </c>
      <c r="B664" s="23" t="s">
        <v>850</v>
      </c>
      <c r="C664" s="12" t="s">
        <v>851</v>
      </c>
      <c r="D664" s="84"/>
      <c r="E664" s="69" t="str">
        <f t="shared" si="29"/>
        <v>Еще фото</v>
      </c>
      <c r="F664" s="13"/>
      <c r="G664" s="23" t="s">
        <v>394</v>
      </c>
      <c r="H664" s="23" t="s">
        <v>151</v>
      </c>
      <c r="I664" s="23" t="s">
        <v>395</v>
      </c>
      <c r="J664" s="14" t="s">
        <v>406</v>
      </c>
      <c r="K664" s="15" t="s">
        <v>47</v>
      </c>
      <c r="L664" s="87"/>
      <c r="M664" s="14"/>
      <c r="N664" s="14" t="s">
        <v>41</v>
      </c>
      <c r="O664" s="14"/>
      <c r="P664" s="15" t="s">
        <v>853</v>
      </c>
      <c r="Q664" s="16">
        <v>22999</v>
      </c>
      <c r="R664" s="17">
        <v>56.53</v>
      </c>
      <c r="S664" s="18">
        <v>11497.4355</v>
      </c>
      <c r="T664" s="19" t="s">
        <v>846</v>
      </c>
      <c r="U664" s="20" t="s">
        <v>818</v>
      </c>
      <c r="V664" s="21">
        <v>37</v>
      </c>
      <c r="W664" s="21">
        <v>6</v>
      </c>
      <c r="X664" s="22"/>
    </row>
    <row r="665" spans="1:24" s="1" customFormat="1" ht="11.1" customHeight="1" x14ac:dyDescent="0.3">
      <c r="A665" s="23" t="s">
        <v>784</v>
      </c>
      <c r="B665" s="23" t="s">
        <v>850</v>
      </c>
      <c r="C665" s="12" t="s">
        <v>851</v>
      </c>
      <c r="D665" s="84"/>
      <c r="E665" s="69" t="str">
        <f t="shared" si="29"/>
        <v>Еще фото</v>
      </c>
      <c r="F665" s="13"/>
      <c r="G665" s="23" t="s">
        <v>394</v>
      </c>
      <c r="H665" s="23" t="s">
        <v>151</v>
      </c>
      <c r="I665" s="23" t="s">
        <v>395</v>
      </c>
      <c r="J665" s="14" t="s">
        <v>406</v>
      </c>
      <c r="K665" s="15" t="s">
        <v>47</v>
      </c>
      <c r="L665" s="87"/>
      <c r="M665" s="14"/>
      <c r="N665" s="14" t="s">
        <v>41</v>
      </c>
      <c r="O665" s="14"/>
      <c r="P665" s="15" t="s">
        <v>853</v>
      </c>
      <c r="Q665" s="16">
        <v>22999</v>
      </c>
      <c r="R665" s="17">
        <v>56.53</v>
      </c>
      <c r="S665" s="18">
        <v>11497.4355</v>
      </c>
      <c r="T665" s="19" t="s">
        <v>846</v>
      </c>
      <c r="U665" s="20" t="s">
        <v>848</v>
      </c>
      <c r="V665" s="30">
        <v>37.5</v>
      </c>
      <c r="W665" s="21">
        <v>3</v>
      </c>
      <c r="X665" s="22"/>
    </row>
    <row r="666" spans="1:24" s="1" customFormat="1" ht="11.1" customHeight="1" x14ac:dyDescent="0.3">
      <c r="A666" s="23" t="s">
        <v>784</v>
      </c>
      <c r="B666" s="23" t="s">
        <v>850</v>
      </c>
      <c r="C666" s="12" t="s">
        <v>851</v>
      </c>
      <c r="D666" s="84"/>
      <c r="E666" s="69" t="str">
        <f t="shared" si="29"/>
        <v>Еще фото</v>
      </c>
      <c r="F666" s="13"/>
      <c r="G666" s="23" t="s">
        <v>394</v>
      </c>
      <c r="H666" s="23" t="s">
        <v>151</v>
      </c>
      <c r="I666" s="23" t="s">
        <v>395</v>
      </c>
      <c r="J666" s="14" t="s">
        <v>406</v>
      </c>
      <c r="K666" s="15" t="s">
        <v>47</v>
      </c>
      <c r="L666" s="87"/>
      <c r="M666" s="14"/>
      <c r="N666" s="14" t="s">
        <v>41</v>
      </c>
      <c r="O666" s="14"/>
      <c r="P666" s="15" t="s">
        <v>853</v>
      </c>
      <c r="Q666" s="16">
        <v>22999</v>
      </c>
      <c r="R666" s="17">
        <v>56.53</v>
      </c>
      <c r="S666" s="18">
        <v>11497.4355</v>
      </c>
      <c r="T666" s="19" t="s">
        <v>846</v>
      </c>
      <c r="U666" s="20" t="s">
        <v>849</v>
      </c>
      <c r="V666" s="21">
        <v>38</v>
      </c>
      <c r="W666" s="21">
        <v>8</v>
      </c>
      <c r="X666" s="22"/>
    </row>
    <row r="667" spans="1:24" s="1" customFormat="1" ht="11.1" customHeight="1" x14ac:dyDescent="0.3">
      <c r="A667" s="23" t="s">
        <v>784</v>
      </c>
      <c r="B667" s="23" t="s">
        <v>850</v>
      </c>
      <c r="C667" s="12" t="s">
        <v>851</v>
      </c>
      <c r="D667" s="84"/>
      <c r="E667" s="69" t="str">
        <f t="shared" si="29"/>
        <v>Еще фото</v>
      </c>
      <c r="F667" s="13"/>
      <c r="G667" s="23" t="s">
        <v>394</v>
      </c>
      <c r="H667" s="23" t="s">
        <v>151</v>
      </c>
      <c r="I667" s="23" t="s">
        <v>395</v>
      </c>
      <c r="J667" s="14" t="s">
        <v>406</v>
      </c>
      <c r="K667" s="15" t="s">
        <v>47</v>
      </c>
      <c r="L667" s="87"/>
      <c r="M667" s="14"/>
      <c r="N667" s="14" t="s">
        <v>41</v>
      </c>
      <c r="O667" s="14"/>
      <c r="P667" s="15" t="s">
        <v>853</v>
      </c>
      <c r="Q667" s="16">
        <v>22999</v>
      </c>
      <c r="R667" s="17">
        <v>56.53</v>
      </c>
      <c r="S667" s="18">
        <v>11497.4355</v>
      </c>
      <c r="T667" s="19" t="s">
        <v>846</v>
      </c>
      <c r="U667" s="20" t="s">
        <v>500</v>
      </c>
      <c r="V667" s="21">
        <v>39</v>
      </c>
      <c r="W667" s="21">
        <v>7</v>
      </c>
      <c r="X667" s="22"/>
    </row>
    <row r="668" spans="1:24" s="1" customFormat="1" ht="11.1" customHeight="1" x14ac:dyDescent="0.3">
      <c r="A668" s="23" t="s">
        <v>784</v>
      </c>
      <c r="B668" s="23" t="s">
        <v>850</v>
      </c>
      <c r="C668" s="12" t="s">
        <v>851</v>
      </c>
      <c r="D668" s="84"/>
      <c r="E668" s="69" t="str">
        <f t="shared" si="29"/>
        <v>Еще фото</v>
      </c>
      <c r="F668" s="13"/>
      <c r="G668" s="23" t="s">
        <v>394</v>
      </c>
      <c r="H668" s="23" t="s">
        <v>151</v>
      </c>
      <c r="I668" s="23" t="s">
        <v>395</v>
      </c>
      <c r="J668" s="14" t="s">
        <v>406</v>
      </c>
      <c r="K668" s="15" t="s">
        <v>47</v>
      </c>
      <c r="L668" s="87"/>
      <c r="M668" s="14"/>
      <c r="N668" s="14" t="s">
        <v>41</v>
      </c>
      <c r="O668" s="14"/>
      <c r="P668" s="15" t="s">
        <v>853</v>
      </c>
      <c r="Q668" s="16">
        <v>22999</v>
      </c>
      <c r="R668" s="17">
        <v>56.53</v>
      </c>
      <c r="S668" s="18">
        <v>11497.4355</v>
      </c>
      <c r="T668" s="19" t="s">
        <v>846</v>
      </c>
      <c r="U668" s="20" t="s">
        <v>854</v>
      </c>
      <c r="V668" s="30">
        <v>39.5</v>
      </c>
      <c r="W668" s="21">
        <v>5</v>
      </c>
      <c r="X668" s="22"/>
    </row>
    <row r="669" spans="1:24" s="1" customFormat="1" ht="11.1" customHeight="1" x14ac:dyDescent="0.3">
      <c r="A669" s="23" t="s">
        <v>784</v>
      </c>
      <c r="B669" s="23" t="s">
        <v>850</v>
      </c>
      <c r="C669" s="12" t="s">
        <v>851</v>
      </c>
      <c r="D669" s="84"/>
      <c r="E669" s="69" t="str">
        <f t="shared" si="29"/>
        <v>Еще фото</v>
      </c>
      <c r="F669" s="13"/>
      <c r="G669" s="23" t="s">
        <v>394</v>
      </c>
      <c r="H669" s="23" t="s">
        <v>151</v>
      </c>
      <c r="I669" s="23" t="s">
        <v>395</v>
      </c>
      <c r="J669" s="14" t="s">
        <v>406</v>
      </c>
      <c r="K669" s="15" t="s">
        <v>47</v>
      </c>
      <c r="L669" s="87"/>
      <c r="M669" s="14"/>
      <c r="N669" s="14" t="s">
        <v>41</v>
      </c>
      <c r="O669" s="14"/>
      <c r="P669" s="15" t="s">
        <v>853</v>
      </c>
      <c r="Q669" s="16">
        <v>22999</v>
      </c>
      <c r="R669" s="17">
        <v>56.53</v>
      </c>
      <c r="S669" s="18">
        <v>11497.4355</v>
      </c>
      <c r="T669" s="19" t="s">
        <v>846</v>
      </c>
      <c r="U669" s="20" t="s">
        <v>156</v>
      </c>
      <c r="V669" s="21">
        <v>40</v>
      </c>
      <c r="W669" s="21">
        <v>1</v>
      </c>
      <c r="X669" s="22"/>
    </row>
    <row r="670" spans="1:24" s="1" customFormat="1" ht="11.1" customHeight="1" x14ac:dyDescent="0.3">
      <c r="A670" s="23" t="s">
        <v>784</v>
      </c>
      <c r="B670" s="23" t="s">
        <v>850</v>
      </c>
      <c r="C670" s="12" t="s">
        <v>851</v>
      </c>
      <c r="D670" s="85"/>
      <c r="E670" s="69" t="str">
        <f t="shared" si="29"/>
        <v>Еще фото</v>
      </c>
      <c r="F670" s="13"/>
      <c r="G670" s="23" t="s">
        <v>394</v>
      </c>
      <c r="H670" s="23" t="s">
        <v>151</v>
      </c>
      <c r="I670" s="23" t="s">
        <v>395</v>
      </c>
      <c r="J670" s="14" t="s">
        <v>406</v>
      </c>
      <c r="K670" s="15" t="s">
        <v>47</v>
      </c>
      <c r="L670" s="88"/>
      <c r="M670" s="14"/>
      <c r="N670" s="14" t="s">
        <v>41</v>
      </c>
      <c r="O670" s="14"/>
      <c r="P670" s="15" t="s">
        <v>853</v>
      </c>
      <c r="Q670" s="16">
        <v>22999</v>
      </c>
      <c r="R670" s="17">
        <v>56.53</v>
      </c>
      <c r="S670" s="18">
        <v>11497.4355</v>
      </c>
      <c r="T670" s="19" t="s">
        <v>846</v>
      </c>
      <c r="U670" s="20" t="s">
        <v>157</v>
      </c>
      <c r="V670" s="21">
        <v>41</v>
      </c>
      <c r="W670" s="21">
        <v>2</v>
      </c>
      <c r="X670" s="22"/>
    </row>
    <row r="671" spans="1:24" s="1" customFormat="1" ht="108" customHeight="1" x14ac:dyDescent="0.3">
      <c r="A671" s="11" t="s">
        <v>784</v>
      </c>
      <c r="B671" s="11" t="s">
        <v>855</v>
      </c>
      <c r="C671" s="12" t="s">
        <v>856</v>
      </c>
      <c r="D671" s="24"/>
      <c r="E671" s="69" t="str">
        <f>HYPERLINK("https://www.google.ru/search?q=J1GD1840-11&amp;newwindow=1&amp;tbm=isch","Еще фото")</f>
        <v>Еще фото</v>
      </c>
      <c r="F671" s="13"/>
      <c r="G671" s="11" t="s">
        <v>394</v>
      </c>
      <c r="H671" s="11" t="s">
        <v>151</v>
      </c>
      <c r="I671" s="14" t="s">
        <v>395</v>
      </c>
      <c r="J671" s="14" t="s">
        <v>406</v>
      </c>
      <c r="K671" s="15" t="s">
        <v>47</v>
      </c>
      <c r="L671" s="14" t="s">
        <v>857</v>
      </c>
      <c r="M671" s="14" t="s">
        <v>844</v>
      </c>
      <c r="N671" s="14" t="s">
        <v>41</v>
      </c>
      <c r="O671" s="14"/>
      <c r="P671" s="15" t="s">
        <v>858</v>
      </c>
      <c r="Q671" s="16">
        <v>14199</v>
      </c>
      <c r="R671" s="17">
        <v>48.89</v>
      </c>
      <c r="S671" s="18">
        <v>8346.4354999999996</v>
      </c>
      <c r="T671" s="19" t="s">
        <v>846</v>
      </c>
      <c r="U671" s="20" t="s">
        <v>821</v>
      </c>
      <c r="V671" s="21">
        <v>36</v>
      </c>
      <c r="W671" s="21">
        <v>1</v>
      </c>
      <c r="X671" s="22"/>
    </row>
    <row r="672" spans="1:24" s="1" customFormat="1" ht="51.95" customHeight="1" x14ac:dyDescent="0.3">
      <c r="A672" s="11" t="s">
        <v>784</v>
      </c>
      <c r="B672" s="11" t="s">
        <v>859</v>
      </c>
      <c r="C672" s="12" t="s">
        <v>860</v>
      </c>
      <c r="D672" s="89"/>
      <c r="E672" s="69" t="str">
        <f>HYPERLINK("https://www.google.ru/search?q=P1GA1925-04&amp;newwindow=1&amp;tbm=isch","Еще фото")</f>
        <v>Еще фото</v>
      </c>
      <c r="F672" s="13" t="s">
        <v>507</v>
      </c>
      <c r="G672" s="11" t="s">
        <v>861</v>
      </c>
      <c r="H672" s="11" t="s">
        <v>151</v>
      </c>
      <c r="I672" s="14" t="s">
        <v>395</v>
      </c>
      <c r="J672" s="14" t="s">
        <v>862</v>
      </c>
      <c r="K672" s="15" t="s">
        <v>55</v>
      </c>
      <c r="L672" s="86" t="s">
        <v>863</v>
      </c>
      <c r="M672" s="14"/>
      <c r="N672" s="14" t="s">
        <v>748</v>
      </c>
      <c r="O672" s="14"/>
      <c r="P672" s="15" t="s">
        <v>864</v>
      </c>
      <c r="Q672" s="16">
        <v>5199</v>
      </c>
      <c r="R672" s="17">
        <v>46.14</v>
      </c>
      <c r="S672" s="18">
        <v>3219.9884999999995</v>
      </c>
      <c r="T672" s="19" t="s">
        <v>846</v>
      </c>
      <c r="U672" s="20" t="s">
        <v>156</v>
      </c>
      <c r="V672" s="21">
        <v>40</v>
      </c>
      <c r="W672" s="21">
        <v>12</v>
      </c>
      <c r="X672" s="22"/>
    </row>
    <row r="673" spans="1:24" s="1" customFormat="1" ht="60.95" customHeight="1" x14ac:dyDescent="0.3">
      <c r="A673" s="23" t="s">
        <v>784</v>
      </c>
      <c r="B673" s="23" t="s">
        <v>859</v>
      </c>
      <c r="C673" s="12" t="s">
        <v>860</v>
      </c>
      <c r="D673" s="90"/>
      <c r="E673" s="69" t="str">
        <f>HYPERLINK("https://www.google.ru/search?q=P1GA1925-04&amp;newwindow=1&amp;tbm=isch","Еще фото")</f>
        <v>Еще фото</v>
      </c>
      <c r="F673" s="13" t="s">
        <v>507</v>
      </c>
      <c r="G673" s="23" t="s">
        <v>861</v>
      </c>
      <c r="H673" s="23" t="s">
        <v>151</v>
      </c>
      <c r="I673" s="23" t="s">
        <v>395</v>
      </c>
      <c r="J673" s="14" t="s">
        <v>862</v>
      </c>
      <c r="K673" s="15" t="s">
        <v>55</v>
      </c>
      <c r="L673" s="88"/>
      <c r="M673" s="14"/>
      <c r="N673" s="14" t="s">
        <v>748</v>
      </c>
      <c r="O673" s="14"/>
      <c r="P673" s="15" t="s">
        <v>864</v>
      </c>
      <c r="Q673" s="16">
        <v>5199</v>
      </c>
      <c r="R673" s="17">
        <v>46.14</v>
      </c>
      <c r="S673" s="18">
        <v>3219.9884999999995</v>
      </c>
      <c r="T673" s="19" t="s">
        <v>846</v>
      </c>
      <c r="U673" s="20" t="s">
        <v>157</v>
      </c>
      <c r="V673" s="21">
        <v>41</v>
      </c>
      <c r="W673" s="21">
        <v>40</v>
      </c>
      <c r="X673" s="22"/>
    </row>
    <row r="674" spans="1:24" s="1" customFormat="1" ht="51.95" customHeight="1" x14ac:dyDescent="0.3">
      <c r="A674" s="11" t="s">
        <v>784</v>
      </c>
      <c r="B674" s="11" t="s">
        <v>865</v>
      </c>
      <c r="C674" s="12" t="s">
        <v>866</v>
      </c>
      <c r="D674" s="89"/>
      <c r="E674" s="69" t="str">
        <f>HYPERLINK("https://www.google.ru/search?q=J1GD1840-61&amp;newwindow=1&amp;tbm=isch","Еще фото")</f>
        <v>Еще фото</v>
      </c>
      <c r="F674" s="13"/>
      <c r="G674" s="11" t="s">
        <v>394</v>
      </c>
      <c r="H674" s="11" t="s">
        <v>151</v>
      </c>
      <c r="I674" s="14" t="s">
        <v>395</v>
      </c>
      <c r="J674" s="14" t="s">
        <v>406</v>
      </c>
      <c r="K674" s="15" t="s">
        <v>55</v>
      </c>
      <c r="L674" s="86" t="s">
        <v>867</v>
      </c>
      <c r="M674" s="14" t="s">
        <v>844</v>
      </c>
      <c r="N674" s="14" t="s">
        <v>41</v>
      </c>
      <c r="O674" s="14"/>
      <c r="P674" s="15" t="s">
        <v>868</v>
      </c>
      <c r="Q674" s="16">
        <v>13999</v>
      </c>
      <c r="R674" s="17">
        <v>45.71</v>
      </c>
      <c r="S674" s="18">
        <v>8739.9884999999995</v>
      </c>
      <c r="T674" s="19" t="s">
        <v>846</v>
      </c>
      <c r="U674" s="20" t="s">
        <v>847</v>
      </c>
      <c r="V674" s="30">
        <v>36.5</v>
      </c>
      <c r="W674" s="21">
        <v>3</v>
      </c>
      <c r="X674" s="22"/>
    </row>
    <row r="675" spans="1:24" s="1" customFormat="1" ht="60.95" customHeight="1" x14ac:dyDescent="0.3">
      <c r="A675" s="23" t="s">
        <v>784</v>
      </c>
      <c r="B675" s="23" t="s">
        <v>865</v>
      </c>
      <c r="C675" s="12" t="s">
        <v>866</v>
      </c>
      <c r="D675" s="90"/>
      <c r="E675" s="69" t="str">
        <f>HYPERLINK("https://www.google.ru/search?q=J1GD1840-61&amp;newwindow=1&amp;tbm=isch","Еще фото")</f>
        <v>Еще фото</v>
      </c>
      <c r="F675" s="13"/>
      <c r="G675" s="23" t="s">
        <v>394</v>
      </c>
      <c r="H675" s="23" t="s">
        <v>151</v>
      </c>
      <c r="I675" s="23" t="s">
        <v>395</v>
      </c>
      <c r="J675" s="14" t="s">
        <v>406</v>
      </c>
      <c r="K675" s="15" t="s">
        <v>55</v>
      </c>
      <c r="L675" s="88"/>
      <c r="M675" s="14" t="s">
        <v>844</v>
      </c>
      <c r="N675" s="14" t="s">
        <v>41</v>
      </c>
      <c r="O675" s="14"/>
      <c r="P675" s="15" t="s">
        <v>868</v>
      </c>
      <c r="Q675" s="16">
        <v>13999</v>
      </c>
      <c r="R675" s="17">
        <v>45.71</v>
      </c>
      <c r="S675" s="18">
        <v>8739.9884999999995</v>
      </c>
      <c r="T675" s="19" t="s">
        <v>846</v>
      </c>
      <c r="U675" s="20" t="s">
        <v>818</v>
      </c>
      <c r="V675" s="21">
        <v>37</v>
      </c>
      <c r="W675" s="21">
        <v>2</v>
      </c>
      <c r="X675" s="22"/>
    </row>
    <row r="676" spans="1:24" s="1" customFormat="1" ht="108" customHeight="1" x14ac:dyDescent="0.3">
      <c r="A676" s="11" t="s">
        <v>784</v>
      </c>
      <c r="B676" s="11" t="s">
        <v>869</v>
      </c>
      <c r="C676" s="12" t="s">
        <v>870</v>
      </c>
      <c r="D676" s="24"/>
      <c r="E676" s="69" t="str">
        <f>HYPERLINK("https://www.google.ru/search?q=P1GA1925-25&amp;newwindow=1&amp;tbm=isch","Еще фото")</f>
        <v>Еще фото</v>
      </c>
      <c r="F676" s="13"/>
      <c r="G676" s="11" t="s">
        <v>861</v>
      </c>
      <c r="H676" s="11" t="s">
        <v>151</v>
      </c>
      <c r="I676" s="14" t="s">
        <v>395</v>
      </c>
      <c r="J676" s="14" t="s">
        <v>862</v>
      </c>
      <c r="K676" s="15" t="s">
        <v>55</v>
      </c>
      <c r="L676" s="14" t="s">
        <v>863</v>
      </c>
      <c r="M676" s="14"/>
      <c r="N676" s="14" t="s">
        <v>871</v>
      </c>
      <c r="O676" s="14"/>
      <c r="P676" s="15" t="s">
        <v>872</v>
      </c>
      <c r="Q676" s="16">
        <v>7899</v>
      </c>
      <c r="R676" s="17">
        <v>45.56</v>
      </c>
      <c r="S676" s="18">
        <v>4944.9884999999995</v>
      </c>
      <c r="T676" s="19" t="s">
        <v>846</v>
      </c>
      <c r="U676" s="20" t="s">
        <v>163</v>
      </c>
      <c r="V676" s="30">
        <v>43.5</v>
      </c>
      <c r="W676" s="21">
        <v>1</v>
      </c>
      <c r="X676" s="22"/>
    </row>
    <row r="677" spans="1:24" s="1" customFormat="1" ht="108" customHeight="1" x14ac:dyDescent="0.3">
      <c r="A677" s="11" t="s">
        <v>784</v>
      </c>
      <c r="B677" s="11" t="s">
        <v>873</v>
      </c>
      <c r="C677" s="12" t="s">
        <v>874</v>
      </c>
      <c r="D677" s="24"/>
      <c r="E677" s="69" t="str">
        <f>HYPERLINK("https://www.google.ru/search?q=J1GD2226-04&amp;newwindow=1&amp;tbm=isch","Еще фото")</f>
        <v>Еще фото</v>
      </c>
      <c r="F677" s="13"/>
      <c r="G677" s="11" t="s">
        <v>394</v>
      </c>
      <c r="H677" s="11" t="s">
        <v>151</v>
      </c>
      <c r="I677" s="14" t="s">
        <v>395</v>
      </c>
      <c r="J677" s="14" t="s">
        <v>406</v>
      </c>
      <c r="K677" s="15" t="s">
        <v>47</v>
      </c>
      <c r="L677" s="14" t="s">
        <v>875</v>
      </c>
      <c r="M677" s="14"/>
      <c r="N677" s="14" t="s">
        <v>49</v>
      </c>
      <c r="O677" s="14"/>
      <c r="P677" s="15" t="s">
        <v>876</v>
      </c>
      <c r="Q677" s="16">
        <v>16499</v>
      </c>
      <c r="R677" s="17">
        <v>45.45</v>
      </c>
      <c r="S677" s="18">
        <v>10349.988499999999</v>
      </c>
      <c r="T677" s="19" t="s">
        <v>846</v>
      </c>
      <c r="U677" s="20" t="s">
        <v>821</v>
      </c>
      <c r="V677" s="21">
        <v>36</v>
      </c>
      <c r="W677" s="21">
        <v>1</v>
      </c>
      <c r="X677" s="22"/>
    </row>
    <row r="678" spans="1:24" s="1" customFormat="1" ht="35.1" customHeight="1" x14ac:dyDescent="0.3">
      <c r="A678" s="11" t="s">
        <v>784</v>
      </c>
      <c r="B678" s="11" t="s">
        <v>877</v>
      </c>
      <c r="C678" s="12" t="s">
        <v>878</v>
      </c>
      <c r="D678" s="83"/>
      <c r="E678" s="69" t="str">
        <f>HYPERLINK("https://www.google.ru/search?q=61GA2271-56&amp;newwindow=1&amp;tbm=isch","Еще фото")</f>
        <v>Еще фото</v>
      </c>
      <c r="F678" s="13"/>
      <c r="G678" s="11" t="s">
        <v>394</v>
      </c>
      <c r="H678" s="11" t="s">
        <v>151</v>
      </c>
      <c r="I678" s="14" t="s">
        <v>395</v>
      </c>
      <c r="J678" s="14" t="s">
        <v>879</v>
      </c>
      <c r="K678" s="15" t="s">
        <v>55</v>
      </c>
      <c r="L678" s="86" t="s">
        <v>880</v>
      </c>
      <c r="M678" s="14" t="s">
        <v>844</v>
      </c>
      <c r="N678" s="14" t="s">
        <v>275</v>
      </c>
      <c r="O678" s="14"/>
      <c r="P678" s="15" t="s">
        <v>853</v>
      </c>
      <c r="Q678" s="16">
        <v>14099</v>
      </c>
      <c r="R678" s="17">
        <v>45.39</v>
      </c>
      <c r="S678" s="18">
        <v>8854.9884999999995</v>
      </c>
      <c r="T678" s="19" t="s">
        <v>846</v>
      </c>
      <c r="U678" s="20" t="s">
        <v>848</v>
      </c>
      <c r="V678" s="30">
        <v>37.5</v>
      </c>
      <c r="W678" s="21">
        <v>2</v>
      </c>
      <c r="X678" s="22"/>
    </row>
    <row r="679" spans="1:24" s="1" customFormat="1" ht="35.1" customHeight="1" x14ac:dyDescent="0.3">
      <c r="A679" s="23" t="s">
        <v>784</v>
      </c>
      <c r="B679" s="23" t="s">
        <v>877</v>
      </c>
      <c r="C679" s="12" t="s">
        <v>878</v>
      </c>
      <c r="D679" s="84"/>
      <c r="E679" s="69" t="str">
        <f>HYPERLINK("https://www.google.ru/search?q=61GA2271-56&amp;newwindow=1&amp;tbm=isch","Еще фото")</f>
        <v>Еще фото</v>
      </c>
      <c r="F679" s="13"/>
      <c r="G679" s="23" t="s">
        <v>394</v>
      </c>
      <c r="H679" s="23" t="s">
        <v>151</v>
      </c>
      <c r="I679" s="23" t="s">
        <v>395</v>
      </c>
      <c r="J679" s="14" t="s">
        <v>879</v>
      </c>
      <c r="K679" s="15" t="s">
        <v>55</v>
      </c>
      <c r="L679" s="87"/>
      <c r="M679" s="14" t="s">
        <v>844</v>
      </c>
      <c r="N679" s="14" t="s">
        <v>275</v>
      </c>
      <c r="O679" s="14"/>
      <c r="P679" s="15" t="s">
        <v>853</v>
      </c>
      <c r="Q679" s="16">
        <v>14099</v>
      </c>
      <c r="R679" s="17">
        <v>45.39</v>
      </c>
      <c r="S679" s="18">
        <v>8854.9884999999995</v>
      </c>
      <c r="T679" s="19" t="s">
        <v>846</v>
      </c>
      <c r="U679" s="20" t="s">
        <v>849</v>
      </c>
      <c r="V679" s="21">
        <v>38</v>
      </c>
      <c r="W679" s="21">
        <v>7</v>
      </c>
      <c r="X679" s="22"/>
    </row>
    <row r="680" spans="1:24" s="1" customFormat="1" ht="36.950000000000003" customHeight="1" x14ac:dyDescent="0.3">
      <c r="A680" s="23" t="s">
        <v>784</v>
      </c>
      <c r="B680" s="23" t="s">
        <v>877</v>
      </c>
      <c r="C680" s="12" t="s">
        <v>878</v>
      </c>
      <c r="D680" s="85"/>
      <c r="E680" s="69" t="str">
        <f>HYPERLINK("https://www.google.ru/search?q=61GA2271-56&amp;newwindow=1&amp;tbm=isch","Еще фото")</f>
        <v>Еще фото</v>
      </c>
      <c r="F680" s="13"/>
      <c r="G680" s="23" t="s">
        <v>394</v>
      </c>
      <c r="H680" s="23" t="s">
        <v>151</v>
      </c>
      <c r="I680" s="23" t="s">
        <v>395</v>
      </c>
      <c r="J680" s="14" t="s">
        <v>879</v>
      </c>
      <c r="K680" s="15" t="s">
        <v>55</v>
      </c>
      <c r="L680" s="88"/>
      <c r="M680" s="14" t="s">
        <v>844</v>
      </c>
      <c r="N680" s="14" t="s">
        <v>275</v>
      </c>
      <c r="O680" s="14"/>
      <c r="P680" s="15" t="s">
        <v>853</v>
      </c>
      <c r="Q680" s="16">
        <v>14099</v>
      </c>
      <c r="R680" s="17">
        <v>45.39</v>
      </c>
      <c r="S680" s="18">
        <v>8854.9884999999995</v>
      </c>
      <c r="T680" s="19" t="s">
        <v>846</v>
      </c>
      <c r="U680" s="20" t="s">
        <v>500</v>
      </c>
      <c r="V680" s="21">
        <v>39</v>
      </c>
      <c r="W680" s="21">
        <v>3</v>
      </c>
      <c r="X680" s="22"/>
    </row>
    <row r="681" spans="1:24" s="1" customFormat="1" ht="35.1" customHeight="1" x14ac:dyDescent="0.3">
      <c r="A681" s="11" t="s">
        <v>784</v>
      </c>
      <c r="B681" s="11" t="s">
        <v>881</v>
      </c>
      <c r="C681" s="12" t="s">
        <v>882</v>
      </c>
      <c r="D681" s="83"/>
      <c r="E681" s="69" t="str">
        <f>HYPERLINK("https://www.google.ru/search?q=61GC2474-28&amp;newwindow=1&amp;tbm=isch","Еще фото")</f>
        <v>Еще фото</v>
      </c>
      <c r="F681" s="13"/>
      <c r="G681" s="11" t="s">
        <v>394</v>
      </c>
      <c r="H681" s="11" t="s">
        <v>151</v>
      </c>
      <c r="I681" s="14" t="s">
        <v>395</v>
      </c>
      <c r="J681" s="14" t="s">
        <v>879</v>
      </c>
      <c r="K681" s="15" t="s">
        <v>114</v>
      </c>
      <c r="L681" s="86"/>
      <c r="M681" s="14"/>
      <c r="N681" s="14" t="s">
        <v>70</v>
      </c>
      <c r="O681" s="14"/>
      <c r="P681" s="15" t="s">
        <v>883</v>
      </c>
      <c r="Q681" s="16">
        <v>14099</v>
      </c>
      <c r="R681" s="17">
        <v>45.39</v>
      </c>
      <c r="S681" s="18">
        <v>8854.9884999999995</v>
      </c>
      <c r="T681" s="19" t="s">
        <v>846</v>
      </c>
      <c r="U681" s="20" t="s">
        <v>854</v>
      </c>
      <c r="V681" s="30">
        <v>39.5</v>
      </c>
      <c r="W681" s="21">
        <v>2</v>
      </c>
      <c r="X681" s="22"/>
    </row>
    <row r="682" spans="1:24" s="1" customFormat="1" ht="35.1" customHeight="1" x14ac:dyDescent="0.3">
      <c r="A682" s="23" t="s">
        <v>784</v>
      </c>
      <c r="B682" s="23" t="s">
        <v>881</v>
      </c>
      <c r="C682" s="12" t="s">
        <v>882</v>
      </c>
      <c r="D682" s="84"/>
      <c r="E682" s="69" t="str">
        <f>HYPERLINK("https://www.google.ru/search?q=61GC2474-28&amp;newwindow=1&amp;tbm=isch","Еще фото")</f>
        <v>Еще фото</v>
      </c>
      <c r="F682" s="13"/>
      <c r="G682" s="23" t="s">
        <v>394</v>
      </c>
      <c r="H682" s="23" t="s">
        <v>151</v>
      </c>
      <c r="I682" s="23" t="s">
        <v>395</v>
      </c>
      <c r="J682" s="14" t="s">
        <v>879</v>
      </c>
      <c r="K682" s="15" t="s">
        <v>114</v>
      </c>
      <c r="L682" s="87"/>
      <c r="M682" s="14"/>
      <c r="N682" s="14" t="s">
        <v>70</v>
      </c>
      <c r="O682" s="14"/>
      <c r="P682" s="15" t="s">
        <v>883</v>
      </c>
      <c r="Q682" s="16">
        <v>14099</v>
      </c>
      <c r="R682" s="17">
        <v>45.39</v>
      </c>
      <c r="S682" s="18">
        <v>8854.9884999999995</v>
      </c>
      <c r="T682" s="19" t="s">
        <v>846</v>
      </c>
      <c r="U682" s="20" t="s">
        <v>156</v>
      </c>
      <c r="V682" s="21">
        <v>40</v>
      </c>
      <c r="W682" s="21">
        <v>2</v>
      </c>
      <c r="X682" s="22"/>
    </row>
    <row r="683" spans="1:24" s="1" customFormat="1" ht="36.950000000000003" customHeight="1" x14ac:dyDescent="0.3">
      <c r="A683" s="23" t="s">
        <v>784</v>
      </c>
      <c r="B683" s="23" t="s">
        <v>881</v>
      </c>
      <c r="C683" s="12" t="s">
        <v>882</v>
      </c>
      <c r="D683" s="85"/>
      <c r="E683" s="69" t="str">
        <f>HYPERLINK("https://www.google.ru/search?q=61GC2474-28&amp;newwindow=1&amp;tbm=isch","Еще фото")</f>
        <v>Еще фото</v>
      </c>
      <c r="F683" s="13"/>
      <c r="G683" s="23" t="s">
        <v>394</v>
      </c>
      <c r="H683" s="23" t="s">
        <v>151</v>
      </c>
      <c r="I683" s="23" t="s">
        <v>395</v>
      </c>
      <c r="J683" s="14" t="s">
        <v>879</v>
      </c>
      <c r="K683" s="15" t="s">
        <v>114</v>
      </c>
      <c r="L683" s="88"/>
      <c r="M683" s="14"/>
      <c r="N683" s="14" t="s">
        <v>70</v>
      </c>
      <c r="O683" s="14"/>
      <c r="P683" s="15" t="s">
        <v>883</v>
      </c>
      <c r="Q683" s="16">
        <v>14099</v>
      </c>
      <c r="R683" s="17">
        <v>45.39</v>
      </c>
      <c r="S683" s="18">
        <v>8854.9884999999995</v>
      </c>
      <c r="T683" s="19" t="s">
        <v>846</v>
      </c>
      <c r="U683" s="20" t="s">
        <v>162</v>
      </c>
      <c r="V683" s="21">
        <v>42</v>
      </c>
      <c r="W683" s="21">
        <v>1</v>
      </c>
      <c r="X683" s="22"/>
    </row>
    <row r="684" spans="1:24" s="1" customFormat="1" ht="51.95" customHeight="1" x14ac:dyDescent="0.3">
      <c r="A684" s="11" t="s">
        <v>784</v>
      </c>
      <c r="B684" s="11" t="s">
        <v>884</v>
      </c>
      <c r="C684" s="12" t="s">
        <v>885</v>
      </c>
      <c r="D684" s="89"/>
      <c r="E684" s="69" t="str">
        <f>HYPERLINK("https://www.google.ru/search?q=V1GA2175-38&amp;newwindow=1&amp;tbm=isch","Еще фото")</f>
        <v>Еще фото</v>
      </c>
      <c r="F684" s="13"/>
      <c r="G684" s="11" t="s">
        <v>394</v>
      </c>
      <c r="H684" s="11" t="s">
        <v>151</v>
      </c>
      <c r="I684" s="14" t="s">
        <v>395</v>
      </c>
      <c r="J684" s="14" t="s">
        <v>886</v>
      </c>
      <c r="K684" s="15" t="s">
        <v>55</v>
      </c>
      <c r="L684" s="86"/>
      <c r="M684" s="14"/>
      <c r="N684" s="14" t="s">
        <v>887</v>
      </c>
      <c r="O684" s="14"/>
      <c r="P684" s="15" t="s">
        <v>853</v>
      </c>
      <c r="Q684" s="16">
        <v>7690</v>
      </c>
      <c r="R684" s="17">
        <v>45.38</v>
      </c>
      <c r="S684" s="18">
        <v>4829.9884999999995</v>
      </c>
      <c r="T684" s="19" t="s">
        <v>846</v>
      </c>
      <c r="U684" s="20" t="s">
        <v>849</v>
      </c>
      <c r="V684" s="21">
        <v>38</v>
      </c>
      <c r="W684" s="21">
        <v>9</v>
      </c>
      <c r="X684" s="22"/>
    </row>
    <row r="685" spans="1:24" s="1" customFormat="1" ht="60.95" customHeight="1" x14ac:dyDescent="0.3">
      <c r="A685" s="23" t="s">
        <v>784</v>
      </c>
      <c r="B685" s="23" t="s">
        <v>884</v>
      </c>
      <c r="C685" s="12" t="s">
        <v>885</v>
      </c>
      <c r="D685" s="90"/>
      <c r="E685" s="69" t="str">
        <f>HYPERLINK("https://www.google.ru/search?q=V1GA2175-38&amp;newwindow=1&amp;tbm=isch","Еще фото")</f>
        <v>Еще фото</v>
      </c>
      <c r="F685" s="13"/>
      <c r="G685" s="23" t="s">
        <v>394</v>
      </c>
      <c r="H685" s="23" t="s">
        <v>151</v>
      </c>
      <c r="I685" s="23" t="s">
        <v>395</v>
      </c>
      <c r="J685" s="14" t="s">
        <v>886</v>
      </c>
      <c r="K685" s="15" t="s">
        <v>55</v>
      </c>
      <c r="L685" s="88"/>
      <c r="M685" s="14"/>
      <c r="N685" s="14" t="s">
        <v>887</v>
      </c>
      <c r="O685" s="14"/>
      <c r="P685" s="15" t="s">
        <v>853</v>
      </c>
      <c r="Q685" s="16">
        <v>7690</v>
      </c>
      <c r="R685" s="17">
        <v>45.38</v>
      </c>
      <c r="S685" s="18">
        <v>4829.9884999999995</v>
      </c>
      <c r="T685" s="19" t="s">
        <v>846</v>
      </c>
      <c r="U685" s="20" t="s">
        <v>854</v>
      </c>
      <c r="V685" s="30">
        <v>39.5</v>
      </c>
      <c r="W685" s="21">
        <v>1</v>
      </c>
      <c r="X685" s="22"/>
    </row>
    <row r="686" spans="1:24" s="1" customFormat="1" ht="51.95" customHeight="1" x14ac:dyDescent="0.3">
      <c r="A686" s="11" t="s">
        <v>784</v>
      </c>
      <c r="B686" s="11" t="s">
        <v>888</v>
      </c>
      <c r="C686" s="12" t="s">
        <v>889</v>
      </c>
      <c r="D686" s="89"/>
      <c r="E686" s="69" t="str">
        <f>HYPERLINK("https://www.google.ru/search?q=Q1GA1902-54&amp;newwindow=1&amp;tbm=isch","Еще фото")</f>
        <v>Еще фото</v>
      </c>
      <c r="F686" s="13"/>
      <c r="G686" s="11" t="s">
        <v>861</v>
      </c>
      <c r="H686" s="11" t="s">
        <v>151</v>
      </c>
      <c r="I686" s="14" t="s">
        <v>395</v>
      </c>
      <c r="J686" s="14" t="s">
        <v>862</v>
      </c>
      <c r="K686" s="15" t="s">
        <v>55</v>
      </c>
      <c r="L686" s="86" t="s">
        <v>890</v>
      </c>
      <c r="M686" s="14"/>
      <c r="N686" s="14" t="s">
        <v>89</v>
      </c>
      <c r="O686" s="14"/>
      <c r="P686" s="15" t="s">
        <v>891</v>
      </c>
      <c r="Q686" s="16">
        <v>8599</v>
      </c>
      <c r="R686" s="17">
        <v>45.34</v>
      </c>
      <c r="S686" s="18">
        <v>5404.9884999999995</v>
      </c>
      <c r="T686" s="19" t="s">
        <v>846</v>
      </c>
      <c r="U686" s="20" t="s">
        <v>500</v>
      </c>
      <c r="V686" s="21">
        <v>39</v>
      </c>
      <c r="W686" s="21">
        <v>2</v>
      </c>
      <c r="X686" s="22"/>
    </row>
    <row r="687" spans="1:24" s="1" customFormat="1" ht="60.95" customHeight="1" x14ac:dyDescent="0.3">
      <c r="A687" s="23" t="s">
        <v>784</v>
      </c>
      <c r="B687" s="23" t="s">
        <v>888</v>
      </c>
      <c r="C687" s="12" t="s">
        <v>889</v>
      </c>
      <c r="D687" s="90"/>
      <c r="E687" s="69" t="str">
        <f>HYPERLINK("https://www.google.ru/search?q=Q1GA1902-54&amp;newwindow=1&amp;tbm=isch","Еще фото")</f>
        <v>Еще фото</v>
      </c>
      <c r="F687" s="13"/>
      <c r="G687" s="23" t="s">
        <v>861</v>
      </c>
      <c r="H687" s="23" t="s">
        <v>151</v>
      </c>
      <c r="I687" s="23" t="s">
        <v>395</v>
      </c>
      <c r="J687" s="14" t="s">
        <v>862</v>
      </c>
      <c r="K687" s="15" t="s">
        <v>55</v>
      </c>
      <c r="L687" s="88"/>
      <c r="M687" s="14"/>
      <c r="N687" s="14" t="s">
        <v>89</v>
      </c>
      <c r="O687" s="14"/>
      <c r="P687" s="15" t="s">
        <v>891</v>
      </c>
      <c r="Q687" s="16">
        <v>8599</v>
      </c>
      <c r="R687" s="17">
        <v>45.34</v>
      </c>
      <c r="S687" s="18">
        <v>5404.9884999999995</v>
      </c>
      <c r="T687" s="19" t="s">
        <v>846</v>
      </c>
      <c r="U687" s="20" t="s">
        <v>854</v>
      </c>
      <c r="V687" s="30">
        <v>39.5</v>
      </c>
      <c r="W687" s="21">
        <v>3</v>
      </c>
      <c r="X687" s="22"/>
    </row>
    <row r="688" spans="1:24" s="1" customFormat="1" ht="108" customHeight="1" x14ac:dyDescent="0.3">
      <c r="A688" s="11" t="s">
        <v>784</v>
      </c>
      <c r="B688" s="11" t="s">
        <v>892</v>
      </c>
      <c r="C688" s="12" t="s">
        <v>893</v>
      </c>
      <c r="D688" s="24"/>
      <c r="E688" s="69" t="str">
        <f>HYPERLINK("https://www.google.ru/search?q=61GA2271-21&amp;newwindow=1&amp;tbm=isch","Еще фото")</f>
        <v>Еще фото</v>
      </c>
      <c r="F688" s="13"/>
      <c r="G688" s="11" t="s">
        <v>394</v>
      </c>
      <c r="H688" s="11" t="s">
        <v>151</v>
      </c>
      <c r="I688" s="14" t="s">
        <v>395</v>
      </c>
      <c r="J688" s="14" t="s">
        <v>879</v>
      </c>
      <c r="K688" s="15" t="s">
        <v>47</v>
      </c>
      <c r="L688" s="14" t="s">
        <v>894</v>
      </c>
      <c r="M688" s="14"/>
      <c r="N688" s="14" t="s">
        <v>265</v>
      </c>
      <c r="O688" s="14"/>
      <c r="P688" s="15" t="s">
        <v>853</v>
      </c>
      <c r="Q688" s="16">
        <v>16090</v>
      </c>
      <c r="R688" s="17">
        <v>45.31</v>
      </c>
      <c r="S688" s="18">
        <v>10119.988499999999</v>
      </c>
      <c r="T688" s="19" t="s">
        <v>846</v>
      </c>
      <c r="U688" s="20" t="s">
        <v>848</v>
      </c>
      <c r="V688" s="30">
        <v>37.5</v>
      </c>
      <c r="W688" s="21">
        <v>5</v>
      </c>
      <c r="X688" s="22"/>
    </row>
    <row r="689" spans="1:24" s="1" customFormat="1" ht="108" customHeight="1" x14ac:dyDescent="0.3">
      <c r="A689" s="11" t="s">
        <v>784</v>
      </c>
      <c r="B689" s="11" t="s">
        <v>895</v>
      </c>
      <c r="C689" s="12" t="s">
        <v>896</v>
      </c>
      <c r="D689" s="24"/>
      <c r="E689" s="69" t="str">
        <f>HYPERLINK("https://www.google.ru/search?q=V1GA2245-76&amp;newwindow=1&amp;tbm=isch","Еще фото")</f>
        <v>Еще фото</v>
      </c>
      <c r="F689" s="13"/>
      <c r="G689" s="11" t="s">
        <v>394</v>
      </c>
      <c r="H689" s="11" t="s">
        <v>151</v>
      </c>
      <c r="I689" s="14" t="s">
        <v>395</v>
      </c>
      <c r="J689" s="14" t="s">
        <v>886</v>
      </c>
      <c r="K689" s="15" t="s">
        <v>114</v>
      </c>
      <c r="L689" s="14"/>
      <c r="M689" s="14"/>
      <c r="N689" s="14" t="s">
        <v>70</v>
      </c>
      <c r="O689" s="14"/>
      <c r="P689" s="15" t="s">
        <v>853</v>
      </c>
      <c r="Q689" s="16">
        <v>10399</v>
      </c>
      <c r="R689" s="17">
        <v>45.19</v>
      </c>
      <c r="S689" s="18">
        <v>6554.9884999999995</v>
      </c>
      <c r="T689" s="19" t="s">
        <v>846</v>
      </c>
      <c r="U689" s="20" t="s">
        <v>897</v>
      </c>
      <c r="V689" s="30">
        <v>47.5</v>
      </c>
      <c r="W689" s="21">
        <v>1</v>
      </c>
      <c r="X689" s="22"/>
    </row>
    <row r="690" spans="1:24" s="1" customFormat="1" ht="108" customHeight="1" x14ac:dyDescent="0.3">
      <c r="A690" s="11" t="s">
        <v>784</v>
      </c>
      <c r="B690" s="11" t="s">
        <v>898</v>
      </c>
      <c r="C690" s="12" t="s">
        <v>899</v>
      </c>
      <c r="D690" s="24"/>
      <c r="E690" s="69" t="str">
        <f>HYPERLINK("https://www.google.ru/search?q=J1GD2232-71&amp;newwindow=1&amp;tbm=isch","Еще фото")</f>
        <v>Еще фото</v>
      </c>
      <c r="F690" s="13"/>
      <c r="G690" s="11" t="s">
        <v>394</v>
      </c>
      <c r="H690" s="11" t="s">
        <v>151</v>
      </c>
      <c r="I690" s="14" t="s">
        <v>395</v>
      </c>
      <c r="J690" s="14" t="s">
        <v>406</v>
      </c>
      <c r="K690" s="15" t="s">
        <v>55</v>
      </c>
      <c r="L690" s="14" t="s">
        <v>900</v>
      </c>
      <c r="M690" s="14" t="s">
        <v>844</v>
      </c>
      <c r="N690" s="14" t="s">
        <v>242</v>
      </c>
      <c r="O690" s="14"/>
      <c r="P690" s="15" t="s">
        <v>868</v>
      </c>
      <c r="Q690" s="16">
        <v>13499</v>
      </c>
      <c r="R690" s="17">
        <v>45.18</v>
      </c>
      <c r="S690" s="18">
        <v>8509.9884999999995</v>
      </c>
      <c r="T690" s="19" t="s">
        <v>846</v>
      </c>
      <c r="U690" s="20" t="s">
        <v>156</v>
      </c>
      <c r="V690" s="21">
        <v>40</v>
      </c>
      <c r="W690" s="21">
        <v>1</v>
      </c>
      <c r="X690" s="22"/>
    </row>
    <row r="691" spans="1:24" s="1" customFormat="1" ht="108" customHeight="1" x14ac:dyDescent="0.3">
      <c r="A691" s="11" t="s">
        <v>784</v>
      </c>
      <c r="B691" s="11" t="s">
        <v>901</v>
      </c>
      <c r="C691" s="12" t="s">
        <v>902</v>
      </c>
      <c r="D691" s="24"/>
      <c r="E691" s="69" t="str">
        <f>HYPERLINK("https://www.google.ru/search?q=J1GD2202-73&amp;newwindow=1&amp;tbm=isch","Еще фото")</f>
        <v>Еще фото</v>
      </c>
      <c r="F691" s="13"/>
      <c r="G691" s="11" t="s">
        <v>394</v>
      </c>
      <c r="H691" s="11" t="s">
        <v>151</v>
      </c>
      <c r="I691" s="14" t="s">
        <v>395</v>
      </c>
      <c r="J691" s="14" t="s">
        <v>406</v>
      </c>
      <c r="K691" s="15" t="s">
        <v>47</v>
      </c>
      <c r="L691" s="14" t="s">
        <v>903</v>
      </c>
      <c r="M691" s="14" t="s">
        <v>844</v>
      </c>
      <c r="N691" s="14" t="s">
        <v>275</v>
      </c>
      <c r="O691" s="14"/>
      <c r="P691" s="15" t="s">
        <v>904</v>
      </c>
      <c r="Q691" s="16">
        <v>24799</v>
      </c>
      <c r="R691" s="17">
        <v>45.16</v>
      </c>
      <c r="S691" s="18">
        <v>15639.988499999998</v>
      </c>
      <c r="T691" s="19" t="s">
        <v>846</v>
      </c>
      <c r="U691" s="20" t="s">
        <v>821</v>
      </c>
      <c r="V691" s="21">
        <v>36</v>
      </c>
      <c r="W691" s="21">
        <v>1</v>
      </c>
      <c r="X691" s="22"/>
    </row>
    <row r="692" spans="1:24" s="1" customFormat="1" ht="17.100000000000001" customHeight="1" x14ac:dyDescent="0.3">
      <c r="A692" s="11" t="s">
        <v>784</v>
      </c>
      <c r="B692" s="11" t="s">
        <v>892</v>
      </c>
      <c r="C692" s="12" t="s">
        <v>905</v>
      </c>
      <c r="D692" s="83"/>
      <c r="E692" s="69" t="str">
        <f t="shared" ref="E692:E697" si="30">HYPERLINK("https://www.google.ru/search?q=61GA2270-26&amp;newwindow=1&amp;tbm=isch","Еще фото")</f>
        <v>Еще фото</v>
      </c>
      <c r="F692" s="13"/>
      <c r="G692" s="11" t="s">
        <v>394</v>
      </c>
      <c r="H692" s="11" t="s">
        <v>151</v>
      </c>
      <c r="I692" s="14" t="s">
        <v>395</v>
      </c>
      <c r="J692" s="14" t="s">
        <v>879</v>
      </c>
      <c r="K692" s="15" t="s">
        <v>55</v>
      </c>
      <c r="L692" s="86" t="s">
        <v>906</v>
      </c>
      <c r="M692" s="14"/>
      <c r="N692" s="14" t="s">
        <v>800</v>
      </c>
      <c r="O692" s="14"/>
      <c r="P692" s="15" t="s">
        <v>853</v>
      </c>
      <c r="Q692" s="16">
        <v>15799</v>
      </c>
      <c r="R692" s="17">
        <v>40</v>
      </c>
      <c r="S692" s="18">
        <v>10901.31</v>
      </c>
      <c r="T692" s="19" t="s">
        <v>846</v>
      </c>
      <c r="U692" s="20" t="s">
        <v>156</v>
      </c>
      <c r="V692" s="21">
        <v>40</v>
      </c>
      <c r="W692" s="21">
        <v>5</v>
      </c>
      <c r="X692" s="22"/>
    </row>
    <row r="693" spans="1:24" s="1" customFormat="1" ht="17.100000000000001" customHeight="1" x14ac:dyDescent="0.3">
      <c r="A693" s="23" t="s">
        <v>784</v>
      </c>
      <c r="B693" s="23" t="s">
        <v>892</v>
      </c>
      <c r="C693" s="12" t="s">
        <v>905</v>
      </c>
      <c r="D693" s="84"/>
      <c r="E693" s="69" t="str">
        <f t="shared" si="30"/>
        <v>Еще фото</v>
      </c>
      <c r="F693" s="13"/>
      <c r="G693" s="23" t="s">
        <v>394</v>
      </c>
      <c r="H693" s="23" t="s">
        <v>151</v>
      </c>
      <c r="I693" s="23" t="s">
        <v>395</v>
      </c>
      <c r="J693" s="14" t="s">
        <v>879</v>
      </c>
      <c r="K693" s="15" t="s">
        <v>55</v>
      </c>
      <c r="L693" s="87"/>
      <c r="M693" s="14"/>
      <c r="N693" s="14" t="s">
        <v>800</v>
      </c>
      <c r="O693" s="14"/>
      <c r="P693" s="15" t="s">
        <v>853</v>
      </c>
      <c r="Q693" s="16">
        <v>15799</v>
      </c>
      <c r="R693" s="17">
        <v>40</v>
      </c>
      <c r="S693" s="18">
        <v>10901.31</v>
      </c>
      <c r="T693" s="19" t="s">
        <v>846</v>
      </c>
      <c r="U693" s="20" t="s">
        <v>435</v>
      </c>
      <c r="V693" s="30">
        <v>41.5</v>
      </c>
      <c r="W693" s="21">
        <v>5</v>
      </c>
      <c r="X693" s="22"/>
    </row>
    <row r="694" spans="1:24" s="1" customFormat="1" ht="17.100000000000001" customHeight="1" x14ac:dyDescent="0.3">
      <c r="A694" s="23" t="s">
        <v>784</v>
      </c>
      <c r="B694" s="23" t="s">
        <v>892</v>
      </c>
      <c r="C694" s="12" t="s">
        <v>905</v>
      </c>
      <c r="D694" s="84"/>
      <c r="E694" s="69" t="str">
        <f t="shared" si="30"/>
        <v>Еще фото</v>
      </c>
      <c r="F694" s="13"/>
      <c r="G694" s="23" t="s">
        <v>394</v>
      </c>
      <c r="H694" s="23" t="s">
        <v>151</v>
      </c>
      <c r="I694" s="23" t="s">
        <v>395</v>
      </c>
      <c r="J694" s="14" t="s">
        <v>879</v>
      </c>
      <c r="K694" s="15" t="s">
        <v>55</v>
      </c>
      <c r="L694" s="87"/>
      <c r="M694" s="14"/>
      <c r="N694" s="14" t="s">
        <v>800</v>
      </c>
      <c r="O694" s="14"/>
      <c r="P694" s="15" t="s">
        <v>853</v>
      </c>
      <c r="Q694" s="16">
        <v>15799</v>
      </c>
      <c r="R694" s="17">
        <v>40</v>
      </c>
      <c r="S694" s="18">
        <v>10901.31</v>
      </c>
      <c r="T694" s="19" t="s">
        <v>846</v>
      </c>
      <c r="U694" s="20" t="s">
        <v>436</v>
      </c>
      <c r="V694" s="21">
        <v>43</v>
      </c>
      <c r="W694" s="21">
        <v>9</v>
      </c>
      <c r="X694" s="22"/>
    </row>
    <row r="695" spans="1:24" s="1" customFormat="1" ht="17.100000000000001" customHeight="1" x14ac:dyDescent="0.3">
      <c r="A695" s="23" t="s">
        <v>784</v>
      </c>
      <c r="B695" s="23" t="s">
        <v>892</v>
      </c>
      <c r="C695" s="12" t="s">
        <v>905</v>
      </c>
      <c r="D695" s="84"/>
      <c r="E695" s="69" t="str">
        <f t="shared" si="30"/>
        <v>Еще фото</v>
      </c>
      <c r="F695" s="13"/>
      <c r="G695" s="23" t="s">
        <v>394</v>
      </c>
      <c r="H695" s="23" t="s">
        <v>151</v>
      </c>
      <c r="I695" s="23" t="s">
        <v>395</v>
      </c>
      <c r="J695" s="14" t="s">
        <v>879</v>
      </c>
      <c r="K695" s="15" t="s">
        <v>55</v>
      </c>
      <c r="L695" s="87"/>
      <c r="M695" s="14"/>
      <c r="N695" s="14" t="s">
        <v>800</v>
      </c>
      <c r="O695" s="14"/>
      <c r="P695" s="15" t="s">
        <v>853</v>
      </c>
      <c r="Q695" s="16">
        <v>15799</v>
      </c>
      <c r="R695" s="17">
        <v>40</v>
      </c>
      <c r="S695" s="18">
        <v>10901.31</v>
      </c>
      <c r="T695" s="19" t="s">
        <v>846</v>
      </c>
      <c r="U695" s="20" t="s">
        <v>163</v>
      </c>
      <c r="V695" s="30">
        <v>43.5</v>
      </c>
      <c r="W695" s="21">
        <v>12</v>
      </c>
      <c r="X695" s="22"/>
    </row>
    <row r="696" spans="1:24" s="1" customFormat="1" ht="17.100000000000001" customHeight="1" x14ac:dyDescent="0.3">
      <c r="A696" s="23" t="s">
        <v>784</v>
      </c>
      <c r="B696" s="23" t="s">
        <v>892</v>
      </c>
      <c r="C696" s="12" t="s">
        <v>905</v>
      </c>
      <c r="D696" s="84"/>
      <c r="E696" s="69" t="str">
        <f t="shared" si="30"/>
        <v>Еще фото</v>
      </c>
      <c r="F696" s="13"/>
      <c r="G696" s="23" t="s">
        <v>394</v>
      </c>
      <c r="H696" s="23" t="s">
        <v>151</v>
      </c>
      <c r="I696" s="23" t="s">
        <v>395</v>
      </c>
      <c r="J696" s="14" t="s">
        <v>879</v>
      </c>
      <c r="K696" s="15" t="s">
        <v>55</v>
      </c>
      <c r="L696" s="87"/>
      <c r="M696" s="14"/>
      <c r="N696" s="14" t="s">
        <v>800</v>
      </c>
      <c r="O696" s="14"/>
      <c r="P696" s="15" t="s">
        <v>853</v>
      </c>
      <c r="Q696" s="16">
        <v>15799</v>
      </c>
      <c r="R696" s="17">
        <v>40</v>
      </c>
      <c r="S696" s="18">
        <v>10901.31</v>
      </c>
      <c r="T696" s="19" t="s">
        <v>846</v>
      </c>
      <c r="U696" s="20" t="s">
        <v>907</v>
      </c>
      <c r="V696" s="21">
        <v>44</v>
      </c>
      <c r="W696" s="21">
        <v>7</v>
      </c>
      <c r="X696" s="22"/>
    </row>
    <row r="697" spans="1:24" s="1" customFormat="1" ht="21.95" customHeight="1" x14ac:dyDescent="0.3">
      <c r="A697" s="23" t="s">
        <v>784</v>
      </c>
      <c r="B697" s="23" t="s">
        <v>892</v>
      </c>
      <c r="C697" s="12" t="s">
        <v>905</v>
      </c>
      <c r="D697" s="85"/>
      <c r="E697" s="69" t="str">
        <f t="shared" si="30"/>
        <v>Еще фото</v>
      </c>
      <c r="F697" s="13"/>
      <c r="G697" s="23" t="s">
        <v>394</v>
      </c>
      <c r="H697" s="23" t="s">
        <v>151</v>
      </c>
      <c r="I697" s="23" t="s">
        <v>395</v>
      </c>
      <c r="J697" s="14" t="s">
        <v>879</v>
      </c>
      <c r="K697" s="15" t="s">
        <v>55</v>
      </c>
      <c r="L697" s="88"/>
      <c r="M697" s="14"/>
      <c r="N697" s="14" t="s">
        <v>800</v>
      </c>
      <c r="O697" s="14"/>
      <c r="P697" s="15" t="s">
        <v>853</v>
      </c>
      <c r="Q697" s="16">
        <v>15799</v>
      </c>
      <c r="R697" s="17">
        <v>40</v>
      </c>
      <c r="S697" s="18">
        <v>10901.31</v>
      </c>
      <c r="T697" s="19" t="s">
        <v>846</v>
      </c>
      <c r="U697" s="20" t="s">
        <v>164</v>
      </c>
      <c r="V697" s="21">
        <v>45</v>
      </c>
      <c r="W697" s="21">
        <v>3</v>
      </c>
      <c r="X697" s="22"/>
    </row>
    <row r="698" spans="1:24" s="1" customFormat="1" ht="35.1" customHeight="1" x14ac:dyDescent="0.3">
      <c r="A698" s="11" t="s">
        <v>784</v>
      </c>
      <c r="B698" s="11" t="s">
        <v>908</v>
      </c>
      <c r="C698" s="12" t="s">
        <v>909</v>
      </c>
      <c r="D698" s="83"/>
      <c r="E698" s="69" t="str">
        <f>HYPERLINK("https://www.google.ru/search?q=61GA2271-23&amp;newwindow=1&amp;tbm=isch","Еще фото")</f>
        <v>Еще фото</v>
      </c>
      <c r="F698" s="13"/>
      <c r="G698" s="11" t="s">
        <v>394</v>
      </c>
      <c r="H698" s="11" t="s">
        <v>151</v>
      </c>
      <c r="I698" s="14" t="s">
        <v>395</v>
      </c>
      <c r="J698" s="14" t="s">
        <v>879</v>
      </c>
      <c r="K698" s="15" t="s">
        <v>47</v>
      </c>
      <c r="L698" s="86" t="s">
        <v>880</v>
      </c>
      <c r="M698" s="14"/>
      <c r="N698" s="14" t="s">
        <v>89</v>
      </c>
      <c r="O698" s="14"/>
      <c r="P698" s="15" t="s">
        <v>853</v>
      </c>
      <c r="Q698" s="16">
        <v>16090</v>
      </c>
      <c r="R698" s="17">
        <v>40</v>
      </c>
      <c r="S698" s="18">
        <v>11102.099999999999</v>
      </c>
      <c r="T698" s="19" t="s">
        <v>846</v>
      </c>
      <c r="U698" s="20" t="s">
        <v>847</v>
      </c>
      <c r="V698" s="30">
        <v>36.5</v>
      </c>
      <c r="W698" s="21">
        <v>1</v>
      </c>
      <c r="X698" s="22"/>
    </row>
    <row r="699" spans="1:24" s="1" customFormat="1" ht="35.1" customHeight="1" x14ac:dyDescent="0.3">
      <c r="A699" s="23" t="s">
        <v>784</v>
      </c>
      <c r="B699" s="23" t="s">
        <v>908</v>
      </c>
      <c r="C699" s="12" t="s">
        <v>909</v>
      </c>
      <c r="D699" s="84"/>
      <c r="E699" s="69" t="str">
        <f>HYPERLINK("https://www.google.ru/search?q=61GA2271-23&amp;newwindow=1&amp;tbm=isch","Еще фото")</f>
        <v>Еще фото</v>
      </c>
      <c r="F699" s="13"/>
      <c r="G699" s="23" t="s">
        <v>394</v>
      </c>
      <c r="H699" s="23" t="s">
        <v>151</v>
      </c>
      <c r="I699" s="23" t="s">
        <v>395</v>
      </c>
      <c r="J699" s="14" t="s">
        <v>879</v>
      </c>
      <c r="K699" s="15" t="s">
        <v>47</v>
      </c>
      <c r="L699" s="87"/>
      <c r="M699" s="14"/>
      <c r="N699" s="14" t="s">
        <v>89</v>
      </c>
      <c r="O699" s="14"/>
      <c r="P699" s="15" t="s">
        <v>853</v>
      </c>
      <c r="Q699" s="16">
        <v>16090</v>
      </c>
      <c r="R699" s="17">
        <v>40</v>
      </c>
      <c r="S699" s="18">
        <v>11102.099999999999</v>
      </c>
      <c r="T699" s="19" t="s">
        <v>846</v>
      </c>
      <c r="U699" s="20" t="s">
        <v>818</v>
      </c>
      <c r="V699" s="21">
        <v>37</v>
      </c>
      <c r="W699" s="21">
        <v>4</v>
      </c>
      <c r="X699" s="22"/>
    </row>
    <row r="700" spans="1:24" s="1" customFormat="1" ht="36.950000000000003" customHeight="1" x14ac:dyDescent="0.3">
      <c r="A700" s="23" t="s">
        <v>784</v>
      </c>
      <c r="B700" s="23" t="s">
        <v>908</v>
      </c>
      <c r="C700" s="12" t="s">
        <v>909</v>
      </c>
      <c r="D700" s="85"/>
      <c r="E700" s="69" t="str">
        <f>HYPERLINK("https://www.google.ru/search?q=61GA2271-23&amp;newwindow=1&amp;tbm=isch","Еще фото")</f>
        <v>Еще фото</v>
      </c>
      <c r="F700" s="13"/>
      <c r="G700" s="23" t="s">
        <v>394</v>
      </c>
      <c r="H700" s="23" t="s">
        <v>151</v>
      </c>
      <c r="I700" s="23" t="s">
        <v>395</v>
      </c>
      <c r="J700" s="14" t="s">
        <v>879</v>
      </c>
      <c r="K700" s="15" t="s">
        <v>47</v>
      </c>
      <c r="L700" s="88"/>
      <c r="M700" s="14"/>
      <c r="N700" s="14" t="s">
        <v>89</v>
      </c>
      <c r="O700" s="14"/>
      <c r="P700" s="15" t="s">
        <v>853</v>
      </c>
      <c r="Q700" s="16">
        <v>16090</v>
      </c>
      <c r="R700" s="17">
        <v>40</v>
      </c>
      <c r="S700" s="18">
        <v>11102.099999999999</v>
      </c>
      <c r="T700" s="19" t="s">
        <v>846</v>
      </c>
      <c r="U700" s="20" t="s">
        <v>849</v>
      </c>
      <c r="V700" s="21">
        <v>38</v>
      </c>
      <c r="W700" s="21">
        <v>2</v>
      </c>
      <c r="X700" s="22"/>
    </row>
    <row r="701" spans="1:24" s="1" customFormat="1" ht="21" customHeight="1" x14ac:dyDescent="0.3">
      <c r="A701" s="11" t="s">
        <v>784</v>
      </c>
      <c r="B701" s="11" t="s">
        <v>910</v>
      </c>
      <c r="C701" s="27" t="s">
        <v>911</v>
      </c>
      <c r="D701" s="83"/>
      <c r="E701" s="69" t="str">
        <f>HYPERLINK("https://www.google.ru/search?q=61GB2223-07&amp;newwindow=1&amp;tbm=isch","Еще фото")</f>
        <v>Еще фото</v>
      </c>
      <c r="F701" s="13"/>
      <c r="G701" s="11" t="s">
        <v>394</v>
      </c>
      <c r="H701" s="11" t="s">
        <v>151</v>
      </c>
      <c r="I701" s="14" t="s">
        <v>395</v>
      </c>
      <c r="J701" s="14" t="s">
        <v>406</v>
      </c>
      <c r="K701" s="15" t="s">
        <v>47</v>
      </c>
      <c r="L701" s="86" t="s">
        <v>912</v>
      </c>
      <c r="M701" s="14"/>
      <c r="N701" s="14" t="s">
        <v>49</v>
      </c>
      <c r="O701" s="14"/>
      <c r="P701" s="15" t="s">
        <v>853</v>
      </c>
      <c r="Q701" s="16">
        <v>10099</v>
      </c>
      <c r="R701" s="17">
        <v>40</v>
      </c>
      <c r="S701" s="18">
        <v>6968.3099999999995</v>
      </c>
      <c r="T701" s="19" t="s">
        <v>846</v>
      </c>
      <c r="U701" s="20" t="s">
        <v>821</v>
      </c>
      <c r="V701" s="21">
        <v>36</v>
      </c>
      <c r="W701" s="21">
        <v>4</v>
      </c>
      <c r="X701" s="22"/>
    </row>
    <row r="702" spans="1:24" s="1" customFormat="1" ht="21" customHeight="1" x14ac:dyDescent="0.3">
      <c r="A702" s="23" t="s">
        <v>784</v>
      </c>
      <c r="B702" s="23" t="s">
        <v>910</v>
      </c>
      <c r="C702" s="28" t="s">
        <v>911</v>
      </c>
      <c r="D702" s="84"/>
      <c r="E702" s="69" t="str">
        <f>HYPERLINK("https://www.google.ru/search?q=61GB2223-07&amp;newwindow=1&amp;tbm=isch","Еще фото")</f>
        <v>Еще фото</v>
      </c>
      <c r="F702" s="13"/>
      <c r="G702" s="23" t="s">
        <v>394</v>
      </c>
      <c r="H702" s="23" t="s">
        <v>151</v>
      </c>
      <c r="I702" s="23" t="s">
        <v>395</v>
      </c>
      <c r="J702" s="14" t="s">
        <v>406</v>
      </c>
      <c r="K702" s="15" t="s">
        <v>47</v>
      </c>
      <c r="L702" s="87"/>
      <c r="M702" s="14"/>
      <c r="N702" s="14" t="s">
        <v>49</v>
      </c>
      <c r="O702" s="14"/>
      <c r="P702" s="15" t="s">
        <v>853</v>
      </c>
      <c r="Q702" s="16">
        <v>10099</v>
      </c>
      <c r="R702" s="17">
        <v>40</v>
      </c>
      <c r="S702" s="18">
        <v>6968.3099999999995</v>
      </c>
      <c r="T702" s="19" t="s">
        <v>846</v>
      </c>
      <c r="U702" s="20" t="s">
        <v>847</v>
      </c>
      <c r="V702" s="30">
        <v>36.5</v>
      </c>
      <c r="W702" s="21">
        <v>6</v>
      </c>
      <c r="X702" s="22"/>
    </row>
    <row r="703" spans="1:24" s="1" customFormat="1" ht="21" customHeight="1" x14ac:dyDescent="0.3">
      <c r="A703" s="23" t="s">
        <v>784</v>
      </c>
      <c r="B703" s="23" t="s">
        <v>910</v>
      </c>
      <c r="C703" s="28" t="s">
        <v>911</v>
      </c>
      <c r="D703" s="84"/>
      <c r="E703" s="69" t="str">
        <f>HYPERLINK("https://www.google.ru/search?q=61GB2223-07&amp;newwindow=1&amp;tbm=isch","Еще фото")</f>
        <v>Еще фото</v>
      </c>
      <c r="F703" s="13"/>
      <c r="G703" s="23" t="s">
        <v>394</v>
      </c>
      <c r="H703" s="23" t="s">
        <v>151</v>
      </c>
      <c r="I703" s="23" t="s">
        <v>395</v>
      </c>
      <c r="J703" s="14" t="s">
        <v>406</v>
      </c>
      <c r="K703" s="15" t="s">
        <v>47</v>
      </c>
      <c r="L703" s="87"/>
      <c r="M703" s="14"/>
      <c r="N703" s="14" t="s">
        <v>49</v>
      </c>
      <c r="O703" s="14"/>
      <c r="P703" s="15" t="s">
        <v>853</v>
      </c>
      <c r="Q703" s="16">
        <v>10099</v>
      </c>
      <c r="R703" s="17">
        <v>40</v>
      </c>
      <c r="S703" s="18">
        <v>6968.3099999999995</v>
      </c>
      <c r="T703" s="19" t="s">
        <v>846</v>
      </c>
      <c r="U703" s="20" t="s">
        <v>818</v>
      </c>
      <c r="V703" s="21">
        <v>37</v>
      </c>
      <c r="W703" s="21">
        <v>5</v>
      </c>
      <c r="X703" s="22"/>
    </row>
    <row r="704" spans="1:24" s="1" customFormat="1" ht="21" customHeight="1" x14ac:dyDescent="0.3">
      <c r="A704" s="23" t="s">
        <v>784</v>
      </c>
      <c r="B704" s="23" t="s">
        <v>910</v>
      </c>
      <c r="C704" s="28" t="s">
        <v>911</v>
      </c>
      <c r="D704" s="84"/>
      <c r="E704" s="69" t="str">
        <f>HYPERLINK("https://www.google.ru/search?q=61GB2223-07&amp;newwindow=1&amp;tbm=isch","Еще фото")</f>
        <v>Еще фото</v>
      </c>
      <c r="F704" s="13"/>
      <c r="G704" s="23" t="s">
        <v>394</v>
      </c>
      <c r="H704" s="23" t="s">
        <v>151</v>
      </c>
      <c r="I704" s="23" t="s">
        <v>395</v>
      </c>
      <c r="J704" s="14" t="s">
        <v>406</v>
      </c>
      <c r="K704" s="15" t="s">
        <v>47</v>
      </c>
      <c r="L704" s="87"/>
      <c r="M704" s="14"/>
      <c r="N704" s="14" t="s">
        <v>49</v>
      </c>
      <c r="O704" s="14"/>
      <c r="P704" s="15" t="s">
        <v>853</v>
      </c>
      <c r="Q704" s="16">
        <v>10099</v>
      </c>
      <c r="R704" s="17">
        <v>40</v>
      </c>
      <c r="S704" s="18">
        <v>6968.3099999999995</v>
      </c>
      <c r="T704" s="19" t="s">
        <v>846</v>
      </c>
      <c r="U704" s="20" t="s">
        <v>848</v>
      </c>
      <c r="V704" s="30">
        <v>37.5</v>
      </c>
      <c r="W704" s="21">
        <v>1</v>
      </c>
      <c r="X704" s="22"/>
    </row>
    <row r="705" spans="1:24" s="1" customFormat="1" ht="32.1" customHeight="1" x14ac:dyDescent="0.3">
      <c r="A705" s="23" t="s">
        <v>784</v>
      </c>
      <c r="B705" s="23" t="s">
        <v>910</v>
      </c>
      <c r="C705" s="28" t="s">
        <v>911</v>
      </c>
      <c r="D705" s="85"/>
      <c r="E705" s="69" t="str">
        <f>HYPERLINK("https://www.google.ru/search?q=61GB2223-07&amp;newwindow=1&amp;tbm=isch","Еще фото")</f>
        <v>Еще фото</v>
      </c>
      <c r="F705" s="13"/>
      <c r="G705" s="23" t="s">
        <v>394</v>
      </c>
      <c r="H705" s="23" t="s">
        <v>151</v>
      </c>
      <c r="I705" s="23" t="s">
        <v>395</v>
      </c>
      <c r="J705" s="14" t="s">
        <v>406</v>
      </c>
      <c r="K705" s="15" t="s">
        <v>47</v>
      </c>
      <c r="L705" s="88"/>
      <c r="M705" s="14"/>
      <c r="N705" s="14" t="s">
        <v>49</v>
      </c>
      <c r="O705" s="14"/>
      <c r="P705" s="15" t="s">
        <v>853</v>
      </c>
      <c r="Q705" s="16">
        <v>10099</v>
      </c>
      <c r="R705" s="17">
        <v>40</v>
      </c>
      <c r="S705" s="18">
        <v>6968.3099999999995</v>
      </c>
      <c r="T705" s="19" t="s">
        <v>846</v>
      </c>
      <c r="U705" s="20" t="s">
        <v>849</v>
      </c>
      <c r="V705" s="21">
        <v>38</v>
      </c>
      <c r="W705" s="21">
        <v>3</v>
      </c>
      <c r="X705" s="22"/>
    </row>
    <row r="706" spans="1:24" s="1" customFormat="1" ht="26.1" customHeight="1" x14ac:dyDescent="0.3">
      <c r="A706" s="11" t="s">
        <v>784</v>
      </c>
      <c r="B706" s="11" t="s">
        <v>910</v>
      </c>
      <c r="C706" s="12" t="s">
        <v>913</v>
      </c>
      <c r="D706" s="83"/>
      <c r="E706" s="69" t="str">
        <f>HYPERLINK("https://www.google.ru/search?q=61GB2223-63&amp;newwindow=1&amp;tbm=isch","Еще фото")</f>
        <v>Еще фото</v>
      </c>
      <c r="F706" s="13"/>
      <c r="G706" s="11" t="s">
        <v>394</v>
      </c>
      <c r="H706" s="11" t="s">
        <v>151</v>
      </c>
      <c r="I706" s="14" t="s">
        <v>395</v>
      </c>
      <c r="J706" s="14" t="s">
        <v>406</v>
      </c>
      <c r="K706" s="15" t="s">
        <v>47</v>
      </c>
      <c r="L706" s="86" t="s">
        <v>912</v>
      </c>
      <c r="M706" s="14"/>
      <c r="N706" s="14" t="s">
        <v>116</v>
      </c>
      <c r="O706" s="14"/>
      <c r="P706" s="15" t="s">
        <v>853</v>
      </c>
      <c r="Q706" s="16">
        <v>10599</v>
      </c>
      <c r="R706" s="17">
        <v>40</v>
      </c>
      <c r="S706" s="18">
        <v>7313.3099999999986</v>
      </c>
      <c r="T706" s="19" t="s">
        <v>846</v>
      </c>
      <c r="U706" s="20" t="s">
        <v>847</v>
      </c>
      <c r="V706" s="30">
        <v>36.5</v>
      </c>
      <c r="W706" s="21">
        <v>2</v>
      </c>
      <c r="X706" s="22"/>
    </row>
    <row r="707" spans="1:24" s="1" customFormat="1" ht="26.1" customHeight="1" x14ac:dyDescent="0.3">
      <c r="A707" s="23" t="s">
        <v>784</v>
      </c>
      <c r="B707" s="23" t="s">
        <v>910</v>
      </c>
      <c r="C707" s="12" t="s">
        <v>913</v>
      </c>
      <c r="D707" s="84"/>
      <c r="E707" s="69" t="str">
        <f>HYPERLINK("https://www.google.ru/search?q=61GB2223-63&amp;newwindow=1&amp;tbm=isch","Еще фото")</f>
        <v>Еще фото</v>
      </c>
      <c r="F707" s="13"/>
      <c r="G707" s="23" t="s">
        <v>394</v>
      </c>
      <c r="H707" s="23" t="s">
        <v>151</v>
      </c>
      <c r="I707" s="23" t="s">
        <v>395</v>
      </c>
      <c r="J707" s="14" t="s">
        <v>406</v>
      </c>
      <c r="K707" s="15" t="s">
        <v>47</v>
      </c>
      <c r="L707" s="87"/>
      <c r="M707" s="14"/>
      <c r="N707" s="14" t="s">
        <v>116</v>
      </c>
      <c r="O707" s="14"/>
      <c r="P707" s="15" t="s">
        <v>853</v>
      </c>
      <c r="Q707" s="16">
        <v>10599</v>
      </c>
      <c r="R707" s="17">
        <v>40</v>
      </c>
      <c r="S707" s="18">
        <v>7313.3099999999986</v>
      </c>
      <c r="T707" s="19" t="s">
        <v>846</v>
      </c>
      <c r="U707" s="20" t="s">
        <v>818</v>
      </c>
      <c r="V707" s="21">
        <v>37</v>
      </c>
      <c r="W707" s="21">
        <v>6</v>
      </c>
      <c r="X707" s="22"/>
    </row>
    <row r="708" spans="1:24" s="1" customFormat="1" ht="26.1" customHeight="1" x14ac:dyDescent="0.3">
      <c r="A708" s="23" t="s">
        <v>784</v>
      </c>
      <c r="B708" s="23" t="s">
        <v>910</v>
      </c>
      <c r="C708" s="12" t="s">
        <v>913</v>
      </c>
      <c r="D708" s="84"/>
      <c r="E708" s="69" t="str">
        <f>HYPERLINK("https://www.google.ru/search?q=61GB2223-63&amp;newwindow=1&amp;tbm=isch","Еще фото")</f>
        <v>Еще фото</v>
      </c>
      <c r="F708" s="13"/>
      <c r="G708" s="23" t="s">
        <v>394</v>
      </c>
      <c r="H708" s="23" t="s">
        <v>151</v>
      </c>
      <c r="I708" s="23" t="s">
        <v>395</v>
      </c>
      <c r="J708" s="14" t="s">
        <v>406</v>
      </c>
      <c r="K708" s="15" t="s">
        <v>47</v>
      </c>
      <c r="L708" s="87"/>
      <c r="M708" s="14"/>
      <c r="N708" s="14" t="s">
        <v>116</v>
      </c>
      <c r="O708" s="14"/>
      <c r="P708" s="15" t="s">
        <v>853</v>
      </c>
      <c r="Q708" s="16">
        <v>10599</v>
      </c>
      <c r="R708" s="17">
        <v>40</v>
      </c>
      <c r="S708" s="18">
        <v>7313.3099999999986</v>
      </c>
      <c r="T708" s="19" t="s">
        <v>846</v>
      </c>
      <c r="U708" s="20" t="s">
        <v>848</v>
      </c>
      <c r="V708" s="30">
        <v>37.5</v>
      </c>
      <c r="W708" s="21">
        <v>3</v>
      </c>
      <c r="X708" s="22"/>
    </row>
    <row r="709" spans="1:24" s="1" customFormat="1" ht="26.1" customHeight="1" x14ac:dyDescent="0.3">
      <c r="A709" s="23" t="s">
        <v>784</v>
      </c>
      <c r="B709" s="23" t="s">
        <v>910</v>
      </c>
      <c r="C709" s="12" t="s">
        <v>913</v>
      </c>
      <c r="D709" s="85"/>
      <c r="E709" s="69" t="str">
        <f>HYPERLINK("https://www.google.ru/search?q=61GB2223-63&amp;newwindow=1&amp;tbm=isch","Еще фото")</f>
        <v>Еще фото</v>
      </c>
      <c r="F709" s="13"/>
      <c r="G709" s="23" t="s">
        <v>394</v>
      </c>
      <c r="H709" s="23" t="s">
        <v>151</v>
      </c>
      <c r="I709" s="23" t="s">
        <v>395</v>
      </c>
      <c r="J709" s="14" t="s">
        <v>406</v>
      </c>
      <c r="K709" s="15" t="s">
        <v>47</v>
      </c>
      <c r="L709" s="88"/>
      <c r="M709" s="14"/>
      <c r="N709" s="14" t="s">
        <v>116</v>
      </c>
      <c r="O709" s="14"/>
      <c r="P709" s="15" t="s">
        <v>853</v>
      </c>
      <c r="Q709" s="16">
        <v>10599</v>
      </c>
      <c r="R709" s="17">
        <v>40</v>
      </c>
      <c r="S709" s="18">
        <v>7313.3099999999986</v>
      </c>
      <c r="T709" s="19" t="s">
        <v>846</v>
      </c>
      <c r="U709" s="20" t="s">
        <v>849</v>
      </c>
      <c r="V709" s="21">
        <v>38</v>
      </c>
      <c r="W709" s="21">
        <v>13</v>
      </c>
      <c r="X709" s="22"/>
    </row>
    <row r="710" spans="1:24" s="1" customFormat="1" ht="11.1" customHeight="1" x14ac:dyDescent="0.3">
      <c r="A710" s="11" t="s">
        <v>784</v>
      </c>
      <c r="B710" s="11" t="s">
        <v>910</v>
      </c>
      <c r="C710" s="12" t="s">
        <v>914</v>
      </c>
      <c r="D710" s="83"/>
      <c r="E710" s="69" t="str">
        <f t="shared" ref="E710:E718" si="31">HYPERLINK("https://www.google.ru/search?q=61GB2322-90&amp;newwindow=1&amp;tbm=isch","Еще фото")</f>
        <v>Еще фото</v>
      </c>
      <c r="F710" s="13"/>
      <c r="G710" s="11" t="s">
        <v>394</v>
      </c>
      <c r="H710" s="11" t="s">
        <v>151</v>
      </c>
      <c r="I710" s="14" t="s">
        <v>395</v>
      </c>
      <c r="J710" s="14" t="s">
        <v>406</v>
      </c>
      <c r="K710" s="15" t="s">
        <v>55</v>
      </c>
      <c r="L710" s="86" t="s">
        <v>915</v>
      </c>
      <c r="M710" s="14"/>
      <c r="N710" s="14" t="s">
        <v>242</v>
      </c>
      <c r="O710" s="14"/>
      <c r="P710" s="15" t="s">
        <v>853</v>
      </c>
      <c r="Q710" s="16">
        <v>11399</v>
      </c>
      <c r="R710" s="17">
        <v>40</v>
      </c>
      <c r="S710" s="18">
        <v>7865.3099999999986</v>
      </c>
      <c r="T710" s="19" t="s">
        <v>846</v>
      </c>
      <c r="U710" s="20" t="s">
        <v>849</v>
      </c>
      <c r="V710" s="21">
        <v>38</v>
      </c>
      <c r="W710" s="21">
        <v>2</v>
      </c>
      <c r="X710" s="22"/>
    </row>
    <row r="711" spans="1:24" s="1" customFormat="1" ht="11.1" customHeight="1" x14ac:dyDescent="0.3">
      <c r="A711" s="23" t="s">
        <v>784</v>
      </c>
      <c r="B711" s="23" t="s">
        <v>910</v>
      </c>
      <c r="C711" s="12" t="s">
        <v>914</v>
      </c>
      <c r="D711" s="84"/>
      <c r="E711" s="69" t="str">
        <f t="shared" si="31"/>
        <v>Еще фото</v>
      </c>
      <c r="F711" s="13"/>
      <c r="G711" s="23" t="s">
        <v>394</v>
      </c>
      <c r="H711" s="23" t="s">
        <v>151</v>
      </c>
      <c r="I711" s="23" t="s">
        <v>395</v>
      </c>
      <c r="J711" s="14" t="s">
        <v>406</v>
      </c>
      <c r="K711" s="15" t="s">
        <v>55</v>
      </c>
      <c r="L711" s="87"/>
      <c r="M711" s="14"/>
      <c r="N711" s="14" t="s">
        <v>242</v>
      </c>
      <c r="O711" s="14"/>
      <c r="P711" s="15" t="s">
        <v>853</v>
      </c>
      <c r="Q711" s="16">
        <v>11399</v>
      </c>
      <c r="R711" s="17">
        <v>40</v>
      </c>
      <c r="S711" s="18">
        <v>7865.3099999999986</v>
      </c>
      <c r="T711" s="19" t="s">
        <v>846</v>
      </c>
      <c r="U711" s="20" t="s">
        <v>156</v>
      </c>
      <c r="V711" s="21">
        <v>40</v>
      </c>
      <c r="W711" s="21">
        <v>2</v>
      </c>
      <c r="X711" s="22"/>
    </row>
    <row r="712" spans="1:24" s="1" customFormat="1" ht="11.1" customHeight="1" x14ac:dyDescent="0.3">
      <c r="A712" s="23" t="s">
        <v>784</v>
      </c>
      <c r="B712" s="23" t="s">
        <v>910</v>
      </c>
      <c r="C712" s="12" t="s">
        <v>914</v>
      </c>
      <c r="D712" s="84"/>
      <c r="E712" s="69" t="str">
        <f t="shared" si="31"/>
        <v>Еще фото</v>
      </c>
      <c r="F712" s="13"/>
      <c r="G712" s="23" t="s">
        <v>394</v>
      </c>
      <c r="H712" s="23" t="s">
        <v>151</v>
      </c>
      <c r="I712" s="23" t="s">
        <v>395</v>
      </c>
      <c r="J712" s="14" t="s">
        <v>406</v>
      </c>
      <c r="K712" s="15" t="s">
        <v>55</v>
      </c>
      <c r="L712" s="87"/>
      <c r="M712" s="14"/>
      <c r="N712" s="14" t="s">
        <v>242</v>
      </c>
      <c r="O712" s="14"/>
      <c r="P712" s="15" t="s">
        <v>853</v>
      </c>
      <c r="Q712" s="16">
        <v>11399</v>
      </c>
      <c r="R712" s="17">
        <v>40</v>
      </c>
      <c r="S712" s="18">
        <v>7865.3099999999986</v>
      </c>
      <c r="T712" s="19" t="s">
        <v>846</v>
      </c>
      <c r="U712" s="20" t="s">
        <v>157</v>
      </c>
      <c r="V712" s="21">
        <v>41</v>
      </c>
      <c r="W712" s="21">
        <v>4</v>
      </c>
      <c r="X712" s="22"/>
    </row>
    <row r="713" spans="1:24" s="1" customFormat="1" ht="11.1" customHeight="1" x14ac:dyDescent="0.3">
      <c r="A713" s="23" t="s">
        <v>784</v>
      </c>
      <c r="B713" s="23" t="s">
        <v>910</v>
      </c>
      <c r="C713" s="12" t="s">
        <v>914</v>
      </c>
      <c r="D713" s="84"/>
      <c r="E713" s="69" t="str">
        <f t="shared" si="31"/>
        <v>Еще фото</v>
      </c>
      <c r="F713" s="13"/>
      <c r="G713" s="23" t="s">
        <v>394</v>
      </c>
      <c r="H713" s="23" t="s">
        <v>151</v>
      </c>
      <c r="I713" s="23" t="s">
        <v>395</v>
      </c>
      <c r="J713" s="14" t="s">
        <v>406</v>
      </c>
      <c r="K713" s="15" t="s">
        <v>55</v>
      </c>
      <c r="L713" s="87"/>
      <c r="M713" s="14"/>
      <c r="N713" s="14" t="s">
        <v>242</v>
      </c>
      <c r="O713" s="14"/>
      <c r="P713" s="15" t="s">
        <v>853</v>
      </c>
      <c r="Q713" s="16">
        <v>11399</v>
      </c>
      <c r="R713" s="17">
        <v>40</v>
      </c>
      <c r="S713" s="18">
        <v>7865.3099999999986</v>
      </c>
      <c r="T713" s="19" t="s">
        <v>846</v>
      </c>
      <c r="U713" s="20" t="s">
        <v>435</v>
      </c>
      <c r="V713" s="30">
        <v>41.5</v>
      </c>
      <c r="W713" s="21">
        <v>3</v>
      </c>
      <c r="X713" s="22"/>
    </row>
    <row r="714" spans="1:24" s="1" customFormat="1" ht="11.1" customHeight="1" x14ac:dyDescent="0.3">
      <c r="A714" s="23" t="s">
        <v>784</v>
      </c>
      <c r="B714" s="23" t="s">
        <v>910</v>
      </c>
      <c r="C714" s="12" t="s">
        <v>914</v>
      </c>
      <c r="D714" s="84"/>
      <c r="E714" s="69" t="str">
        <f t="shared" si="31"/>
        <v>Еще фото</v>
      </c>
      <c r="F714" s="13"/>
      <c r="G714" s="23" t="s">
        <v>394</v>
      </c>
      <c r="H714" s="23" t="s">
        <v>151</v>
      </c>
      <c r="I714" s="23" t="s">
        <v>395</v>
      </c>
      <c r="J714" s="14" t="s">
        <v>406</v>
      </c>
      <c r="K714" s="15" t="s">
        <v>55</v>
      </c>
      <c r="L714" s="87"/>
      <c r="M714" s="14"/>
      <c r="N714" s="14" t="s">
        <v>242</v>
      </c>
      <c r="O714" s="14"/>
      <c r="P714" s="15" t="s">
        <v>853</v>
      </c>
      <c r="Q714" s="16">
        <v>11399</v>
      </c>
      <c r="R714" s="17">
        <v>40</v>
      </c>
      <c r="S714" s="18">
        <v>7865.3099999999986</v>
      </c>
      <c r="T714" s="19" t="s">
        <v>846</v>
      </c>
      <c r="U714" s="20" t="s">
        <v>162</v>
      </c>
      <c r="V714" s="21">
        <v>42</v>
      </c>
      <c r="W714" s="21">
        <v>14</v>
      </c>
      <c r="X714" s="22"/>
    </row>
    <row r="715" spans="1:24" s="1" customFormat="1" ht="11.1" customHeight="1" x14ac:dyDescent="0.3">
      <c r="A715" s="23" t="s">
        <v>784</v>
      </c>
      <c r="B715" s="23" t="s">
        <v>910</v>
      </c>
      <c r="C715" s="12" t="s">
        <v>914</v>
      </c>
      <c r="D715" s="84"/>
      <c r="E715" s="69" t="str">
        <f t="shared" si="31"/>
        <v>Еще фото</v>
      </c>
      <c r="F715" s="13"/>
      <c r="G715" s="23" t="s">
        <v>394</v>
      </c>
      <c r="H715" s="23" t="s">
        <v>151</v>
      </c>
      <c r="I715" s="23" t="s">
        <v>395</v>
      </c>
      <c r="J715" s="14" t="s">
        <v>406</v>
      </c>
      <c r="K715" s="15" t="s">
        <v>55</v>
      </c>
      <c r="L715" s="87"/>
      <c r="M715" s="14"/>
      <c r="N715" s="14" t="s">
        <v>242</v>
      </c>
      <c r="O715" s="14"/>
      <c r="P715" s="15" t="s">
        <v>853</v>
      </c>
      <c r="Q715" s="16">
        <v>11399</v>
      </c>
      <c r="R715" s="17">
        <v>40</v>
      </c>
      <c r="S715" s="18">
        <v>7865.3099999999986</v>
      </c>
      <c r="T715" s="19" t="s">
        <v>846</v>
      </c>
      <c r="U715" s="20" t="s">
        <v>436</v>
      </c>
      <c r="V715" s="21">
        <v>43</v>
      </c>
      <c r="W715" s="21">
        <v>5</v>
      </c>
      <c r="X715" s="22"/>
    </row>
    <row r="716" spans="1:24" s="1" customFormat="1" ht="11.1" customHeight="1" x14ac:dyDescent="0.3">
      <c r="A716" s="23" t="s">
        <v>784</v>
      </c>
      <c r="B716" s="23" t="s">
        <v>910</v>
      </c>
      <c r="C716" s="12" t="s">
        <v>914</v>
      </c>
      <c r="D716" s="84"/>
      <c r="E716" s="69" t="str">
        <f t="shared" si="31"/>
        <v>Еще фото</v>
      </c>
      <c r="F716" s="13"/>
      <c r="G716" s="23" t="s">
        <v>394</v>
      </c>
      <c r="H716" s="23" t="s">
        <v>151</v>
      </c>
      <c r="I716" s="23" t="s">
        <v>395</v>
      </c>
      <c r="J716" s="14" t="s">
        <v>406</v>
      </c>
      <c r="K716" s="15" t="s">
        <v>55</v>
      </c>
      <c r="L716" s="87"/>
      <c r="M716" s="14"/>
      <c r="N716" s="14" t="s">
        <v>242</v>
      </c>
      <c r="O716" s="14"/>
      <c r="P716" s="15" t="s">
        <v>853</v>
      </c>
      <c r="Q716" s="16">
        <v>11399</v>
      </c>
      <c r="R716" s="17">
        <v>40</v>
      </c>
      <c r="S716" s="18">
        <v>7865.3099999999986</v>
      </c>
      <c r="T716" s="19" t="s">
        <v>846</v>
      </c>
      <c r="U716" s="20" t="s">
        <v>163</v>
      </c>
      <c r="V716" s="30">
        <v>43.5</v>
      </c>
      <c r="W716" s="21">
        <v>4</v>
      </c>
      <c r="X716" s="22"/>
    </row>
    <row r="717" spans="1:24" s="1" customFormat="1" ht="11.1" customHeight="1" x14ac:dyDescent="0.3">
      <c r="A717" s="23" t="s">
        <v>784</v>
      </c>
      <c r="B717" s="23" t="s">
        <v>910</v>
      </c>
      <c r="C717" s="12" t="s">
        <v>914</v>
      </c>
      <c r="D717" s="84"/>
      <c r="E717" s="69" t="str">
        <f t="shared" si="31"/>
        <v>Еще фото</v>
      </c>
      <c r="F717" s="13"/>
      <c r="G717" s="23" t="s">
        <v>394</v>
      </c>
      <c r="H717" s="23" t="s">
        <v>151</v>
      </c>
      <c r="I717" s="23" t="s">
        <v>395</v>
      </c>
      <c r="J717" s="14" t="s">
        <v>406</v>
      </c>
      <c r="K717" s="15" t="s">
        <v>55</v>
      </c>
      <c r="L717" s="87"/>
      <c r="M717" s="14"/>
      <c r="N717" s="14" t="s">
        <v>242</v>
      </c>
      <c r="O717" s="14"/>
      <c r="P717" s="15" t="s">
        <v>853</v>
      </c>
      <c r="Q717" s="16">
        <v>11399</v>
      </c>
      <c r="R717" s="17">
        <v>40</v>
      </c>
      <c r="S717" s="18">
        <v>7865.3099999999986</v>
      </c>
      <c r="T717" s="19" t="s">
        <v>846</v>
      </c>
      <c r="U717" s="20" t="s">
        <v>907</v>
      </c>
      <c r="V717" s="21">
        <v>44</v>
      </c>
      <c r="W717" s="21">
        <v>1</v>
      </c>
      <c r="X717" s="22"/>
    </row>
    <row r="718" spans="1:24" s="1" customFormat="1" ht="11.1" customHeight="1" x14ac:dyDescent="0.3">
      <c r="A718" s="23" t="s">
        <v>784</v>
      </c>
      <c r="B718" s="23" t="s">
        <v>910</v>
      </c>
      <c r="C718" s="12" t="s">
        <v>914</v>
      </c>
      <c r="D718" s="85"/>
      <c r="E718" s="69" t="str">
        <f t="shared" si="31"/>
        <v>Еще фото</v>
      </c>
      <c r="F718" s="13"/>
      <c r="G718" s="23" t="s">
        <v>394</v>
      </c>
      <c r="H718" s="23" t="s">
        <v>151</v>
      </c>
      <c r="I718" s="23" t="s">
        <v>395</v>
      </c>
      <c r="J718" s="14" t="s">
        <v>406</v>
      </c>
      <c r="K718" s="15" t="s">
        <v>55</v>
      </c>
      <c r="L718" s="88"/>
      <c r="M718" s="14"/>
      <c r="N718" s="14" t="s">
        <v>242</v>
      </c>
      <c r="O718" s="14"/>
      <c r="P718" s="15" t="s">
        <v>853</v>
      </c>
      <c r="Q718" s="16">
        <v>11399</v>
      </c>
      <c r="R718" s="17">
        <v>40</v>
      </c>
      <c r="S718" s="18">
        <v>7865.3099999999986</v>
      </c>
      <c r="T718" s="19" t="s">
        <v>846</v>
      </c>
      <c r="U718" s="20" t="s">
        <v>164</v>
      </c>
      <c r="V718" s="21">
        <v>45</v>
      </c>
      <c r="W718" s="21">
        <v>3</v>
      </c>
      <c r="X718" s="22"/>
    </row>
    <row r="719" spans="1:24" s="1" customFormat="1" ht="14.1" customHeight="1" x14ac:dyDescent="0.3">
      <c r="A719" s="11" t="s">
        <v>784</v>
      </c>
      <c r="B719" s="11" t="s">
        <v>910</v>
      </c>
      <c r="C719" s="12" t="s">
        <v>916</v>
      </c>
      <c r="D719" s="83"/>
      <c r="E719" s="69" t="str">
        <f t="shared" ref="E719:E725" si="32">HYPERLINK("https://www.google.ru/search?q=61GB2323-91&amp;newwindow=1&amp;tbm=isch","Еще фото")</f>
        <v>Еще фото</v>
      </c>
      <c r="F719" s="13"/>
      <c r="G719" s="11" t="s">
        <v>394</v>
      </c>
      <c r="H719" s="11" t="s">
        <v>151</v>
      </c>
      <c r="I719" s="14" t="s">
        <v>395</v>
      </c>
      <c r="J719" s="14" t="s">
        <v>917</v>
      </c>
      <c r="K719" s="15" t="s">
        <v>47</v>
      </c>
      <c r="L719" s="86" t="s">
        <v>918</v>
      </c>
      <c r="M719" s="14"/>
      <c r="N719" s="14" t="s">
        <v>242</v>
      </c>
      <c r="O719" s="14"/>
      <c r="P719" s="15" t="s">
        <v>853</v>
      </c>
      <c r="Q719" s="16">
        <v>11399</v>
      </c>
      <c r="R719" s="17">
        <v>40</v>
      </c>
      <c r="S719" s="18">
        <v>7865.3099999999986</v>
      </c>
      <c r="T719" s="19" t="s">
        <v>846</v>
      </c>
      <c r="U719" s="20" t="s">
        <v>821</v>
      </c>
      <c r="V719" s="21">
        <v>36</v>
      </c>
      <c r="W719" s="21">
        <v>8</v>
      </c>
      <c r="X719" s="22"/>
    </row>
    <row r="720" spans="1:24" s="1" customFormat="1" ht="14.1" customHeight="1" x14ac:dyDescent="0.3">
      <c r="A720" s="23" t="s">
        <v>784</v>
      </c>
      <c r="B720" s="23" t="s">
        <v>910</v>
      </c>
      <c r="C720" s="12" t="s">
        <v>916</v>
      </c>
      <c r="D720" s="84"/>
      <c r="E720" s="69" t="str">
        <f t="shared" si="32"/>
        <v>Еще фото</v>
      </c>
      <c r="F720" s="13"/>
      <c r="G720" s="23" t="s">
        <v>394</v>
      </c>
      <c r="H720" s="23" t="s">
        <v>151</v>
      </c>
      <c r="I720" s="23" t="s">
        <v>395</v>
      </c>
      <c r="J720" s="14" t="s">
        <v>917</v>
      </c>
      <c r="K720" s="15" t="s">
        <v>47</v>
      </c>
      <c r="L720" s="87"/>
      <c r="M720" s="14"/>
      <c r="N720" s="14" t="s">
        <v>242</v>
      </c>
      <c r="O720" s="14"/>
      <c r="P720" s="15" t="s">
        <v>853</v>
      </c>
      <c r="Q720" s="16">
        <v>11399</v>
      </c>
      <c r="R720" s="17">
        <v>40</v>
      </c>
      <c r="S720" s="18">
        <v>7865.3099999999986</v>
      </c>
      <c r="T720" s="19" t="s">
        <v>846</v>
      </c>
      <c r="U720" s="20" t="s">
        <v>847</v>
      </c>
      <c r="V720" s="30">
        <v>36.5</v>
      </c>
      <c r="W720" s="21">
        <v>9</v>
      </c>
      <c r="X720" s="22"/>
    </row>
    <row r="721" spans="1:24" s="1" customFormat="1" ht="14.1" customHeight="1" x14ac:dyDescent="0.3">
      <c r="A721" s="23" t="s">
        <v>784</v>
      </c>
      <c r="B721" s="23" t="s">
        <v>910</v>
      </c>
      <c r="C721" s="12" t="s">
        <v>916</v>
      </c>
      <c r="D721" s="84"/>
      <c r="E721" s="69" t="str">
        <f t="shared" si="32"/>
        <v>Еще фото</v>
      </c>
      <c r="F721" s="13"/>
      <c r="G721" s="23" t="s">
        <v>394</v>
      </c>
      <c r="H721" s="23" t="s">
        <v>151</v>
      </c>
      <c r="I721" s="23" t="s">
        <v>395</v>
      </c>
      <c r="J721" s="14" t="s">
        <v>917</v>
      </c>
      <c r="K721" s="15" t="s">
        <v>47</v>
      </c>
      <c r="L721" s="87"/>
      <c r="M721" s="14"/>
      <c r="N721" s="14" t="s">
        <v>242</v>
      </c>
      <c r="O721" s="14"/>
      <c r="P721" s="15" t="s">
        <v>853</v>
      </c>
      <c r="Q721" s="16">
        <v>11399</v>
      </c>
      <c r="R721" s="17">
        <v>40</v>
      </c>
      <c r="S721" s="18">
        <v>7865.3099999999986</v>
      </c>
      <c r="T721" s="19" t="s">
        <v>846</v>
      </c>
      <c r="U721" s="20" t="s">
        <v>818</v>
      </c>
      <c r="V721" s="21">
        <v>37</v>
      </c>
      <c r="W721" s="21">
        <v>10</v>
      </c>
      <c r="X721" s="22"/>
    </row>
    <row r="722" spans="1:24" s="1" customFormat="1" ht="14.1" customHeight="1" x14ac:dyDescent="0.3">
      <c r="A722" s="23" t="s">
        <v>784</v>
      </c>
      <c r="B722" s="23" t="s">
        <v>910</v>
      </c>
      <c r="C722" s="12" t="s">
        <v>916</v>
      </c>
      <c r="D722" s="84"/>
      <c r="E722" s="69" t="str">
        <f t="shared" si="32"/>
        <v>Еще фото</v>
      </c>
      <c r="F722" s="13"/>
      <c r="G722" s="23" t="s">
        <v>394</v>
      </c>
      <c r="H722" s="23" t="s">
        <v>151</v>
      </c>
      <c r="I722" s="23" t="s">
        <v>395</v>
      </c>
      <c r="J722" s="14" t="s">
        <v>917</v>
      </c>
      <c r="K722" s="15" t="s">
        <v>47</v>
      </c>
      <c r="L722" s="87"/>
      <c r="M722" s="14"/>
      <c r="N722" s="14" t="s">
        <v>242</v>
      </c>
      <c r="O722" s="14"/>
      <c r="P722" s="15" t="s">
        <v>853</v>
      </c>
      <c r="Q722" s="16">
        <v>11399</v>
      </c>
      <c r="R722" s="17">
        <v>40</v>
      </c>
      <c r="S722" s="18">
        <v>7865.3099999999986</v>
      </c>
      <c r="T722" s="19" t="s">
        <v>846</v>
      </c>
      <c r="U722" s="20" t="s">
        <v>848</v>
      </c>
      <c r="V722" s="30">
        <v>37.5</v>
      </c>
      <c r="W722" s="21">
        <v>11</v>
      </c>
      <c r="X722" s="22"/>
    </row>
    <row r="723" spans="1:24" s="1" customFormat="1" ht="14.1" customHeight="1" x14ac:dyDescent="0.3">
      <c r="A723" s="23" t="s">
        <v>784</v>
      </c>
      <c r="B723" s="23" t="s">
        <v>910</v>
      </c>
      <c r="C723" s="12" t="s">
        <v>916</v>
      </c>
      <c r="D723" s="84"/>
      <c r="E723" s="69" t="str">
        <f t="shared" si="32"/>
        <v>Еще фото</v>
      </c>
      <c r="F723" s="13"/>
      <c r="G723" s="23" t="s">
        <v>394</v>
      </c>
      <c r="H723" s="23" t="s">
        <v>151</v>
      </c>
      <c r="I723" s="23" t="s">
        <v>395</v>
      </c>
      <c r="J723" s="14" t="s">
        <v>917</v>
      </c>
      <c r="K723" s="15" t="s">
        <v>47</v>
      </c>
      <c r="L723" s="87"/>
      <c r="M723" s="14"/>
      <c r="N723" s="14" t="s">
        <v>242</v>
      </c>
      <c r="O723" s="14"/>
      <c r="P723" s="15" t="s">
        <v>853</v>
      </c>
      <c r="Q723" s="16">
        <v>11399</v>
      </c>
      <c r="R723" s="17">
        <v>40</v>
      </c>
      <c r="S723" s="18">
        <v>7865.3099999999986</v>
      </c>
      <c r="T723" s="19" t="s">
        <v>846</v>
      </c>
      <c r="U723" s="20" t="s">
        <v>849</v>
      </c>
      <c r="V723" s="21">
        <v>38</v>
      </c>
      <c r="W723" s="21">
        <v>14</v>
      </c>
      <c r="X723" s="22"/>
    </row>
    <row r="724" spans="1:24" s="1" customFormat="1" ht="14.1" customHeight="1" x14ac:dyDescent="0.3">
      <c r="A724" s="23" t="s">
        <v>784</v>
      </c>
      <c r="B724" s="23" t="s">
        <v>910</v>
      </c>
      <c r="C724" s="12" t="s">
        <v>916</v>
      </c>
      <c r="D724" s="84"/>
      <c r="E724" s="69" t="str">
        <f t="shared" si="32"/>
        <v>Еще фото</v>
      </c>
      <c r="F724" s="13"/>
      <c r="G724" s="23" t="s">
        <v>394</v>
      </c>
      <c r="H724" s="23" t="s">
        <v>151</v>
      </c>
      <c r="I724" s="23" t="s">
        <v>395</v>
      </c>
      <c r="J724" s="14" t="s">
        <v>917</v>
      </c>
      <c r="K724" s="15" t="s">
        <v>47</v>
      </c>
      <c r="L724" s="87"/>
      <c r="M724" s="14"/>
      <c r="N724" s="14" t="s">
        <v>242</v>
      </c>
      <c r="O724" s="14"/>
      <c r="P724" s="15" t="s">
        <v>853</v>
      </c>
      <c r="Q724" s="16">
        <v>11399</v>
      </c>
      <c r="R724" s="17">
        <v>40</v>
      </c>
      <c r="S724" s="18">
        <v>7865.3099999999986</v>
      </c>
      <c r="T724" s="19" t="s">
        <v>846</v>
      </c>
      <c r="U724" s="20" t="s">
        <v>500</v>
      </c>
      <c r="V724" s="21">
        <v>39</v>
      </c>
      <c r="W724" s="21">
        <v>9</v>
      </c>
      <c r="X724" s="22"/>
    </row>
    <row r="725" spans="1:24" s="1" customFormat="1" ht="17.100000000000001" customHeight="1" x14ac:dyDescent="0.3">
      <c r="A725" s="23" t="s">
        <v>784</v>
      </c>
      <c r="B725" s="23" t="s">
        <v>910</v>
      </c>
      <c r="C725" s="12" t="s">
        <v>916</v>
      </c>
      <c r="D725" s="85"/>
      <c r="E725" s="69" t="str">
        <f t="shared" si="32"/>
        <v>Еще фото</v>
      </c>
      <c r="F725" s="13"/>
      <c r="G725" s="23" t="s">
        <v>394</v>
      </c>
      <c r="H725" s="23" t="s">
        <v>151</v>
      </c>
      <c r="I725" s="23" t="s">
        <v>395</v>
      </c>
      <c r="J725" s="14" t="s">
        <v>917</v>
      </c>
      <c r="K725" s="15" t="s">
        <v>47</v>
      </c>
      <c r="L725" s="88"/>
      <c r="M725" s="14"/>
      <c r="N725" s="14" t="s">
        <v>242</v>
      </c>
      <c r="O725" s="14"/>
      <c r="P725" s="15" t="s">
        <v>853</v>
      </c>
      <c r="Q725" s="16">
        <v>11399</v>
      </c>
      <c r="R725" s="17">
        <v>40</v>
      </c>
      <c r="S725" s="18">
        <v>7865.3099999999986</v>
      </c>
      <c r="T725" s="19" t="s">
        <v>846</v>
      </c>
      <c r="U725" s="20" t="s">
        <v>854</v>
      </c>
      <c r="V725" s="30">
        <v>39.5</v>
      </c>
      <c r="W725" s="21">
        <v>10</v>
      </c>
      <c r="X725" s="22"/>
    </row>
    <row r="726" spans="1:24" s="1" customFormat="1" ht="51.95" customHeight="1" x14ac:dyDescent="0.3">
      <c r="A726" s="11" t="s">
        <v>784</v>
      </c>
      <c r="B726" s="11" t="s">
        <v>919</v>
      </c>
      <c r="C726" s="12" t="s">
        <v>920</v>
      </c>
      <c r="D726" s="89"/>
      <c r="E726" s="69" t="str">
        <f>HYPERLINK("https://www.google.ru/search?q=61GC1900-30&amp;newwindow=1&amp;tbm=isch","Еще фото")</f>
        <v>Еще фото</v>
      </c>
      <c r="F726" s="13"/>
      <c r="G726" s="11" t="s">
        <v>394</v>
      </c>
      <c r="H726" s="11" t="s">
        <v>151</v>
      </c>
      <c r="I726" s="14" t="s">
        <v>395</v>
      </c>
      <c r="J726" s="14" t="s">
        <v>879</v>
      </c>
      <c r="K726" s="15" t="s">
        <v>55</v>
      </c>
      <c r="L726" s="86" t="s">
        <v>921</v>
      </c>
      <c r="M726" s="14"/>
      <c r="N726" s="14" t="s">
        <v>70</v>
      </c>
      <c r="O726" s="14"/>
      <c r="P726" s="15" t="s">
        <v>883</v>
      </c>
      <c r="Q726" s="16">
        <v>17190</v>
      </c>
      <c r="R726" s="17">
        <v>40</v>
      </c>
      <c r="S726" s="18">
        <v>11861.099999999999</v>
      </c>
      <c r="T726" s="19" t="s">
        <v>846</v>
      </c>
      <c r="U726" s="20" t="s">
        <v>435</v>
      </c>
      <c r="V726" s="30">
        <v>41.5</v>
      </c>
      <c r="W726" s="21">
        <v>4</v>
      </c>
      <c r="X726" s="22"/>
    </row>
    <row r="727" spans="1:24" s="1" customFormat="1" ht="60.95" customHeight="1" x14ac:dyDescent="0.3">
      <c r="A727" s="23" t="s">
        <v>784</v>
      </c>
      <c r="B727" s="23" t="s">
        <v>919</v>
      </c>
      <c r="C727" s="12" t="s">
        <v>920</v>
      </c>
      <c r="D727" s="90"/>
      <c r="E727" s="69" t="str">
        <f>HYPERLINK("https://www.google.ru/search?q=61GC1900-30&amp;newwindow=1&amp;tbm=isch","Еще фото")</f>
        <v>Еще фото</v>
      </c>
      <c r="F727" s="13"/>
      <c r="G727" s="23" t="s">
        <v>394</v>
      </c>
      <c r="H727" s="23" t="s">
        <v>151</v>
      </c>
      <c r="I727" s="23" t="s">
        <v>395</v>
      </c>
      <c r="J727" s="14" t="s">
        <v>879</v>
      </c>
      <c r="K727" s="15" t="s">
        <v>55</v>
      </c>
      <c r="L727" s="88"/>
      <c r="M727" s="14"/>
      <c r="N727" s="14" t="s">
        <v>70</v>
      </c>
      <c r="O727" s="14"/>
      <c r="P727" s="15" t="s">
        <v>883</v>
      </c>
      <c r="Q727" s="16">
        <v>17190</v>
      </c>
      <c r="R727" s="17">
        <v>40</v>
      </c>
      <c r="S727" s="18">
        <v>11861.099999999999</v>
      </c>
      <c r="T727" s="19" t="s">
        <v>846</v>
      </c>
      <c r="U727" s="20" t="s">
        <v>163</v>
      </c>
      <c r="V727" s="30">
        <v>43.5</v>
      </c>
      <c r="W727" s="21">
        <v>6</v>
      </c>
      <c r="X727" s="22"/>
    </row>
    <row r="728" spans="1:24" s="1" customFormat="1" ht="51.95" customHeight="1" x14ac:dyDescent="0.3">
      <c r="A728" s="11" t="s">
        <v>784</v>
      </c>
      <c r="B728" s="11" t="s">
        <v>922</v>
      </c>
      <c r="C728" s="12" t="s">
        <v>923</v>
      </c>
      <c r="D728" s="89"/>
      <c r="E728" s="69" t="str">
        <f>HYPERLINK("https://www.google.ru/search?q=61GC2221-21&amp;newwindow=1&amp;tbm=isch","Еще фото")</f>
        <v>Еще фото</v>
      </c>
      <c r="F728" s="13"/>
      <c r="G728" s="11" t="s">
        <v>394</v>
      </c>
      <c r="H728" s="11" t="s">
        <v>151</v>
      </c>
      <c r="I728" s="14" t="s">
        <v>395</v>
      </c>
      <c r="J728" s="14" t="s">
        <v>879</v>
      </c>
      <c r="K728" s="15" t="s">
        <v>47</v>
      </c>
      <c r="L728" s="86" t="s">
        <v>924</v>
      </c>
      <c r="M728" s="14" t="s">
        <v>925</v>
      </c>
      <c r="N728" s="14" t="s">
        <v>265</v>
      </c>
      <c r="O728" s="14"/>
      <c r="P728" s="15" t="s">
        <v>853</v>
      </c>
      <c r="Q728" s="16">
        <v>11599</v>
      </c>
      <c r="R728" s="17">
        <v>40</v>
      </c>
      <c r="S728" s="18">
        <v>8003.3099999999986</v>
      </c>
      <c r="T728" s="19" t="s">
        <v>846</v>
      </c>
      <c r="U728" s="20" t="s">
        <v>500</v>
      </c>
      <c r="V728" s="21">
        <v>39</v>
      </c>
      <c r="W728" s="21">
        <v>4</v>
      </c>
      <c r="X728" s="22"/>
    </row>
    <row r="729" spans="1:24" s="1" customFormat="1" ht="60.95" customHeight="1" x14ac:dyDescent="0.3">
      <c r="A729" s="23" t="s">
        <v>784</v>
      </c>
      <c r="B729" s="23" t="s">
        <v>922</v>
      </c>
      <c r="C729" s="12" t="s">
        <v>923</v>
      </c>
      <c r="D729" s="90"/>
      <c r="E729" s="69" t="str">
        <f>HYPERLINK("https://www.google.ru/search?q=61GC2221-21&amp;newwindow=1&amp;tbm=isch","Еще фото")</f>
        <v>Еще фото</v>
      </c>
      <c r="F729" s="13"/>
      <c r="G729" s="23" t="s">
        <v>394</v>
      </c>
      <c r="H729" s="23" t="s">
        <v>151</v>
      </c>
      <c r="I729" s="23" t="s">
        <v>395</v>
      </c>
      <c r="J729" s="14" t="s">
        <v>879</v>
      </c>
      <c r="K729" s="15" t="s">
        <v>47</v>
      </c>
      <c r="L729" s="88"/>
      <c r="M729" s="14" t="s">
        <v>925</v>
      </c>
      <c r="N729" s="14" t="s">
        <v>265</v>
      </c>
      <c r="O729" s="14"/>
      <c r="P729" s="15" t="s">
        <v>853</v>
      </c>
      <c r="Q729" s="16">
        <v>11599</v>
      </c>
      <c r="R729" s="17">
        <v>40</v>
      </c>
      <c r="S729" s="18">
        <v>8003.3099999999986</v>
      </c>
      <c r="T729" s="19" t="s">
        <v>846</v>
      </c>
      <c r="U729" s="20" t="s">
        <v>854</v>
      </c>
      <c r="V729" s="30">
        <v>39.5</v>
      </c>
      <c r="W729" s="21">
        <v>1</v>
      </c>
      <c r="X729" s="22"/>
    </row>
    <row r="730" spans="1:24" s="1" customFormat="1" ht="35.1" customHeight="1" x14ac:dyDescent="0.3">
      <c r="A730" s="11" t="s">
        <v>784</v>
      </c>
      <c r="B730" s="11" t="s">
        <v>926</v>
      </c>
      <c r="C730" s="12" t="s">
        <v>927</v>
      </c>
      <c r="D730" s="83"/>
      <c r="E730" s="69" t="str">
        <f>HYPERLINK("https://www.google.ru/search?q=61GC2274-40&amp;newwindow=1&amp;tbm=isch","Еще фото")</f>
        <v>Еще фото</v>
      </c>
      <c r="F730" s="13"/>
      <c r="G730" s="11" t="s">
        <v>394</v>
      </c>
      <c r="H730" s="11" t="s">
        <v>151</v>
      </c>
      <c r="I730" s="14" t="s">
        <v>395</v>
      </c>
      <c r="J730" s="14" t="s">
        <v>879</v>
      </c>
      <c r="K730" s="15" t="s">
        <v>55</v>
      </c>
      <c r="L730" s="86" t="s">
        <v>928</v>
      </c>
      <c r="M730" s="14" t="s">
        <v>844</v>
      </c>
      <c r="N730" s="14" t="s">
        <v>929</v>
      </c>
      <c r="O730" s="14"/>
      <c r="P730" s="15" t="s">
        <v>853</v>
      </c>
      <c r="Q730" s="16">
        <v>17499</v>
      </c>
      <c r="R730" s="17">
        <v>40</v>
      </c>
      <c r="S730" s="18">
        <v>12074.31</v>
      </c>
      <c r="T730" s="19" t="s">
        <v>846</v>
      </c>
      <c r="U730" s="20" t="s">
        <v>163</v>
      </c>
      <c r="V730" s="30">
        <v>43.5</v>
      </c>
      <c r="W730" s="21">
        <v>12</v>
      </c>
      <c r="X730" s="22"/>
    </row>
    <row r="731" spans="1:24" s="1" customFormat="1" ht="35.1" customHeight="1" x14ac:dyDescent="0.3">
      <c r="A731" s="23" t="s">
        <v>784</v>
      </c>
      <c r="B731" s="23" t="s">
        <v>926</v>
      </c>
      <c r="C731" s="12" t="s">
        <v>927</v>
      </c>
      <c r="D731" s="84"/>
      <c r="E731" s="69" t="str">
        <f>HYPERLINK("https://www.google.ru/search?q=61GC2274-40&amp;newwindow=1&amp;tbm=isch","Еще фото")</f>
        <v>Еще фото</v>
      </c>
      <c r="F731" s="13"/>
      <c r="G731" s="23" t="s">
        <v>394</v>
      </c>
      <c r="H731" s="23" t="s">
        <v>151</v>
      </c>
      <c r="I731" s="23" t="s">
        <v>395</v>
      </c>
      <c r="J731" s="14" t="s">
        <v>879</v>
      </c>
      <c r="K731" s="15" t="s">
        <v>55</v>
      </c>
      <c r="L731" s="87"/>
      <c r="M731" s="14" t="s">
        <v>844</v>
      </c>
      <c r="N731" s="14" t="s">
        <v>929</v>
      </c>
      <c r="O731" s="14"/>
      <c r="P731" s="15" t="s">
        <v>853</v>
      </c>
      <c r="Q731" s="16">
        <v>17499</v>
      </c>
      <c r="R731" s="17">
        <v>40</v>
      </c>
      <c r="S731" s="18">
        <v>12074.31</v>
      </c>
      <c r="T731" s="19" t="s">
        <v>846</v>
      </c>
      <c r="U731" s="20" t="s">
        <v>907</v>
      </c>
      <c r="V731" s="21">
        <v>44</v>
      </c>
      <c r="W731" s="21">
        <v>5</v>
      </c>
      <c r="X731" s="22"/>
    </row>
    <row r="732" spans="1:24" s="1" customFormat="1" ht="36.950000000000003" customHeight="1" x14ac:dyDescent="0.3">
      <c r="A732" s="23" t="s">
        <v>784</v>
      </c>
      <c r="B732" s="23" t="s">
        <v>926</v>
      </c>
      <c r="C732" s="12" t="s">
        <v>927</v>
      </c>
      <c r="D732" s="85"/>
      <c r="E732" s="69" t="str">
        <f>HYPERLINK("https://www.google.ru/search?q=61GC2274-40&amp;newwindow=1&amp;tbm=isch","Еще фото")</f>
        <v>Еще фото</v>
      </c>
      <c r="F732" s="13"/>
      <c r="G732" s="23" t="s">
        <v>394</v>
      </c>
      <c r="H732" s="23" t="s">
        <v>151</v>
      </c>
      <c r="I732" s="23" t="s">
        <v>395</v>
      </c>
      <c r="J732" s="14" t="s">
        <v>879</v>
      </c>
      <c r="K732" s="15" t="s">
        <v>55</v>
      </c>
      <c r="L732" s="88"/>
      <c r="M732" s="14" t="s">
        <v>844</v>
      </c>
      <c r="N732" s="14" t="s">
        <v>929</v>
      </c>
      <c r="O732" s="14"/>
      <c r="P732" s="15" t="s">
        <v>853</v>
      </c>
      <c r="Q732" s="16">
        <v>17499</v>
      </c>
      <c r="R732" s="17">
        <v>40</v>
      </c>
      <c r="S732" s="18">
        <v>12074.31</v>
      </c>
      <c r="T732" s="19" t="s">
        <v>846</v>
      </c>
      <c r="U732" s="20" t="s">
        <v>164</v>
      </c>
      <c r="V732" s="21">
        <v>45</v>
      </c>
      <c r="W732" s="21">
        <v>5</v>
      </c>
      <c r="X732" s="22"/>
    </row>
    <row r="733" spans="1:24" s="1" customFormat="1" ht="17.100000000000001" customHeight="1" x14ac:dyDescent="0.3">
      <c r="A733" s="11" t="s">
        <v>784</v>
      </c>
      <c r="B733" s="11" t="s">
        <v>930</v>
      </c>
      <c r="C733" s="12" t="s">
        <v>931</v>
      </c>
      <c r="D733" s="83"/>
      <c r="E733" s="69" t="str">
        <f t="shared" ref="E733:E738" si="33">HYPERLINK("https://www.google.ru/search?q=61GC2275-56&amp;newwindow=1&amp;tbm=isch","Еще фото")</f>
        <v>Еще фото</v>
      </c>
      <c r="F733" s="13"/>
      <c r="G733" s="11" t="s">
        <v>394</v>
      </c>
      <c r="H733" s="11" t="s">
        <v>151</v>
      </c>
      <c r="I733" s="14" t="s">
        <v>395</v>
      </c>
      <c r="J733" s="14" t="s">
        <v>879</v>
      </c>
      <c r="K733" s="15" t="s">
        <v>55</v>
      </c>
      <c r="L733" s="86" t="s">
        <v>928</v>
      </c>
      <c r="M733" s="14" t="s">
        <v>844</v>
      </c>
      <c r="N733" s="14" t="s">
        <v>275</v>
      </c>
      <c r="O733" s="14"/>
      <c r="P733" s="15" t="s">
        <v>883</v>
      </c>
      <c r="Q733" s="16">
        <v>15799</v>
      </c>
      <c r="R733" s="17">
        <v>40</v>
      </c>
      <c r="S733" s="18">
        <v>10901.31</v>
      </c>
      <c r="T733" s="19" t="s">
        <v>846</v>
      </c>
      <c r="U733" s="20" t="s">
        <v>847</v>
      </c>
      <c r="V733" s="30">
        <v>36.5</v>
      </c>
      <c r="W733" s="21">
        <v>1</v>
      </c>
      <c r="X733" s="22"/>
    </row>
    <row r="734" spans="1:24" s="1" customFormat="1" ht="17.100000000000001" customHeight="1" x14ac:dyDescent="0.3">
      <c r="A734" s="23" t="s">
        <v>784</v>
      </c>
      <c r="B734" s="23" t="s">
        <v>930</v>
      </c>
      <c r="C734" s="12" t="s">
        <v>931</v>
      </c>
      <c r="D734" s="84"/>
      <c r="E734" s="69" t="str">
        <f t="shared" si="33"/>
        <v>Еще фото</v>
      </c>
      <c r="F734" s="13"/>
      <c r="G734" s="23" t="s">
        <v>394</v>
      </c>
      <c r="H734" s="23" t="s">
        <v>151</v>
      </c>
      <c r="I734" s="23" t="s">
        <v>395</v>
      </c>
      <c r="J734" s="14" t="s">
        <v>879</v>
      </c>
      <c r="K734" s="15" t="s">
        <v>55</v>
      </c>
      <c r="L734" s="87"/>
      <c r="M734" s="14" t="s">
        <v>844</v>
      </c>
      <c r="N734" s="14" t="s">
        <v>275</v>
      </c>
      <c r="O734" s="14"/>
      <c r="P734" s="15" t="s">
        <v>883</v>
      </c>
      <c r="Q734" s="16">
        <v>15799</v>
      </c>
      <c r="R734" s="17">
        <v>40</v>
      </c>
      <c r="S734" s="18">
        <v>10901.31</v>
      </c>
      <c r="T734" s="19" t="s">
        <v>846</v>
      </c>
      <c r="U734" s="20" t="s">
        <v>848</v>
      </c>
      <c r="V734" s="30">
        <v>37.5</v>
      </c>
      <c r="W734" s="21">
        <v>3</v>
      </c>
      <c r="X734" s="22"/>
    </row>
    <row r="735" spans="1:24" s="1" customFormat="1" ht="17.100000000000001" customHeight="1" x14ac:dyDescent="0.3">
      <c r="A735" s="23" t="s">
        <v>784</v>
      </c>
      <c r="B735" s="23" t="s">
        <v>930</v>
      </c>
      <c r="C735" s="12" t="s">
        <v>931</v>
      </c>
      <c r="D735" s="84"/>
      <c r="E735" s="69" t="str">
        <f t="shared" si="33"/>
        <v>Еще фото</v>
      </c>
      <c r="F735" s="13"/>
      <c r="G735" s="23" t="s">
        <v>394</v>
      </c>
      <c r="H735" s="23" t="s">
        <v>151</v>
      </c>
      <c r="I735" s="23" t="s">
        <v>395</v>
      </c>
      <c r="J735" s="14" t="s">
        <v>879</v>
      </c>
      <c r="K735" s="15" t="s">
        <v>55</v>
      </c>
      <c r="L735" s="87"/>
      <c r="M735" s="14" t="s">
        <v>844</v>
      </c>
      <c r="N735" s="14" t="s">
        <v>275</v>
      </c>
      <c r="O735" s="14"/>
      <c r="P735" s="15" t="s">
        <v>883</v>
      </c>
      <c r="Q735" s="16">
        <v>15799</v>
      </c>
      <c r="R735" s="17">
        <v>40</v>
      </c>
      <c r="S735" s="18">
        <v>10901.31</v>
      </c>
      <c r="T735" s="19" t="s">
        <v>846</v>
      </c>
      <c r="U735" s="20" t="s">
        <v>849</v>
      </c>
      <c r="V735" s="21">
        <v>38</v>
      </c>
      <c r="W735" s="21">
        <v>6</v>
      </c>
      <c r="X735" s="22"/>
    </row>
    <row r="736" spans="1:24" s="1" customFormat="1" ht="17.100000000000001" customHeight="1" x14ac:dyDescent="0.3">
      <c r="A736" s="23" t="s">
        <v>784</v>
      </c>
      <c r="B736" s="23" t="s">
        <v>930</v>
      </c>
      <c r="C736" s="12" t="s">
        <v>931</v>
      </c>
      <c r="D736" s="84"/>
      <c r="E736" s="69" t="str">
        <f t="shared" si="33"/>
        <v>Еще фото</v>
      </c>
      <c r="F736" s="13"/>
      <c r="G736" s="23" t="s">
        <v>394</v>
      </c>
      <c r="H736" s="23" t="s">
        <v>151</v>
      </c>
      <c r="I736" s="23" t="s">
        <v>395</v>
      </c>
      <c r="J736" s="14" t="s">
        <v>879</v>
      </c>
      <c r="K736" s="15" t="s">
        <v>55</v>
      </c>
      <c r="L736" s="87"/>
      <c r="M736" s="14" t="s">
        <v>844</v>
      </c>
      <c r="N736" s="14" t="s">
        <v>275</v>
      </c>
      <c r="O736" s="14"/>
      <c r="P736" s="15" t="s">
        <v>883</v>
      </c>
      <c r="Q736" s="16">
        <v>15799</v>
      </c>
      <c r="R736" s="17">
        <v>40</v>
      </c>
      <c r="S736" s="18">
        <v>10901.31</v>
      </c>
      <c r="T736" s="19" t="s">
        <v>846</v>
      </c>
      <c r="U736" s="20" t="s">
        <v>500</v>
      </c>
      <c r="V736" s="21">
        <v>39</v>
      </c>
      <c r="W736" s="21">
        <v>7</v>
      </c>
      <c r="X736" s="22"/>
    </row>
    <row r="737" spans="1:24" s="1" customFormat="1" ht="17.100000000000001" customHeight="1" x14ac:dyDescent="0.3">
      <c r="A737" s="23" t="s">
        <v>784</v>
      </c>
      <c r="B737" s="23" t="s">
        <v>930</v>
      </c>
      <c r="C737" s="12" t="s">
        <v>931</v>
      </c>
      <c r="D737" s="84"/>
      <c r="E737" s="69" t="str">
        <f t="shared" si="33"/>
        <v>Еще фото</v>
      </c>
      <c r="F737" s="13"/>
      <c r="G737" s="23" t="s">
        <v>394</v>
      </c>
      <c r="H737" s="23" t="s">
        <v>151</v>
      </c>
      <c r="I737" s="23" t="s">
        <v>395</v>
      </c>
      <c r="J737" s="14" t="s">
        <v>879</v>
      </c>
      <c r="K737" s="15" t="s">
        <v>55</v>
      </c>
      <c r="L737" s="87"/>
      <c r="M737" s="14" t="s">
        <v>844</v>
      </c>
      <c r="N737" s="14" t="s">
        <v>275</v>
      </c>
      <c r="O737" s="14"/>
      <c r="P737" s="15" t="s">
        <v>883</v>
      </c>
      <c r="Q737" s="16">
        <v>15799</v>
      </c>
      <c r="R737" s="17">
        <v>40</v>
      </c>
      <c r="S737" s="18">
        <v>10901.31</v>
      </c>
      <c r="T737" s="19" t="s">
        <v>846</v>
      </c>
      <c r="U737" s="20" t="s">
        <v>854</v>
      </c>
      <c r="V737" s="30">
        <v>39.5</v>
      </c>
      <c r="W737" s="21">
        <v>2</v>
      </c>
      <c r="X737" s="22"/>
    </row>
    <row r="738" spans="1:24" s="1" customFormat="1" ht="21.95" customHeight="1" x14ac:dyDescent="0.3">
      <c r="A738" s="23" t="s">
        <v>784</v>
      </c>
      <c r="B738" s="23" t="s">
        <v>930</v>
      </c>
      <c r="C738" s="12" t="s">
        <v>931</v>
      </c>
      <c r="D738" s="85"/>
      <c r="E738" s="69" t="str">
        <f t="shared" si="33"/>
        <v>Еще фото</v>
      </c>
      <c r="F738" s="13"/>
      <c r="G738" s="23" t="s">
        <v>394</v>
      </c>
      <c r="H738" s="23" t="s">
        <v>151</v>
      </c>
      <c r="I738" s="23" t="s">
        <v>395</v>
      </c>
      <c r="J738" s="14" t="s">
        <v>879</v>
      </c>
      <c r="K738" s="15" t="s">
        <v>55</v>
      </c>
      <c r="L738" s="88"/>
      <c r="M738" s="14" t="s">
        <v>844</v>
      </c>
      <c r="N738" s="14" t="s">
        <v>275</v>
      </c>
      <c r="O738" s="14"/>
      <c r="P738" s="15" t="s">
        <v>883</v>
      </c>
      <c r="Q738" s="16">
        <v>15799</v>
      </c>
      <c r="R738" s="17">
        <v>40</v>
      </c>
      <c r="S738" s="18">
        <v>10901.31</v>
      </c>
      <c r="T738" s="19" t="s">
        <v>846</v>
      </c>
      <c r="U738" s="20" t="s">
        <v>156</v>
      </c>
      <c r="V738" s="21">
        <v>40</v>
      </c>
      <c r="W738" s="21">
        <v>4</v>
      </c>
      <c r="X738" s="22"/>
    </row>
    <row r="739" spans="1:24" s="1" customFormat="1" ht="26.1" customHeight="1" x14ac:dyDescent="0.3">
      <c r="A739" s="11" t="s">
        <v>784</v>
      </c>
      <c r="B739" s="11" t="s">
        <v>841</v>
      </c>
      <c r="C739" s="12" t="s">
        <v>932</v>
      </c>
      <c r="D739" s="83"/>
      <c r="E739" s="69" t="str">
        <f>HYPERLINK("https://www.google.ru/search?q=D1GA2202-02&amp;newwindow=1&amp;tbm=isch","Еще фото")</f>
        <v>Еще фото</v>
      </c>
      <c r="F739" s="13"/>
      <c r="G739" s="11" t="s">
        <v>394</v>
      </c>
      <c r="H739" s="11" t="s">
        <v>151</v>
      </c>
      <c r="I739" s="14" t="s">
        <v>395</v>
      </c>
      <c r="J739" s="14" t="s">
        <v>406</v>
      </c>
      <c r="K739" s="15" t="s">
        <v>114</v>
      </c>
      <c r="L739" s="86" t="s">
        <v>933</v>
      </c>
      <c r="M739" s="14" t="s">
        <v>844</v>
      </c>
      <c r="N739" s="14" t="s">
        <v>49</v>
      </c>
      <c r="O739" s="14"/>
      <c r="P739" s="15" t="s">
        <v>845</v>
      </c>
      <c r="Q739" s="16">
        <v>17199</v>
      </c>
      <c r="R739" s="17">
        <v>40</v>
      </c>
      <c r="S739" s="18">
        <v>11867.31</v>
      </c>
      <c r="T739" s="19" t="s">
        <v>846</v>
      </c>
      <c r="U739" s="20" t="s">
        <v>847</v>
      </c>
      <c r="V739" s="30">
        <v>36.5</v>
      </c>
      <c r="W739" s="21">
        <v>1</v>
      </c>
      <c r="X739" s="22"/>
    </row>
    <row r="740" spans="1:24" s="1" customFormat="1" ht="26.1" customHeight="1" x14ac:dyDescent="0.3">
      <c r="A740" s="23" t="s">
        <v>784</v>
      </c>
      <c r="B740" s="23" t="s">
        <v>841</v>
      </c>
      <c r="C740" s="12" t="s">
        <v>932</v>
      </c>
      <c r="D740" s="84"/>
      <c r="E740" s="69" t="str">
        <f>HYPERLINK("https://www.google.ru/search?q=D1GA2202-02&amp;newwindow=1&amp;tbm=isch","Еще фото")</f>
        <v>Еще фото</v>
      </c>
      <c r="F740" s="13"/>
      <c r="G740" s="23" t="s">
        <v>394</v>
      </c>
      <c r="H740" s="23" t="s">
        <v>151</v>
      </c>
      <c r="I740" s="23" t="s">
        <v>395</v>
      </c>
      <c r="J740" s="14" t="s">
        <v>406</v>
      </c>
      <c r="K740" s="15" t="s">
        <v>114</v>
      </c>
      <c r="L740" s="87"/>
      <c r="M740" s="14" t="s">
        <v>844</v>
      </c>
      <c r="N740" s="14" t="s">
        <v>49</v>
      </c>
      <c r="O740" s="14"/>
      <c r="P740" s="15" t="s">
        <v>845</v>
      </c>
      <c r="Q740" s="16">
        <v>17199</v>
      </c>
      <c r="R740" s="17">
        <v>40</v>
      </c>
      <c r="S740" s="18">
        <v>11867.31</v>
      </c>
      <c r="T740" s="19" t="s">
        <v>846</v>
      </c>
      <c r="U740" s="20" t="s">
        <v>818</v>
      </c>
      <c r="V740" s="21">
        <v>37</v>
      </c>
      <c r="W740" s="21">
        <v>2</v>
      </c>
      <c r="X740" s="22"/>
    </row>
    <row r="741" spans="1:24" s="1" customFormat="1" ht="26.1" customHeight="1" x14ac:dyDescent="0.3">
      <c r="A741" s="23" t="s">
        <v>784</v>
      </c>
      <c r="B741" s="23" t="s">
        <v>841</v>
      </c>
      <c r="C741" s="12" t="s">
        <v>932</v>
      </c>
      <c r="D741" s="84"/>
      <c r="E741" s="69" t="str">
        <f>HYPERLINK("https://www.google.ru/search?q=D1GA2202-02&amp;newwindow=1&amp;tbm=isch","Еще фото")</f>
        <v>Еще фото</v>
      </c>
      <c r="F741" s="13"/>
      <c r="G741" s="23" t="s">
        <v>394</v>
      </c>
      <c r="H741" s="23" t="s">
        <v>151</v>
      </c>
      <c r="I741" s="23" t="s">
        <v>395</v>
      </c>
      <c r="J741" s="14" t="s">
        <v>406</v>
      </c>
      <c r="K741" s="15" t="s">
        <v>114</v>
      </c>
      <c r="L741" s="87"/>
      <c r="M741" s="14" t="s">
        <v>844</v>
      </c>
      <c r="N741" s="14" t="s">
        <v>49</v>
      </c>
      <c r="O741" s="14"/>
      <c r="P741" s="15" t="s">
        <v>845</v>
      </c>
      <c r="Q741" s="16">
        <v>17199</v>
      </c>
      <c r="R741" s="17">
        <v>40</v>
      </c>
      <c r="S741" s="18">
        <v>11867.31</v>
      </c>
      <c r="T741" s="19" t="s">
        <v>846</v>
      </c>
      <c r="U741" s="20" t="s">
        <v>848</v>
      </c>
      <c r="V741" s="30">
        <v>37.5</v>
      </c>
      <c r="W741" s="21">
        <v>2</v>
      </c>
      <c r="X741" s="22"/>
    </row>
    <row r="742" spans="1:24" s="1" customFormat="1" ht="26.1" customHeight="1" x14ac:dyDescent="0.3">
      <c r="A742" s="23" t="s">
        <v>784</v>
      </c>
      <c r="B742" s="23" t="s">
        <v>841</v>
      </c>
      <c r="C742" s="12" t="s">
        <v>932</v>
      </c>
      <c r="D742" s="85"/>
      <c r="E742" s="69" t="str">
        <f>HYPERLINK("https://www.google.ru/search?q=D1GA2202-02&amp;newwindow=1&amp;tbm=isch","Еще фото")</f>
        <v>Еще фото</v>
      </c>
      <c r="F742" s="13"/>
      <c r="G742" s="23" t="s">
        <v>394</v>
      </c>
      <c r="H742" s="23" t="s">
        <v>151</v>
      </c>
      <c r="I742" s="23" t="s">
        <v>395</v>
      </c>
      <c r="J742" s="14" t="s">
        <v>406</v>
      </c>
      <c r="K742" s="15" t="s">
        <v>114</v>
      </c>
      <c r="L742" s="88"/>
      <c r="M742" s="14" t="s">
        <v>844</v>
      </c>
      <c r="N742" s="14" t="s">
        <v>49</v>
      </c>
      <c r="O742" s="14"/>
      <c r="P742" s="15" t="s">
        <v>845</v>
      </c>
      <c r="Q742" s="16">
        <v>17199</v>
      </c>
      <c r="R742" s="17">
        <v>40</v>
      </c>
      <c r="S742" s="18">
        <v>11867.31</v>
      </c>
      <c r="T742" s="19" t="s">
        <v>846</v>
      </c>
      <c r="U742" s="20" t="s">
        <v>849</v>
      </c>
      <c r="V742" s="21">
        <v>38</v>
      </c>
      <c r="W742" s="21">
        <v>2</v>
      </c>
      <c r="X742" s="22"/>
    </row>
    <row r="743" spans="1:24" s="1" customFormat="1" ht="51.95" customHeight="1" x14ac:dyDescent="0.3">
      <c r="A743" s="11" t="s">
        <v>784</v>
      </c>
      <c r="B743" s="11" t="s">
        <v>934</v>
      </c>
      <c r="C743" s="12" t="s">
        <v>935</v>
      </c>
      <c r="D743" s="89"/>
      <c r="E743" s="69" t="str">
        <f>HYPERLINK("https://www.google.ru/search?q=P1GA1925-01&amp;newwindow=1&amp;tbm=isch","Еще фото")</f>
        <v>Еще фото</v>
      </c>
      <c r="F743" s="13"/>
      <c r="G743" s="11" t="s">
        <v>861</v>
      </c>
      <c r="H743" s="11" t="s">
        <v>151</v>
      </c>
      <c r="I743" s="14" t="s">
        <v>395</v>
      </c>
      <c r="J743" s="14" t="s">
        <v>862</v>
      </c>
      <c r="K743" s="15" t="s">
        <v>55</v>
      </c>
      <c r="L743" s="86" t="s">
        <v>863</v>
      </c>
      <c r="M743" s="14"/>
      <c r="N743" s="14" t="s">
        <v>800</v>
      </c>
      <c r="O743" s="14"/>
      <c r="P743" s="15" t="s">
        <v>864</v>
      </c>
      <c r="Q743" s="16">
        <v>5199</v>
      </c>
      <c r="R743" s="17">
        <v>40</v>
      </c>
      <c r="S743" s="18">
        <v>3587.31</v>
      </c>
      <c r="T743" s="19" t="s">
        <v>846</v>
      </c>
      <c r="U743" s="20" t="s">
        <v>162</v>
      </c>
      <c r="V743" s="21">
        <v>42</v>
      </c>
      <c r="W743" s="21">
        <v>6</v>
      </c>
      <c r="X743" s="22"/>
    </row>
    <row r="744" spans="1:24" s="1" customFormat="1" ht="60.95" customHeight="1" x14ac:dyDescent="0.3">
      <c r="A744" s="23" t="s">
        <v>784</v>
      </c>
      <c r="B744" s="23" t="s">
        <v>934</v>
      </c>
      <c r="C744" s="12" t="s">
        <v>935</v>
      </c>
      <c r="D744" s="90"/>
      <c r="E744" s="69" t="str">
        <f>HYPERLINK("https://www.google.ru/search?q=P1GA1925-01&amp;newwindow=1&amp;tbm=isch","Еще фото")</f>
        <v>Еще фото</v>
      </c>
      <c r="F744" s="13"/>
      <c r="G744" s="23" t="s">
        <v>861</v>
      </c>
      <c r="H744" s="23" t="s">
        <v>151</v>
      </c>
      <c r="I744" s="23" t="s">
        <v>395</v>
      </c>
      <c r="J744" s="14" t="s">
        <v>862</v>
      </c>
      <c r="K744" s="15" t="s">
        <v>55</v>
      </c>
      <c r="L744" s="88"/>
      <c r="M744" s="14"/>
      <c r="N744" s="14" t="s">
        <v>800</v>
      </c>
      <c r="O744" s="14"/>
      <c r="P744" s="15" t="s">
        <v>864</v>
      </c>
      <c r="Q744" s="16">
        <v>5199</v>
      </c>
      <c r="R744" s="17">
        <v>40</v>
      </c>
      <c r="S744" s="18">
        <v>3587.31</v>
      </c>
      <c r="T744" s="19" t="s">
        <v>846</v>
      </c>
      <c r="U744" s="20" t="s">
        <v>436</v>
      </c>
      <c r="V744" s="21">
        <v>43</v>
      </c>
      <c r="W744" s="21">
        <v>13</v>
      </c>
      <c r="X744" s="22"/>
    </row>
    <row r="745" spans="1:24" s="1" customFormat="1" ht="51.95" customHeight="1" x14ac:dyDescent="0.3">
      <c r="A745" s="11" t="s">
        <v>784</v>
      </c>
      <c r="B745" s="11" t="s">
        <v>936</v>
      </c>
      <c r="C745" s="12" t="s">
        <v>937</v>
      </c>
      <c r="D745" s="89"/>
      <c r="E745" s="69" t="str">
        <f>HYPERLINK("https://www.google.ru/search?q=P1GA1925-03&amp;newwindow=1&amp;tbm=isch","Еще фото")</f>
        <v>Еще фото</v>
      </c>
      <c r="F745" s="13" t="s">
        <v>507</v>
      </c>
      <c r="G745" s="11" t="s">
        <v>861</v>
      </c>
      <c r="H745" s="11" t="s">
        <v>151</v>
      </c>
      <c r="I745" s="14" t="s">
        <v>395</v>
      </c>
      <c r="J745" s="14" t="s">
        <v>862</v>
      </c>
      <c r="K745" s="15" t="s">
        <v>55</v>
      </c>
      <c r="L745" s="86" t="s">
        <v>863</v>
      </c>
      <c r="M745" s="14"/>
      <c r="N745" s="14" t="s">
        <v>748</v>
      </c>
      <c r="O745" s="14"/>
      <c r="P745" s="15" t="s">
        <v>864</v>
      </c>
      <c r="Q745" s="16">
        <v>6599</v>
      </c>
      <c r="R745" s="17">
        <v>40</v>
      </c>
      <c r="S745" s="18">
        <v>4553.3099999999995</v>
      </c>
      <c r="T745" s="19" t="s">
        <v>846</v>
      </c>
      <c r="U745" s="20" t="s">
        <v>157</v>
      </c>
      <c r="V745" s="21">
        <v>41</v>
      </c>
      <c r="W745" s="21">
        <v>36</v>
      </c>
      <c r="X745" s="22"/>
    </row>
    <row r="746" spans="1:24" s="1" customFormat="1" ht="60.95" customHeight="1" x14ac:dyDescent="0.3">
      <c r="A746" s="23" t="s">
        <v>784</v>
      </c>
      <c r="B746" s="23" t="s">
        <v>936</v>
      </c>
      <c r="C746" s="12" t="s">
        <v>937</v>
      </c>
      <c r="D746" s="90"/>
      <c r="E746" s="69" t="str">
        <f>HYPERLINK("https://www.google.ru/search?q=P1GA1925-03&amp;newwindow=1&amp;tbm=isch","Еще фото")</f>
        <v>Еще фото</v>
      </c>
      <c r="F746" s="13" t="s">
        <v>507</v>
      </c>
      <c r="G746" s="23" t="s">
        <v>861</v>
      </c>
      <c r="H746" s="23" t="s">
        <v>151</v>
      </c>
      <c r="I746" s="23" t="s">
        <v>395</v>
      </c>
      <c r="J746" s="14" t="s">
        <v>862</v>
      </c>
      <c r="K746" s="15" t="s">
        <v>55</v>
      </c>
      <c r="L746" s="88"/>
      <c r="M746" s="14"/>
      <c r="N746" s="14" t="s">
        <v>748</v>
      </c>
      <c r="O746" s="14"/>
      <c r="P746" s="15" t="s">
        <v>864</v>
      </c>
      <c r="Q746" s="16">
        <v>6599</v>
      </c>
      <c r="R746" s="17">
        <v>40</v>
      </c>
      <c r="S746" s="18">
        <v>4553.3099999999995</v>
      </c>
      <c r="T746" s="19" t="s">
        <v>846</v>
      </c>
      <c r="U746" s="20" t="s">
        <v>162</v>
      </c>
      <c r="V746" s="21">
        <v>42</v>
      </c>
      <c r="W746" s="21">
        <v>9</v>
      </c>
      <c r="X746" s="22"/>
    </row>
    <row r="747" spans="1:24" s="1" customFormat="1" ht="26.1" customHeight="1" x14ac:dyDescent="0.3">
      <c r="A747" s="11" t="s">
        <v>784</v>
      </c>
      <c r="B747" s="11" t="s">
        <v>938</v>
      </c>
      <c r="C747" s="12" t="s">
        <v>939</v>
      </c>
      <c r="D747" s="83"/>
      <c r="E747" s="69" t="str">
        <f>HYPERLINK("https://www.google.ru/search?q=V1GA1905-00&amp;newwindow=1&amp;tbm=isch","Еще фото")</f>
        <v>Еще фото</v>
      </c>
      <c r="F747" s="13"/>
      <c r="G747" s="11" t="s">
        <v>394</v>
      </c>
      <c r="H747" s="11" t="s">
        <v>151</v>
      </c>
      <c r="I747" s="14" t="s">
        <v>395</v>
      </c>
      <c r="J747" s="14" t="s">
        <v>886</v>
      </c>
      <c r="K747" s="15" t="s">
        <v>55</v>
      </c>
      <c r="L747" s="86"/>
      <c r="M747" s="14"/>
      <c r="N747" s="14" t="s">
        <v>70</v>
      </c>
      <c r="O747" s="14" t="s">
        <v>940</v>
      </c>
      <c r="P747" s="15" t="s">
        <v>853</v>
      </c>
      <c r="Q747" s="16">
        <v>12490</v>
      </c>
      <c r="R747" s="17">
        <v>40</v>
      </c>
      <c r="S747" s="18">
        <v>8618.0999999999985</v>
      </c>
      <c r="T747" s="19" t="s">
        <v>846</v>
      </c>
      <c r="U747" s="20" t="s">
        <v>164</v>
      </c>
      <c r="V747" s="21">
        <v>45</v>
      </c>
      <c r="W747" s="21">
        <v>4</v>
      </c>
      <c r="X747" s="22"/>
    </row>
    <row r="748" spans="1:24" s="1" customFormat="1" ht="26.1" customHeight="1" x14ac:dyDescent="0.3">
      <c r="A748" s="23" t="s">
        <v>784</v>
      </c>
      <c r="B748" s="23" t="s">
        <v>938</v>
      </c>
      <c r="C748" s="12" t="s">
        <v>939</v>
      </c>
      <c r="D748" s="84"/>
      <c r="E748" s="69" t="str">
        <f>HYPERLINK("https://www.google.ru/search?q=V1GA1905-00&amp;newwindow=1&amp;tbm=isch","Еще фото")</f>
        <v>Еще фото</v>
      </c>
      <c r="F748" s="13"/>
      <c r="G748" s="23" t="s">
        <v>394</v>
      </c>
      <c r="H748" s="23" t="s">
        <v>151</v>
      </c>
      <c r="I748" s="23" t="s">
        <v>395</v>
      </c>
      <c r="J748" s="14" t="s">
        <v>886</v>
      </c>
      <c r="K748" s="15" t="s">
        <v>55</v>
      </c>
      <c r="L748" s="87"/>
      <c r="M748" s="14"/>
      <c r="N748" s="14" t="s">
        <v>70</v>
      </c>
      <c r="O748" s="14" t="s">
        <v>940</v>
      </c>
      <c r="P748" s="15" t="s">
        <v>853</v>
      </c>
      <c r="Q748" s="16">
        <v>12490</v>
      </c>
      <c r="R748" s="17">
        <v>40</v>
      </c>
      <c r="S748" s="18">
        <v>8618.0999999999985</v>
      </c>
      <c r="T748" s="19" t="s">
        <v>846</v>
      </c>
      <c r="U748" s="20" t="s">
        <v>941</v>
      </c>
      <c r="V748" s="30">
        <v>45.5</v>
      </c>
      <c r="W748" s="21">
        <v>2</v>
      </c>
      <c r="X748" s="22"/>
    </row>
    <row r="749" spans="1:24" s="1" customFormat="1" ht="26.1" customHeight="1" x14ac:dyDescent="0.3">
      <c r="A749" s="23" t="s">
        <v>784</v>
      </c>
      <c r="B749" s="23" t="s">
        <v>938</v>
      </c>
      <c r="C749" s="12" t="s">
        <v>939</v>
      </c>
      <c r="D749" s="84"/>
      <c r="E749" s="69" t="str">
        <f>HYPERLINK("https://www.google.ru/search?q=V1GA1905-00&amp;newwindow=1&amp;tbm=isch","Еще фото")</f>
        <v>Еще фото</v>
      </c>
      <c r="F749" s="13"/>
      <c r="G749" s="23" t="s">
        <v>394</v>
      </c>
      <c r="H749" s="23" t="s">
        <v>151</v>
      </c>
      <c r="I749" s="23" t="s">
        <v>395</v>
      </c>
      <c r="J749" s="14" t="s">
        <v>886</v>
      </c>
      <c r="K749" s="15" t="s">
        <v>55</v>
      </c>
      <c r="L749" s="87"/>
      <c r="M749" s="14"/>
      <c r="N749" s="14" t="s">
        <v>70</v>
      </c>
      <c r="O749" s="14" t="s">
        <v>940</v>
      </c>
      <c r="P749" s="15" t="s">
        <v>853</v>
      </c>
      <c r="Q749" s="16">
        <v>12490</v>
      </c>
      <c r="R749" s="17">
        <v>40</v>
      </c>
      <c r="S749" s="18">
        <v>8618.0999999999985</v>
      </c>
      <c r="T749" s="19" t="s">
        <v>846</v>
      </c>
      <c r="U749" s="20" t="s">
        <v>897</v>
      </c>
      <c r="V749" s="30">
        <v>47.5</v>
      </c>
      <c r="W749" s="21">
        <v>5</v>
      </c>
      <c r="X749" s="22"/>
    </row>
    <row r="750" spans="1:24" s="1" customFormat="1" ht="26.1" customHeight="1" x14ac:dyDescent="0.3">
      <c r="A750" s="23" t="s">
        <v>784</v>
      </c>
      <c r="B750" s="23" t="s">
        <v>938</v>
      </c>
      <c r="C750" s="12" t="s">
        <v>939</v>
      </c>
      <c r="D750" s="85"/>
      <c r="E750" s="69" t="str">
        <f>HYPERLINK("https://www.google.ru/search?q=V1GA1905-00&amp;newwindow=1&amp;tbm=isch","Еще фото")</f>
        <v>Еще фото</v>
      </c>
      <c r="F750" s="13"/>
      <c r="G750" s="23" t="s">
        <v>394</v>
      </c>
      <c r="H750" s="23" t="s">
        <v>151</v>
      </c>
      <c r="I750" s="23" t="s">
        <v>395</v>
      </c>
      <c r="J750" s="14" t="s">
        <v>886</v>
      </c>
      <c r="K750" s="15" t="s">
        <v>55</v>
      </c>
      <c r="L750" s="88"/>
      <c r="M750" s="14"/>
      <c r="N750" s="14" t="s">
        <v>70</v>
      </c>
      <c r="O750" s="14" t="s">
        <v>940</v>
      </c>
      <c r="P750" s="15" t="s">
        <v>853</v>
      </c>
      <c r="Q750" s="16">
        <v>12490</v>
      </c>
      <c r="R750" s="17">
        <v>40</v>
      </c>
      <c r="S750" s="18">
        <v>8618.0999999999985</v>
      </c>
      <c r="T750" s="19" t="s">
        <v>846</v>
      </c>
      <c r="U750" s="20" t="s">
        <v>942</v>
      </c>
      <c r="V750" s="21">
        <v>49</v>
      </c>
      <c r="W750" s="21">
        <v>6</v>
      </c>
      <c r="X750" s="22"/>
    </row>
    <row r="751" spans="1:24" s="1" customFormat="1" ht="12.95" customHeight="1" x14ac:dyDescent="0.3">
      <c r="A751" s="11" t="s">
        <v>784</v>
      </c>
      <c r="B751" s="11" t="s">
        <v>943</v>
      </c>
      <c r="C751" s="12" t="s">
        <v>944</v>
      </c>
      <c r="D751" s="83"/>
      <c r="E751" s="69" t="str">
        <f t="shared" ref="E751:E758" si="34">HYPERLINK("https://www.google.ru/search?q=V1GA2120-21&amp;newwindow=1&amp;tbm=isch","Еще фото")</f>
        <v>Еще фото</v>
      </c>
      <c r="F751" s="13"/>
      <c r="G751" s="11" t="s">
        <v>394</v>
      </c>
      <c r="H751" s="11" t="s">
        <v>151</v>
      </c>
      <c r="I751" s="14" t="s">
        <v>395</v>
      </c>
      <c r="J751" s="14" t="s">
        <v>886</v>
      </c>
      <c r="K751" s="15" t="s">
        <v>114</v>
      </c>
      <c r="L751" s="86"/>
      <c r="M751" s="14"/>
      <c r="N751" s="14" t="s">
        <v>70</v>
      </c>
      <c r="O751" s="14"/>
      <c r="P751" s="15" t="s">
        <v>853</v>
      </c>
      <c r="Q751" s="16">
        <v>14099</v>
      </c>
      <c r="R751" s="17">
        <v>40</v>
      </c>
      <c r="S751" s="18">
        <v>9728.31</v>
      </c>
      <c r="T751" s="19" t="s">
        <v>846</v>
      </c>
      <c r="U751" s="26" t="s">
        <v>818</v>
      </c>
      <c r="V751" s="21">
        <v>37</v>
      </c>
      <c r="W751" s="21">
        <v>1</v>
      </c>
      <c r="X751" s="22"/>
    </row>
    <row r="752" spans="1:24" s="1" customFormat="1" ht="12.95" customHeight="1" x14ac:dyDescent="0.3">
      <c r="A752" s="23" t="s">
        <v>784</v>
      </c>
      <c r="B752" s="23" t="s">
        <v>943</v>
      </c>
      <c r="C752" s="12" t="s">
        <v>944</v>
      </c>
      <c r="D752" s="84"/>
      <c r="E752" s="69" t="str">
        <f t="shared" si="34"/>
        <v>Еще фото</v>
      </c>
      <c r="F752" s="13"/>
      <c r="G752" s="23" t="s">
        <v>394</v>
      </c>
      <c r="H752" s="23" t="s">
        <v>151</v>
      </c>
      <c r="I752" s="23" t="s">
        <v>395</v>
      </c>
      <c r="J752" s="14" t="s">
        <v>886</v>
      </c>
      <c r="K752" s="15" t="s">
        <v>114</v>
      </c>
      <c r="L752" s="87"/>
      <c r="M752" s="14"/>
      <c r="N752" s="14" t="s">
        <v>70</v>
      </c>
      <c r="O752" s="14"/>
      <c r="P752" s="15" t="s">
        <v>853</v>
      </c>
      <c r="Q752" s="16">
        <v>14099</v>
      </c>
      <c r="R752" s="17">
        <v>40</v>
      </c>
      <c r="S752" s="18">
        <v>9728.31</v>
      </c>
      <c r="T752" s="19" t="s">
        <v>846</v>
      </c>
      <c r="U752" s="20" t="s">
        <v>848</v>
      </c>
      <c r="V752" s="30">
        <v>37.5</v>
      </c>
      <c r="W752" s="21">
        <v>1</v>
      </c>
      <c r="X752" s="22"/>
    </row>
    <row r="753" spans="1:24" s="1" customFormat="1" ht="12.95" customHeight="1" x14ac:dyDescent="0.3">
      <c r="A753" s="23" t="s">
        <v>784</v>
      </c>
      <c r="B753" s="23" t="s">
        <v>943</v>
      </c>
      <c r="C753" s="12" t="s">
        <v>944</v>
      </c>
      <c r="D753" s="84"/>
      <c r="E753" s="69" t="str">
        <f t="shared" si="34"/>
        <v>Еще фото</v>
      </c>
      <c r="F753" s="13"/>
      <c r="G753" s="23" t="s">
        <v>394</v>
      </c>
      <c r="H753" s="23" t="s">
        <v>151</v>
      </c>
      <c r="I753" s="23" t="s">
        <v>395</v>
      </c>
      <c r="J753" s="14" t="s">
        <v>886</v>
      </c>
      <c r="K753" s="15" t="s">
        <v>114</v>
      </c>
      <c r="L753" s="87"/>
      <c r="M753" s="14"/>
      <c r="N753" s="14" t="s">
        <v>70</v>
      </c>
      <c r="O753" s="14"/>
      <c r="P753" s="15" t="s">
        <v>853</v>
      </c>
      <c r="Q753" s="16">
        <v>14099</v>
      </c>
      <c r="R753" s="17">
        <v>40</v>
      </c>
      <c r="S753" s="18">
        <v>9728.31</v>
      </c>
      <c r="T753" s="19" t="s">
        <v>846</v>
      </c>
      <c r="U753" s="20" t="s">
        <v>854</v>
      </c>
      <c r="V753" s="30">
        <v>39.5</v>
      </c>
      <c r="W753" s="21">
        <v>2</v>
      </c>
      <c r="X753" s="22"/>
    </row>
    <row r="754" spans="1:24" s="1" customFormat="1" ht="12.95" customHeight="1" x14ac:dyDescent="0.3">
      <c r="A754" s="23" t="s">
        <v>784</v>
      </c>
      <c r="B754" s="23" t="s">
        <v>943</v>
      </c>
      <c r="C754" s="12" t="s">
        <v>944</v>
      </c>
      <c r="D754" s="84"/>
      <c r="E754" s="69" t="str">
        <f t="shared" si="34"/>
        <v>Еще фото</v>
      </c>
      <c r="F754" s="13"/>
      <c r="G754" s="23" t="s">
        <v>394</v>
      </c>
      <c r="H754" s="23" t="s">
        <v>151</v>
      </c>
      <c r="I754" s="23" t="s">
        <v>395</v>
      </c>
      <c r="J754" s="14" t="s">
        <v>886</v>
      </c>
      <c r="K754" s="15" t="s">
        <v>114</v>
      </c>
      <c r="L754" s="87"/>
      <c r="M754" s="14"/>
      <c r="N754" s="14" t="s">
        <v>70</v>
      </c>
      <c r="O754" s="14"/>
      <c r="P754" s="15" t="s">
        <v>853</v>
      </c>
      <c r="Q754" s="16">
        <v>14099</v>
      </c>
      <c r="R754" s="17">
        <v>40</v>
      </c>
      <c r="S754" s="18">
        <v>9728.31</v>
      </c>
      <c r="T754" s="19" t="s">
        <v>846</v>
      </c>
      <c r="U754" s="20" t="s">
        <v>162</v>
      </c>
      <c r="V754" s="21">
        <v>42</v>
      </c>
      <c r="W754" s="21">
        <v>3</v>
      </c>
      <c r="X754" s="22"/>
    </row>
    <row r="755" spans="1:24" s="1" customFormat="1" ht="12.95" customHeight="1" x14ac:dyDescent="0.3">
      <c r="A755" s="23" t="s">
        <v>784</v>
      </c>
      <c r="B755" s="23" t="s">
        <v>943</v>
      </c>
      <c r="C755" s="12" t="s">
        <v>944</v>
      </c>
      <c r="D755" s="84"/>
      <c r="E755" s="69" t="str">
        <f t="shared" si="34"/>
        <v>Еще фото</v>
      </c>
      <c r="F755" s="13"/>
      <c r="G755" s="23" t="s">
        <v>394</v>
      </c>
      <c r="H755" s="23" t="s">
        <v>151</v>
      </c>
      <c r="I755" s="23" t="s">
        <v>395</v>
      </c>
      <c r="J755" s="14" t="s">
        <v>886</v>
      </c>
      <c r="K755" s="15" t="s">
        <v>114</v>
      </c>
      <c r="L755" s="87"/>
      <c r="M755" s="14"/>
      <c r="N755" s="14" t="s">
        <v>70</v>
      </c>
      <c r="O755" s="14"/>
      <c r="P755" s="15" t="s">
        <v>853</v>
      </c>
      <c r="Q755" s="16">
        <v>14099</v>
      </c>
      <c r="R755" s="17">
        <v>40</v>
      </c>
      <c r="S755" s="18">
        <v>9728.31</v>
      </c>
      <c r="T755" s="19" t="s">
        <v>846</v>
      </c>
      <c r="U755" s="20" t="s">
        <v>436</v>
      </c>
      <c r="V755" s="21">
        <v>43</v>
      </c>
      <c r="W755" s="21">
        <v>2</v>
      </c>
      <c r="X755" s="22"/>
    </row>
    <row r="756" spans="1:24" s="1" customFormat="1" ht="12.95" customHeight="1" x14ac:dyDescent="0.3">
      <c r="A756" s="23" t="s">
        <v>784</v>
      </c>
      <c r="B756" s="23" t="s">
        <v>943</v>
      </c>
      <c r="C756" s="12" t="s">
        <v>944</v>
      </c>
      <c r="D756" s="84"/>
      <c r="E756" s="69" t="str">
        <f t="shared" si="34"/>
        <v>Еще фото</v>
      </c>
      <c r="F756" s="13"/>
      <c r="G756" s="23" t="s">
        <v>394</v>
      </c>
      <c r="H756" s="23" t="s">
        <v>151</v>
      </c>
      <c r="I756" s="23" t="s">
        <v>395</v>
      </c>
      <c r="J756" s="14" t="s">
        <v>886</v>
      </c>
      <c r="K756" s="15" t="s">
        <v>114</v>
      </c>
      <c r="L756" s="87"/>
      <c r="M756" s="14"/>
      <c r="N756" s="14" t="s">
        <v>70</v>
      </c>
      <c r="O756" s="14"/>
      <c r="P756" s="15" t="s">
        <v>853</v>
      </c>
      <c r="Q756" s="16">
        <v>14099</v>
      </c>
      <c r="R756" s="17">
        <v>40</v>
      </c>
      <c r="S756" s="18">
        <v>9728.31</v>
      </c>
      <c r="T756" s="19" t="s">
        <v>846</v>
      </c>
      <c r="U756" s="20" t="s">
        <v>163</v>
      </c>
      <c r="V756" s="30">
        <v>43.5</v>
      </c>
      <c r="W756" s="21">
        <v>7</v>
      </c>
      <c r="X756" s="22"/>
    </row>
    <row r="757" spans="1:24" s="1" customFormat="1" ht="12.95" customHeight="1" x14ac:dyDescent="0.3">
      <c r="A757" s="23" t="s">
        <v>784</v>
      </c>
      <c r="B757" s="23" t="s">
        <v>943</v>
      </c>
      <c r="C757" s="12" t="s">
        <v>944</v>
      </c>
      <c r="D757" s="84"/>
      <c r="E757" s="69" t="str">
        <f t="shared" si="34"/>
        <v>Еще фото</v>
      </c>
      <c r="F757" s="13"/>
      <c r="G757" s="23" t="s">
        <v>394</v>
      </c>
      <c r="H757" s="23" t="s">
        <v>151</v>
      </c>
      <c r="I757" s="23" t="s">
        <v>395</v>
      </c>
      <c r="J757" s="14" t="s">
        <v>886</v>
      </c>
      <c r="K757" s="15" t="s">
        <v>114</v>
      </c>
      <c r="L757" s="87"/>
      <c r="M757" s="14"/>
      <c r="N757" s="14" t="s">
        <v>70</v>
      </c>
      <c r="O757" s="14"/>
      <c r="P757" s="15" t="s">
        <v>853</v>
      </c>
      <c r="Q757" s="16">
        <v>14099</v>
      </c>
      <c r="R757" s="17">
        <v>40</v>
      </c>
      <c r="S757" s="18">
        <v>9728.31</v>
      </c>
      <c r="T757" s="19" t="s">
        <v>846</v>
      </c>
      <c r="U757" s="20" t="s">
        <v>164</v>
      </c>
      <c r="V757" s="21">
        <v>45</v>
      </c>
      <c r="W757" s="21">
        <v>2</v>
      </c>
      <c r="X757" s="22"/>
    </row>
    <row r="758" spans="1:24" s="1" customFormat="1" ht="18" customHeight="1" x14ac:dyDescent="0.3">
      <c r="A758" s="23" t="s">
        <v>784</v>
      </c>
      <c r="B758" s="23" t="s">
        <v>943</v>
      </c>
      <c r="C758" s="12" t="s">
        <v>944</v>
      </c>
      <c r="D758" s="85"/>
      <c r="E758" s="69" t="str">
        <f t="shared" si="34"/>
        <v>Еще фото</v>
      </c>
      <c r="F758" s="13"/>
      <c r="G758" s="23" t="s">
        <v>394</v>
      </c>
      <c r="H758" s="23" t="s">
        <v>151</v>
      </c>
      <c r="I758" s="23" t="s">
        <v>395</v>
      </c>
      <c r="J758" s="14" t="s">
        <v>886</v>
      </c>
      <c r="K758" s="15" t="s">
        <v>114</v>
      </c>
      <c r="L758" s="88"/>
      <c r="M758" s="14"/>
      <c r="N758" s="14" t="s">
        <v>70</v>
      </c>
      <c r="O758" s="14"/>
      <c r="P758" s="15" t="s">
        <v>853</v>
      </c>
      <c r="Q758" s="16">
        <v>14099</v>
      </c>
      <c r="R758" s="17">
        <v>40</v>
      </c>
      <c r="S758" s="18">
        <v>9728.31</v>
      </c>
      <c r="T758" s="19" t="s">
        <v>846</v>
      </c>
      <c r="U758" s="20" t="s">
        <v>941</v>
      </c>
      <c r="V758" s="30">
        <v>45.5</v>
      </c>
      <c r="W758" s="21">
        <v>7</v>
      </c>
      <c r="X758" s="22"/>
    </row>
    <row r="759" spans="1:24" s="1" customFormat="1" ht="26.1" customHeight="1" x14ac:dyDescent="0.3">
      <c r="A759" s="11" t="s">
        <v>784</v>
      </c>
      <c r="B759" s="11" t="s">
        <v>945</v>
      </c>
      <c r="C759" s="12" t="s">
        <v>946</v>
      </c>
      <c r="D759" s="83"/>
      <c r="E759" s="69" t="str">
        <f>HYPERLINK("https://www.google.ru/search?q=V1GA2160-21&amp;newwindow=1&amp;tbm=isch","Еще фото")</f>
        <v>Еще фото</v>
      </c>
      <c r="F759" s="13"/>
      <c r="G759" s="11" t="s">
        <v>394</v>
      </c>
      <c r="H759" s="11" t="s">
        <v>151</v>
      </c>
      <c r="I759" s="14" t="s">
        <v>395</v>
      </c>
      <c r="J759" s="14" t="s">
        <v>886</v>
      </c>
      <c r="K759" s="15" t="s">
        <v>114</v>
      </c>
      <c r="L759" s="86"/>
      <c r="M759" s="14"/>
      <c r="N759" s="14" t="s">
        <v>800</v>
      </c>
      <c r="O759" s="14"/>
      <c r="P759" s="15" t="s">
        <v>853</v>
      </c>
      <c r="Q759" s="16">
        <v>11599</v>
      </c>
      <c r="R759" s="17">
        <v>40</v>
      </c>
      <c r="S759" s="18">
        <v>8003.3099999999986</v>
      </c>
      <c r="T759" s="19" t="s">
        <v>846</v>
      </c>
      <c r="U759" s="20" t="s">
        <v>163</v>
      </c>
      <c r="V759" s="30">
        <v>43.5</v>
      </c>
      <c r="W759" s="21">
        <v>2</v>
      </c>
      <c r="X759" s="22"/>
    </row>
    <row r="760" spans="1:24" s="1" customFormat="1" ht="26.1" customHeight="1" x14ac:dyDescent="0.3">
      <c r="A760" s="23" t="s">
        <v>784</v>
      </c>
      <c r="B760" s="23" t="s">
        <v>945</v>
      </c>
      <c r="C760" s="12" t="s">
        <v>946</v>
      </c>
      <c r="D760" s="84"/>
      <c r="E760" s="69" t="str">
        <f>HYPERLINK("https://www.google.ru/search?q=V1GA2160-21&amp;newwindow=1&amp;tbm=isch","Еще фото")</f>
        <v>Еще фото</v>
      </c>
      <c r="F760" s="13"/>
      <c r="G760" s="23" t="s">
        <v>394</v>
      </c>
      <c r="H760" s="23" t="s">
        <v>151</v>
      </c>
      <c r="I760" s="23" t="s">
        <v>395</v>
      </c>
      <c r="J760" s="14" t="s">
        <v>886</v>
      </c>
      <c r="K760" s="15" t="s">
        <v>114</v>
      </c>
      <c r="L760" s="87"/>
      <c r="M760" s="14"/>
      <c r="N760" s="14" t="s">
        <v>800</v>
      </c>
      <c r="O760" s="14"/>
      <c r="P760" s="15" t="s">
        <v>853</v>
      </c>
      <c r="Q760" s="16">
        <v>11599</v>
      </c>
      <c r="R760" s="17">
        <v>40</v>
      </c>
      <c r="S760" s="18">
        <v>8003.3099999999986</v>
      </c>
      <c r="T760" s="19" t="s">
        <v>846</v>
      </c>
      <c r="U760" s="20" t="s">
        <v>907</v>
      </c>
      <c r="V760" s="21">
        <v>44</v>
      </c>
      <c r="W760" s="21">
        <v>9</v>
      </c>
      <c r="X760" s="22"/>
    </row>
    <row r="761" spans="1:24" s="1" customFormat="1" ht="26.1" customHeight="1" x14ac:dyDescent="0.3">
      <c r="A761" s="23" t="s">
        <v>784</v>
      </c>
      <c r="B761" s="23" t="s">
        <v>945</v>
      </c>
      <c r="C761" s="12" t="s">
        <v>946</v>
      </c>
      <c r="D761" s="84"/>
      <c r="E761" s="69" t="str">
        <f>HYPERLINK("https://www.google.ru/search?q=V1GA2160-21&amp;newwindow=1&amp;tbm=isch","Еще фото")</f>
        <v>Еще фото</v>
      </c>
      <c r="F761" s="13"/>
      <c r="G761" s="23" t="s">
        <v>394</v>
      </c>
      <c r="H761" s="23" t="s">
        <v>151</v>
      </c>
      <c r="I761" s="23" t="s">
        <v>395</v>
      </c>
      <c r="J761" s="14" t="s">
        <v>886</v>
      </c>
      <c r="K761" s="15" t="s">
        <v>114</v>
      </c>
      <c r="L761" s="87"/>
      <c r="M761" s="14"/>
      <c r="N761" s="14" t="s">
        <v>800</v>
      </c>
      <c r="O761" s="14"/>
      <c r="P761" s="15" t="s">
        <v>853</v>
      </c>
      <c r="Q761" s="16">
        <v>11599</v>
      </c>
      <c r="R761" s="17">
        <v>40</v>
      </c>
      <c r="S761" s="18">
        <v>8003.3099999999986</v>
      </c>
      <c r="T761" s="19" t="s">
        <v>846</v>
      </c>
      <c r="U761" s="20" t="s">
        <v>941</v>
      </c>
      <c r="V761" s="30">
        <v>45.5</v>
      </c>
      <c r="W761" s="21">
        <v>13</v>
      </c>
      <c r="X761" s="22"/>
    </row>
    <row r="762" spans="1:24" s="1" customFormat="1" ht="26.1" customHeight="1" x14ac:dyDescent="0.3">
      <c r="A762" s="23" t="s">
        <v>784</v>
      </c>
      <c r="B762" s="23" t="s">
        <v>945</v>
      </c>
      <c r="C762" s="12" t="s">
        <v>946</v>
      </c>
      <c r="D762" s="85"/>
      <c r="E762" s="69" t="str">
        <f>HYPERLINK("https://www.google.ru/search?q=V1GA2160-21&amp;newwindow=1&amp;tbm=isch","Еще фото")</f>
        <v>Еще фото</v>
      </c>
      <c r="F762" s="13"/>
      <c r="G762" s="23" t="s">
        <v>394</v>
      </c>
      <c r="H762" s="23" t="s">
        <v>151</v>
      </c>
      <c r="I762" s="23" t="s">
        <v>395</v>
      </c>
      <c r="J762" s="14" t="s">
        <v>886</v>
      </c>
      <c r="K762" s="15" t="s">
        <v>114</v>
      </c>
      <c r="L762" s="88"/>
      <c r="M762" s="14"/>
      <c r="N762" s="14" t="s">
        <v>800</v>
      </c>
      <c r="O762" s="14"/>
      <c r="P762" s="15" t="s">
        <v>853</v>
      </c>
      <c r="Q762" s="16">
        <v>11599</v>
      </c>
      <c r="R762" s="17">
        <v>40</v>
      </c>
      <c r="S762" s="18">
        <v>8003.3099999999986</v>
      </c>
      <c r="T762" s="19" t="s">
        <v>846</v>
      </c>
      <c r="U762" s="20" t="s">
        <v>947</v>
      </c>
      <c r="V762" s="30">
        <v>49.5</v>
      </c>
      <c r="W762" s="21">
        <v>2</v>
      </c>
      <c r="X762" s="22"/>
    </row>
    <row r="763" spans="1:24" s="1" customFormat="1" ht="11.1" customHeight="1" x14ac:dyDescent="0.3">
      <c r="A763" s="11" t="s">
        <v>784</v>
      </c>
      <c r="B763" s="11" t="s">
        <v>948</v>
      </c>
      <c r="C763" s="12" t="s">
        <v>949</v>
      </c>
      <c r="D763" s="83"/>
      <c r="E763" s="69" t="str">
        <f t="shared" ref="E763:E771" si="35">HYPERLINK("https://www.google.ru/search?q=V1GC1965-59&amp;newwindow=1&amp;tbm=isch","Еще фото")</f>
        <v>Еще фото</v>
      </c>
      <c r="F763" s="13"/>
      <c r="G763" s="11" t="s">
        <v>394</v>
      </c>
      <c r="H763" s="11" t="s">
        <v>151</v>
      </c>
      <c r="I763" s="14" t="s">
        <v>395</v>
      </c>
      <c r="J763" s="14" t="s">
        <v>406</v>
      </c>
      <c r="K763" s="15" t="s">
        <v>47</v>
      </c>
      <c r="L763" s="86" t="s">
        <v>950</v>
      </c>
      <c r="M763" s="14"/>
      <c r="N763" s="14" t="s">
        <v>951</v>
      </c>
      <c r="O763" s="14"/>
      <c r="P763" s="15" t="s">
        <v>883</v>
      </c>
      <c r="Q763" s="16">
        <v>10599</v>
      </c>
      <c r="R763" s="17">
        <v>40</v>
      </c>
      <c r="S763" s="18">
        <v>7313.3099999999986</v>
      </c>
      <c r="T763" s="19" t="s">
        <v>846</v>
      </c>
      <c r="U763" s="20" t="s">
        <v>821</v>
      </c>
      <c r="V763" s="21">
        <v>36</v>
      </c>
      <c r="W763" s="21">
        <v>2</v>
      </c>
      <c r="X763" s="22"/>
    </row>
    <row r="764" spans="1:24" s="1" customFormat="1" ht="11.1" customHeight="1" x14ac:dyDescent="0.3">
      <c r="A764" s="23" t="s">
        <v>784</v>
      </c>
      <c r="B764" s="23" t="s">
        <v>948</v>
      </c>
      <c r="C764" s="12" t="s">
        <v>949</v>
      </c>
      <c r="D764" s="84"/>
      <c r="E764" s="69" t="str">
        <f t="shared" si="35"/>
        <v>Еще фото</v>
      </c>
      <c r="F764" s="13"/>
      <c r="G764" s="23" t="s">
        <v>394</v>
      </c>
      <c r="H764" s="23" t="s">
        <v>151</v>
      </c>
      <c r="I764" s="23" t="s">
        <v>395</v>
      </c>
      <c r="J764" s="14" t="s">
        <v>406</v>
      </c>
      <c r="K764" s="15" t="s">
        <v>47</v>
      </c>
      <c r="L764" s="87"/>
      <c r="M764" s="14"/>
      <c r="N764" s="14" t="s">
        <v>951</v>
      </c>
      <c r="O764" s="14"/>
      <c r="P764" s="15" t="s">
        <v>883</v>
      </c>
      <c r="Q764" s="16">
        <v>10599</v>
      </c>
      <c r="R764" s="17">
        <v>40</v>
      </c>
      <c r="S764" s="18">
        <v>7313.3099999999986</v>
      </c>
      <c r="T764" s="19" t="s">
        <v>846</v>
      </c>
      <c r="U764" s="20" t="s">
        <v>818</v>
      </c>
      <c r="V764" s="21">
        <v>37</v>
      </c>
      <c r="W764" s="21">
        <v>2</v>
      </c>
      <c r="X764" s="22"/>
    </row>
    <row r="765" spans="1:24" s="1" customFormat="1" ht="11.1" customHeight="1" x14ac:dyDescent="0.3">
      <c r="A765" s="23" t="s">
        <v>784</v>
      </c>
      <c r="B765" s="23" t="s">
        <v>948</v>
      </c>
      <c r="C765" s="12" t="s">
        <v>949</v>
      </c>
      <c r="D765" s="84"/>
      <c r="E765" s="69" t="str">
        <f t="shared" si="35"/>
        <v>Еще фото</v>
      </c>
      <c r="F765" s="13"/>
      <c r="G765" s="23" t="s">
        <v>394</v>
      </c>
      <c r="H765" s="23" t="s">
        <v>151</v>
      </c>
      <c r="I765" s="23" t="s">
        <v>395</v>
      </c>
      <c r="J765" s="14" t="s">
        <v>406</v>
      </c>
      <c r="K765" s="15" t="s">
        <v>47</v>
      </c>
      <c r="L765" s="87"/>
      <c r="M765" s="14"/>
      <c r="N765" s="14" t="s">
        <v>951</v>
      </c>
      <c r="O765" s="14"/>
      <c r="P765" s="15" t="s">
        <v>883</v>
      </c>
      <c r="Q765" s="16">
        <v>10599</v>
      </c>
      <c r="R765" s="17">
        <v>40</v>
      </c>
      <c r="S765" s="18">
        <v>7313.3099999999986</v>
      </c>
      <c r="T765" s="19" t="s">
        <v>846</v>
      </c>
      <c r="U765" s="20" t="s">
        <v>848</v>
      </c>
      <c r="V765" s="30">
        <v>37.5</v>
      </c>
      <c r="W765" s="21">
        <v>3</v>
      </c>
      <c r="X765" s="22"/>
    </row>
    <row r="766" spans="1:24" s="1" customFormat="1" ht="11.1" customHeight="1" x14ac:dyDescent="0.3">
      <c r="A766" s="23" t="s">
        <v>784</v>
      </c>
      <c r="B766" s="23" t="s">
        <v>948</v>
      </c>
      <c r="C766" s="12" t="s">
        <v>949</v>
      </c>
      <c r="D766" s="84"/>
      <c r="E766" s="69" t="str">
        <f t="shared" si="35"/>
        <v>Еще фото</v>
      </c>
      <c r="F766" s="13"/>
      <c r="G766" s="23" t="s">
        <v>394</v>
      </c>
      <c r="H766" s="23" t="s">
        <v>151</v>
      </c>
      <c r="I766" s="23" t="s">
        <v>395</v>
      </c>
      <c r="J766" s="14" t="s">
        <v>406</v>
      </c>
      <c r="K766" s="15" t="s">
        <v>47</v>
      </c>
      <c r="L766" s="87"/>
      <c r="M766" s="14"/>
      <c r="N766" s="14" t="s">
        <v>951</v>
      </c>
      <c r="O766" s="14"/>
      <c r="P766" s="15" t="s">
        <v>883</v>
      </c>
      <c r="Q766" s="16">
        <v>10599</v>
      </c>
      <c r="R766" s="17">
        <v>40</v>
      </c>
      <c r="S766" s="18">
        <v>7313.3099999999986</v>
      </c>
      <c r="T766" s="19" t="s">
        <v>846</v>
      </c>
      <c r="U766" s="20" t="s">
        <v>849</v>
      </c>
      <c r="V766" s="21">
        <v>38</v>
      </c>
      <c r="W766" s="21">
        <v>4</v>
      </c>
      <c r="X766" s="22"/>
    </row>
    <row r="767" spans="1:24" s="1" customFormat="1" ht="11.1" customHeight="1" x14ac:dyDescent="0.3">
      <c r="A767" s="23" t="s">
        <v>784</v>
      </c>
      <c r="B767" s="23" t="s">
        <v>948</v>
      </c>
      <c r="C767" s="12" t="s">
        <v>949</v>
      </c>
      <c r="D767" s="84"/>
      <c r="E767" s="69" t="str">
        <f t="shared" si="35"/>
        <v>Еще фото</v>
      </c>
      <c r="F767" s="13"/>
      <c r="G767" s="23" t="s">
        <v>394</v>
      </c>
      <c r="H767" s="23" t="s">
        <v>151</v>
      </c>
      <c r="I767" s="23" t="s">
        <v>395</v>
      </c>
      <c r="J767" s="14" t="s">
        <v>406</v>
      </c>
      <c r="K767" s="15" t="s">
        <v>47</v>
      </c>
      <c r="L767" s="87"/>
      <c r="M767" s="14"/>
      <c r="N767" s="14" t="s">
        <v>951</v>
      </c>
      <c r="O767" s="14"/>
      <c r="P767" s="15" t="s">
        <v>883</v>
      </c>
      <c r="Q767" s="16">
        <v>10599</v>
      </c>
      <c r="R767" s="17">
        <v>40</v>
      </c>
      <c r="S767" s="18">
        <v>7313.3099999999986</v>
      </c>
      <c r="T767" s="19" t="s">
        <v>846</v>
      </c>
      <c r="U767" s="20" t="s">
        <v>500</v>
      </c>
      <c r="V767" s="21">
        <v>39</v>
      </c>
      <c r="W767" s="21">
        <v>5</v>
      </c>
      <c r="X767" s="22"/>
    </row>
    <row r="768" spans="1:24" s="1" customFormat="1" ht="11.1" customHeight="1" x14ac:dyDescent="0.3">
      <c r="A768" s="23" t="s">
        <v>784</v>
      </c>
      <c r="B768" s="23" t="s">
        <v>948</v>
      </c>
      <c r="C768" s="12" t="s">
        <v>949</v>
      </c>
      <c r="D768" s="84"/>
      <c r="E768" s="69" t="str">
        <f t="shared" si="35"/>
        <v>Еще фото</v>
      </c>
      <c r="F768" s="13"/>
      <c r="G768" s="23" t="s">
        <v>394</v>
      </c>
      <c r="H768" s="23" t="s">
        <v>151</v>
      </c>
      <c r="I768" s="23" t="s">
        <v>395</v>
      </c>
      <c r="J768" s="14" t="s">
        <v>406</v>
      </c>
      <c r="K768" s="15" t="s">
        <v>47</v>
      </c>
      <c r="L768" s="87"/>
      <c r="M768" s="14"/>
      <c r="N768" s="14" t="s">
        <v>951</v>
      </c>
      <c r="O768" s="14"/>
      <c r="P768" s="15" t="s">
        <v>883</v>
      </c>
      <c r="Q768" s="16">
        <v>10599</v>
      </c>
      <c r="R768" s="17">
        <v>40</v>
      </c>
      <c r="S768" s="18">
        <v>7313.3099999999986</v>
      </c>
      <c r="T768" s="19" t="s">
        <v>846</v>
      </c>
      <c r="U768" s="20" t="s">
        <v>854</v>
      </c>
      <c r="V768" s="30">
        <v>39.5</v>
      </c>
      <c r="W768" s="21">
        <v>9</v>
      </c>
      <c r="X768" s="22"/>
    </row>
    <row r="769" spans="1:24" s="1" customFormat="1" ht="11.1" customHeight="1" x14ac:dyDescent="0.3">
      <c r="A769" s="23" t="s">
        <v>784</v>
      </c>
      <c r="B769" s="23" t="s">
        <v>948</v>
      </c>
      <c r="C769" s="12" t="s">
        <v>949</v>
      </c>
      <c r="D769" s="84"/>
      <c r="E769" s="69" t="str">
        <f t="shared" si="35"/>
        <v>Еще фото</v>
      </c>
      <c r="F769" s="13"/>
      <c r="G769" s="23" t="s">
        <v>394</v>
      </c>
      <c r="H769" s="23" t="s">
        <v>151</v>
      </c>
      <c r="I769" s="23" t="s">
        <v>395</v>
      </c>
      <c r="J769" s="14" t="s">
        <v>406</v>
      </c>
      <c r="K769" s="15" t="s">
        <v>47</v>
      </c>
      <c r="L769" s="87"/>
      <c r="M769" s="14"/>
      <c r="N769" s="14" t="s">
        <v>951</v>
      </c>
      <c r="O769" s="14"/>
      <c r="P769" s="15" t="s">
        <v>883</v>
      </c>
      <c r="Q769" s="16">
        <v>10599</v>
      </c>
      <c r="R769" s="17">
        <v>40</v>
      </c>
      <c r="S769" s="18">
        <v>7313.3099999999986</v>
      </c>
      <c r="T769" s="19" t="s">
        <v>846</v>
      </c>
      <c r="U769" s="20" t="s">
        <v>156</v>
      </c>
      <c r="V769" s="21">
        <v>40</v>
      </c>
      <c r="W769" s="21">
        <v>7</v>
      </c>
      <c r="X769" s="22"/>
    </row>
    <row r="770" spans="1:24" s="1" customFormat="1" ht="11.1" customHeight="1" x14ac:dyDescent="0.3">
      <c r="A770" s="23" t="s">
        <v>784</v>
      </c>
      <c r="B770" s="23" t="s">
        <v>948</v>
      </c>
      <c r="C770" s="12" t="s">
        <v>949</v>
      </c>
      <c r="D770" s="84"/>
      <c r="E770" s="69" t="str">
        <f t="shared" si="35"/>
        <v>Еще фото</v>
      </c>
      <c r="F770" s="13"/>
      <c r="G770" s="23" t="s">
        <v>394</v>
      </c>
      <c r="H770" s="23" t="s">
        <v>151</v>
      </c>
      <c r="I770" s="23" t="s">
        <v>395</v>
      </c>
      <c r="J770" s="14" t="s">
        <v>406</v>
      </c>
      <c r="K770" s="15" t="s">
        <v>47</v>
      </c>
      <c r="L770" s="87"/>
      <c r="M770" s="14"/>
      <c r="N770" s="14" t="s">
        <v>951</v>
      </c>
      <c r="O770" s="14"/>
      <c r="P770" s="15" t="s">
        <v>883</v>
      </c>
      <c r="Q770" s="16">
        <v>10599</v>
      </c>
      <c r="R770" s="17">
        <v>40</v>
      </c>
      <c r="S770" s="18">
        <v>7313.3099999999986</v>
      </c>
      <c r="T770" s="19" t="s">
        <v>846</v>
      </c>
      <c r="U770" s="20" t="s">
        <v>157</v>
      </c>
      <c r="V770" s="21">
        <v>41</v>
      </c>
      <c r="W770" s="21">
        <v>8</v>
      </c>
      <c r="X770" s="22"/>
    </row>
    <row r="771" spans="1:24" s="1" customFormat="1" ht="11.1" customHeight="1" x14ac:dyDescent="0.3">
      <c r="A771" s="23" t="s">
        <v>784</v>
      </c>
      <c r="B771" s="23" t="s">
        <v>948</v>
      </c>
      <c r="C771" s="12" t="s">
        <v>949</v>
      </c>
      <c r="D771" s="85"/>
      <c r="E771" s="69" t="str">
        <f t="shared" si="35"/>
        <v>Еще фото</v>
      </c>
      <c r="F771" s="13"/>
      <c r="G771" s="23" t="s">
        <v>394</v>
      </c>
      <c r="H771" s="23" t="s">
        <v>151</v>
      </c>
      <c r="I771" s="23" t="s">
        <v>395</v>
      </c>
      <c r="J771" s="14" t="s">
        <v>406</v>
      </c>
      <c r="K771" s="15" t="s">
        <v>47</v>
      </c>
      <c r="L771" s="88"/>
      <c r="M771" s="14"/>
      <c r="N771" s="14" t="s">
        <v>951</v>
      </c>
      <c r="O771" s="14"/>
      <c r="P771" s="15" t="s">
        <v>883</v>
      </c>
      <c r="Q771" s="16">
        <v>10599</v>
      </c>
      <c r="R771" s="17">
        <v>40</v>
      </c>
      <c r="S771" s="18">
        <v>7313.3099999999986</v>
      </c>
      <c r="T771" s="19" t="s">
        <v>846</v>
      </c>
      <c r="U771" s="20" t="s">
        <v>435</v>
      </c>
      <c r="V771" s="30">
        <v>41.5</v>
      </c>
      <c r="W771" s="21">
        <v>3</v>
      </c>
      <c r="X771" s="22"/>
    </row>
    <row r="772" spans="1:24" s="1" customFormat="1" ht="21" customHeight="1" x14ac:dyDescent="0.3">
      <c r="A772" s="11" t="s">
        <v>784</v>
      </c>
      <c r="B772" s="11" t="s">
        <v>952</v>
      </c>
      <c r="C772" s="27" t="s">
        <v>953</v>
      </c>
      <c r="D772" s="83"/>
      <c r="E772" s="69" t="str">
        <f>HYPERLINK("https://www.google.ru/search?q=V1GC2000-55&amp;newwindow=1&amp;tbm=isch","Еще фото")</f>
        <v>Еще фото</v>
      </c>
      <c r="F772" s="13"/>
      <c r="G772" s="11" t="s">
        <v>394</v>
      </c>
      <c r="H772" s="11" t="s">
        <v>151</v>
      </c>
      <c r="I772" s="14" t="s">
        <v>395</v>
      </c>
      <c r="J772" s="14" t="s">
        <v>406</v>
      </c>
      <c r="K772" s="15" t="s">
        <v>47</v>
      </c>
      <c r="L772" s="86" t="s">
        <v>954</v>
      </c>
      <c r="M772" s="14"/>
      <c r="N772" s="14" t="s">
        <v>89</v>
      </c>
      <c r="O772" s="14"/>
      <c r="P772" s="15" t="s">
        <v>853</v>
      </c>
      <c r="Q772" s="16">
        <v>12199</v>
      </c>
      <c r="R772" s="17">
        <v>40</v>
      </c>
      <c r="S772" s="18">
        <v>8417.31</v>
      </c>
      <c r="T772" s="19" t="s">
        <v>846</v>
      </c>
      <c r="U772" s="20" t="s">
        <v>821</v>
      </c>
      <c r="V772" s="21">
        <v>36</v>
      </c>
      <c r="W772" s="21">
        <v>2</v>
      </c>
      <c r="X772" s="22"/>
    </row>
    <row r="773" spans="1:24" s="1" customFormat="1" ht="21" customHeight="1" x14ac:dyDescent="0.3">
      <c r="A773" s="23" t="s">
        <v>784</v>
      </c>
      <c r="B773" s="23" t="s">
        <v>952</v>
      </c>
      <c r="C773" s="28" t="s">
        <v>953</v>
      </c>
      <c r="D773" s="84"/>
      <c r="E773" s="69" t="str">
        <f>HYPERLINK("https://www.google.ru/search?q=V1GC2000-55&amp;newwindow=1&amp;tbm=isch","Еще фото")</f>
        <v>Еще фото</v>
      </c>
      <c r="F773" s="13"/>
      <c r="G773" s="23" t="s">
        <v>394</v>
      </c>
      <c r="H773" s="23" t="s">
        <v>151</v>
      </c>
      <c r="I773" s="23" t="s">
        <v>395</v>
      </c>
      <c r="J773" s="14" t="s">
        <v>406</v>
      </c>
      <c r="K773" s="15" t="s">
        <v>47</v>
      </c>
      <c r="L773" s="87"/>
      <c r="M773" s="14"/>
      <c r="N773" s="14" t="s">
        <v>89</v>
      </c>
      <c r="O773" s="14"/>
      <c r="P773" s="15" t="s">
        <v>853</v>
      </c>
      <c r="Q773" s="16">
        <v>12199</v>
      </c>
      <c r="R773" s="17">
        <v>40</v>
      </c>
      <c r="S773" s="18">
        <v>8417.31</v>
      </c>
      <c r="T773" s="19" t="s">
        <v>846</v>
      </c>
      <c r="U773" s="20" t="s">
        <v>847</v>
      </c>
      <c r="V773" s="30">
        <v>36.5</v>
      </c>
      <c r="W773" s="21">
        <v>4</v>
      </c>
      <c r="X773" s="22"/>
    </row>
    <row r="774" spans="1:24" s="1" customFormat="1" ht="21" customHeight="1" x14ac:dyDescent="0.3">
      <c r="A774" s="23" t="s">
        <v>784</v>
      </c>
      <c r="B774" s="23" t="s">
        <v>952</v>
      </c>
      <c r="C774" s="28" t="s">
        <v>953</v>
      </c>
      <c r="D774" s="84"/>
      <c r="E774" s="69" t="str">
        <f>HYPERLINK("https://www.google.ru/search?q=V1GC2000-55&amp;newwindow=1&amp;tbm=isch","Еще фото")</f>
        <v>Еще фото</v>
      </c>
      <c r="F774" s="13"/>
      <c r="G774" s="23" t="s">
        <v>394</v>
      </c>
      <c r="H774" s="23" t="s">
        <v>151</v>
      </c>
      <c r="I774" s="23" t="s">
        <v>395</v>
      </c>
      <c r="J774" s="14" t="s">
        <v>406</v>
      </c>
      <c r="K774" s="15" t="s">
        <v>47</v>
      </c>
      <c r="L774" s="87"/>
      <c r="M774" s="14"/>
      <c r="N774" s="14" t="s">
        <v>89</v>
      </c>
      <c r="O774" s="14"/>
      <c r="P774" s="15" t="s">
        <v>853</v>
      </c>
      <c r="Q774" s="16">
        <v>12199</v>
      </c>
      <c r="R774" s="17">
        <v>40</v>
      </c>
      <c r="S774" s="18">
        <v>8417.31</v>
      </c>
      <c r="T774" s="19" t="s">
        <v>846</v>
      </c>
      <c r="U774" s="20" t="s">
        <v>500</v>
      </c>
      <c r="V774" s="21">
        <v>39</v>
      </c>
      <c r="W774" s="21">
        <v>7</v>
      </c>
      <c r="X774" s="22"/>
    </row>
    <row r="775" spans="1:24" s="1" customFormat="1" ht="21" customHeight="1" x14ac:dyDescent="0.3">
      <c r="A775" s="23" t="s">
        <v>784</v>
      </c>
      <c r="B775" s="23" t="s">
        <v>952</v>
      </c>
      <c r="C775" s="28" t="s">
        <v>953</v>
      </c>
      <c r="D775" s="84"/>
      <c r="E775" s="69" t="str">
        <f>HYPERLINK("https://www.google.ru/search?q=V1GC2000-55&amp;newwindow=1&amp;tbm=isch","Еще фото")</f>
        <v>Еще фото</v>
      </c>
      <c r="F775" s="13"/>
      <c r="G775" s="23" t="s">
        <v>394</v>
      </c>
      <c r="H775" s="23" t="s">
        <v>151</v>
      </c>
      <c r="I775" s="23" t="s">
        <v>395</v>
      </c>
      <c r="J775" s="14" t="s">
        <v>406</v>
      </c>
      <c r="K775" s="15" t="s">
        <v>47</v>
      </c>
      <c r="L775" s="87"/>
      <c r="M775" s="14"/>
      <c r="N775" s="14" t="s">
        <v>89</v>
      </c>
      <c r="O775" s="14"/>
      <c r="P775" s="15" t="s">
        <v>853</v>
      </c>
      <c r="Q775" s="16">
        <v>12199</v>
      </c>
      <c r="R775" s="17">
        <v>40</v>
      </c>
      <c r="S775" s="18">
        <v>8417.31</v>
      </c>
      <c r="T775" s="19" t="s">
        <v>846</v>
      </c>
      <c r="U775" s="20" t="s">
        <v>854</v>
      </c>
      <c r="V775" s="30">
        <v>39.5</v>
      </c>
      <c r="W775" s="21">
        <v>4</v>
      </c>
      <c r="X775" s="22"/>
    </row>
    <row r="776" spans="1:24" s="1" customFormat="1" ht="32.1" customHeight="1" x14ac:dyDescent="0.3">
      <c r="A776" s="23" t="s">
        <v>784</v>
      </c>
      <c r="B776" s="23" t="s">
        <v>952</v>
      </c>
      <c r="C776" s="28" t="s">
        <v>953</v>
      </c>
      <c r="D776" s="85"/>
      <c r="E776" s="69" t="str">
        <f>HYPERLINK("https://www.google.ru/search?q=V1GC2000-55&amp;newwindow=1&amp;tbm=isch","Еще фото")</f>
        <v>Еще фото</v>
      </c>
      <c r="F776" s="13"/>
      <c r="G776" s="23" t="s">
        <v>394</v>
      </c>
      <c r="H776" s="23" t="s">
        <v>151</v>
      </c>
      <c r="I776" s="23" t="s">
        <v>395</v>
      </c>
      <c r="J776" s="14" t="s">
        <v>406</v>
      </c>
      <c r="K776" s="15" t="s">
        <v>47</v>
      </c>
      <c r="L776" s="88"/>
      <c r="M776" s="14"/>
      <c r="N776" s="14" t="s">
        <v>89</v>
      </c>
      <c r="O776" s="14"/>
      <c r="P776" s="15" t="s">
        <v>853</v>
      </c>
      <c r="Q776" s="16">
        <v>12199</v>
      </c>
      <c r="R776" s="17">
        <v>40</v>
      </c>
      <c r="S776" s="18">
        <v>8417.31</v>
      </c>
      <c r="T776" s="19" t="s">
        <v>846</v>
      </c>
      <c r="U776" s="20" t="s">
        <v>156</v>
      </c>
      <c r="V776" s="21">
        <v>40</v>
      </c>
      <c r="W776" s="21">
        <v>1</v>
      </c>
      <c r="X776" s="22"/>
    </row>
    <row r="777" spans="1:24" s="1" customFormat="1" ht="12.95" customHeight="1" x14ac:dyDescent="0.3">
      <c r="A777" s="11" t="s">
        <v>784</v>
      </c>
      <c r="B777" s="11" t="s">
        <v>955</v>
      </c>
      <c r="C777" s="12" t="s">
        <v>956</v>
      </c>
      <c r="D777" s="83"/>
      <c r="E777" s="69" t="str">
        <f t="shared" ref="E777:E784" si="36">HYPERLINK("https://www.google.ru/search?q=V1GC2045-29&amp;newwindow=1&amp;tbm=isch","Еще фото")</f>
        <v>Еще фото</v>
      </c>
      <c r="F777" s="13"/>
      <c r="G777" s="11" t="s">
        <v>394</v>
      </c>
      <c r="H777" s="11" t="s">
        <v>151</v>
      </c>
      <c r="I777" s="14" t="s">
        <v>395</v>
      </c>
      <c r="J777" s="14" t="s">
        <v>406</v>
      </c>
      <c r="K777" s="15" t="s">
        <v>47</v>
      </c>
      <c r="L777" s="86" t="s">
        <v>957</v>
      </c>
      <c r="M777" s="14" t="s">
        <v>844</v>
      </c>
      <c r="N777" s="14" t="s">
        <v>265</v>
      </c>
      <c r="O777" s="14"/>
      <c r="P777" s="15" t="s">
        <v>853</v>
      </c>
      <c r="Q777" s="16">
        <v>10999</v>
      </c>
      <c r="R777" s="17">
        <v>40</v>
      </c>
      <c r="S777" s="18">
        <v>7589.3099999999986</v>
      </c>
      <c r="T777" s="19" t="s">
        <v>846</v>
      </c>
      <c r="U777" s="26" t="s">
        <v>821</v>
      </c>
      <c r="V777" s="21">
        <v>36</v>
      </c>
      <c r="W777" s="21">
        <v>3</v>
      </c>
      <c r="X777" s="22"/>
    </row>
    <row r="778" spans="1:24" s="1" customFormat="1" ht="12.95" customHeight="1" x14ac:dyDescent="0.3">
      <c r="A778" s="23" t="s">
        <v>784</v>
      </c>
      <c r="B778" s="23" t="s">
        <v>955</v>
      </c>
      <c r="C778" s="12" t="s">
        <v>956</v>
      </c>
      <c r="D778" s="84"/>
      <c r="E778" s="69" t="str">
        <f t="shared" si="36"/>
        <v>Еще фото</v>
      </c>
      <c r="F778" s="13"/>
      <c r="G778" s="23" t="s">
        <v>394</v>
      </c>
      <c r="H778" s="23" t="s">
        <v>151</v>
      </c>
      <c r="I778" s="23" t="s">
        <v>395</v>
      </c>
      <c r="J778" s="14" t="s">
        <v>406</v>
      </c>
      <c r="K778" s="15" t="s">
        <v>47</v>
      </c>
      <c r="L778" s="87"/>
      <c r="M778" s="14" t="s">
        <v>844</v>
      </c>
      <c r="N778" s="14" t="s">
        <v>265</v>
      </c>
      <c r="O778" s="14"/>
      <c r="P778" s="15" t="s">
        <v>853</v>
      </c>
      <c r="Q778" s="16">
        <v>10999</v>
      </c>
      <c r="R778" s="17">
        <v>40</v>
      </c>
      <c r="S778" s="18">
        <v>7589.3099999999986</v>
      </c>
      <c r="T778" s="19" t="s">
        <v>846</v>
      </c>
      <c r="U778" s="20" t="s">
        <v>847</v>
      </c>
      <c r="V778" s="30">
        <v>36.5</v>
      </c>
      <c r="W778" s="21">
        <v>4</v>
      </c>
      <c r="X778" s="22"/>
    </row>
    <row r="779" spans="1:24" s="1" customFormat="1" ht="12.95" customHeight="1" x14ac:dyDescent="0.3">
      <c r="A779" s="23" t="s">
        <v>784</v>
      </c>
      <c r="B779" s="23" t="s">
        <v>955</v>
      </c>
      <c r="C779" s="12" t="s">
        <v>956</v>
      </c>
      <c r="D779" s="84"/>
      <c r="E779" s="69" t="str">
        <f t="shared" si="36"/>
        <v>Еще фото</v>
      </c>
      <c r="F779" s="13"/>
      <c r="G779" s="23" t="s">
        <v>394</v>
      </c>
      <c r="H779" s="23" t="s">
        <v>151</v>
      </c>
      <c r="I779" s="23" t="s">
        <v>395</v>
      </c>
      <c r="J779" s="14" t="s">
        <v>406</v>
      </c>
      <c r="K779" s="15" t="s">
        <v>47</v>
      </c>
      <c r="L779" s="87"/>
      <c r="M779" s="14" t="s">
        <v>844</v>
      </c>
      <c r="N779" s="14" t="s">
        <v>265</v>
      </c>
      <c r="O779" s="14"/>
      <c r="P779" s="15" t="s">
        <v>853</v>
      </c>
      <c r="Q779" s="16">
        <v>10999</v>
      </c>
      <c r="R779" s="17">
        <v>40</v>
      </c>
      <c r="S779" s="18">
        <v>7589.3099999999986</v>
      </c>
      <c r="T779" s="19" t="s">
        <v>846</v>
      </c>
      <c r="U779" s="20" t="s">
        <v>818</v>
      </c>
      <c r="V779" s="21">
        <v>37</v>
      </c>
      <c r="W779" s="21">
        <v>1</v>
      </c>
      <c r="X779" s="22"/>
    </row>
    <row r="780" spans="1:24" s="1" customFormat="1" ht="12.95" customHeight="1" x14ac:dyDescent="0.3">
      <c r="A780" s="23" t="s">
        <v>784</v>
      </c>
      <c r="B780" s="23" t="s">
        <v>955</v>
      </c>
      <c r="C780" s="12" t="s">
        <v>956</v>
      </c>
      <c r="D780" s="84"/>
      <c r="E780" s="69" t="str">
        <f t="shared" si="36"/>
        <v>Еще фото</v>
      </c>
      <c r="F780" s="13"/>
      <c r="G780" s="23" t="s">
        <v>394</v>
      </c>
      <c r="H780" s="23" t="s">
        <v>151</v>
      </c>
      <c r="I780" s="23" t="s">
        <v>395</v>
      </c>
      <c r="J780" s="14" t="s">
        <v>406</v>
      </c>
      <c r="K780" s="15" t="s">
        <v>47</v>
      </c>
      <c r="L780" s="87"/>
      <c r="M780" s="14" t="s">
        <v>844</v>
      </c>
      <c r="N780" s="14" t="s">
        <v>265</v>
      </c>
      <c r="O780" s="14"/>
      <c r="P780" s="15" t="s">
        <v>853</v>
      </c>
      <c r="Q780" s="16">
        <v>10999</v>
      </c>
      <c r="R780" s="17">
        <v>40</v>
      </c>
      <c r="S780" s="18">
        <v>7589.3099999999986</v>
      </c>
      <c r="T780" s="19" t="s">
        <v>846</v>
      </c>
      <c r="U780" s="20" t="s">
        <v>848</v>
      </c>
      <c r="V780" s="30">
        <v>37.5</v>
      </c>
      <c r="W780" s="21">
        <v>5</v>
      </c>
      <c r="X780" s="22"/>
    </row>
    <row r="781" spans="1:24" s="1" customFormat="1" ht="12.95" customHeight="1" x14ac:dyDescent="0.3">
      <c r="A781" s="23" t="s">
        <v>784</v>
      </c>
      <c r="B781" s="23" t="s">
        <v>955</v>
      </c>
      <c r="C781" s="12" t="s">
        <v>956</v>
      </c>
      <c r="D781" s="84"/>
      <c r="E781" s="69" t="str">
        <f t="shared" si="36"/>
        <v>Еще фото</v>
      </c>
      <c r="F781" s="13"/>
      <c r="G781" s="23" t="s">
        <v>394</v>
      </c>
      <c r="H781" s="23" t="s">
        <v>151</v>
      </c>
      <c r="I781" s="23" t="s">
        <v>395</v>
      </c>
      <c r="J781" s="14" t="s">
        <v>406</v>
      </c>
      <c r="K781" s="15" t="s">
        <v>47</v>
      </c>
      <c r="L781" s="87"/>
      <c r="M781" s="14" t="s">
        <v>844</v>
      </c>
      <c r="N781" s="14" t="s">
        <v>265</v>
      </c>
      <c r="O781" s="14"/>
      <c r="P781" s="15" t="s">
        <v>853</v>
      </c>
      <c r="Q781" s="16">
        <v>10999</v>
      </c>
      <c r="R781" s="17">
        <v>40</v>
      </c>
      <c r="S781" s="18">
        <v>7589.3099999999986</v>
      </c>
      <c r="T781" s="19" t="s">
        <v>846</v>
      </c>
      <c r="U781" s="20" t="s">
        <v>849</v>
      </c>
      <c r="V781" s="21">
        <v>38</v>
      </c>
      <c r="W781" s="21">
        <v>10</v>
      </c>
      <c r="X781" s="22"/>
    </row>
    <row r="782" spans="1:24" s="1" customFormat="1" ht="12.95" customHeight="1" x14ac:dyDescent="0.3">
      <c r="A782" s="23" t="s">
        <v>784</v>
      </c>
      <c r="B782" s="23" t="s">
        <v>955</v>
      </c>
      <c r="C782" s="12" t="s">
        <v>956</v>
      </c>
      <c r="D782" s="84"/>
      <c r="E782" s="69" t="str">
        <f t="shared" si="36"/>
        <v>Еще фото</v>
      </c>
      <c r="F782" s="13"/>
      <c r="G782" s="23" t="s">
        <v>394</v>
      </c>
      <c r="H782" s="23" t="s">
        <v>151</v>
      </c>
      <c r="I782" s="23" t="s">
        <v>395</v>
      </c>
      <c r="J782" s="14" t="s">
        <v>406</v>
      </c>
      <c r="K782" s="15" t="s">
        <v>47</v>
      </c>
      <c r="L782" s="87"/>
      <c r="M782" s="14" t="s">
        <v>844</v>
      </c>
      <c r="N782" s="14" t="s">
        <v>265</v>
      </c>
      <c r="O782" s="14"/>
      <c r="P782" s="15" t="s">
        <v>853</v>
      </c>
      <c r="Q782" s="16">
        <v>10999</v>
      </c>
      <c r="R782" s="17">
        <v>40</v>
      </c>
      <c r="S782" s="18">
        <v>7589.3099999999986</v>
      </c>
      <c r="T782" s="19" t="s">
        <v>846</v>
      </c>
      <c r="U782" s="20" t="s">
        <v>500</v>
      </c>
      <c r="V782" s="21">
        <v>39</v>
      </c>
      <c r="W782" s="21">
        <v>4</v>
      </c>
      <c r="X782" s="22"/>
    </row>
    <row r="783" spans="1:24" s="1" customFormat="1" ht="12.95" customHeight="1" x14ac:dyDescent="0.3">
      <c r="A783" s="23" t="s">
        <v>784</v>
      </c>
      <c r="B783" s="23" t="s">
        <v>955</v>
      </c>
      <c r="C783" s="12" t="s">
        <v>956</v>
      </c>
      <c r="D783" s="84"/>
      <c r="E783" s="69" t="str">
        <f t="shared" si="36"/>
        <v>Еще фото</v>
      </c>
      <c r="F783" s="13"/>
      <c r="G783" s="23" t="s">
        <v>394</v>
      </c>
      <c r="H783" s="23" t="s">
        <v>151</v>
      </c>
      <c r="I783" s="23" t="s">
        <v>395</v>
      </c>
      <c r="J783" s="14" t="s">
        <v>406</v>
      </c>
      <c r="K783" s="15" t="s">
        <v>47</v>
      </c>
      <c r="L783" s="87"/>
      <c r="M783" s="14" t="s">
        <v>844</v>
      </c>
      <c r="N783" s="14" t="s">
        <v>265</v>
      </c>
      <c r="O783" s="14"/>
      <c r="P783" s="15" t="s">
        <v>853</v>
      </c>
      <c r="Q783" s="16">
        <v>10999</v>
      </c>
      <c r="R783" s="17">
        <v>40</v>
      </c>
      <c r="S783" s="18">
        <v>7589.3099999999986</v>
      </c>
      <c r="T783" s="19" t="s">
        <v>846</v>
      </c>
      <c r="U783" s="20" t="s">
        <v>854</v>
      </c>
      <c r="V783" s="30">
        <v>39.5</v>
      </c>
      <c r="W783" s="21">
        <v>5</v>
      </c>
      <c r="X783" s="22"/>
    </row>
    <row r="784" spans="1:24" s="1" customFormat="1" ht="18" customHeight="1" x14ac:dyDescent="0.3">
      <c r="A784" s="23" t="s">
        <v>784</v>
      </c>
      <c r="B784" s="23" t="s">
        <v>955</v>
      </c>
      <c r="C784" s="12" t="s">
        <v>956</v>
      </c>
      <c r="D784" s="85"/>
      <c r="E784" s="69" t="str">
        <f t="shared" si="36"/>
        <v>Еще фото</v>
      </c>
      <c r="F784" s="13"/>
      <c r="G784" s="23" t="s">
        <v>394</v>
      </c>
      <c r="H784" s="23" t="s">
        <v>151</v>
      </c>
      <c r="I784" s="23" t="s">
        <v>395</v>
      </c>
      <c r="J784" s="14" t="s">
        <v>406</v>
      </c>
      <c r="K784" s="15" t="s">
        <v>47</v>
      </c>
      <c r="L784" s="88"/>
      <c r="M784" s="14" t="s">
        <v>844</v>
      </c>
      <c r="N784" s="14" t="s">
        <v>265</v>
      </c>
      <c r="O784" s="14"/>
      <c r="P784" s="15" t="s">
        <v>853</v>
      </c>
      <c r="Q784" s="16">
        <v>10999</v>
      </c>
      <c r="R784" s="17">
        <v>40</v>
      </c>
      <c r="S784" s="18">
        <v>7589.3099999999986</v>
      </c>
      <c r="T784" s="19" t="s">
        <v>846</v>
      </c>
      <c r="U784" s="20" t="s">
        <v>156</v>
      </c>
      <c r="V784" s="21">
        <v>40</v>
      </c>
      <c r="W784" s="21">
        <v>3</v>
      </c>
      <c r="X784" s="22"/>
    </row>
    <row r="785" spans="1:24" s="1" customFormat="1" ht="14.1" customHeight="1" x14ac:dyDescent="0.3">
      <c r="A785" s="11" t="s">
        <v>784</v>
      </c>
      <c r="B785" s="11" t="s">
        <v>958</v>
      </c>
      <c r="C785" s="12" t="s">
        <v>959</v>
      </c>
      <c r="D785" s="83"/>
      <c r="E785" s="69" t="str">
        <f t="shared" ref="E785:E791" si="37">HYPERLINK("https://www.google.ru/search?q=X1GA2001-00&amp;newwindow=1&amp;tbm=isch","Еще фото")</f>
        <v>Еще фото</v>
      </c>
      <c r="F785" s="13"/>
      <c r="G785" s="11" t="s">
        <v>394</v>
      </c>
      <c r="H785" s="11" t="s">
        <v>151</v>
      </c>
      <c r="I785" s="14" t="s">
        <v>395</v>
      </c>
      <c r="J785" s="14" t="s">
        <v>960</v>
      </c>
      <c r="K785" s="15" t="s">
        <v>114</v>
      </c>
      <c r="L785" s="86"/>
      <c r="M785" s="14"/>
      <c r="N785" s="14" t="s">
        <v>816</v>
      </c>
      <c r="O785" s="14"/>
      <c r="P785" s="15" t="s">
        <v>853</v>
      </c>
      <c r="Q785" s="16">
        <v>16299</v>
      </c>
      <c r="R785" s="17">
        <v>40</v>
      </c>
      <c r="S785" s="18">
        <v>11246.31</v>
      </c>
      <c r="T785" s="19" t="s">
        <v>846</v>
      </c>
      <c r="U785" s="20" t="s">
        <v>162</v>
      </c>
      <c r="V785" s="21">
        <v>42</v>
      </c>
      <c r="W785" s="21">
        <v>15</v>
      </c>
      <c r="X785" s="22"/>
    </row>
    <row r="786" spans="1:24" s="1" customFormat="1" ht="14.1" customHeight="1" x14ac:dyDescent="0.3">
      <c r="A786" s="23" t="s">
        <v>784</v>
      </c>
      <c r="B786" s="23" t="s">
        <v>958</v>
      </c>
      <c r="C786" s="12" t="s">
        <v>959</v>
      </c>
      <c r="D786" s="84"/>
      <c r="E786" s="69" t="str">
        <f t="shared" si="37"/>
        <v>Еще фото</v>
      </c>
      <c r="F786" s="13"/>
      <c r="G786" s="23" t="s">
        <v>394</v>
      </c>
      <c r="H786" s="23" t="s">
        <v>151</v>
      </c>
      <c r="I786" s="23" t="s">
        <v>395</v>
      </c>
      <c r="J786" s="14" t="s">
        <v>960</v>
      </c>
      <c r="K786" s="15" t="s">
        <v>114</v>
      </c>
      <c r="L786" s="87"/>
      <c r="M786" s="14"/>
      <c r="N786" s="14" t="s">
        <v>816</v>
      </c>
      <c r="O786" s="14"/>
      <c r="P786" s="15" t="s">
        <v>853</v>
      </c>
      <c r="Q786" s="16">
        <v>16299</v>
      </c>
      <c r="R786" s="17">
        <v>40</v>
      </c>
      <c r="S786" s="18">
        <v>11246.31</v>
      </c>
      <c r="T786" s="19" t="s">
        <v>846</v>
      </c>
      <c r="U786" s="20" t="s">
        <v>436</v>
      </c>
      <c r="V786" s="21">
        <v>43</v>
      </c>
      <c r="W786" s="21">
        <v>14</v>
      </c>
      <c r="X786" s="22"/>
    </row>
    <row r="787" spans="1:24" s="1" customFormat="1" ht="14.1" customHeight="1" x14ac:dyDescent="0.3">
      <c r="A787" s="23" t="s">
        <v>784</v>
      </c>
      <c r="B787" s="23" t="s">
        <v>958</v>
      </c>
      <c r="C787" s="12" t="s">
        <v>959</v>
      </c>
      <c r="D787" s="84"/>
      <c r="E787" s="69" t="str">
        <f t="shared" si="37"/>
        <v>Еще фото</v>
      </c>
      <c r="F787" s="13"/>
      <c r="G787" s="23" t="s">
        <v>394</v>
      </c>
      <c r="H787" s="23" t="s">
        <v>151</v>
      </c>
      <c r="I787" s="23" t="s">
        <v>395</v>
      </c>
      <c r="J787" s="14" t="s">
        <v>960</v>
      </c>
      <c r="K787" s="15" t="s">
        <v>114</v>
      </c>
      <c r="L787" s="87"/>
      <c r="M787" s="14"/>
      <c r="N787" s="14" t="s">
        <v>816</v>
      </c>
      <c r="O787" s="14"/>
      <c r="P787" s="15" t="s">
        <v>853</v>
      </c>
      <c r="Q787" s="16">
        <v>16299</v>
      </c>
      <c r="R787" s="17">
        <v>40</v>
      </c>
      <c r="S787" s="18">
        <v>11246.31</v>
      </c>
      <c r="T787" s="19" t="s">
        <v>846</v>
      </c>
      <c r="U787" s="20" t="s">
        <v>163</v>
      </c>
      <c r="V787" s="30">
        <v>43.5</v>
      </c>
      <c r="W787" s="21">
        <v>9</v>
      </c>
      <c r="X787" s="22"/>
    </row>
    <row r="788" spans="1:24" s="1" customFormat="1" ht="14.1" customHeight="1" x14ac:dyDescent="0.3">
      <c r="A788" s="23" t="s">
        <v>784</v>
      </c>
      <c r="B788" s="23" t="s">
        <v>958</v>
      </c>
      <c r="C788" s="12" t="s">
        <v>959</v>
      </c>
      <c r="D788" s="84"/>
      <c r="E788" s="69" t="str">
        <f t="shared" si="37"/>
        <v>Еще фото</v>
      </c>
      <c r="F788" s="13"/>
      <c r="G788" s="23" t="s">
        <v>394</v>
      </c>
      <c r="H788" s="23" t="s">
        <v>151</v>
      </c>
      <c r="I788" s="23" t="s">
        <v>395</v>
      </c>
      <c r="J788" s="14" t="s">
        <v>960</v>
      </c>
      <c r="K788" s="15" t="s">
        <v>114</v>
      </c>
      <c r="L788" s="87"/>
      <c r="M788" s="14"/>
      <c r="N788" s="14" t="s">
        <v>816</v>
      </c>
      <c r="O788" s="14"/>
      <c r="P788" s="15" t="s">
        <v>853</v>
      </c>
      <c r="Q788" s="16">
        <v>16299</v>
      </c>
      <c r="R788" s="17">
        <v>40</v>
      </c>
      <c r="S788" s="18">
        <v>11246.31</v>
      </c>
      <c r="T788" s="19" t="s">
        <v>846</v>
      </c>
      <c r="U788" s="20" t="s">
        <v>941</v>
      </c>
      <c r="V788" s="30">
        <v>45.5</v>
      </c>
      <c r="W788" s="21">
        <v>6</v>
      </c>
      <c r="X788" s="22"/>
    </row>
    <row r="789" spans="1:24" s="1" customFormat="1" ht="14.1" customHeight="1" x14ac:dyDescent="0.3">
      <c r="A789" s="23" t="s">
        <v>784</v>
      </c>
      <c r="B789" s="23" t="s">
        <v>958</v>
      </c>
      <c r="C789" s="12" t="s">
        <v>959</v>
      </c>
      <c r="D789" s="84"/>
      <c r="E789" s="69" t="str">
        <f t="shared" si="37"/>
        <v>Еще фото</v>
      </c>
      <c r="F789" s="13"/>
      <c r="G789" s="23" t="s">
        <v>394</v>
      </c>
      <c r="H789" s="23" t="s">
        <v>151</v>
      </c>
      <c r="I789" s="23" t="s">
        <v>395</v>
      </c>
      <c r="J789" s="14" t="s">
        <v>960</v>
      </c>
      <c r="K789" s="15" t="s">
        <v>114</v>
      </c>
      <c r="L789" s="87"/>
      <c r="M789" s="14"/>
      <c r="N789" s="14" t="s">
        <v>816</v>
      </c>
      <c r="O789" s="14"/>
      <c r="P789" s="15" t="s">
        <v>853</v>
      </c>
      <c r="Q789" s="16">
        <v>16299</v>
      </c>
      <c r="R789" s="17">
        <v>40</v>
      </c>
      <c r="S789" s="18">
        <v>11246.31</v>
      </c>
      <c r="T789" s="19" t="s">
        <v>846</v>
      </c>
      <c r="U789" s="20" t="s">
        <v>462</v>
      </c>
      <c r="V789" s="21">
        <v>46</v>
      </c>
      <c r="W789" s="21">
        <v>3</v>
      </c>
      <c r="X789" s="22"/>
    </row>
    <row r="790" spans="1:24" s="1" customFormat="1" ht="14.1" customHeight="1" x14ac:dyDescent="0.3">
      <c r="A790" s="23" t="s">
        <v>784</v>
      </c>
      <c r="B790" s="23" t="s">
        <v>958</v>
      </c>
      <c r="C790" s="12" t="s">
        <v>959</v>
      </c>
      <c r="D790" s="84"/>
      <c r="E790" s="69" t="str">
        <f t="shared" si="37"/>
        <v>Еще фото</v>
      </c>
      <c r="F790" s="13"/>
      <c r="G790" s="23" t="s">
        <v>394</v>
      </c>
      <c r="H790" s="23" t="s">
        <v>151</v>
      </c>
      <c r="I790" s="23" t="s">
        <v>395</v>
      </c>
      <c r="J790" s="14" t="s">
        <v>960</v>
      </c>
      <c r="K790" s="15" t="s">
        <v>114</v>
      </c>
      <c r="L790" s="87"/>
      <c r="M790" s="14"/>
      <c r="N790" s="14" t="s">
        <v>816</v>
      </c>
      <c r="O790" s="14"/>
      <c r="P790" s="15" t="s">
        <v>853</v>
      </c>
      <c r="Q790" s="16">
        <v>16299</v>
      </c>
      <c r="R790" s="17">
        <v>40</v>
      </c>
      <c r="S790" s="18">
        <v>11246.31</v>
      </c>
      <c r="T790" s="19" t="s">
        <v>846</v>
      </c>
      <c r="U790" s="20" t="s">
        <v>897</v>
      </c>
      <c r="V790" s="30">
        <v>47.5</v>
      </c>
      <c r="W790" s="21">
        <v>2</v>
      </c>
      <c r="X790" s="22"/>
    </row>
    <row r="791" spans="1:24" s="1" customFormat="1" ht="17.100000000000001" customHeight="1" x14ac:dyDescent="0.3">
      <c r="A791" s="23" t="s">
        <v>784</v>
      </c>
      <c r="B791" s="23" t="s">
        <v>958</v>
      </c>
      <c r="C791" s="12" t="s">
        <v>959</v>
      </c>
      <c r="D791" s="85"/>
      <c r="E791" s="69" t="str">
        <f t="shared" si="37"/>
        <v>Еще фото</v>
      </c>
      <c r="F791" s="13"/>
      <c r="G791" s="23" t="s">
        <v>394</v>
      </c>
      <c r="H791" s="23" t="s">
        <v>151</v>
      </c>
      <c r="I791" s="23" t="s">
        <v>395</v>
      </c>
      <c r="J791" s="14" t="s">
        <v>960</v>
      </c>
      <c r="K791" s="15" t="s">
        <v>114</v>
      </c>
      <c r="L791" s="88"/>
      <c r="M791" s="14"/>
      <c r="N791" s="14" t="s">
        <v>816</v>
      </c>
      <c r="O791" s="14"/>
      <c r="P791" s="15" t="s">
        <v>853</v>
      </c>
      <c r="Q791" s="16">
        <v>16299</v>
      </c>
      <c r="R791" s="17">
        <v>40</v>
      </c>
      <c r="S791" s="18">
        <v>11246.31</v>
      </c>
      <c r="T791" s="19" t="s">
        <v>846</v>
      </c>
      <c r="U791" s="20" t="s">
        <v>942</v>
      </c>
      <c r="V791" s="21">
        <v>49</v>
      </c>
      <c r="W791" s="21">
        <v>1</v>
      </c>
      <c r="X791" s="22"/>
    </row>
    <row r="792" spans="1:24" s="1" customFormat="1" ht="21" customHeight="1" x14ac:dyDescent="0.3">
      <c r="A792" s="11" t="s">
        <v>784</v>
      </c>
      <c r="B792" s="11" t="s">
        <v>961</v>
      </c>
      <c r="C792" s="27" t="s">
        <v>962</v>
      </c>
      <c r="D792" s="83"/>
      <c r="E792" s="69" t="str">
        <f>HYPERLINK("https://www.google.ru/search?q=X1GB2350-10&amp;newwindow=1&amp;tbm=isch","Еще фото")</f>
        <v>Еще фото</v>
      </c>
      <c r="F792" s="13"/>
      <c r="G792" s="11" t="s">
        <v>394</v>
      </c>
      <c r="H792" s="11" t="s">
        <v>151</v>
      </c>
      <c r="I792" s="14" t="s">
        <v>395</v>
      </c>
      <c r="J792" s="14" t="s">
        <v>960</v>
      </c>
      <c r="K792" s="15" t="s">
        <v>47</v>
      </c>
      <c r="L792" s="86"/>
      <c r="M792" s="14"/>
      <c r="N792" s="14" t="s">
        <v>963</v>
      </c>
      <c r="O792" s="14"/>
      <c r="P792" s="15" t="s">
        <v>853</v>
      </c>
      <c r="Q792" s="16">
        <v>14499</v>
      </c>
      <c r="R792" s="17">
        <v>40</v>
      </c>
      <c r="S792" s="18">
        <v>10004.31</v>
      </c>
      <c r="T792" s="19" t="s">
        <v>846</v>
      </c>
      <c r="U792" s="20" t="s">
        <v>847</v>
      </c>
      <c r="V792" s="30">
        <v>36.5</v>
      </c>
      <c r="W792" s="21">
        <v>1</v>
      </c>
      <c r="X792" s="22"/>
    </row>
    <row r="793" spans="1:24" s="1" customFormat="1" ht="21" customHeight="1" x14ac:dyDescent="0.3">
      <c r="A793" s="23" t="s">
        <v>784</v>
      </c>
      <c r="B793" s="23" t="s">
        <v>961</v>
      </c>
      <c r="C793" s="28" t="s">
        <v>962</v>
      </c>
      <c r="D793" s="84"/>
      <c r="E793" s="69" t="str">
        <f>HYPERLINK("https://www.google.ru/search?q=X1GB2350-10&amp;newwindow=1&amp;tbm=isch","Еще фото")</f>
        <v>Еще фото</v>
      </c>
      <c r="F793" s="13"/>
      <c r="G793" s="23" t="s">
        <v>394</v>
      </c>
      <c r="H793" s="23" t="s">
        <v>151</v>
      </c>
      <c r="I793" s="23" t="s">
        <v>395</v>
      </c>
      <c r="J793" s="14" t="s">
        <v>960</v>
      </c>
      <c r="K793" s="15" t="s">
        <v>47</v>
      </c>
      <c r="L793" s="87"/>
      <c r="M793" s="14"/>
      <c r="N793" s="14" t="s">
        <v>963</v>
      </c>
      <c r="O793" s="14"/>
      <c r="P793" s="15" t="s">
        <v>853</v>
      </c>
      <c r="Q793" s="16">
        <v>14499</v>
      </c>
      <c r="R793" s="17">
        <v>40</v>
      </c>
      <c r="S793" s="18">
        <v>10004.31</v>
      </c>
      <c r="T793" s="19" t="s">
        <v>846</v>
      </c>
      <c r="U793" s="20" t="s">
        <v>818</v>
      </c>
      <c r="V793" s="21">
        <v>37</v>
      </c>
      <c r="W793" s="21">
        <v>2</v>
      </c>
      <c r="X793" s="22"/>
    </row>
    <row r="794" spans="1:24" s="1" customFormat="1" ht="21" customHeight="1" x14ac:dyDescent="0.3">
      <c r="A794" s="23" t="s">
        <v>784</v>
      </c>
      <c r="B794" s="23" t="s">
        <v>961</v>
      </c>
      <c r="C794" s="28" t="s">
        <v>962</v>
      </c>
      <c r="D794" s="84"/>
      <c r="E794" s="69" t="str">
        <f>HYPERLINK("https://www.google.ru/search?q=X1GB2350-10&amp;newwindow=1&amp;tbm=isch","Еще фото")</f>
        <v>Еще фото</v>
      </c>
      <c r="F794" s="13"/>
      <c r="G794" s="23" t="s">
        <v>394</v>
      </c>
      <c r="H794" s="23" t="s">
        <v>151</v>
      </c>
      <c r="I794" s="23" t="s">
        <v>395</v>
      </c>
      <c r="J794" s="14" t="s">
        <v>960</v>
      </c>
      <c r="K794" s="15" t="s">
        <v>47</v>
      </c>
      <c r="L794" s="87"/>
      <c r="M794" s="14"/>
      <c r="N794" s="14" t="s">
        <v>963</v>
      </c>
      <c r="O794" s="14"/>
      <c r="P794" s="15" t="s">
        <v>853</v>
      </c>
      <c r="Q794" s="16">
        <v>14499</v>
      </c>
      <c r="R794" s="17">
        <v>40</v>
      </c>
      <c r="S794" s="18">
        <v>10004.31</v>
      </c>
      <c r="T794" s="19" t="s">
        <v>846</v>
      </c>
      <c r="U794" s="20" t="s">
        <v>500</v>
      </c>
      <c r="V794" s="21">
        <v>39</v>
      </c>
      <c r="W794" s="21">
        <v>3</v>
      </c>
      <c r="X794" s="22"/>
    </row>
    <row r="795" spans="1:24" s="1" customFormat="1" ht="21" customHeight="1" x14ac:dyDescent="0.3">
      <c r="A795" s="23" t="s">
        <v>784</v>
      </c>
      <c r="B795" s="23" t="s">
        <v>961</v>
      </c>
      <c r="C795" s="28" t="s">
        <v>962</v>
      </c>
      <c r="D795" s="84"/>
      <c r="E795" s="69" t="str">
        <f>HYPERLINK("https://www.google.ru/search?q=X1GB2350-10&amp;newwindow=1&amp;tbm=isch","Еще фото")</f>
        <v>Еще фото</v>
      </c>
      <c r="F795" s="13"/>
      <c r="G795" s="23" t="s">
        <v>394</v>
      </c>
      <c r="H795" s="23" t="s">
        <v>151</v>
      </c>
      <c r="I795" s="23" t="s">
        <v>395</v>
      </c>
      <c r="J795" s="14" t="s">
        <v>960</v>
      </c>
      <c r="K795" s="15" t="s">
        <v>47</v>
      </c>
      <c r="L795" s="87"/>
      <c r="M795" s="14"/>
      <c r="N795" s="14" t="s">
        <v>963</v>
      </c>
      <c r="O795" s="14"/>
      <c r="P795" s="15" t="s">
        <v>853</v>
      </c>
      <c r="Q795" s="16">
        <v>14499</v>
      </c>
      <c r="R795" s="17">
        <v>40</v>
      </c>
      <c r="S795" s="18">
        <v>10004.31</v>
      </c>
      <c r="T795" s="19" t="s">
        <v>846</v>
      </c>
      <c r="U795" s="20" t="s">
        <v>854</v>
      </c>
      <c r="V795" s="30">
        <v>39.5</v>
      </c>
      <c r="W795" s="21">
        <v>1</v>
      </c>
      <c r="X795" s="22"/>
    </row>
    <row r="796" spans="1:24" s="1" customFormat="1" ht="32.1" customHeight="1" x14ac:dyDescent="0.3">
      <c r="A796" s="23" t="s">
        <v>784</v>
      </c>
      <c r="B796" s="23" t="s">
        <v>961</v>
      </c>
      <c r="C796" s="28" t="s">
        <v>962</v>
      </c>
      <c r="D796" s="85"/>
      <c r="E796" s="69" t="str">
        <f>HYPERLINK("https://www.google.ru/search?q=X1GB2350-10&amp;newwindow=1&amp;tbm=isch","Еще фото")</f>
        <v>Еще фото</v>
      </c>
      <c r="F796" s="13"/>
      <c r="G796" s="23" t="s">
        <v>394</v>
      </c>
      <c r="H796" s="23" t="s">
        <v>151</v>
      </c>
      <c r="I796" s="23" t="s">
        <v>395</v>
      </c>
      <c r="J796" s="14" t="s">
        <v>960</v>
      </c>
      <c r="K796" s="15" t="s">
        <v>47</v>
      </c>
      <c r="L796" s="88"/>
      <c r="M796" s="14"/>
      <c r="N796" s="14" t="s">
        <v>963</v>
      </c>
      <c r="O796" s="14"/>
      <c r="P796" s="15" t="s">
        <v>853</v>
      </c>
      <c r="Q796" s="16">
        <v>14499</v>
      </c>
      <c r="R796" s="17">
        <v>40</v>
      </c>
      <c r="S796" s="18">
        <v>10004.31</v>
      </c>
      <c r="T796" s="19" t="s">
        <v>846</v>
      </c>
      <c r="U796" s="20" t="s">
        <v>156</v>
      </c>
      <c r="V796" s="21">
        <v>40</v>
      </c>
      <c r="W796" s="21">
        <v>3</v>
      </c>
      <c r="X796" s="22"/>
    </row>
    <row r="797" spans="1:24" s="1" customFormat="1" ht="12.95" customHeight="1" x14ac:dyDescent="0.3">
      <c r="A797" s="11" t="s">
        <v>784</v>
      </c>
      <c r="B797" s="11" t="s">
        <v>964</v>
      </c>
      <c r="C797" s="12" t="s">
        <v>965</v>
      </c>
      <c r="D797" s="83"/>
      <c r="E797" s="69" t="str">
        <f t="shared" ref="E797:E804" si="38">HYPERLINK("https://www.google.ru/search?q=D1GA1925-60&amp;newwindow=1&amp;tbm=isch","Еще фото")</f>
        <v>Еще фото</v>
      </c>
      <c r="F797" s="13"/>
      <c r="G797" s="11" t="s">
        <v>394</v>
      </c>
      <c r="H797" s="11" t="s">
        <v>151</v>
      </c>
      <c r="I797" s="14" t="s">
        <v>424</v>
      </c>
      <c r="J797" s="14" t="s">
        <v>29</v>
      </c>
      <c r="K797" s="15" t="s">
        <v>55</v>
      </c>
      <c r="L797" s="86" t="s">
        <v>966</v>
      </c>
      <c r="M797" s="14" t="s">
        <v>844</v>
      </c>
      <c r="N797" s="14" t="s">
        <v>116</v>
      </c>
      <c r="O797" s="14" t="s">
        <v>940</v>
      </c>
      <c r="P797" s="15" t="s">
        <v>967</v>
      </c>
      <c r="Q797" s="16">
        <v>13199</v>
      </c>
      <c r="R797" s="17">
        <v>88.8</v>
      </c>
      <c r="S797" s="18">
        <v>1699.4354999999998</v>
      </c>
      <c r="T797" s="19" t="s">
        <v>846</v>
      </c>
      <c r="U797" s="26" t="s">
        <v>847</v>
      </c>
      <c r="V797" s="30">
        <v>36.5</v>
      </c>
      <c r="W797" s="21">
        <v>13</v>
      </c>
      <c r="X797" s="22"/>
    </row>
    <row r="798" spans="1:24" s="1" customFormat="1" ht="12.95" customHeight="1" x14ac:dyDescent="0.3">
      <c r="A798" s="23" t="s">
        <v>784</v>
      </c>
      <c r="B798" s="23" t="s">
        <v>964</v>
      </c>
      <c r="C798" s="12" t="s">
        <v>965</v>
      </c>
      <c r="D798" s="84"/>
      <c r="E798" s="69" t="str">
        <f t="shared" si="38"/>
        <v>Еще фото</v>
      </c>
      <c r="F798" s="13"/>
      <c r="G798" s="23" t="s">
        <v>394</v>
      </c>
      <c r="H798" s="23" t="s">
        <v>151</v>
      </c>
      <c r="I798" s="23" t="s">
        <v>424</v>
      </c>
      <c r="J798" s="14" t="s">
        <v>29</v>
      </c>
      <c r="K798" s="15" t="s">
        <v>55</v>
      </c>
      <c r="L798" s="87"/>
      <c r="M798" s="14" t="s">
        <v>844</v>
      </c>
      <c r="N798" s="14" t="s">
        <v>116</v>
      </c>
      <c r="O798" s="14" t="s">
        <v>940</v>
      </c>
      <c r="P798" s="15" t="s">
        <v>967</v>
      </c>
      <c r="Q798" s="16">
        <v>13199</v>
      </c>
      <c r="R798" s="17">
        <v>88.8</v>
      </c>
      <c r="S798" s="18">
        <v>1699.4354999999998</v>
      </c>
      <c r="T798" s="19" t="s">
        <v>846</v>
      </c>
      <c r="U798" s="20" t="s">
        <v>818</v>
      </c>
      <c r="V798" s="21">
        <v>37</v>
      </c>
      <c r="W798" s="21">
        <v>7</v>
      </c>
      <c r="X798" s="22"/>
    </row>
    <row r="799" spans="1:24" s="1" customFormat="1" ht="12.95" customHeight="1" x14ac:dyDescent="0.3">
      <c r="A799" s="23" t="s">
        <v>784</v>
      </c>
      <c r="B799" s="23" t="s">
        <v>964</v>
      </c>
      <c r="C799" s="12" t="s">
        <v>965</v>
      </c>
      <c r="D799" s="84"/>
      <c r="E799" s="69" t="str">
        <f t="shared" si="38"/>
        <v>Еще фото</v>
      </c>
      <c r="F799" s="13"/>
      <c r="G799" s="23" t="s">
        <v>394</v>
      </c>
      <c r="H799" s="23" t="s">
        <v>151</v>
      </c>
      <c r="I799" s="23" t="s">
        <v>424</v>
      </c>
      <c r="J799" s="14" t="s">
        <v>29</v>
      </c>
      <c r="K799" s="15" t="s">
        <v>55</v>
      </c>
      <c r="L799" s="87"/>
      <c r="M799" s="14" t="s">
        <v>844</v>
      </c>
      <c r="N799" s="14" t="s">
        <v>116</v>
      </c>
      <c r="O799" s="14" t="s">
        <v>940</v>
      </c>
      <c r="P799" s="15" t="s">
        <v>967</v>
      </c>
      <c r="Q799" s="16">
        <v>13199</v>
      </c>
      <c r="R799" s="17">
        <v>88.8</v>
      </c>
      <c r="S799" s="18">
        <v>1699.4354999999998</v>
      </c>
      <c r="T799" s="19" t="s">
        <v>846</v>
      </c>
      <c r="U799" s="20" t="s">
        <v>500</v>
      </c>
      <c r="V799" s="21">
        <v>39</v>
      </c>
      <c r="W799" s="21">
        <v>4</v>
      </c>
      <c r="X799" s="22"/>
    </row>
    <row r="800" spans="1:24" s="1" customFormat="1" ht="12.95" customHeight="1" x14ac:dyDescent="0.3">
      <c r="A800" s="23" t="s">
        <v>784</v>
      </c>
      <c r="B800" s="23" t="s">
        <v>964</v>
      </c>
      <c r="C800" s="12" t="s">
        <v>965</v>
      </c>
      <c r="D800" s="84"/>
      <c r="E800" s="69" t="str">
        <f t="shared" si="38"/>
        <v>Еще фото</v>
      </c>
      <c r="F800" s="13"/>
      <c r="G800" s="23" t="s">
        <v>394</v>
      </c>
      <c r="H800" s="23" t="s">
        <v>151</v>
      </c>
      <c r="I800" s="23" t="s">
        <v>424</v>
      </c>
      <c r="J800" s="14" t="s">
        <v>29</v>
      </c>
      <c r="K800" s="15" t="s">
        <v>55</v>
      </c>
      <c r="L800" s="87"/>
      <c r="M800" s="14" t="s">
        <v>844</v>
      </c>
      <c r="N800" s="14" t="s">
        <v>116</v>
      </c>
      <c r="O800" s="14" t="s">
        <v>940</v>
      </c>
      <c r="P800" s="15" t="s">
        <v>967</v>
      </c>
      <c r="Q800" s="16">
        <v>13199</v>
      </c>
      <c r="R800" s="17">
        <v>88.8</v>
      </c>
      <c r="S800" s="18">
        <v>1699.4354999999998</v>
      </c>
      <c r="T800" s="19" t="s">
        <v>846</v>
      </c>
      <c r="U800" s="20" t="s">
        <v>854</v>
      </c>
      <c r="V800" s="30">
        <v>39.5</v>
      </c>
      <c r="W800" s="21">
        <v>2</v>
      </c>
      <c r="X800" s="22"/>
    </row>
    <row r="801" spans="1:24" s="1" customFormat="1" ht="12.95" customHeight="1" x14ac:dyDescent="0.3">
      <c r="A801" s="23" t="s">
        <v>784</v>
      </c>
      <c r="B801" s="23" t="s">
        <v>964</v>
      </c>
      <c r="C801" s="12" t="s">
        <v>965</v>
      </c>
      <c r="D801" s="84"/>
      <c r="E801" s="69" t="str">
        <f t="shared" si="38"/>
        <v>Еще фото</v>
      </c>
      <c r="F801" s="13"/>
      <c r="G801" s="23" t="s">
        <v>394</v>
      </c>
      <c r="H801" s="23" t="s">
        <v>151</v>
      </c>
      <c r="I801" s="23" t="s">
        <v>424</v>
      </c>
      <c r="J801" s="14" t="s">
        <v>29</v>
      </c>
      <c r="K801" s="15" t="s">
        <v>55</v>
      </c>
      <c r="L801" s="87"/>
      <c r="M801" s="14" t="s">
        <v>844</v>
      </c>
      <c r="N801" s="14" t="s">
        <v>116</v>
      </c>
      <c r="O801" s="14" t="s">
        <v>940</v>
      </c>
      <c r="P801" s="15" t="s">
        <v>967</v>
      </c>
      <c r="Q801" s="16">
        <v>13199</v>
      </c>
      <c r="R801" s="17">
        <v>88.8</v>
      </c>
      <c r="S801" s="18">
        <v>1699.4354999999998</v>
      </c>
      <c r="T801" s="19" t="s">
        <v>846</v>
      </c>
      <c r="U801" s="20" t="s">
        <v>156</v>
      </c>
      <c r="V801" s="21">
        <v>40</v>
      </c>
      <c r="W801" s="21">
        <v>7</v>
      </c>
      <c r="X801" s="22"/>
    </row>
    <row r="802" spans="1:24" s="1" customFormat="1" ht="12.95" customHeight="1" x14ac:dyDescent="0.3">
      <c r="A802" s="23" t="s">
        <v>784</v>
      </c>
      <c r="B802" s="23" t="s">
        <v>964</v>
      </c>
      <c r="C802" s="12" t="s">
        <v>965</v>
      </c>
      <c r="D802" s="84"/>
      <c r="E802" s="69" t="str">
        <f t="shared" si="38"/>
        <v>Еще фото</v>
      </c>
      <c r="F802" s="13"/>
      <c r="G802" s="23" t="s">
        <v>394</v>
      </c>
      <c r="H802" s="23" t="s">
        <v>151</v>
      </c>
      <c r="I802" s="23" t="s">
        <v>424</v>
      </c>
      <c r="J802" s="14" t="s">
        <v>29</v>
      </c>
      <c r="K802" s="15" t="s">
        <v>55</v>
      </c>
      <c r="L802" s="87"/>
      <c r="M802" s="14" t="s">
        <v>844</v>
      </c>
      <c r="N802" s="14" t="s">
        <v>116</v>
      </c>
      <c r="O802" s="14" t="s">
        <v>940</v>
      </c>
      <c r="P802" s="15" t="s">
        <v>967</v>
      </c>
      <c r="Q802" s="16">
        <v>13199</v>
      </c>
      <c r="R802" s="17">
        <v>88.8</v>
      </c>
      <c r="S802" s="18">
        <v>1699.4354999999998</v>
      </c>
      <c r="T802" s="19" t="s">
        <v>846</v>
      </c>
      <c r="U802" s="20" t="s">
        <v>157</v>
      </c>
      <c r="V802" s="21">
        <v>41</v>
      </c>
      <c r="W802" s="21">
        <v>9</v>
      </c>
      <c r="X802" s="22"/>
    </row>
    <row r="803" spans="1:24" s="1" customFormat="1" ht="12.95" customHeight="1" x14ac:dyDescent="0.3">
      <c r="A803" s="23" t="s">
        <v>784</v>
      </c>
      <c r="B803" s="23" t="s">
        <v>964</v>
      </c>
      <c r="C803" s="12" t="s">
        <v>965</v>
      </c>
      <c r="D803" s="84"/>
      <c r="E803" s="69" t="str">
        <f t="shared" si="38"/>
        <v>Еще фото</v>
      </c>
      <c r="F803" s="13"/>
      <c r="G803" s="23" t="s">
        <v>394</v>
      </c>
      <c r="H803" s="23" t="s">
        <v>151</v>
      </c>
      <c r="I803" s="23" t="s">
        <v>424</v>
      </c>
      <c r="J803" s="14" t="s">
        <v>29</v>
      </c>
      <c r="K803" s="15" t="s">
        <v>55</v>
      </c>
      <c r="L803" s="87"/>
      <c r="M803" s="14" t="s">
        <v>844</v>
      </c>
      <c r="N803" s="14" t="s">
        <v>116</v>
      </c>
      <c r="O803" s="14" t="s">
        <v>940</v>
      </c>
      <c r="P803" s="15" t="s">
        <v>967</v>
      </c>
      <c r="Q803" s="16">
        <v>13199</v>
      </c>
      <c r="R803" s="17">
        <v>88.8</v>
      </c>
      <c r="S803" s="18">
        <v>1699.4354999999998</v>
      </c>
      <c r="T803" s="19" t="s">
        <v>846</v>
      </c>
      <c r="U803" s="20" t="s">
        <v>162</v>
      </c>
      <c r="V803" s="21">
        <v>42</v>
      </c>
      <c r="W803" s="21">
        <v>4</v>
      </c>
      <c r="X803" s="22"/>
    </row>
    <row r="804" spans="1:24" s="1" customFormat="1" ht="18" customHeight="1" x14ac:dyDescent="0.3">
      <c r="A804" s="23" t="s">
        <v>784</v>
      </c>
      <c r="B804" s="23" t="s">
        <v>964</v>
      </c>
      <c r="C804" s="12" t="s">
        <v>965</v>
      </c>
      <c r="D804" s="85"/>
      <c r="E804" s="69" t="str">
        <f t="shared" si="38"/>
        <v>Еще фото</v>
      </c>
      <c r="F804" s="13"/>
      <c r="G804" s="23" t="s">
        <v>394</v>
      </c>
      <c r="H804" s="23" t="s">
        <v>151</v>
      </c>
      <c r="I804" s="23" t="s">
        <v>424</v>
      </c>
      <c r="J804" s="14" t="s">
        <v>29</v>
      </c>
      <c r="K804" s="15" t="s">
        <v>55</v>
      </c>
      <c r="L804" s="88"/>
      <c r="M804" s="14" t="s">
        <v>844</v>
      </c>
      <c r="N804" s="14" t="s">
        <v>116</v>
      </c>
      <c r="O804" s="14" t="s">
        <v>940</v>
      </c>
      <c r="P804" s="15" t="s">
        <v>967</v>
      </c>
      <c r="Q804" s="16">
        <v>13199</v>
      </c>
      <c r="R804" s="17">
        <v>88.8</v>
      </c>
      <c r="S804" s="18">
        <v>1699.4354999999998</v>
      </c>
      <c r="T804" s="19" t="s">
        <v>846</v>
      </c>
      <c r="U804" s="20" t="s">
        <v>436</v>
      </c>
      <c r="V804" s="21">
        <v>43</v>
      </c>
      <c r="W804" s="21">
        <v>2</v>
      </c>
      <c r="X804" s="22"/>
    </row>
    <row r="805" spans="1:24" s="1" customFormat="1" ht="35.1" customHeight="1" x14ac:dyDescent="0.3">
      <c r="A805" s="11" t="s">
        <v>784</v>
      </c>
      <c r="B805" s="11" t="s">
        <v>968</v>
      </c>
      <c r="C805" s="12" t="s">
        <v>969</v>
      </c>
      <c r="D805" s="83"/>
      <c r="E805" s="69" t="str">
        <f>HYPERLINK("https://www.google.ru/search?q=D1GA1927-09&amp;newwindow=1&amp;tbm=isch","Еще фото")</f>
        <v>Еще фото</v>
      </c>
      <c r="F805" s="13"/>
      <c r="G805" s="11" t="s">
        <v>394</v>
      </c>
      <c r="H805" s="11" t="s">
        <v>151</v>
      </c>
      <c r="I805" s="14" t="s">
        <v>424</v>
      </c>
      <c r="J805" s="14" t="s">
        <v>29</v>
      </c>
      <c r="K805" s="15" t="s">
        <v>55</v>
      </c>
      <c r="L805" s="86" t="s">
        <v>966</v>
      </c>
      <c r="M805" s="14" t="s">
        <v>844</v>
      </c>
      <c r="N805" s="14" t="s">
        <v>49</v>
      </c>
      <c r="O805" s="14" t="s">
        <v>940</v>
      </c>
      <c r="P805" s="15" t="s">
        <v>970</v>
      </c>
      <c r="Q805" s="16">
        <v>13199</v>
      </c>
      <c r="R805" s="17">
        <v>81.3</v>
      </c>
      <c r="S805" s="18">
        <v>2837.9354999999996</v>
      </c>
      <c r="T805" s="19" t="s">
        <v>846</v>
      </c>
      <c r="U805" s="20" t="s">
        <v>847</v>
      </c>
      <c r="V805" s="30">
        <v>36.5</v>
      </c>
      <c r="W805" s="21">
        <v>7</v>
      </c>
      <c r="X805" s="22"/>
    </row>
    <row r="806" spans="1:24" s="1" customFormat="1" ht="35.1" customHeight="1" x14ac:dyDescent="0.3">
      <c r="A806" s="23" t="s">
        <v>784</v>
      </c>
      <c r="B806" s="23" t="s">
        <v>968</v>
      </c>
      <c r="C806" s="12" t="s">
        <v>969</v>
      </c>
      <c r="D806" s="84"/>
      <c r="E806" s="69" t="str">
        <f>HYPERLINK("https://www.google.ru/search?q=D1GA1927-09&amp;newwindow=1&amp;tbm=isch","Еще фото")</f>
        <v>Еще фото</v>
      </c>
      <c r="F806" s="13"/>
      <c r="G806" s="23" t="s">
        <v>394</v>
      </c>
      <c r="H806" s="23" t="s">
        <v>151</v>
      </c>
      <c r="I806" s="23" t="s">
        <v>424</v>
      </c>
      <c r="J806" s="14" t="s">
        <v>29</v>
      </c>
      <c r="K806" s="15" t="s">
        <v>55</v>
      </c>
      <c r="L806" s="87"/>
      <c r="M806" s="14" t="s">
        <v>844</v>
      </c>
      <c r="N806" s="14" t="s">
        <v>49</v>
      </c>
      <c r="O806" s="14" t="s">
        <v>940</v>
      </c>
      <c r="P806" s="15" t="s">
        <v>970</v>
      </c>
      <c r="Q806" s="16">
        <v>13199</v>
      </c>
      <c r="R806" s="17">
        <v>81.3</v>
      </c>
      <c r="S806" s="18">
        <v>2837.9354999999996</v>
      </c>
      <c r="T806" s="19" t="s">
        <v>846</v>
      </c>
      <c r="U806" s="20" t="s">
        <v>818</v>
      </c>
      <c r="V806" s="21">
        <v>37</v>
      </c>
      <c r="W806" s="21">
        <v>4</v>
      </c>
      <c r="X806" s="22"/>
    </row>
    <row r="807" spans="1:24" s="1" customFormat="1" ht="36.950000000000003" customHeight="1" x14ac:dyDescent="0.3">
      <c r="A807" s="23" t="s">
        <v>784</v>
      </c>
      <c r="B807" s="23" t="s">
        <v>968</v>
      </c>
      <c r="C807" s="12" t="s">
        <v>969</v>
      </c>
      <c r="D807" s="85"/>
      <c r="E807" s="69" t="str">
        <f>HYPERLINK("https://www.google.ru/search?q=D1GA1927-09&amp;newwindow=1&amp;tbm=isch","Еще фото")</f>
        <v>Еще фото</v>
      </c>
      <c r="F807" s="13"/>
      <c r="G807" s="23" t="s">
        <v>394</v>
      </c>
      <c r="H807" s="23" t="s">
        <v>151</v>
      </c>
      <c r="I807" s="23" t="s">
        <v>424</v>
      </c>
      <c r="J807" s="14" t="s">
        <v>29</v>
      </c>
      <c r="K807" s="15" t="s">
        <v>55</v>
      </c>
      <c r="L807" s="88"/>
      <c r="M807" s="14" t="s">
        <v>844</v>
      </c>
      <c r="N807" s="14" t="s">
        <v>49</v>
      </c>
      <c r="O807" s="14" t="s">
        <v>940</v>
      </c>
      <c r="P807" s="15" t="s">
        <v>970</v>
      </c>
      <c r="Q807" s="16">
        <v>13199</v>
      </c>
      <c r="R807" s="17">
        <v>81.3</v>
      </c>
      <c r="S807" s="18">
        <v>2837.9354999999996</v>
      </c>
      <c r="T807" s="19" t="s">
        <v>846</v>
      </c>
      <c r="U807" s="20" t="s">
        <v>848</v>
      </c>
      <c r="V807" s="30">
        <v>37.5</v>
      </c>
      <c r="W807" s="21">
        <v>2</v>
      </c>
      <c r="X807" s="22"/>
    </row>
    <row r="808" spans="1:24" s="1" customFormat="1" ht="35.1" customHeight="1" x14ac:dyDescent="0.3">
      <c r="A808" s="11" t="s">
        <v>784</v>
      </c>
      <c r="B808" s="11" t="s">
        <v>971</v>
      </c>
      <c r="C808" s="12" t="s">
        <v>972</v>
      </c>
      <c r="D808" s="83"/>
      <c r="E808" s="69" t="str">
        <f>HYPERLINK("https://www.google.ru/search?q=D1GA1932-66&amp;newwindow=1&amp;tbm=isch","Еще фото")</f>
        <v>Еще фото</v>
      </c>
      <c r="F808" s="13"/>
      <c r="G808" s="11" t="s">
        <v>394</v>
      </c>
      <c r="H808" s="11" t="s">
        <v>151</v>
      </c>
      <c r="I808" s="14" t="s">
        <v>424</v>
      </c>
      <c r="J808" s="14" t="s">
        <v>29</v>
      </c>
      <c r="K808" s="15" t="s">
        <v>114</v>
      </c>
      <c r="L808" s="86" t="s">
        <v>973</v>
      </c>
      <c r="M808" s="14" t="s">
        <v>844</v>
      </c>
      <c r="N808" s="14" t="s">
        <v>275</v>
      </c>
      <c r="O808" s="14" t="s">
        <v>940</v>
      </c>
      <c r="P808" s="15" t="s">
        <v>974</v>
      </c>
      <c r="Q808" s="16">
        <v>13199</v>
      </c>
      <c r="R808" s="17">
        <v>52.82</v>
      </c>
      <c r="S808" s="18">
        <v>7161.9354999999996</v>
      </c>
      <c r="T808" s="19" t="s">
        <v>846</v>
      </c>
      <c r="U808" s="20" t="s">
        <v>821</v>
      </c>
      <c r="V808" s="21">
        <v>36</v>
      </c>
      <c r="W808" s="21">
        <v>1</v>
      </c>
      <c r="X808" s="22"/>
    </row>
    <row r="809" spans="1:24" s="1" customFormat="1" ht="35.1" customHeight="1" x14ac:dyDescent="0.3">
      <c r="A809" s="23" t="s">
        <v>784</v>
      </c>
      <c r="B809" s="23" t="s">
        <v>971</v>
      </c>
      <c r="C809" s="12" t="s">
        <v>972</v>
      </c>
      <c r="D809" s="84"/>
      <c r="E809" s="69" t="str">
        <f>HYPERLINK("https://www.google.ru/search?q=D1GA1932-66&amp;newwindow=1&amp;tbm=isch","Еще фото")</f>
        <v>Еще фото</v>
      </c>
      <c r="F809" s="13"/>
      <c r="G809" s="23" t="s">
        <v>394</v>
      </c>
      <c r="H809" s="23" t="s">
        <v>151</v>
      </c>
      <c r="I809" s="23" t="s">
        <v>424</v>
      </c>
      <c r="J809" s="14" t="s">
        <v>29</v>
      </c>
      <c r="K809" s="15" t="s">
        <v>114</v>
      </c>
      <c r="L809" s="87"/>
      <c r="M809" s="14" t="s">
        <v>844</v>
      </c>
      <c r="N809" s="14" t="s">
        <v>275</v>
      </c>
      <c r="O809" s="14" t="s">
        <v>940</v>
      </c>
      <c r="P809" s="15" t="s">
        <v>974</v>
      </c>
      <c r="Q809" s="16">
        <v>13199</v>
      </c>
      <c r="R809" s="17">
        <v>52.82</v>
      </c>
      <c r="S809" s="18">
        <v>7161.9354999999996</v>
      </c>
      <c r="T809" s="19" t="s">
        <v>846</v>
      </c>
      <c r="U809" s="20" t="s">
        <v>847</v>
      </c>
      <c r="V809" s="30">
        <v>36.5</v>
      </c>
      <c r="W809" s="21">
        <v>4</v>
      </c>
      <c r="X809" s="22"/>
    </row>
    <row r="810" spans="1:24" s="1" customFormat="1" ht="36.950000000000003" customHeight="1" x14ac:dyDescent="0.3">
      <c r="A810" s="23" t="s">
        <v>784</v>
      </c>
      <c r="B810" s="23" t="s">
        <v>971</v>
      </c>
      <c r="C810" s="12" t="s">
        <v>972</v>
      </c>
      <c r="D810" s="85"/>
      <c r="E810" s="69" t="str">
        <f>HYPERLINK("https://www.google.ru/search?q=D1GA1932-66&amp;newwindow=1&amp;tbm=isch","Еще фото")</f>
        <v>Еще фото</v>
      </c>
      <c r="F810" s="13"/>
      <c r="G810" s="23" t="s">
        <v>394</v>
      </c>
      <c r="H810" s="23" t="s">
        <v>151</v>
      </c>
      <c r="I810" s="23" t="s">
        <v>424</v>
      </c>
      <c r="J810" s="14" t="s">
        <v>29</v>
      </c>
      <c r="K810" s="15" t="s">
        <v>114</v>
      </c>
      <c r="L810" s="88"/>
      <c r="M810" s="14" t="s">
        <v>844</v>
      </c>
      <c r="N810" s="14" t="s">
        <v>275</v>
      </c>
      <c r="O810" s="14" t="s">
        <v>940</v>
      </c>
      <c r="P810" s="15" t="s">
        <v>974</v>
      </c>
      <c r="Q810" s="16">
        <v>13199</v>
      </c>
      <c r="R810" s="17">
        <v>52.82</v>
      </c>
      <c r="S810" s="18">
        <v>7161.9354999999996</v>
      </c>
      <c r="T810" s="19" t="s">
        <v>846</v>
      </c>
      <c r="U810" s="20" t="s">
        <v>818</v>
      </c>
      <c r="V810" s="21">
        <v>37</v>
      </c>
      <c r="W810" s="21">
        <v>1</v>
      </c>
      <c r="X810" s="22"/>
    </row>
    <row r="811" spans="1:24" s="1" customFormat="1" ht="108" customHeight="1" x14ac:dyDescent="0.3">
      <c r="A811" s="11" t="s">
        <v>784</v>
      </c>
      <c r="B811" s="11" t="s">
        <v>975</v>
      </c>
      <c r="C811" s="12" t="s">
        <v>976</v>
      </c>
      <c r="D811" s="24"/>
      <c r="E811" s="69" t="str">
        <f>HYPERLINK("https://www.google.ru/search?q=P1GD2325-64&amp;newwindow=1&amp;tbm=isch","Еще фото")</f>
        <v>Еще фото</v>
      </c>
      <c r="F811" s="13"/>
      <c r="G811" s="11" t="s">
        <v>394</v>
      </c>
      <c r="H811" s="11" t="s">
        <v>151</v>
      </c>
      <c r="I811" s="14" t="s">
        <v>424</v>
      </c>
      <c r="J811" s="14" t="s">
        <v>862</v>
      </c>
      <c r="K811" s="15" t="s">
        <v>55</v>
      </c>
      <c r="L811" s="14" t="s">
        <v>977</v>
      </c>
      <c r="M811" s="14"/>
      <c r="N811" s="14" t="s">
        <v>275</v>
      </c>
      <c r="O811" s="14"/>
      <c r="P811" s="15" t="s">
        <v>978</v>
      </c>
      <c r="Q811" s="16">
        <v>5799</v>
      </c>
      <c r="R811" s="17">
        <v>46.54</v>
      </c>
      <c r="S811" s="18">
        <v>3564.9884999999995</v>
      </c>
      <c r="T811" s="19" t="s">
        <v>846</v>
      </c>
      <c r="U811" s="20" t="s">
        <v>500</v>
      </c>
      <c r="V811" s="21">
        <v>39</v>
      </c>
      <c r="W811" s="21">
        <v>1</v>
      </c>
      <c r="X811" s="22"/>
    </row>
    <row r="812" spans="1:24" s="1" customFormat="1" ht="108" customHeight="1" x14ac:dyDescent="0.3">
      <c r="A812" s="11" t="s">
        <v>784</v>
      </c>
      <c r="B812" s="11" t="s">
        <v>979</v>
      </c>
      <c r="C812" s="12" t="s">
        <v>980</v>
      </c>
      <c r="D812" s="24"/>
      <c r="E812" s="69" t="str">
        <f>HYPERLINK("https://www.google.ru/search?q=D1GA2213-01&amp;newwindow=1&amp;tbm=isch","Еще фото")</f>
        <v>Еще фото</v>
      </c>
      <c r="F812" s="13"/>
      <c r="G812" s="11" t="s">
        <v>394</v>
      </c>
      <c r="H812" s="11" t="s">
        <v>151</v>
      </c>
      <c r="I812" s="14" t="s">
        <v>424</v>
      </c>
      <c r="J812" s="14" t="s">
        <v>29</v>
      </c>
      <c r="K812" s="15" t="s">
        <v>55</v>
      </c>
      <c r="L812" s="14" t="s">
        <v>981</v>
      </c>
      <c r="M812" s="14"/>
      <c r="N812" s="14" t="s">
        <v>32</v>
      </c>
      <c r="O812" s="14"/>
      <c r="P812" s="15" t="s">
        <v>982</v>
      </c>
      <c r="Q812" s="16">
        <v>9999</v>
      </c>
      <c r="R812" s="17">
        <v>45.99</v>
      </c>
      <c r="S812" s="18">
        <v>6209.9884999999995</v>
      </c>
      <c r="T812" s="19" t="s">
        <v>846</v>
      </c>
      <c r="U812" s="20" t="s">
        <v>847</v>
      </c>
      <c r="V812" s="30">
        <v>36.5</v>
      </c>
      <c r="W812" s="21">
        <v>1</v>
      </c>
      <c r="X812" s="22"/>
    </row>
    <row r="813" spans="1:24" s="1" customFormat="1" ht="51.95" customHeight="1" x14ac:dyDescent="0.3">
      <c r="A813" s="11" t="s">
        <v>784</v>
      </c>
      <c r="B813" s="11" t="s">
        <v>983</v>
      </c>
      <c r="C813" s="12" t="s">
        <v>984</v>
      </c>
      <c r="D813" s="89"/>
      <c r="E813" s="69" t="str">
        <f>HYPERLINK("https://www.google.ru/search?q=61GC2074-62&amp;newwindow=1&amp;tbm=isch","Еще фото")</f>
        <v>Еще фото</v>
      </c>
      <c r="F813" s="13"/>
      <c r="G813" s="11" t="s">
        <v>394</v>
      </c>
      <c r="H813" s="11" t="s">
        <v>151</v>
      </c>
      <c r="I813" s="14" t="s">
        <v>424</v>
      </c>
      <c r="J813" s="14" t="s">
        <v>406</v>
      </c>
      <c r="K813" s="15" t="s">
        <v>114</v>
      </c>
      <c r="L813" s="86"/>
      <c r="M813" s="14"/>
      <c r="N813" s="14" t="s">
        <v>985</v>
      </c>
      <c r="O813" s="14"/>
      <c r="P813" s="15" t="s">
        <v>883</v>
      </c>
      <c r="Q813" s="16">
        <v>11999</v>
      </c>
      <c r="R813" s="17">
        <v>45.83</v>
      </c>
      <c r="S813" s="18">
        <v>7474.9884999999995</v>
      </c>
      <c r="T813" s="19" t="s">
        <v>846</v>
      </c>
      <c r="U813" s="20" t="s">
        <v>848</v>
      </c>
      <c r="V813" s="30">
        <v>37.5</v>
      </c>
      <c r="W813" s="21">
        <v>4</v>
      </c>
      <c r="X813" s="22"/>
    </row>
    <row r="814" spans="1:24" s="1" customFormat="1" ht="60.95" customHeight="1" x14ac:dyDescent="0.3">
      <c r="A814" s="23" t="s">
        <v>784</v>
      </c>
      <c r="B814" s="23" t="s">
        <v>983</v>
      </c>
      <c r="C814" s="12" t="s">
        <v>984</v>
      </c>
      <c r="D814" s="90"/>
      <c r="E814" s="69" t="str">
        <f>HYPERLINK("https://www.google.ru/search?q=61GC2074-62&amp;newwindow=1&amp;tbm=isch","Еще фото")</f>
        <v>Еще фото</v>
      </c>
      <c r="F814" s="13"/>
      <c r="G814" s="23" t="s">
        <v>394</v>
      </c>
      <c r="H814" s="23" t="s">
        <v>151</v>
      </c>
      <c r="I814" s="23" t="s">
        <v>424</v>
      </c>
      <c r="J814" s="14" t="s">
        <v>406</v>
      </c>
      <c r="K814" s="15" t="s">
        <v>114</v>
      </c>
      <c r="L814" s="88"/>
      <c r="M814" s="14"/>
      <c r="N814" s="14" t="s">
        <v>985</v>
      </c>
      <c r="O814" s="14"/>
      <c r="P814" s="15" t="s">
        <v>883</v>
      </c>
      <c r="Q814" s="16">
        <v>11999</v>
      </c>
      <c r="R814" s="17">
        <v>45.83</v>
      </c>
      <c r="S814" s="18">
        <v>7474.9884999999995</v>
      </c>
      <c r="T814" s="19" t="s">
        <v>846</v>
      </c>
      <c r="U814" s="20" t="s">
        <v>854</v>
      </c>
      <c r="V814" s="30">
        <v>39.5</v>
      </c>
      <c r="W814" s="21">
        <v>4</v>
      </c>
      <c r="X814" s="22"/>
    </row>
    <row r="815" spans="1:24" s="1" customFormat="1" ht="108" customHeight="1" x14ac:dyDescent="0.3">
      <c r="A815" s="11" t="s">
        <v>784</v>
      </c>
      <c r="B815" s="11" t="s">
        <v>975</v>
      </c>
      <c r="C815" s="12" t="s">
        <v>986</v>
      </c>
      <c r="D815" s="24"/>
      <c r="E815" s="69" t="str">
        <f>HYPERLINK("https://www.google.ru/search?q=P1GD2325-50&amp;newwindow=1&amp;tbm=isch","Еще фото")</f>
        <v>Еще фото</v>
      </c>
      <c r="F815" s="13"/>
      <c r="G815" s="11" t="s">
        <v>394</v>
      </c>
      <c r="H815" s="11" t="s">
        <v>151</v>
      </c>
      <c r="I815" s="14" t="s">
        <v>424</v>
      </c>
      <c r="J815" s="14" t="s">
        <v>862</v>
      </c>
      <c r="K815" s="15" t="s">
        <v>55</v>
      </c>
      <c r="L815" s="14" t="s">
        <v>977</v>
      </c>
      <c r="M815" s="14"/>
      <c r="N815" s="14" t="s">
        <v>49</v>
      </c>
      <c r="O815" s="14"/>
      <c r="P815" s="15" t="s">
        <v>978</v>
      </c>
      <c r="Q815" s="16">
        <v>11999</v>
      </c>
      <c r="R815" s="17">
        <v>45.83</v>
      </c>
      <c r="S815" s="18">
        <v>7474.9884999999995</v>
      </c>
      <c r="T815" s="19" t="s">
        <v>846</v>
      </c>
      <c r="U815" s="20" t="s">
        <v>500</v>
      </c>
      <c r="V815" s="21">
        <v>39</v>
      </c>
      <c r="W815" s="21">
        <v>2</v>
      </c>
      <c r="X815" s="22"/>
    </row>
    <row r="816" spans="1:24" s="1" customFormat="1" ht="108" customHeight="1" x14ac:dyDescent="0.3">
      <c r="A816" s="11" t="s">
        <v>784</v>
      </c>
      <c r="B816" s="11" t="s">
        <v>987</v>
      </c>
      <c r="C816" s="12" t="s">
        <v>988</v>
      </c>
      <c r="D816" s="24"/>
      <c r="E816" s="69" t="str">
        <f>HYPERLINK("https://www.google.ru/search?q=61GC2120-85&amp;newwindow=1&amp;tbm=isch","Еще фото")</f>
        <v>Еще фото</v>
      </c>
      <c r="F816" s="13"/>
      <c r="G816" s="11" t="s">
        <v>394</v>
      </c>
      <c r="H816" s="11" t="s">
        <v>151</v>
      </c>
      <c r="I816" s="14" t="s">
        <v>424</v>
      </c>
      <c r="J816" s="14" t="s">
        <v>879</v>
      </c>
      <c r="K816" s="15" t="s">
        <v>55</v>
      </c>
      <c r="L816" s="14"/>
      <c r="M816" s="14"/>
      <c r="N816" s="14" t="s">
        <v>989</v>
      </c>
      <c r="O816" s="14"/>
      <c r="P816" s="15" t="s">
        <v>853</v>
      </c>
      <c r="Q816" s="16">
        <v>10490</v>
      </c>
      <c r="R816" s="17">
        <v>45.66</v>
      </c>
      <c r="S816" s="18">
        <v>6554.9884999999995</v>
      </c>
      <c r="T816" s="19" t="s">
        <v>846</v>
      </c>
      <c r="U816" s="20" t="s">
        <v>849</v>
      </c>
      <c r="V816" s="21">
        <v>38</v>
      </c>
      <c r="W816" s="21">
        <v>2</v>
      </c>
      <c r="X816" s="22"/>
    </row>
    <row r="817" spans="1:24" s="1" customFormat="1" ht="108" customHeight="1" x14ac:dyDescent="0.3">
      <c r="A817" s="11" t="s">
        <v>784</v>
      </c>
      <c r="B817" s="11" t="s">
        <v>979</v>
      </c>
      <c r="C817" s="12" t="s">
        <v>990</v>
      </c>
      <c r="D817" s="24"/>
      <c r="E817" s="69" t="str">
        <f>HYPERLINK("https://www.google.ru/search?q=D1GA2369-15&amp;newwindow=1&amp;tbm=isch","Еще фото")</f>
        <v>Еще фото</v>
      </c>
      <c r="F817" s="13"/>
      <c r="G817" s="11" t="s">
        <v>394</v>
      </c>
      <c r="H817" s="11" t="s">
        <v>151</v>
      </c>
      <c r="I817" s="14" t="s">
        <v>424</v>
      </c>
      <c r="J817" s="14" t="s">
        <v>29</v>
      </c>
      <c r="K817" s="15" t="s">
        <v>114</v>
      </c>
      <c r="L817" s="14"/>
      <c r="M817" s="14"/>
      <c r="N817" s="14" t="s">
        <v>991</v>
      </c>
      <c r="O817" s="14"/>
      <c r="P817" s="15" t="s">
        <v>982</v>
      </c>
      <c r="Q817" s="16">
        <v>11199</v>
      </c>
      <c r="R817" s="17">
        <v>45.53</v>
      </c>
      <c r="S817" s="18">
        <v>7014.9884999999995</v>
      </c>
      <c r="T817" s="19" t="s">
        <v>846</v>
      </c>
      <c r="U817" s="20" t="s">
        <v>162</v>
      </c>
      <c r="V817" s="21">
        <v>42</v>
      </c>
      <c r="W817" s="21">
        <v>1</v>
      </c>
      <c r="X817" s="22"/>
    </row>
    <row r="818" spans="1:24" s="1" customFormat="1" ht="108" customHeight="1" x14ac:dyDescent="0.3">
      <c r="A818" s="11" t="s">
        <v>784</v>
      </c>
      <c r="B818" s="11" t="s">
        <v>992</v>
      </c>
      <c r="C818" s="12" t="s">
        <v>993</v>
      </c>
      <c r="D818" s="24"/>
      <c r="E818" s="69" t="str">
        <f>HYPERLINK("https://www.google.ru/search?q=D1GA1924-67&amp;newwindow=1&amp;tbm=isch","Еще фото")</f>
        <v>Еще фото</v>
      </c>
      <c r="F818" s="13"/>
      <c r="G818" s="11" t="s">
        <v>394</v>
      </c>
      <c r="H818" s="11" t="s">
        <v>151</v>
      </c>
      <c r="I818" s="14" t="s">
        <v>424</v>
      </c>
      <c r="J818" s="14" t="s">
        <v>29</v>
      </c>
      <c r="K818" s="15" t="s">
        <v>47</v>
      </c>
      <c r="L818" s="14" t="s">
        <v>994</v>
      </c>
      <c r="M818" s="14" t="s">
        <v>73</v>
      </c>
      <c r="N818" s="14" t="s">
        <v>89</v>
      </c>
      <c r="O818" s="14" t="s">
        <v>940</v>
      </c>
      <c r="P818" s="15" t="s">
        <v>970</v>
      </c>
      <c r="Q818" s="16">
        <v>12299</v>
      </c>
      <c r="R818" s="17">
        <v>45.52</v>
      </c>
      <c r="S818" s="18">
        <v>7704.9884999999995</v>
      </c>
      <c r="T818" s="19" t="s">
        <v>846</v>
      </c>
      <c r="U818" s="20" t="s">
        <v>995</v>
      </c>
      <c r="V818" s="21">
        <v>35</v>
      </c>
      <c r="W818" s="21">
        <v>3</v>
      </c>
      <c r="X818" s="22"/>
    </row>
    <row r="819" spans="1:24" s="1" customFormat="1" ht="108" customHeight="1" x14ac:dyDescent="0.3">
      <c r="A819" s="11" t="s">
        <v>784</v>
      </c>
      <c r="B819" s="11" t="s">
        <v>968</v>
      </c>
      <c r="C819" s="12" t="s">
        <v>996</v>
      </c>
      <c r="D819" s="24"/>
      <c r="E819" s="69" t="str">
        <f>HYPERLINK("https://www.google.ru/search?q=D1GA1927-01&amp;newwindow=1&amp;tbm=isch","Еще фото")</f>
        <v>Еще фото</v>
      </c>
      <c r="F819" s="13"/>
      <c r="G819" s="11" t="s">
        <v>394</v>
      </c>
      <c r="H819" s="11" t="s">
        <v>151</v>
      </c>
      <c r="I819" s="14" t="s">
        <v>424</v>
      </c>
      <c r="J819" s="14" t="s">
        <v>29</v>
      </c>
      <c r="K819" s="15" t="s">
        <v>55</v>
      </c>
      <c r="L819" s="14" t="s">
        <v>997</v>
      </c>
      <c r="M819" s="14" t="s">
        <v>844</v>
      </c>
      <c r="N819" s="14" t="s">
        <v>89</v>
      </c>
      <c r="O819" s="14" t="s">
        <v>940</v>
      </c>
      <c r="P819" s="15" t="s">
        <v>970</v>
      </c>
      <c r="Q819" s="16">
        <v>13199</v>
      </c>
      <c r="R819" s="17">
        <v>45.45</v>
      </c>
      <c r="S819" s="18">
        <v>8279.9884999999995</v>
      </c>
      <c r="T819" s="19" t="s">
        <v>846</v>
      </c>
      <c r="U819" s="20" t="s">
        <v>821</v>
      </c>
      <c r="V819" s="21">
        <v>36</v>
      </c>
      <c r="W819" s="21">
        <v>3</v>
      </c>
      <c r="X819" s="22"/>
    </row>
    <row r="820" spans="1:24" s="1" customFormat="1" ht="51.95" customHeight="1" x14ac:dyDescent="0.3">
      <c r="A820" s="11" t="s">
        <v>784</v>
      </c>
      <c r="B820" s="11" t="s">
        <v>968</v>
      </c>
      <c r="C820" s="12" t="s">
        <v>998</v>
      </c>
      <c r="D820" s="89"/>
      <c r="E820" s="69" t="str">
        <f>HYPERLINK("https://www.google.ru/search?q=D1GA1927-14&amp;newwindow=1&amp;tbm=isch","Еще фото")</f>
        <v>Еще фото</v>
      </c>
      <c r="F820" s="13"/>
      <c r="G820" s="11" t="s">
        <v>394</v>
      </c>
      <c r="H820" s="11" t="s">
        <v>151</v>
      </c>
      <c r="I820" s="14" t="s">
        <v>424</v>
      </c>
      <c r="J820" s="14" t="s">
        <v>29</v>
      </c>
      <c r="K820" s="15" t="s">
        <v>55</v>
      </c>
      <c r="L820" s="86" t="s">
        <v>997</v>
      </c>
      <c r="M820" s="14" t="s">
        <v>844</v>
      </c>
      <c r="N820" s="14" t="s">
        <v>89</v>
      </c>
      <c r="O820" s="14" t="s">
        <v>940</v>
      </c>
      <c r="P820" s="15" t="s">
        <v>970</v>
      </c>
      <c r="Q820" s="16">
        <v>13199</v>
      </c>
      <c r="R820" s="17">
        <v>45.45</v>
      </c>
      <c r="S820" s="18">
        <v>8279.9884999999995</v>
      </c>
      <c r="T820" s="19" t="s">
        <v>846</v>
      </c>
      <c r="U820" s="20" t="s">
        <v>156</v>
      </c>
      <c r="V820" s="21">
        <v>40</v>
      </c>
      <c r="W820" s="21">
        <v>4</v>
      </c>
      <c r="X820" s="22"/>
    </row>
    <row r="821" spans="1:24" s="1" customFormat="1" ht="60.95" customHeight="1" x14ac:dyDescent="0.3">
      <c r="A821" s="23" t="s">
        <v>784</v>
      </c>
      <c r="B821" s="23" t="s">
        <v>968</v>
      </c>
      <c r="C821" s="12" t="s">
        <v>998</v>
      </c>
      <c r="D821" s="90"/>
      <c r="E821" s="69" t="str">
        <f>HYPERLINK("https://www.google.ru/search?q=D1GA1927-14&amp;newwindow=1&amp;tbm=isch","Еще фото")</f>
        <v>Еще фото</v>
      </c>
      <c r="F821" s="13"/>
      <c r="G821" s="23" t="s">
        <v>394</v>
      </c>
      <c r="H821" s="23" t="s">
        <v>151</v>
      </c>
      <c r="I821" s="23" t="s">
        <v>424</v>
      </c>
      <c r="J821" s="14" t="s">
        <v>29</v>
      </c>
      <c r="K821" s="15" t="s">
        <v>55</v>
      </c>
      <c r="L821" s="88"/>
      <c r="M821" s="14" t="s">
        <v>844</v>
      </c>
      <c r="N821" s="14" t="s">
        <v>89</v>
      </c>
      <c r="O821" s="14" t="s">
        <v>940</v>
      </c>
      <c r="P821" s="15" t="s">
        <v>970</v>
      </c>
      <c r="Q821" s="16">
        <v>13199</v>
      </c>
      <c r="R821" s="17">
        <v>45.45</v>
      </c>
      <c r="S821" s="18">
        <v>8279.9884999999995</v>
      </c>
      <c r="T821" s="19" t="s">
        <v>846</v>
      </c>
      <c r="U821" s="20" t="s">
        <v>163</v>
      </c>
      <c r="V821" s="30">
        <v>43.5</v>
      </c>
      <c r="W821" s="21">
        <v>1</v>
      </c>
      <c r="X821" s="22"/>
    </row>
    <row r="822" spans="1:24" s="1" customFormat="1" ht="108" customHeight="1" x14ac:dyDescent="0.3">
      <c r="A822" s="11" t="s">
        <v>784</v>
      </c>
      <c r="B822" s="11" t="s">
        <v>971</v>
      </c>
      <c r="C822" s="12" t="s">
        <v>999</v>
      </c>
      <c r="D822" s="24"/>
      <c r="E822" s="69" t="str">
        <f>HYPERLINK("https://www.google.ru/search?q=D1GA1932-67&amp;newwindow=1&amp;tbm=isch","Еще фото")</f>
        <v>Еще фото</v>
      </c>
      <c r="F822" s="13"/>
      <c r="G822" s="11" t="s">
        <v>394</v>
      </c>
      <c r="H822" s="11" t="s">
        <v>151</v>
      </c>
      <c r="I822" s="14" t="s">
        <v>424</v>
      </c>
      <c r="J822" s="14" t="s">
        <v>29</v>
      </c>
      <c r="K822" s="15" t="s">
        <v>114</v>
      </c>
      <c r="L822" s="14" t="s">
        <v>973</v>
      </c>
      <c r="M822" s="14" t="s">
        <v>844</v>
      </c>
      <c r="N822" s="14" t="s">
        <v>576</v>
      </c>
      <c r="O822" s="14" t="s">
        <v>940</v>
      </c>
      <c r="P822" s="15" t="s">
        <v>974</v>
      </c>
      <c r="Q822" s="16">
        <v>13199</v>
      </c>
      <c r="R822" s="17">
        <v>45.45</v>
      </c>
      <c r="S822" s="18">
        <v>8279.9884999999995</v>
      </c>
      <c r="T822" s="19" t="s">
        <v>846</v>
      </c>
      <c r="U822" s="20" t="s">
        <v>847</v>
      </c>
      <c r="V822" s="30">
        <v>36.5</v>
      </c>
      <c r="W822" s="21">
        <v>5</v>
      </c>
      <c r="X822" s="22"/>
    </row>
    <row r="823" spans="1:24" s="1" customFormat="1" ht="108" customHeight="1" x14ac:dyDescent="0.3">
      <c r="A823" s="11" t="s">
        <v>784</v>
      </c>
      <c r="B823" s="11" t="s">
        <v>971</v>
      </c>
      <c r="C823" s="12" t="s">
        <v>1000</v>
      </c>
      <c r="D823" s="24"/>
      <c r="E823" s="69" t="str">
        <f>HYPERLINK("https://www.google.ru/search?q=D1GA1932-63&amp;newwindow=1&amp;tbm=isch","Еще фото")</f>
        <v>Еще фото</v>
      </c>
      <c r="F823" s="13"/>
      <c r="G823" s="11" t="s">
        <v>394</v>
      </c>
      <c r="H823" s="11" t="s">
        <v>151</v>
      </c>
      <c r="I823" s="14" t="s">
        <v>424</v>
      </c>
      <c r="J823" s="14" t="s">
        <v>29</v>
      </c>
      <c r="K823" s="15" t="s">
        <v>114</v>
      </c>
      <c r="L823" s="14" t="s">
        <v>973</v>
      </c>
      <c r="M823" s="14" t="s">
        <v>844</v>
      </c>
      <c r="N823" s="14" t="s">
        <v>1001</v>
      </c>
      <c r="O823" s="14" t="s">
        <v>940</v>
      </c>
      <c r="P823" s="15" t="s">
        <v>974</v>
      </c>
      <c r="Q823" s="16">
        <v>15199</v>
      </c>
      <c r="R823" s="17">
        <v>45.39</v>
      </c>
      <c r="S823" s="18">
        <v>9544.9884999999995</v>
      </c>
      <c r="T823" s="19" t="s">
        <v>846</v>
      </c>
      <c r="U823" s="20" t="s">
        <v>847</v>
      </c>
      <c r="V823" s="30">
        <v>36.5</v>
      </c>
      <c r="W823" s="21">
        <v>1</v>
      </c>
      <c r="X823" s="22"/>
    </row>
    <row r="824" spans="1:24" s="1" customFormat="1" ht="108" customHeight="1" x14ac:dyDescent="0.3">
      <c r="A824" s="11" t="s">
        <v>784</v>
      </c>
      <c r="B824" s="11" t="s">
        <v>1002</v>
      </c>
      <c r="C824" s="12" t="s">
        <v>1003</v>
      </c>
      <c r="D824" s="24"/>
      <c r="E824" s="69" t="str">
        <f>HYPERLINK("https://www.google.ru/search?q=D1GA2451-03&amp;newwindow=1&amp;tbm=isch","Еще фото")</f>
        <v>Еще фото</v>
      </c>
      <c r="F824" s="13"/>
      <c r="G824" s="11" t="s">
        <v>394</v>
      </c>
      <c r="H824" s="11" t="s">
        <v>151</v>
      </c>
      <c r="I824" s="14" t="s">
        <v>424</v>
      </c>
      <c r="J824" s="14" t="s">
        <v>29</v>
      </c>
      <c r="K824" s="15" t="s">
        <v>114</v>
      </c>
      <c r="L824" s="14"/>
      <c r="M824" s="14"/>
      <c r="N824" s="14" t="s">
        <v>89</v>
      </c>
      <c r="O824" s="14"/>
      <c r="P824" s="15" t="s">
        <v>1004</v>
      </c>
      <c r="Q824" s="16">
        <v>14099</v>
      </c>
      <c r="R824" s="17">
        <v>45.39</v>
      </c>
      <c r="S824" s="18">
        <v>8854.9884999999995</v>
      </c>
      <c r="T824" s="19" t="s">
        <v>846</v>
      </c>
      <c r="U824" s="20" t="s">
        <v>435</v>
      </c>
      <c r="V824" s="30">
        <v>41.5</v>
      </c>
      <c r="W824" s="21">
        <v>2</v>
      </c>
      <c r="X824" s="22"/>
    </row>
    <row r="825" spans="1:24" s="1" customFormat="1" ht="35.1" customHeight="1" x14ac:dyDescent="0.3">
      <c r="A825" s="11" t="s">
        <v>784</v>
      </c>
      <c r="B825" s="11" t="s">
        <v>1005</v>
      </c>
      <c r="C825" s="12" t="s">
        <v>1006</v>
      </c>
      <c r="D825" s="83"/>
      <c r="E825" s="69" t="str">
        <f>HYPERLINK("https://www.google.ru/search?q=U1GE2160-64&amp;newwindow=1&amp;tbm=isch","Еще фото")</f>
        <v>Еще фото</v>
      </c>
      <c r="F825" s="13"/>
      <c r="G825" s="11" t="s">
        <v>394</v>
      </c>
      <c r="H825" s="11" t="s">
        <v>151</v>
      </c>
      <c r="I825" s="14" t="s">
        <v>424</v>
      </c>
      <c r="J825" s="14" t="s">
        <v>406</v>
      </c>
      <c r="K825" s="15" t="s">
        <v>47</v>
      </c>
      <c r="L825" s="86" t="s">
        <v>1007</v>
      </c>
      <c r="M825" s="14"/>
      <c r="N825" s="14" t="s">
        <v>116</v>
      </c>
      <c r="O825" s="14"/>
      <c r="P825" s="15" t="s">
        <v>876</v>
      </c>
      <c r="Q825" s="16">
        <v>14399</v>
      </c>
      <c r="R825" s="17">
        <v>45.14</v>
      </c>
      <c r="S825" s="18">
        <v>9084.9884999999995</v>
      </c>
      <c r="T825" s="19" t="s">
        <v>846</v>
      </c>
      <c r="U825" s="20" t="s">
        <v>821</v>
      </c>
      <c r="V825" s="21">
        <v>36</v>
      </c>
      <c r="W825" s="21">
        <v>2</v>
      </c>
      <c r="X825" s="22"/>
    </row>
    <row r="826" spans="1:24" s="1" customFormat="1" ht="35.1" customHeight="1" x14ac:dyDescent="0.3">
      <c r="A826" s="23" t="s">
        <v>784</v>
      </c>
      <c r="B826" s="23" t="s">
        <v>1005</v>
      </c>
      <c r="C826" s="12" t="s">
        <v>1006</v>
      </c>
      <c r="D826" s="84"/>
      <c r="E826" s="69" t="str">
        <f>HYPERLINK("https://www.google.ru/search?q=U1GE2160-64&amp;newwindow=1&amp;tbm=isch","Еще фото")</f>
        <v>Еще фото</v>
      </c>
      <c r="F826" s="13"/>
      <c r="G826" s="23" t="s">
        <v>394</v>
      </c>
      <c r="H826" s="23" t="s">
        <v>151</v>
      </c>
      <c r="I826" s="23" t="s">
        <v>424</v>
      </c>
      <c r="J826" s="14" t="s">
        <v>406</v>
      </c>
      <c r="K826" s="15" t="s">
        <v>47</v>
      </c>
      <c r="L826" s="87"/>
      <c r="M826" s="14"/>
      <c r="N826" s="14" t="s">
        <v>116</v>
      </c>
      <c r="O826" s="14"/>
      <c r="P826" s="15" t="s">
        <v>876</v>
      </c>
      <c r="Q826" s="16">
        <v>14399</v>
      </c>
      <c r="R826" s="17">
        <v>45.14</v>
      </c>
      <c r="S826" s="18">
        <v>9084.9884999999995</v>
      </c>
      <c r="T826" s="19" t="s">
        <v>846</v>
      </c>
      <c r="U826" s="20" t="s">
        <v>818</v>
      </c>
      <c r="V826" s="21">
        <v>37</v>
      </c>
      <c r="W826" s="21">
        <v>1</v>
      </c>
      <c r="X826" s="22"/>
    </row>
    <row r="827" spans="1:24" s="1" customFormat="1" ht="36.950000000000003" customHeight="1" x14ac:dyDescent="0.3">
      <c r="A827" s="23" t="s">
        <v>784</v>
      </c>
      <c r="B827" s="23" t="s">
        <v>1005</v>
      </c>
      <c r="C827" s="12" t="s">
        <v>1006</v>
      </c>
      <c r="D827" s="85"/>
      <c r="E827" s="69" t="str">
        <f>HYPERLINK("https://www.google.ru/search?q=U1GE2160-64&amp;newwindow=1&amp;tbm=isch","Еще фото")</f>
        <v>Еще фото</v>
      </c>
      <c r="F827" s="13"/>
      <c r="G827" s="23" t="s">
        <v>394</v>
      </c>
      <c r="H827" s="23" t="s">
        <v>151</v>
      </c>
      <c r="I827" s="23" t="s">
        <v>424</v>
      </c>
      <c r="J827" s="14" t="s">
        <v>406</v>
      </c>
      <c r="K827" s="15" t="s">
        <v>47</v>
      </c>
      <c r="L827" s="88"/>
      <c r="M827" s="14"/>
      <c r="N827" s="14" t="s">
        <v>116</v>
      </c>
      <c r="O827" s="14"/>
      <c r="P827" s="15" t="s">
        <v>876</v>
      </c>
      <c r="Q827" s="16">
        <v>14399</v>
      </c>
      <c r="R827" s="17">
        <v>45.14</v>
      </c>
      <c r="S827" s="18">
        <v>9084.9884999999995</v>
      </c>
      <c r="T827" s="19" t="s">
        <v>846</v>
      </c>
      <c r="U827" s="20" t="s">
        <v>848</v>
      </c>
      <c r="V827" s="30">
        <v>37.5</v>
      </c>
      <c r="W827" s="21">
        <v>1</v>
      </c>
      <c r="X827" s="22"/>
    </row>
    <row r="828" spans="1:24" s="1" customFormat="1" ht="21" customHeight="1" x14ac:dyDescent="0.3">
      <c r="A828" s="11" t="s">
        <v>784</v>
      </c>
      <c r="B828" s="11" t="s">
        <v>1008</v>
      </c>
      <c r="C828" s="27" t="s">
        <v>1009</v>
      </c>
      <c r="D828" s="83"/>
      <c r="E828" s="69" t="str">
        <f>HYPERLINK("https://www.google.ru/search?q=D1GA2003-47&amp;newwindow=1&amp;tbm=isch","Еще фото")</f>
        <v>Еще фото</v>
      </c>
      <c r="F828" s="13"/>
      <c r="G828" s="11" t="s">
        <v>394</v>
      </c>
      <c r="H828" s="11" t="s">
        <v>151</v>
      </c>
      <c r="I828" s="14" t="s">
        <v>424</v>
      </c>
      <c r="J828" s="14" t="s">
        <v>29</v>
      </c>
      <c r="K828" s="15" t="s">
        <v>55</v>
      </c>
      <c r="L828" s="86" t="s">
        <v>1010</v>
      </c>
      <c r="M828" s="14" t="s">
        <v>844</v>
      </c>
      <c r="N828" s="14" t="s">
        <v>89</v>
      </c>
      <c r="O828" s="14" t="s">
        <v>940</v>
      </c>
      <c r="P828" s="15" t="s">
        <v>1011</v>
      </c>
      <c r="Q828" s="16">
        <v>13199</v>
      </c>
      <c r="R828" s="17">
        <v>45.01</v>
      </c>
      <c r="S828" s="18">
        <v>8346.4354999999996</v>
      </c>
      <c r="T828" s="19" t="s">
        <v>846</v>
      </c>
      <c r="U828" s="20" t="s">
        <v>821</v>
      </c>
      <c r="V828" s="21">
        <v>36</v>
      </c>
      <c r="W828" s="21">
        <v>2</v>
      </c>
      <c r="X828" s="22"/>
    </row>
    <row r="829" spans="1:24" s="1" customFormat="1" ht="21" customHeight="1" x14ac:dyDescent="0.3">
      <c r="A829" s="23" t="s">
        <v>784</v>
      </c>
      <c r="B829" s="23" t="s">
        <v>1008</v>
      </c>
      <c r="C829" s="28" t="s">
        <v>1009</v>
      </c>
      <c r="D829" s="84"/>
      <c r="E829" s="69" t="str">
        <f>HYPERLINK("https://www.google.ru/search?q=D1GA2003-47&amp;newwindow=1&amp;tbm=isch","Еще фото")</f>
        <v>Еще фото</v>
      </c>
      <c r="F829" s="13"/>
      <c r="G829" s="23" t="s">
        <v>394</v>
      </c>
      <c r="H829" s="23" t="s">
        <v>151</v>
      </c>
      <c r="I829" s="23" t="s">
        <v>424</v>
      </c>
      <c r="J829" s="14" t="s">
        <v>29</v>
      </c>
      <c r="K829" s="15" t="s">
        <v>55</v>
      </c>
      <c r="L829" s="87"/>
      <c r="M829" s="14" t="s">
        <v>844</v>
      </c>
      <c r="N829" s="14" t="s">
        <v>89</v>
      </c>
      <c r="O829" s="14" t="s">
        <v>940</v>
      </c>
      <c r="P829" s="15" t="s">
        <v>1011</v>
      </c>
      <c r="Q829" s="16">
        <v>13199</v>
      </c>
      <c r="R829" s="17">
        <v>45.01</v>
      </c>
      <c r="S829" s="18">
        <v>8346.4354999999996</v>
      </c>
      <c r="T829" s="19" t="s">
        <v>846</v>
      </c>
      <c r="U829" s="20" t="s">
        <v>156</v>
      </c>
      <c r="V829" s="21">
        <v>40</v>
      </c>
      <c r="W829" s="21">
        <v>1</v>
      </c>
      <c r="X829" s="22"/>
    </row>
    <row r="830" spans="1:24" s="1" customFormat="1" ht="21" customHeight="1" x14ac:dyDescent="0.3">
      <c r="A830" s="23" t="s">
        <v>784</v>
      </c>
      <c r="B830" s="23" t="s">
        <v>1008</v>
      </c>
      <c r="C830" s="28" t="s">
        <v>1009</v>
      </c>
      <c r="D830" s="84"/>
      <c r="E830" s="69" t="str">
        <f>HYPERLINK("https://www.google.ru/search?q=D1GA2003-47&amp;newwindow=1&amp;tbm=isch","Еще фото")</f>
        <v>Еще фото</v>
      </c>
      <c r="F830" s="13"/>
      <c r="G830" s="23" t="s">
        <v>394</v>
      </c>
      <c r="H830" s="23" t="s">
        <v>151</v>
      </c>
      <c r="I830" s="23" t="s">
        <v>424</v>
      </c>
      <c r="J830" s="14" t="s">
        <v>29</v>
      </c>
      <c r="K830" s="15" t="s">
        <v>55</v>
      </c>
      <c r="L830" s="87"/>
      <c r="M830" s="14" t="s">
        <v>844</v>
      </c>
      <c r="N830" s="14" t="s">
        <v>89</v>
      </c>
      <c r="O830" s="14" t="s">
        <v>940</v>
      </c>
      <c r="P830" s="15" t="s">
        <v>1011</v>
      </c>
      <c r="Q830" s="16">
        <v>13199</v>
      </c>
      <c r="R830" s="17">
        <v>45.01</v>
      </c>
      <c r="S830" s="18">
        <v>8346.4354999999996</v>
      </c>
      <c r="T830" s="19" t="s">
        <v>846</v>
      </c>
      <c r="U830" s="20" t="s">
        <v>157</v>
      </c>
      <c r="V830" s="21">
        <v>41</v>
      </c>
      <c r="W830" s="21">
        <v>2</v>
      </c>
      <c r="X830" s="22"/>
    </row>
    <row r="831" spans="1:24" s="1" customFormat="1" ht="21" customHeight="1" x14ac:dyDescent="0.3">
      <c r="A831" s="23" t="s">
        <v>784</v>
      </c>
      <c r="B831" s="23" t="s">
        <v>1008</v>
      </c>
      <c r="C831" s="28" t="s">
        <v>1009</v>
      </c>
      <c r="D831" s="84"/>
      <c r="E831" s="69" t="str">
        <f>HYPERLINK("https://www.google.ru/search?q=D1GA2003-47&amp;newwindow=1&amp;tbm=isch","Еще фото")</f>
        <v>Еще фото</v>
      </c>
      <c r="F831" s="13"/>
      <c r="G831" s="23" t="s">
        <v>394</v>
      </c>
      <c r="H831" s="23" t="s">
        <v>151</v>
      </c>
      <c r="I831" s="23" t="s">
        <v>424</v>
      </c>
      <c r="J831" s="14" t="s">
        <v>29</v>
      </c>
      <c r="K831" s="15" t="s">
        <v>55</v>
      </c>
      <c r="L831" s="87"/>
      <c r="M831" s="14" t="s">
        <v>844</v>
      </c>
      <c r="N831" s="14" t="s">
        <v>89</v>
      </c>
      <c r="O831" s="14" t="s">
        <v>940</v>
      </c>
      <c r="P831" s="15" t="s">
        <v>1011</v>
      </c>
      <c r="Q831" s="16">
        <v>13199</v>
      </c>
      <c r="R831" s="17">
        <v>45.01</v>
      </c>
      <c r="S831" s="18">
        <v>8346.4354999999996</v>
      </c>
      <c r="T831" s="19" t="s">
        <v>846</v>
      </c>
      <c r="U831" s="20" t="s">
        <v>162</v>
      </c>
      <c r="V831" s="21">
        <v>42</v>
      </c>
      <c r="W831" s="21">
        <v>1</v>
      </c>
      <c r="X831" s="22"/>
    </row>
    <row r="832" spans="1:24" s="1" customFormat="1" ht="32.1" customHeight="1" x14ac:dyDescent="0.3">
      <c r="A832" s="23" t="s">
        <v>784</v>
      </c>
      <c r="B832" s="23" t="s">
        <v>1008</v>
      </c>
      <c r="C832" s="28" t="s">
        <v>1009</v>
      </c>
      <c r="D832" s="85"/>
      <c r="E832" s="69" t="str">
        <f>HYPERLINK("https://www.google.ru/search?q=D1GA2003-47&amp;newwindow=1&amp;tbm=isch","Еще фото")</f>
        <v>Еще фото</v>
      </c>
      <c r="F832" s="13"/>
      <c r="G832" s="23" t="s">
        <v>394</v>
      </c>
      <c r="H832" s="23" t="s">
        <v>151</v>
      </c>
      <c r="I832" s="23" t="s">
        <v>424</v>
      </c>
      <c r="J832" s="14" t="s">
        <v>29</v>
      </c>
      <c r="K832" s="15" t="s">
        <v>55</v>
      </c>
      <c r="L832" s="88"/>
      <c r="M832" s="14" t="s">
        <v>844</v>
      </c>
      <c r="N832" s="14" t="s">
        <v>89</v>
      </c>
      <c r="O832" s="14" t="s">
        <v>940</v>
      </c>
      <c r="P832" s="15" t="s">
        <v>1011</v>
      </c>
      <c r="Q832" s="16">
        <v>13199</v>
      </c>
      <c r="R832" s="17">
        <v>45.01</v>
      </c>
      <c r="S832" s="18">
        <v>8346.4354999999996</v>
      </c>
      <c r="T832" s="19" t="s">
        <v>846</v>
      </c>
      <c r="U832" s="20" t="s">
        <v>436</v>
      </c>
      <c r="V832" s="21">
        <v>43</v>
      </c>
      <c r="W832" s="21">
        <v>1</v>
      </c>
      <c r="X832" s="22"/>
    </row>
    <row r="833" spans="1:24" s="1" customFormat="1" ht="17.100000000000001" customHeight="1" x14ac:dyDescent="0.3">
      <c r="A833" s="11" t="s">
        <v>784</v>
      </c>
      <c r="B833" s="11" t="s">
        <v>1012</v>
      </c>
      <c r="C833" s="12" t="s">
        <v>1013</v>
      </c>
      <c r="D833" s="83"/>
      <c r="E833" s="69" t="str">
        <f t="shared" ref="E833:E838" si="39">HYPERLINK("https://www.google.ru/search?q=61GA2270-12&amp;newwindow=1&amp;tbm=isch","Еще фото")</f>
        <v>Еще фото</v>
      </c>
      <c r="F833" s="13"/>
      <c r="G833" s="11" t="s">
        <v>394</v>
      </c>
      <c r="H833" s="11" t="s">
        <v>151</v>
      </c>
      <c r="I833" s="14" t="s">
        <v>424</v>
      </c>
      <c r="J833" s="14" t="s">
        <v>406</v>
      </c>
      <c r="K833" s="15" t="s">
        <v>114</v>
      </c>
      <c r="L833" s="86"/>
      <c r="M833" s="14"/>
      <c r="N833" s="14" t="s">
        <v>1014</v>
      </c>
      <c r="O833" s="14"/>
      <c r="P833" s="15" t="s">
        <v>853</v>
      </c>
      <c r="Q833" s="16">
        <v>15799</v>
      </c>
      <c r="R833" s="17">
        <v>40</v>
      </c>
      <c r="S833" s="18">
        <v>10901.31</v>
      </c>
      <c r="T833" s="19" t="s">
        <v>846</v>
      </c>
      <c r="U833" s="20" t="s">
        <v>157</v>
      </c>
      <c r="V833" s="21">
        <v>41</v>
      </c>
      <c r="W833" s="21">
        <v>2</v>
      </c>
      <c r="X833" s="22"/>
    </row>
    <row r="834" spans="1:24" s="1" customFormat="1" ht="17.100000000000001" customHeight="1" x14ac:dyDescent="0.3">
      <c r="A834" s="23" t="s">
        <v>784</v>
      </c>
      <c r="B834" s="23" t="s">
        <v>1012</v>
      </c>
      <c r="C834" s="12" t="s">
        <v>1013</v>
      </c>
      <c r="D834" s="84"/>
      <c r="E834" s="69" t="str">
        <f t="shared" si="39"/>
        <v>Еще фото</v>
      </c>
      <c r="F834" s="13"/>
      <c r="G834" s="23" t="s">
        <v>394</v>
      </c>
      <c r="H834" s="23" t="s">
        <v>151</v>
      </c>
      <c r="I834" s="23" t="s">
        <v>424</v>
      </c>
      <c r="J834" s="14" t="s">
        <v>406</v>
      </c>
      <c r="K834" s="15" t="s">
        <v>114</v>
      </c>
      <c r="L834" s="87"/>
      <c r="M834" s="14"/>
      <c r="N834" s="14" t="s">
        <v>1014</v>
      </c>
      <c r="O834" s="14"/>
      <c r="P834" s="15" t="s">
        <v>853</v>
      </c>
      <c r="Q834" s="16">
        <v>15799</v>
      </c>
      <c r="R834" s="17">
        <v>40</v>
      </c>
      <c r="S834" s="18">
        <v>10901.31</v>
      </c>
      <c r="T834" s="19" t="s">
        <v>846</v>
      </c>
      <c r="U834" s="20" t="s">
        <v>435</v>
      </c>
      <c r="V834" s="30">
        <v>41.5</v>
      </c>
      <c r="W834" s="21">
        <v>2</v>
      </c>
      <c r="X834" s="22"/>
    </row>
    <row r="835" spans="1:24" s="1" customFormat="1" ht="17.100000000000001" customHeight="1" x14ac:dyDescent="0.3">
      <c r="A835" s="23" t="s">
        <v>784</v>
      </c>
      <c r="B835" s="23" t="s">
        <v>1012</v>
      </c>
      <c r="C835" s="12" t="s">
        <v>1013</v>
      </c>
      <c r="D835" s="84"/>
      <c r="E835" s="69" t="str">
        <f t="shared" si="39"/>
        <v>Еще фото</v>
      </c>
      <c r="F835" s="13"/>
      <c r="G835" s="23" t="s">
        <v>394</v>
      </c>
      <c r="H835" s="23" t="s">
        <v>151</v>
      </c>
      <c r="I835" s="23" t="s">
        <v>424</v>
      </c>
      <c r="J835" s="14" t="s">
        <v>406</v>
      </c>
      <c r="K835" s="15" t="s">
        <v>114</v>
      </c>
      <c r="L835" s="87"/>
      <c r="M835" s="14"/>
      <c r="N835" s="14" t="s">
        <v>1014</v>
      </c>
      <c r="O835" s="14"/>
      <c r="P835" s="15" t="s">
        <v>853</v>
      </c>
      <c r="Q835" s="16">
        <v>15799</v>
      </c>
      <c r="R835" s="17">
        <v>40</v>
      </c>
      <c r="S835" s="18">
        <v>10901.31</v>
      </c>
      <c r="T835" s="19" t="s">
        <v>846</v>
      </c>
      <c r="U835" s="20" t="s">
        <v>162</v>
      </c>
      <c r="V835" s="21">
        <v>42</v>
      </c>
      <c r="W835" s="21">
        <v>2</v>
      </c>
      <c r="X835" s="22"/>
    </row>
    <row r="836" spans="1:24" s="1" customFormat="1" ht="17.100000000000001" customHeight="1" x14ac:dyDescent="0.3">
      <c r="A836" s="23" t="s">
        <v>784</v>
      </c>
      <c r="B836" s="23" t="s">
        <v>1012</v>
      </c>
      <c r="C836" s="12" t="s">
        <v>1013</v>
      </c>
      <c r="D836" s="84"/>
      <c r="E836" s="69" t="str">
        <f t="shared" si="39"/>
        <v>Еще фото</v>
      </c>
      <c r="F836" s="13"/>
      <c r="G836" s="23" t="s">
        <v>394</v>
      </c>
      <c r="H836" s="23" t="s">
        <v>151</v>
      </c>
      <c r="I836" s="23" t="s">
        <v>424</v>
      </c>
      <c r="J836" s="14" t="s">
        <v>406</v>
      </c>
      <c r="K836" s="15" t="s">
        <v>114</v>
      </c>
      <c r="L836" s="87"/>
      <c r="M836" s="14"/>
      <c r="N836" s="14" t="s">
        <v>1014</v>
      </c>
      <c r="O836" s="14"/>
      <c r="P836" s="15" t="s">
        <v>853</v>
      </c>
      <c r="Q836" s="16">
        <v>15799</v>
      </c>
      <c r="R836" s="17">
        <v>40</v>
      </c>
      <c r="S836" s="18">
        <v>10901.31</v>
      </c>
      <c r="T836" s="19" t="s">
        <v>846</v>
      </c>
      <c r="U836" s="20" t="s">
        <v>436</v>
      </c>
      <c r="V836" s="21">
        <v>43</v>
      </c>
      <c r="W836" s="21">
        <v>3</v>
      </c>
      <c r="X836" s="22"/>
    </row>
    <row r="837" spans="1:24" s="1" customFormat="1" ht="17.100000000000001" customHeight="1" x14ac:dyDescent="0.3">
      <c r="A837" s="23" t="s">
        <v>784</v>
      </c>
      <c r="B837" s="23" t="s">
        <v>1012</v>
      </c>
      <c r="C837" s="12" t="s">
        <v>1013</v>
      </c>
      <c r="D837" s="84"/>
      <c r="E837" s="69" t="str">
        <f t="shared" si="39"/>
        <v>Еще фото</v>
      </c>
      <c r="F837" s="13"/>
      <c r="G837" s="23" t="s">
        <v>394</v>
      </c>
      <c r="H837" s="23" t="s">
        <v>151</v>
      </c>
      <c r="I837" s="23" t="s">
        <v>424</v>
      </c>
      <c r="J837" s="14" t="s">
        <v>406</v>
      </c>
      <c r="K837" s="15" t="s">
        <v>114</v>
      </c>
      <c r="L837" s="87"/>
      <c r="M837" s="14"/>
      <c r="N837" s="14" t="s">
        <v>1014</v>
      </c>
      <c r="O837" s="14"/>
      <c r="P837" s="15" t="s">
        <v>853</v>
      </c>
      <c r="Q837" s="16">
        <v>15799</v>
      </c>
      <c r="R837" s="17">
        <v>40</v>
      </c>
      <c r="S837" s="18">
        <v>10901.31</v>
      </c>
      <c r="T837" s="19" t="s">
        <v>846</v>
      </c>
      <c r="U837" s="20" t="s">
        <v>163</v>
      </c>
      <c r="V837" s="30">
        <v>43.5</v>
      </c>
      <c r="W837" s="21">
        <v>2</v>
      </c>
      <c r="X837" s="22"/>
    </row>
    <row r="838" spans="1:24" s="1" customFormat="1" ht="21.95" customHeight="1" x14ac:dyDescent="0.3">
      <c r="A838" s="23" t="s">
        <v>784</v>
      </c>
      <c r="B838" s="23" t="s">
        <v>1012</v>
      </c>
      <c r="C838" s="12" t="s">
        <v>1013</v>
      </c>
      <c r="D838" s="85"/>
      <c r="E838" s="69" t="str">
        <f t="shared" si="39"/>
        <v>Еще фото</v>
      </c>
      <c r="F838" s="13"/>
      <c r="G838" s="23" t="s">
        <v>394</v>
      </c>
      <c r="H838" s="23" t="s">
        <v>151</v>
      </c>
      <c r="I838" s="23" t="s">
        <v>424</v>
      </c>
      <c r="J838" s="14" t="s">
        <v>406</v>
      </c>
      <c r="K838" s="15" t="s">
        <v>114</v>
      </c>
      <c r="L838" s="88"/>
      <c r="M838" s="14"/>
      <c r="N838" s="14" t="s">
        <v>1014</v>
      </c>
      <c r="O838" s="14"/>
      <c r="P838" s="15" t="s">
        <v>853</v>
      </c>
      <c r="Q838" s="16">
        <v>15799</v>
      </c>
      <c r="R838" s="17">
        <v>40</v>
      </c>
      <c r="S838" s="18">
        <v>10901.31</v>
      </c>
      <c r="T838" s="19" t="s">
        <v>846</v>
      </c>
      <c r="U838" s="20" t="s">
        <v>907</v>
      </c>
      <c r="V838" s="21">
        <v>44</v>
      </c>
      <c r="W838" s="21">
        <v>1</v>
      </c>
      <c r="X838" s="22"/>
    </row>
    <row r="839" spans="1:24" s="1" customFormat="1" ht="17.100000000000001" customHeight="1" x14ac:dyDescent="0.3">
      <c r="A839" s="11" t="s">
        <v>784</v>
      </c>
      <c r="B839" s="11" t="s">
        <v>1015</v>
      </c>
      <c r="C839" s="12" t="s">
        <v>1016</v>
      </c>
      <c r="D839" s="83"/>
      <c r="E839" s="69" t="str">
        <f t="shared" ref="E839:E844" si="40">HYPERLINK("https://www.google.ru/search?q=61GA2271-64&amp;newwindow=1&amp;tbm=isch","Еще фото")</f>
        <v>Еще фото</v>
      </c>
      <c r="F839" s="13"/>
      <c r="G839" s="11" t="s">
        <v>394</v>
      </c>
      <c r="H839" s="11" t="s">
        <v>151</v>
      </c>
      <c r="I839" s="14" t="s">
        <v>424</v>
      </c>
      <c r="J839" s="14" t="s">
        <v>406</v>
      </c>
      <c r="K839" s="15" t="s">
        <v>47</v>
      </c>
      <c r="L839" s="86"/>
      <c r="M839" s="14"/>
      <c r="N839" s="14" t="s">
        <v>1017</v>
      </c>
      <c r="O839" s="14"/>
      <c r="P839" s="15" t="s">
        <v>853</v>
      </c>
      <c r="Q839" s="16">
        <v>14099</v>
      </c>
      <c r="R839" s="17">
        <v>40</v>
      </c>
      <c r="S839" s="18">
        <v>9728.31</v>
      </c>
      <c r="T839" s="19" t="s">
        <v>846</v>
      </c>
      <c r="U839" s="20" t="s">
        <v>847</v>
      </c>
      <c r="V839" s="30">
        <v>36.5</v>
      </c>
      <c r="W839" s="21">
        <v>3</v>
      </c>
      <c r="X839" s="22"/>
    </row>
    <row r="840" spans="1:24" s="1" customFormat="1" ht="17.100000000000001" customHeight="1" x14ac:dyDescent="0.3">
      <c r="A840" s="23" t="s">
        <v>784</v>
      </c>
      <c r="B840" s="23" t="s">
        <v>1015</v>
      </c>
      <c r="C840" s="12" t="s">
        <v>1016</v>
      </c>
      <c r="D840" s="84"/>
      <c r="E840" s="69" t="str">
        <f t="shared" si="40"/>
        <v>Еще фото</v>
      </c>
      <c r="F840" s="13"/>
      <c r="G840" s="23" t="s">
        <v>394</v>
      </c>
      <c r="H840" s="23" t="s">
        <v>151</v>
      </c>
      <c r="I840" s="23" t="s">
        <v>424</v>
      </c>
      <c r="J840" s="14" t="s">
        <v>406</v>
      </c>
      <c r="K840" s="15" t="s">
        <v>47</v>
      </c>
      <c r="L840" s="87"/>
      <c r="M840" s="14"/>
      <c r="N840" s="14" t="s">
        <v>1017</v>
      </c>
      <c r="O840" s="14"/>
      <c r="P840" s="15" t="s">
        <v>853</v>
      </c>
      <c r="Q840" s="16">
        <v>14099</v>
      </c>
      <c r="R840" s="17">
        <v>40</v>
      </c>
      <c r="S840" s="18">
        <v>9728.31</v>
      </c>
      <c r="T840" s="19" t="s">
        <v>846</v>
      </c>
      <c r="U840" s="20" t="s">
        <v>818</v>
      </c>
      <c r="V840" s="21">
        <v>37</v>
      </c>
      <c r="W840" s="21">
        <v>8</v>
      </c>
      <c r="X840" s="22"/>
    </row>
    <row r="841" spans="1:24" s="1" customFormat="1" ht="17.100000000000001" customHeight="1" x14ac:dyDescent="0.3">
      <c r="A841" s="23" t="s">
        <v>784</v>
      </c>
      <c r="B841" s="23" t="s">
        <v>1015</v>
      </c>
      <c r="C841" s="12" t="s">
        <v>1016</v>
      </c>
      <c r="D841" s="84"/>
      <c r="E841" s="69" t="str">
        <f t="shared" si="40"/>
        <v>Еще фото</v>
      </c>
      <c r="F841" s="13"/>
      <c r="G841" s="23" t="s">
        <v>394</v>
      </c>
      <c r="H841" s="23" t="s">
        <v>151</v>
      </c>
      <c r="I841" s="23" t="s">
        <v>424</v>
      </c>
      <c r="J841" s="14" t="s">
        <v>406</v>
      </c>
      <c r="K841" s="15" t="s">
        <v>47</v>
      </c>
      <c r="L841" s="87"/>
      <c r="M841" s="14"/>
      <c r="N841" s="14" t="s">
        <v>1017</v>
      </c>
      <c r="O841" s="14"/>
      <c r="P841" s="15" t="s">
        <v>853</v>
      </c>
      <c r="Q841" s="16">
        <v>14099</v>
      </c>
      <c r="R841" s="17">
        <v>40</v>
      </c>
      <c r="S841" s="18">
        <v>9728.31</v>
      </c>
      <c r="T841" s="19" t="s">
        <v>846</v>
      </c>
      <c r="U841" s="20" t="s">
        <v>849</v>
      </c>
      <c r="V841" s="21">
        <v>38</v>
      </c>
      <c r="W841" s="21">
        <v>5</v>
      </c>
      <c r="X841" s="22"/>
    </row>
    <row r="842" spans="1:24" s="1" customFormat="1" ht="17.100000000000001" customHeight="1" x14ac:dyDescent="0.3">
      <c r="A842" s="23" t="s">
        <v>784</v>
      </c>
      <c r="B842" s="23" t="s">
        <v>1015</v>
      </c>
      <c r="C842" s="12" t="s">
        <v>1016</v>
      </c>
      <c r="D842" s="84"/>
      <c r="E842" s="69" t="str">
        <f t="shared" si="40"/>
        <v>Еще фото</v>
      </c>
      <c r="F842" s="13"/>
      <c r="G842" s="23" t="s">
        <v>394</v>
      </c>
      <c r="H842" s="23" t="s">
        <v>151</v>
      </c>
      <c r="I842" s="23" t="s">
        <v>424</v>
      </c>
      <c r="J842" s="14" t="s">
        <v>406</v>
      </c>
      <c r="K842" s="15" t="s">
        <v>47</v>
      </c>
      <c r="L842" s="87"/>
      <c r="M842" s="14"/>
      <c r="N842" s="14" t="s">
        <v>1017</v>
      </c>
      <c r="O842" s="14"/>
      <c r="P842" s="15" t="s">
        <v>853</v>
      </c>
      <c r="Q842" s="16">
        <v>14099</v>
      </c>
      <c r="R842" s="17">
        <v>40</v>
      </c>
      <c r="S842" s="18">
        <v>9728.31</v>
      </c>
      <c r="T842" s="19" t="s">
        <v>846</v>
      </c>
      <c r="U842" s="20" t="s">
        <v>500</v>
      </c>
      <c r="V842" s="21">
        <v>39</v>
      </c>
      <c r="W842" s="21">
        <v>4</v>
      </c>
      <c r="X842" s="22"/>
    </row>
    <row r="843" spans="1:24" s="1" customFormat="1" ht="17.100000000000001" customHeight="1" x14ac:dyDescent="0.3">
      <c r="A843" s="23" t="s">
        <v>784</v>
      </c>
      <c r="B843" s="23" t="s">
        <v>1015</v>
      </c>
      <c r="C843" s="12" t="s">
        <v>1016</v>
      </c>
      <c r="D843" s="84"/>
      <c r="E843" s="69" t="str">
        <f t="shared" si="40"/>
        <v>Еще фото</v>
      </c>
      <c r="F843" s="13"/>
      <c r="G843" s="23" t="s">
        <v>394</v>
      </c>
      <c r="H843" s="23" t="s">
        <v>151</v>
      </c>
      <c r="I843" s="23" t="s">
        <v>424</v>
      </c>
      <c r="J843" s="14" t="s">
        <v>406</v>
      </c>
      <c r="K843" s="15" t="s">
        <v>47</v>
      </c>
      <c r="L843" s="87"/>
      <c r="M843" s="14"/>
      <c r="N843" s="14" t="s">
        <v>1017</v>
      </c>
      <c r="O843" s="14"/>
      <c r="P843" s="15" t="s">
        <v>853</v>
      </c>
      <c r="Q843" s="16">
        <v>14099</v>
      </c>
      <c r="R843" s="17">
        <v>40</v>
      </c>
      <c r="S843" s="18">
        <v>9728.31</v>
      </c>
      <c r="T843" s="19" t="s">
        <v>846</v>
      </c>
      <c r="U843" s="20" t="s">
        <v>854</v>
      </c>
      <c r="V843" s="30">
        <v>39.5</v>
      </c>
      <c r="W843" s="21">
        <v>2</v>
      </c>
      <c r="X843" s="22"/>
    </row>
    <row r="844" spans="1:24" s="1" customFormat="1" ht="21.95" customHeight="1" x14ac:dyDescent="0.3">
      <c r="A844" s="23" t="s">
        <v>784</v>
      </c>
      <c r="B844" s="23" t="s">
        <v>1015</v>
      </c>
      <c r="C844" s="12" t="s">
        <v>1016</v>
      </c>
      <c r="D844" s="85"/>
      <c r="E844" s="69" t="str">
        <f t="shared" si="40"/>
        <v>Еще фото</v>
      </c>
      <c r="F844" s="13"/>
      <c r="G844" s="23" t="s">
        <v>394</v>
      </c>
      <c r="H844" s="23" t="s">
        <v>151</v>
      </c>
      <c r="I844" s="23" t="s">
        <v>424</v>
      </c>
      <c r="J844" s="14" t="s">
        <v>406</v>
      </c>
      <c r="K844" s="15" t="s">
        <v>47</v>
      </c>
      <c r="L844" s="88"/>
      <c r="M844" s="14"/>
      <c r="N844" s="14" t="s">
        <v>1017</v>
      </c>
      <c r="O844" s="14"/>
      <c r="P844" s="15" t="s">
        <v>853</v>
      </c>
      <c r="Q844" s="16">
        <v>14099</v>
      </c>
      <c r="R844" s="17">
        <v>40</v>
      </c>
      <c r="S844" s="18">
        <v>9728.31</v>
      </c>
      <c r="T844" s="19" t="s">
        <v>846</v>
      </c>
      <c r="U844" s="20" t="s">
        <v>157</v>
      </c>
      <c r="V844" s="21">
        <v>41</v>
      </c>
      <c r="W844" s="21">
        <v>1</v>
      </c>
      <c r="X844" s="22"/>
    </row>
    <row r="845" spans="1:24" s="1" customFormat="1" ht="14.1" customHeight="1" x14ac:dyDescent="0.3">
      <c r="A845" s="11" t="s">
        <v>784</v>
      </c>
      <c r="B845" s="11" t="s">
        <v>1018</v>
      </c>
      <c r="C845" s="12" t="s">
        <v>1019</v>
      </c>
      <c r="D845" s="83"/>
      <c r="E845" s="69" t="str">
        <f t="shared" ref="E845:E851" si="41">HYPERLINK("https://www.google.ru/search?q=61GB2222-27&amp;newwindow=1&amp;tbm=isch","Еще фото")</f>
        <v>Еще фото</v>
      </c>
      <c r="F845" s="13"/>
      <c r="G845" s="11" t="s">
        <v>394</v>
      </c>
      <c r="H845" s="11" t="s">
        <v>151</v>
      </c>
      <c r="I845" s="14" t="s">
        <v>424</v>
      </c>
      <c r="J845" s="14" t="s">
        <v>406</v>
      </c>
      <c r="K845" s="15" t="s">
        <v>55</v>
      </c>
      <c r="L845" s="86"/>
      <c r="M845" s="14"/>
      <c r="N845" s="14" t="s">
        <v>1020</v>
      </c>
      <c r="O845" s="14"/>
      <c r="P845" s="15" t="s">
        <v>853</v>
      </c>
      <c r="Q845" s="16">
        <v>11599</v>
      </c>
      <c r="R845" s="17">
        <v>40</v>
      </c>
      <c r="S845" s="18">
        <v>8003.3099999999986</v>
      </c>
      <c r="T845" s="19" t="s">
        <v>846</v>
      </c>
      <c r="U845" s="20" t="s">
        <v>854</v>
      </c>
      <c r="V845" s="30">
        <v>39.5</v>
      </c>
      <c r="W845" s="21">
        <v>5</v>
      </c>
      <c r="X845" s="22"/>
    </row>
    <row r="846" spans="1:24" s="1" customFormat="1" ht="14.1" customHeight="1" x14ac:dyDescent="0.3">
      <c r="A846" s="23" t="s">
        <v>784</v>
      </c>
      <c r="B846" s="23" t="s">
        <v>1018</v>
      </c>
      <c r="C846" s="12" t="s">
        <v>1019</v>
      </c>
      <c r="D846" s="84"/>
      <c r="E846" s="69" t="str">
        <f t="shared" si="41"/>
        <v>Еще фото</v>
      </c>
      <c r="F846" s="13"/>
      <c r="G846" s="23" t="s">
        <v>394</v>
      </c>
      <c r="H846" s="23" t="s">
        <v>151</v>
      </c>
      <c r="I846" s="23" t="s">
        <v>424</v>
      </c>
      <c r="J846" s="14" t="s">
        <v>406</v>
      </c>
      <c r="K846" s="15" t="s">
        <v>55</v>
      </c>
      <c r="L846" s="87"/>
      <c r="M846" s="14"/>
      <c r="N846" s="14" t="s">
        <v>1020</v>
      </c>
      <c r="O846" s="14"/>
      <c r="P846" s="15" t="s">
        <v>853</v>
      </c>
      <c r="Q846" s="16">
        <v>11599</v>
      </c>
      <c r="R846" s="17">
        <v>40</v>
      </c>
      <c r="S846" s="18">
        <v>8003.3099999999986</v>
      </c>
      <c r="T846" s="19" t="s">
        <v>846</v>
      </c>
      <c r="U846" s="20" t="s">
        <v>156</v>
      </c>
      <c r="V846" s="21">
        <v>40</v>
      </c>
      <c r="W846" s="21">
        <v>1</v>
      </c>
      <c r="X846" s="22"/>
    </row>
    <row r="847" spans="1:24" s="1" customFormat="1" ht="14.1" customHeight="1" x14ac:dyDescent="0.3">
      <c r="A847" s="23" t="s">
        <v>784</v>
      </c>
      <c r="B847" s="23" t="s">
        <v>1018</v>
      </c>
      <c r="C847" s="12" t="s">
        <v>1019</v>
      </c>
      <c r="D847" s="84"/>
      <c r="E847" s="69" t="str">
        <f t="shared" si="41"/>
        <v>Еще фото</v>
      </c>
      <c r="F847" s="13"/>
      <c r="G847" s="23" t="s">
        <v>394</v>
      </c>
      <c r="H847" s="23" t="s">
        <v>151</v>
      </c>
      <c r="I847" s="23" t="s">
        <v>424</v>
      </c>
      <c r="J847" s="14" t="s">
        <v>406</v>
      </c>
      <c r="K847" s="15" t="s">
        <v>55</v>
      </c>
      <c r="L847" s="87"/>
      <c r="M847" s="14"/>
      <c r="N847" s="14" t="s">
        <v>1020</v>
      </c>
      <c r="O847" s="14"/>
      <c r="P847" s="15" t="s">
        <v>853</v>
      </c>
      <c r="Q847" s="16">
        <v>11599</v>
      </c>
      <c r="R847" s="17">
        <v>40</v>
      </c>
      <c r="S847" s="18">
        <v>8003.3099999999986</v>
      </c>
      <c r="T847" s="19" t="s">
        <v>846</v>
      </c>
      <c r="U847" s="20" t="s">
        <v>157</v>
      </c>
      <c r="V847" s="21">
        <v>41</v>
      </c>
      <c r="W847" s="21">
        <v>7</v>
      </c>
      <c r="X847" s="22"/>
    </row>
    <row r="848" spans="1:24" s="1" customFormat="1" ht="14.1" customHeight="1" x14ac:dyDescent="0.3">
      <c r="A848" s="23" t="s">
        <v>784</v>
      </c>
      <c r="B848" s="23" t="s">
        <v>1018</v>
      </c>
      <c r="C848" s="12" t="s">
        <v>1019</v>
      </c>
      <c r="D848" s="84"/>
      <c r="E848" s="69" t="str">
        <f t="shared" si="41"/>
        <v>Еще фото</v>
      </c>
      <c r="F848" s="13"/>
      <c r="G848" s="23" t="s">
        <v>394</v>
      </c>
      <c r="H848" s="23" t="s">
        <v>151</v>
      </c>
      <c r="I848" s="23" t="s">
        <v>424</v>
      </c>
      <c r="J848" s="14" t="s">
        <v>406</v>
      </c>
      <c r="K848" s="15" t="s">
        <v>55</v>
      </c>
      <c r="L848" s="87"/>
      <c r="M848" s="14"/>
      <c r="N848" s="14" t="s">
        <v>1020</v>
      </c>
      <c r="O848" s="14"/>
      <c r="P848" s="15" t="s">
        <v>853</v>
      </c>
      <c r="Q848" s="16">
        <v>11599</v>
      </c>
      <c r="R848" s="17">
        <v>40</v>
      </c>
      <c r="S848" s="18">
        <v>8003.3099999999986</v>
      </c>
      <c r="T848" s="19" t="s">
        <v>846</v>
      </c>
      <c r="U848" s="20" t="s">
        <v>435</v>
      </c>
      <c r="V848" s="30">
        <v>41.5</v>
      </c>
      <c r="W848" s="21">
        <v>2</v>
      </c>
      <c r="X848" s="22"/>
    </row>
    <row r="849" spans="1:24" s="1" customFormat="1" ht="14.1" customHeight="1" x14ac:dyDescent="0.3">
      <c r="A849" s="23" t="s">
        <v>784</v>
      </c>
      <c r="B849" s="23" t="s">
        <v>1018</v>
      </c>
      <c r="C849" s="12" t="s">
        <v>1019</v>
      </c>
      <c r="D849" s="84"/>
      <c r="E849" s="69" t="str">
        <f t="shared" si="41"/>
        <v>Еще фото</v>
      </c>
      <c r="F849" s="13"/>
      <c r="G849" s="23" t="s">
        <v>394</v>
      </c>
      <c r="H849" s="23" t="s">
        <v>151</v>
      </c>
      <c r="I849" s="23" t="s">
        <v>424</v>
      </c>
      <c r="J849" s="14" t="s">
        <v>406</v>
      </c>
      <c r="K849" s="15" t="s">
        <v>55</v>
      </c>
      <c r="L849" s="87"/>
      <c r="M849" s="14"/>
      <c r="N849" s="14" t="s">
        <v>1020</v>
      </c>
      <c r="O849" s="14"/>
      <c r="P849" s="15" t="s">
        <v>853</v>
      </c>
      <c r="Q849" s="16">
        <v>11599</v>
      </c>
      <c r="R849" s="17">
        <v>40</v>
      </c>
      <c r="S849" s="18">
        <v>8003.3099999999986</v>
      </c>
      <c r="T849" s="19" t="s">
        <v>846</v>
      </c>
      <c r="U849" s="20" t="s">
        <v>436</v>
      </c>
      <c r="V849" s="21">
        <v>43</v>
      </c>
      <c r="W849" s="21">
        <v>3</v>
      </c>
      <c r="X849" s="22"/>
    </row>
    <row r="850" spans="1:24" s="1" customFormat="1" ht="14.1" customHeight="1" x14ac:dyDescent="0.3">
      <c r="A850" s="23" t="s">
        <v>784</v>
      </c>
      <c r="B850" s="23" t="s">
        <v>1018</v>
      </c>
      <c r="C850" s="12" t="s">
        <v>1019</v>
      </c>
      <c r="D850" s="84"/>
      <c r="E850" s="69" t="str">
        <f t="shared" si="41"/>
        <v>Еще фото</v>
      </c>
      <c r="F850" s="13"/>
      <c r="G850" s="23" t="s">
        <v>394</v>
      </c>
      <c r="H850" s="23" t="s">
        <v>151</v>
      </c>
      <c r="I850" s="23" t="s">
        <v>424</v>
      </c>
      <c r="J850" s="14" t="s">
        <v>406</v>
      </c>
      <c r="K850" s="15" t="s">
        <v>55</v>
      </c>
      <c r="L850" s="87"/>
      <c r="M850" s="14"/>
      <c r="N850" s="14" t="s">
        <v>1020</v>
      </c>
      <c r="O850" s="14"/>
      <c r="P850" s="15" t="s">
        <v>853</v>
      </c>
      <c r="Q850" s="16">
        <v>11599</v>
      </c>
      <c r="R850" s="17">
        <v>40</v>
      </c>
      <c r="S850" s="18">
        <v>8003.3099999999986</v>
      </c>
      <c r="T850" s="19" t="s">
        <v>846</v>
      </c>
      <c r="U850" s="20" t="s">
        <v>163</v>
      </c>
      <c r="V850" s="30">
        <v>43.5</v>
      </c>
      <c r="W850" s="21">
        <v>3</v>
      </c>
      <c r="X850" s="22"/>
    </row>
    <row r="851" spans="1:24" s="1" customFormat="1" ht="17.100000000000001" customHeight="1" x14ac:dyDescent="0.3">
      <c r="A851" s="23" t="s">
        <v>784</v>
      </c>
      <c r="B851" s="23" t="s">
        <v>1018</v>
      </c>
      <c r="C851" s="12" t="s">
        <v>1019</v>
      </c>
      <c r="D851" s="85"/>
      <c r="E851" s="69" t="str">
        <f t="shared" si="41"/>
        <v>Еще фото</v>
      </c>
      <c r="F851" s="13"/>
      <c r="G851" s="23" t="s">
        <v>394</v>
      </c>
      <c r="H851" s="23" t="s">
        <v>151</v>
      </c>
      <c r="I851" s="23" t="s">
        <v>424</v>
      </c>
      <c r="J851" s="14" t="s">
        <v>406</v>
      </c>
      <c r="K851" s="15" t="s">
        <v>55</v>
      </c>
      <c r="L851" s="88"/>
      <c r="M851" s="14"/>
      <c r="N851" s="14" t="s">
        <v>1020</v>
      </c>
      <c r="O851" s="14"/>
      <c r="P851" s="15" t="s">
        <v>853</v>
      </c>
      <c r="Q851" s="16">
        <v>11599</v>
      </c>
      <c r="R851" s="17">
        <v>40</v>
      </c>
      <c r="S851" s="18">
        <v>8003.3099999999986</v>
      </c>
      <c r="T851" s="19" t="s">
        <v>846</v>
      </c>
      <c r="U851" s="20" t="s">
        <v>907</v>
      </c>
      <c r="V851" s="21">
        <v>44</v>
      </c>
      <c r="W851" s="21">
        <v>5</v>
      </c>
      <c r="X851" s="22"/>
    </row>
    <row r="852" spans="1:24" s="1" customFormat="1" ht="17.100000000000001" customHeight="1" x14ac:dyDescent="0.3">
      <c r="A852" s="11" t="s">
        <v>784</v>
      </c>
      <c r="B852" s="11" t="s">
        <v>1021</v>
      </c>
      <c r="C852" s="12" t="s">
        <v>1022</v>
      </c>
      <c r="D852" s="83"/>
      <c r="E852" s="69" t="str">
        <f t="shared" ref="E852:E857" si="42">HYPERLINK("https://www.google.ru/search?q=61GB2336-60&amp;newwindow=1&amp;tbm=isch","Еще фото")</f>
        <v>Еще фото</v>
      </c>
      <c r="F852" s="13"/>
      <c r="G852" s="11" t="s">
        <v>394</v>
      </c>
      <c r="H852" s="11" t="s">
        <v>151</v>
      </c>
      <c r="I852" s="14" t="s">
        <v>424</v>
      </c>
      <c r="J852" s="14" t="s">
        <v>917</v>
      </c>
      <c r="K852" s="15" t="s">
        <v>55</v>
      </c>
      <c r="L852" s="86" t="s">
        <v>1023</v>
      </c>
      <c r="M852" s="14"/>
      <c r="N852" s="14" t="s">
        <v>1024</v>
      </c>
      <c r="O852" s="14"/>
      <c r="P852" s="15" t="s">
        <v>853</v>
      </c>
      <c r="Q852" s="16">
        <v>8899</v>
      </c>
      <c r="R852" s="17">
        <v>40</v>
      </c>
      <c r="S852" s="18">
        <v>6140.3099999999995</v>
      </c>
      <c r="T852" s="19" t="s">
        <v>846</v>
      </c>
      <c r="U852" s="20" t="s">
        <v>821</v>
      </c>
      <c r="V852" s="21">
        <v>36</v>
      </c>
      <c r="W852" s="21">
        <v>7</v>
      </c>
      <c r="X852" s="22"/>
    </row>
    <row r="853" spans="1:24" s="1" customFormat="1" ht="17.100000000000001" customHeight="1" x14ac:dyDescent="0.3">
      <c r="A853" s="23" t="s">
        <v>784</v>
      </c>
      <c r="B853" s="23" t="s">
        <v>1021</v>
      </c>
      <c r="C853" s="12" t="s">
        <v>1022</v>
      </c>
      <c r="D853" s="84"/>
      <c r="E853" s="69" t="str">
        <f t="shared" si="42"/>
        <v>Еще фото</v>
      </c>
      <c r="F853" s="13"/>
      <c r="G853" s="23" t="s">
        <v>394</v>
      </c>
      <c r="H853" s="23" t="s">
        <v>151</v>
      </c>
      <c r="I853" s="23" t="s">
        <v>424</v>
      </c>
      <c r="J853" s="14" t="s">
        <v>917</v>
      </c>
      <c r="K853" s="15" t="s">
        <v>55</v>
      </c>
      <c r="L853" s="87"/>
      <c r="M853" s="14"/>
      <c r="N853" s="14" t="s">
        <v>1024</v>
      </c>
      <c r="O853" s="14"/>
      <c r="P853" s="15" t="s">
        <v>853</v>
      </c>
      <c r="Q853" s="16">
        <v>8899</v>
      </c>
      <c r="R853" s="17">
        <v>40</v>
      </c>
      <c r="S853" s="18">
        <v>6140.3099999999995</v>
      </c>
      <c r="T853" s="19" t="s">
        <v>846</v>
      </c>
      <c r="U853" s="20" t="s">
        <v>847</v>
      </c>
      <c r="V853" s="30">
        <v>36.5</v>
      </c>
      <c r="W853" s="21">
        <v>18</v>
      </c>
      <c r="X853" s="22"/>
    </row>
    <row r="854" spans="1:24" s="1" customFormat="1" ht="17.100000000000001" customHeight="1" x14ac:dyDescent="0.3">
      <c r="A854" s="23" t="s">
        <v>784</v>
      </c>
      <c r="B854" s="23" t="s">
        <v>1021</v>
      </c>
      <c r="C854" s="12" t="s">
        <v>1022</v>
      </c>
      <c r="D854" s="84"/>
      <c r="E854" s="69" t="str">
        <f t="shared" si="42"/>
        <v>Еще фото</v>
      </c>
      <c r="F854" s="13"/>
      <c r="G854" s="23" t="s">
        <v>394</v>
      </c>
      <c r="H854" s="23" t="s">
        <v>151</v>
      </c>
      <c r="I854" s="23" t="s">
        <v>424</v>
      </c>
      <c r="J854" s="14" t="s">
        <v>917</v>
      </c>
      <c r="K854" s="15" t="s">
        <v>55</v>
      </c>
      <c r="L854" s="87"/>
      <c r="M854" s="14"/>
      <c r="N854" s="14" t="s">
        <v>1024</v>
      </c>
      <c r="O854" s="14"/>
      <c r="P854" s="15" t="s">
        <v>853</v>
      </c>
      <c r="Q854" s="16">
        <v>8899</v>
      </c>
      <c r="R854" s="17">
        <v>40</v>
      </c>
      <c r="S854" s="18">
        <v>6140.3099999999995</v>
      </c>
      <c r="T854" s="19" t="s">
        <v>846</v>
      </c>
      <c r="U854" s="20" t="s">
        <v>818</v>
      </c>
      <c r="V854" s="21">
        <v>37</v>
      </c>
      <c r="W854" s="21">
        <v>16</v>
      </c>
      <c r="X854" s="22"/>
    </row>
    <row r="855" spans="1:24" s="1" customFormat="1" ht="17.100000000000001" customHeight="1" x14ac:dyDescent="0.3">
      <c r="A855" s="23" t="s">
        <v>784</v>
      </c>
      <c r="B855" s="23" t="s">
        <v>1021</v>
      </c>
      <c r="C855" s="12" t="s">
        <v>1022</v>
      </c>
      <c r="D855" s="84"/>
      <c r="E855" s="69" t="str">
        <f t="shared" si="42"/>
        <v>Еще фото</v>
      </c>
      <c r="F855" s="13"/>
      <c r="G855" s="23" t="s">
        <v>394</v>
      </c>
      <c r="H855" s="23" t="s">
        <v>151</v>
      </c>
      <c r="I855" s="23" t="s">
        <v>424</v>
      </c>
      <c r="J855" s="14" t="s">
        <v>917</v>
      </c>
      <c r="K855" s="15" t="s">
        <v>55</v>
      </c>
      <c r="L855" s="87"/>
      <c r="M855" s="14"/>
      <c r="N855" s="14" t="s">
        <v>1024</v>
      </c>
      <c r="O855" s="14"/>
      <c r="P855" s="15" t="s">
        <v>853</v>
      </c>
      <c r="Q855" s="16">
        <v>8899</v>
      </c>
      <c r="R855" s="17">
        <v>40</v>
      </c>
      <c r="S855" s="18">
        <v>6140.3099999999995</v>
      </c>
      <c r="T855" s="19" t="s">
        <v>846</v>
      </c>
      <c r="U855" s="20" t="s">
        <v>848</v>
      </c>
      <c r="V855" s="30">
        <v>37.5</v>
      </c>
      <c r="W855" s="21">
        <v>25</v>
      </c>
      <c r="X855" s="22"/>
    </row>
    <row r="856" spans="1:24" s="1" customFormat="1" ht="17.100000000000001" customHeight="1" x14ac:dyDescent="0.3">
      <c r="A856" s="23" t="s">
        <v>784</v>
      </c>
      <c r="B856" s="23" t="s">
        <v>1021</v>
      </c>
      <c r="C856" s="12" t="s">
        <v>1022</v>
      </c>
      <c r="D856" s="84"/>
      <c r="E856" s="69" t="str">
        <f t="shared" si="42"/>
        <v>Еще фото</v>
      </c>
      <c r="F856" s="13"/>
      <c r="G856" s="23" t="s">
        <v>394</v>
      </c>
      <c r="H856" s="23" t="s">
        <v>151</v>
      </c>
      <c r="I856" s="23" t="s">
        <v>424</v>
      </c>
      <c r="J856" s="14" t="s">
        <v>917</v>
      </c>
      <c r="K856" s="15" t="s">
        <v>55</v>
      </c>
      <c r="L856" s="87"/>
      <c r="M856" s="14"/>
      <c r="N856" s="14" t="s">
        <v>1024</v>
      </c>
      <c r="O856" s="14"/>
      <c r="P856" s="15" t="s">
        <v>853</v>
      </c>
      <c r="Q856" s="16">
        <v>8899</v>
      </c>
      <c r="R856" s="17">
        <v>40</v>
      </c>
      <c r="S856" s="18">
        <v>6140.3099999999995</v>
      </c>
      <c r="T856" s="19" t="s">
        <v>846</v>
      </c>
      <c r="U856" s="20" t="s">
        <v>849</v>
      </c>
      <c r="V856" s="21">
        <v>38</v>
      </c>
      <c r="W856" s="21">
        <v>4</v>
      </c>
      <c r="X856" s="22"/>
    </row>
    <row r="857" spans="1:24" s="1" customFormat="1" ht="21.95" customHeight="1" x14ac:dyDescent="0.3">
      <c r="A857" s="23" t="s">
        <v>784</v>
      </c>
      <c r="B857" s="23" t="s">
        <v>1021</v>
      </c>
      <c r="C857" s="12" t="s">
        <v>1022</v>
      </c>
      <c r="D857" s="85"/>
      <c r="E857" s="69" t="str">
        <f t="shared" si="42"/>
        <v>Еще фото</v>
      </c>
      <c r="F857" s="13"/>
      <c r="G857" s="23" t="s">
        <v>394</v>
      </c>
      <c r="H857" s="23" t="s">
        <v>151</v>
      </c>
      <c r="I857" s="23" t="s">
        <v>424</v>
      </c>
      <c r="J857" s="14" t="s">
        <v>917</v>
      </c>
      <c r="K857" s="15" t="s">
        <v>55</v>
      </c>
      <c r="L857" s="88"/>
      <c r="M857" s="14"/>
      <c r="N857" s="14" t="s">
        <v>1024</v>
      </c>
      <c r="O857" s="14"/>
      <c r="P857" s="15" t="s">
        <v>853</v>
      </c>
      <c r="Q857" s="16">
        <v>8899</v>
      </c>
      <c r="R857" s="17">
        <v>40</v>
      </c>
      <c r="S857" s="18">
        <v>6140.3099999999995</v>
      </c>
      <c r="T857" s="19" t="s">
        <v>846</v>
      </c>
      <c r="U857" s="20" t="s">
        <v>500</v>
      </c>
      <c r="V857" s="21">
        <v>39</v>
      </c>
      <c r="W857" s="21">
        <v>5</v>
      </c>
      <c r="X857" s="22"/>
    </row>
    <row r="858" spans="1:24" s="1" customFormat="1" ht="17.100000000000001" customHeight="1" x14ac:dyDescent="0.3">
      <c r="A858" s="11" t="s">
        <v>784</v>
      </c>
      <c r="B858" s="11" t="s">
        <v>1025</v>
      </c>
      <c r="C858" s="12" t="s">
        <v>1026</v>
      </c>
      <c r="D858" s="83"/>
      <c r="E858" s="69" t="str">
        <f t="shared" ref="E858:E863" si="43">HYPERLINK("https://www.google.ru/search?q=61GC1923-08&amp;newwindow=1&amp;tbm=isch","Еще фото")</f>
        <v>Еще фото</v>
      </c>
      <c r="F858" s="13"/>
      <c r="G858" s="11" t="s">
        <v>394</v>
      </c>
      <c r="H858" s="11" t="s">
        <v>151</v>
      </c>
      <c r="I858" s="14" t="s">
        <v>424</v>
      </c>
      <c r="J858" s="14" t="s">
        <v>406</v>
      </c>
      <c r="K858" s="15" t="s">
        <v>47</v>
      </c>
      <c r="L858" s="86"/>
      <c r="M858" s="14"/>
      <c r="N858" s="14" t="s">
        <v>1027</v>
      </c>
      <c r="O858" s="14"/>
      <c r="P858" s="15" t="s">
        <v>883</v>
      </c>
      <c r="Q858" s="16">
        <v>11099</v>
      </c>
      <c r="R858" s="17">
        <v>40</v>
      </c>
      <c r="S858" s="18">
        <v>7658.3099999999986</v>
      </c>
      <c r="T858" s="19" t="s">
        <v>846</v>
      </c>
      <c r="U858" s="20" t="s">
        <v>1028</v>
      </c>
      <c r="V858" s="21">
        <v>32</v>
      </c>
      <c r="W858" s="21">
        <v>2</v>
      </c>
      <c r="X858" s="22"/>
    </row>
    <row r="859" spans="1:24" s="1" customFormat="1" ht="17.100000000000001" customHeight="1" x14ac:dyDescent="0.3">
      <c r="A859" s="23" t="s">
        <v>784</v>
      </c>
      <c r="B859" s="23" t="s">
        <v>1025</v>
      </c>
      <c r="C859" s="12" t="s">
        <v>1026</v>
      </c>
      <c r="D859" s="84"/>
      <c r="E859" s="69" t="str">
        <f t="shared" si="43"/>
        <v>Еще фото</v>
      </c>
      <c r="F859" s="13"/>
      <c r="G859" s="23" t="s">
        <v>394</v>
      </c>
      <c r="H859" s="23" t="s">
        <v>151</v>
      </c>
      <c r="I859" s="23" t="s">
        <v>424</v>
      </c>
      <c r="J859" s="14" t="s">
        <v>406</v>
      </c>
      <c r="K859" s="15" t="s">
        <v>47</v>
      </c>
      <c r="L859" s="87"/>
      <c r="M859" s="14"/>
      <c r="N859" s="14" t="s">
        <v>1027</v>
      </c>
      <c r="O859" s="14"/>
      <c r="P859" s="15" t="s">
        <v>883</v>
      </c>
      <c r="Q859" s="16">
        <v>11099</v>
      </c>
      <c r="R859" s="17">
        <v>40</v>
      </c>
      <c r="S859" s="18">
        <v>7658.3099999999986</v>
      </c>
      <c r="T859" s="19" t="s">
        <v>846</v>
      </c>
      <c r="U859" s="20" t="s">
        <v>821</v>
      </c>
      <c r="V859" s="21">
        <v>36</v>
      </c>
      <c r="W859" s="21">
        <v>8</v>
      </c>
      <c r="X859" s="22"/>
    </row>
    <row r="860" spans="1:24" s="1" customFormat="1" ht="17.100000000000001" customHeight="1" x14ac:dyDescent="0.3">
      <c r="A860" s="23" t="s">
        <v>784</v>
      </c>
      <c r="B860" s="23" t="s">
        <v>1025</v>
      </c>
      <c r="C860" s="12" t="s">
        <v>1026</v>
      </c>
      <c r="D860" s="84"/>
      <c r="E860" s="69" t="str">
        <f t="shared" si="43"/>
        <v>Еще фото</v>
      </c>
      <c r="F860" s="13"/>
      <c r="G860" s="23" t="s">
        <v>394</v>
      </c>
      <c r="H860" s="23" t="s">
        <v>151</v>
      </c>
      <c r="I860" s="23" t="s">
        <v>424</v>
      </c>
      <c r="J860" s="14" t="s">
        <v>406</v>
      </c>
      <c r="K860" s="15" t="s">
        <v>47</v>
      </c>
      <c r="L860" s="87"/>
      <c r="M860" s="14"/>
      <c r="N860" s="14" t="s">
        <v>1027</v>
      </c>
      <c r="O860" s="14"/>
      <c r="P860" s="15" t="s">
        <v>883</v>
      </c>
      <c r="Q860" s="16">
        <v>11099</v>
      </c>
      <c r="R860" s="17">
        <v>40</v>
      </c>
      <c r="S860" s="18">
        <v>7658.3099999999986</v>
      </c>
      <c r="T860" s="19" t="s">
        <v>846</v>
      </c>
      <c r="U860" s="20" t="s">
        <v>854</v>
      </c>
      <c r="V860" s="30">
        <v>39.5</v>
      </c>
      <c r="W860" s="21">
        <v>4</v>
      </c>
      <c r="X860" s="22"/>
    </row>
    <row r="861" spans="1:24" s="1" customFormat="1" ht="17.100000000000001" customHeight="1" x14ac:dyDescent="0.3">
      <c r="A861" s="23" t="s">
        <v>784</v>
      </c>
      <c r="B861" s="23" t="s">
        <v>1025</v>
      </c>
      <c r="C861" s="12" t="s">
        <v>1026</v>
      </c>
      <c r="D861" s="84"/>
      <c r="E861" s="69" t="str">
        <f t="shared" si="43"/>
        <v>Еще фото</v>
      </c>
      <c r="F861" s="13"/>
      <c r="G861" s="23" t="s">
        <v>394</v>
      </c>
      <c r="H861" s="23" t="s">
        <v>151</v>
      </c>
      <c r="I861" s="23" t="s">
        <v>424</v>
      </c>
      <c r="J861" s="14" t="s">
        <v>406</v>
      </c>
      <c r="K861" s="15" t="s">
        <v>47</v>
      </c>
      <c r="L861" s="87"/>
      <c r="M861" s="14"/>
      <c r="N861" s="14" t="s">
        <v>1027</v>
      </c>
      <c r="O861" s="14"/>
      <c r="P861" s="15" t="s">
        <v>883</v>
      </c>
      <c r="Q861" s="16">
        <v>11099</v>
      </c>
      <c r="R861" s="17">
        <v>40</v>
      </c>
      <c r="S861" s="18">
        <v>7658.3099999999986</v>
      </c>
      <c r="T861" s="19" t="s">
        <v>846</v>
      </c>
      <c r="U861" s="20" t="s">
        <v>156</v>
      </c>
      <c r="V861" s="21">
        <v>40</v>
      </c>
      <c r="W861" s="21">
        <v>1</v>
      </c>
      <c r="X861" s="22"/>
    </row>
    <row r="862" spans="1:24" s="1" customFormat="1" ht="17.100000000000001" customHeight="1" x14ac:dyDescent="0.3">
      <c r="A862" s="23" t="s">
        <v>784</v>
      </c>
      <c r="B862" s="23" t="s">
        <v>1025</v>
      </c>
      <c r="C862" s="12" t="s">
        <v>1026</v>
      </c>
      <c r="D862" s="84"/>
      <c r="E862" s="69" t="str">
        <f t="shared" si="43"/>
        <v>Еще фото</v>
      </c>
      <c r="F862" s="13"/>
      <c r="G862" s="23" t="s">
        <v>394</v>
      </c>
      <c r="H862" s="23" t="s">
        <v>151</v>
      </c>
      <c r="I862" s="23" t="s">
        <v>424</v>
      </c>
      <c r="J862" s="14" t="s">
        <v>406</v>
      </c>
      <c r="K862" s="15" t="s">
        <v>47</v>
      </c>
      <c r="L862" s="87"/>
      <c r="M862" s="14"/>
      <c r="N862" s="14" t="s">
        <v>1027</v>
      </c>
      <c r="O862" s="14"/>
      <c r="P862" s="15" t="s">
        <v>883</v>
      </c>
      <c r="Q862" s="16">
        <v>11099</v>
      </c>
      <c r="R862" s="17">
        <v>40</v>
      </c>
      <c r="S862" s="18">
        <v>7658.3099999999986</v>
      </c>
      <c r="T862" s="19" t="s">
        <v>846</v>
      </c>
      <c r="U862" s="20" t="s">
        <v>157</v>
      </c>
      <c r="V862" s="21">
        <v>41</v>
      </c>
      <c r="W862" s="21">
        <v>4</v>
      </c>
      <c r="X862" s="22"/>
    </row>
    <row r="863" spans="1:24" s="1" customFormat="1" ht="21.95" customHeight="1" x14ac:dyDescent="0.3">
      <c r="A863" s="23" t="s">
        <v>784</v>
      </c>
      <c r="B863" s="23" t="s">
        <v>1025</v>
      </c>
      <c r="C863" s="12" t="s">
        <v>1026</v>
      </c>
      <c r="D863" s="85"/>
      <c r="E863" s="69" t="str">
        <f t="shared" si="43"/>
        <v>Еще фото</v>
      </c>
      <c r="F863" s="13"/>
      <c r="G863" s="23" t="s">
        <v>394</v>
      </c>
      <c r="H863" s="23" t="s">
        <v>151</v>
      </c>
      <c r="I863" s="23" t="s">
        <v>424</v>
      </c>
      <c r="J863" s="14" t="s">
        <v>406</v>
      </c>
      <c r="K863" s="15" t="s">
        <v>47</v>
      </c>
      <c r="L863" s="88"/>
      <c r="M863" s="14"/>
      <c r="N863" s="14" t="s">
        <v>1027</v>
      </c>
      <c r="O863" s="14"/>
      <c r="P863" s="15" t="s">
        <v>883</v>
      </c>
      <c r="Q863" s="16">
        <v>11099</v>
      </c>
      <c r="R863" s="17">
        <v>40</v>
      </c>
      <c r="S863" s="18">
        <v>7658.3099999999986</v>
      </c>
      <c r="T863" s="19" t="s">
        <v>846</v>
      </c>
      <c r="U863" s="20" t="s">
        <v>435</v>
      </c>
      <c r="V863" s="30">
        <v>41.5</v>
      </c>
      <c r="W863" s="21">
        <v>1</v>
      </c>
      <c r="X863" s="22"/>
    </row>
    <row r="864" spans="1:24" s="1" customFormat="1" ht="12.95" customHeight="1" x14ac:dyDescent="0.3">
      <c r="A864" s="11" t="s">
        <v>784</v>
      </c>
      <c r="B864" s="11" t="s">
        <v>1029</v>
      </c>
      <c r="C864" s="12" t="s">
        <v>1030</v>
      </c>
      <c r="D864" s="83"/>
      <c r="E864" s="69" t="str">
        <f t="shared" ref="E864:E871" si="44">HYPERLINK("https://www.google.ru/search?q=61GC2274-36&amp;newwindow=1&amp;tbm=isch","Еще фото")</f>
        <v>Еще фото</v>
      </c>
      <c r="F864" s="13"/>
      <c r="G864" s="11" t="s">
        <v>394</v>
      </c>
      <c r="H864" s="11" t="s">
        <v>151</v>
      </c>
      <c r="I864" s="14" t="s">
        <v>424</v>
      </c>
      <c r="J864" s="14" t="s">
        <v>406</v>
      </c>
      <c r="K864" s="15" t="s">
        <v>114</v>
      </c>
      <c r="L864" s="86"/>
      <c r="M864" s="14"/>
      <c r="N864" s="14" t="s">
        <v>1031</v>
      </c>
      <c r="O864" s="14"/>
      <c r="P864" s="15" t="s">
        <v>853</v>
      </c>
      <c r="Q864" s="16">
        <v>15799</v>
      </c>
      <c r="R864" s="17">
        <v>40</v>
      </c>
      <c r="S864" s="18">
        <v>10901.31</v>
      </c>
      <c r="T864" s="19" t="s">
        <v>846</v>
      </c>
      <c r="U864" s="26" t="s">
        <v>500</v>
      </c>
      <c r="V864" s="21">
        <v>39</v>
      </c>
      <c r="W864" s="21">
        <v>4</v>
      </c>
      <c r="X864" s="22"/>
    </row>
    <row r="865" spans="1:24" s="1" customFormat="1" ht="12.95" customHeight="1" x14ac:dyDescent="0.3">
      <c r="A865" s="23" t="s">
        <v>784</v>
      </c>
      <c r="B865" s="23" t="s">
        <v>1029</v>
      </c>
      <c r="C865" s="12" t="s">
        <v>1030</v>
      </c>
      <c r="D865" s="84"/>
      <c r="E865" s="69" t="str">
        <f t="shared" si="44"/>
        <v>Еще фото</v>
      </c>
      <c r="F865" s="13"/>
      <c r="G865" s="23" t="s">
        <v>394</v>
      </c>
      <c r="H865" s="23" t="s">
        <v>151</v>
      </c>
      <c r="I865" s="23" t="s">
        <v>424</v>
      </c>
      <c r="J865" s="14" t="s">
        <v>406</v>
      </c>
      <c r="K865" s="15" t="s">
        <v>114</v>
      </c>
      <c r="L865" s="87"/>
      <c r="M865" s="14"/>
      <c r="N865" s="14" t="s">
        <v>1031</v>
      </c>
      <c r="O865" s="14"/>
      <c r="P865" s="15" t="s">
        <v>853</v>
      </c>
      <c r="Q865" s="16">
        <v>15799</v>
      </c>
      <c r="R865" s="17">
        <v>40</v>
      </c>
      <c r="S865" s="18">
        <v>10901.31</v>
      </c>
      <c r="T865" s="19" t="s">
        <v>846</v>
      </c>
      <c r="U865" s="20" t="s">
        <v>854</v>
      </c>
      <c r="V865" s="30">
        <v>39.5</v>
      </c>
      <c r="W865" s="21">
        <v>3</v>
      </c>
      <c r="X865" s="22"/>
    </row>
    <row r="866" spans="1:24" s="1" customFormat="1" ht="12.95" customHeight="1" x14ac:dyDescent="0.3">
      <c r="A866" s="23" t="s">
        <v>784</v>
      </c>
      <c r="B866" s="23" t="s">
        <v>1029</v>
      </c>
      <c r="C866" s="12" t="s">
        <v>1030</v>
      </c>
      <c r="D866" s="84"/>
      <c r="E866" s="69" t="str">
        <f t="shared" si="44"/>
        <v>Еще фото</v>
      </c>
      <c r="F866" s="13"/>
      <c r="G866" s="23" t="s">
        <v>394</v>
      </c>
      <c r="H866" s="23" t="s">
        <v>151</v>
      </c>
      <c r="I866" s="23" t="s">
        <v>424</v>
      </c>
      <c r="J866" s="14" t="s">
        <v>406</v>
      </c>
      <c r="K866" s="15" t="s">
        <v>114</v>
      </c>
      <c r="L866" s="87"/>
      <c r="M866" s="14"/>
      <c r="N866" s="14" t="s">
        <v>1031</v>
      </c>
      <c r="O866" s="14"/>
      <c r="P866" s="15" t="s">
        <v>853</v>
      </c>
      <c r="Q866" s="16">
        <v>15799</v>
      </c>
      <c r="R866" s="17">
        <v>40</v>
      </c>
      <c r="S866" s="18">
        <v>10901.31</v>
      </c>
      <c r="T866" s="19" t="s">
        <v>846</v>
      </c>
      <c r="U866" s="20" t="s">
        <v>156</v>
      </c>
      <c r="V866" s="21">
        <v>40</v>
      </c>
      <c r="W866" s="21">
        <v>1</v>
      </c>
      <c r="X866" s="22"/>
    </row>
    <row r="867" spans="1:24" s="1" customFormat="1" ht="12.95" customHeight="1" x14ac:dyDescent="0.3">
      <c r="A867" s="23" t="s">
        <v>784</v>
      </c>
      <c r="B867" s="23" t="s">
        <v>1029</v>
      </c>
      <c r="C867" s="12" t="s">
        <v>1030</v>
      </c>
      <c r="D867" s="84"/>
      <c r="E867" s="69" t="str">
        <f t="shared" si="44"/>
        <v>Еще фото</v>
      </c>
      <c r="F867" s="13"/>
      <c r="G867" s="23" t="s">
        <v>394</v>
      </c>
      <c r="H867" s="23" t="s">
        <v>151</v>
      </c>
      <c r="I867" s="23" t="s">
        <v>424</v>
      </c>
      <c r="J867" s="14" t="s">
        <v>406</v>
      </c>
      <c r="K867" s="15" t="s">
        <v>114</v>
      </c>
      <c r="L867" s="87"/>
      <c r="M867" s="14"/>
      <c r="N867" s="14" t="s">
        <v>1031</v>
      </c>
      <c r="O867" s="14"/>
      <c r="P867" s="15" t="s">
        <v>853</v>
      </c>
      <c r="Q867" s="16">
        <v>15799</v>
      </c>
      <c r="R867" s="17">
        <v>40</v>
      </c>
      <c r="S867" s="18">
        <v>10901.31</v>
      </c>
      <c r="T867" s="19" t="s">
        <v>846</v>
      </c>
      <c r="U867" s="20" t="s">
        <v>157</v>
      </c>
      <c r="V867" s="21">
        <v>41</v>
      </c>
      <c r="W867" s="21">
        <v>1</v>
      </c>
      <c r="X867" s="22"/>
    </row>
    <row r="868" spans="1:24" s="1" customFormat="1" ht="12.95" customHeight="1" x14ac:dyDescent="0.3">
      <c r="A868" s="23" t="s">
        <v>784</v>
      </c>
      <c r="B868" s="23" t="s">
        <v>1029</v>
      </c>
      <c r="C868" s="12" t="s">
        <v>1030</v>
      </c>
      <c r="D868" s="84"/>
      <c r="E868" s="69" t="str">
        <f t="shared" si="44"/>
        <v>Еще фото</v>
      </c>
      <c r="F868" s="13"/>
      <c r="G868" s="23" t="s">
        <v>394</v>
      </c>
      <c r="H868" s="23" t="s">
        <v>151</v>
      </c>
      <c r="I868" s="23" t="s">
        <v>424</v>
      </c>
      <c r="J868" s="14" t="s">
        <v>406</v>
      </c>
      <c r="K868" s="15" t="s">
        <v>114</v>
      </c>
      <c r="L868" s="87"/>
      <c r="M868" s="14"/>
      <c r="N868" s="14" t="s">
        <v>1031</v>
      </c>
      <c r="O868" s="14"/>
      <c r="P868" s="15" t="s">
        <v>853</v>
      </c>
      <c r="Q868" s="16">
        <v>15799</v>
      </c>
      <c r="R868" s="17">
        <v>40</v>
      </c>
      <c r="S868" s="18">
        <v>10901.31</v>
      </c>
      <c r="T868" s="19" t="s">
        <v>846</v>
      </c>
      <c r="U868" s="20" t="s">
        <v>435</v>
      </c>
      <c r="V868" s="30">
        <v>41.5</v>
      </c>
      <c r="W868" s="21">
        <v>4</v>
      </c>
      <c r="X868" s="22"/>
    </row>
    <row r="869" spans="1:24" s="1" customFormat="1" ht="12.95" customHeight="1" x14ac:dyDescent="0.3">
      <c r="A869" s="23" t="s">
        <v>784</v>
      </c>
      <c r="B869" s="23" t="s">
        <v>1029</v>
      </c>
      <c r="C869" s="12" t="s">
        <v>1030</v>
      </c>
      <c r="D869" s="84"/>
      <c r="E869" s="69" t="str">
        <f t="shared" si="44"/>
        <v>Еще фото</v>
      </c>
      <c r="F869" s="13"/>
      <c r="G869" s="23" t="s">
        <v>394</v>
      </c>
      <c r="H869" s="23" t="s">
        <v>151</v>
      </c>
      <c r="I869" s="23" t="s">
        <v>424</v>
      </c>
      <c r="J869" s="14" t="s">
        <v>406</v>
      </c>
      <c r="K869" s="15" t="s">
        <v>114</v>
      </c>
      <c r="L869" s="87"/>
      <c r="M869" s="14"/>
      <c r="N869" s="14" t="s">
        <v>1031</v>
      </c>
      <c r="O869" s="14"/>
      <c r="P869" s="15" t="s">
        <v>853</v>
      </c>
      <c r="Q869" s="16">
        <v>15799</v>
      </c>
      <c r="R869" s="17">
        <v>40</v>
      </c>
      <c r="S869" s="18">
        <v>10901.31</v>
      </c>
      <c r="T869" s="19" t="s">
        <v>846</v>
      </c>
      <c r="U869" s="20" t="s">
        <v>436</v>
      </c>
      <c r="V869" s="21">
        <v>43</v>
      </c>
      <c r="W869" s="21">
        <v>2</v>
      </c>
      <c r="X869" s="22"/>
    </row>
    <row r="870" spans="1:24" s="1" customFormat="1" ht="12.95" customHeight="1" x14ac:dyDescent="0.3">
      <c r="A870" s="23" t="s">
        <v>784</v>
      </c>
      <c r="B870" s="23" t="s">
        <v>1029</v>
      </c>
      <c r="C870" s="12" t="s">
        <v>1030</v>
      </c>
      <c r="D870" s="84"/>
      <c r="E870" s="69" t="str">
        <f t="shared" si="44"/>
        <v>Еще фото</v>
      </c>
      <c r="F870" s="13"/>
      <c r="G870" s="23" t="s">
        <v>394</v>
      </c>
      <c r="H870" s="23" t="s">
        <v>151</v>
      </c>
      <c r="I870" s="23" t="s">
        <v>424</v>
      </c>
      <c r="J870" s="14" t="s">
        <v>406</v>
      </c>
      <c r="K870" s="15" t="s">
        <v>114</v>
      </c>
      <c r="L870" s="87"/>
      <c r="M870" s="14"/>
      <c r="N870" s="14" t="s">
        <v>1031</v>
      </c>
      <c r="O870" s="14"/>
      <c r="P870" s="15" t="s">
        <v>853</v>
      </c>
      <c r="Q870" s="16">
        <v>15799</v>
      </c>
      <c r="R870" s="17">
        <v>40</v>
      </c>
      <c r="S870" s="18">
        <v>10901.31</v>
      </c>
      <c r="T870" s="19" t="s">
        <v>846</v>
      </c>
      <c r="U870" s="20" t="s">
        <v>163</v>
      </c>
      <c r="V870" s="30">
        <v>43.5</v>
      </c>
      <c r="W870" s="21">
        <v>3</v>
      </c>
      <c r="X870" s="22"/>
    </row>
    <row r="871" spans="1:24" s="1" customFormat="1" ht="18" customHeight="1" x14ac:dyDescent="0.3">
      <c r="A871" s="23" t="s">
        <v>784</v>
      </c>
      <c r="B871" s="23" t="s">
        <v>1029</v>
      </c>
      <c r="C871" s="12" t="s">
        <v>1030</v>
      </c>
      <c r="D871" s="85"/>
      <c r="E871" s="69" t="str">
        <f t="shared" si="44"/>
        <v>Еще фото</v>
      </c>
      <c r="F871" s="13"/>
      <c r="G871" s="23" t="s">
        <v>394</v>
      </c>
      <c r="H871" s="23" t="s">
        <v>151</v>
      </c>
      <c r="I871" s="23" t="s">
        <v>424</v>
      </c>
      <c r="J871" s="14" t="s">
        <v>406</v>
      </c>
      <c r="K871" s="15" t="s">
        <v>114</v>
      </c>
      <c r="L871" s="88"/>
      <c r="M871" s="14"/>
      <c r="N871" s="14" t="s">
        <v>1031</v>
      </c>
      <c r="O871" s="14"/>
      <c r="P871" s="15" t="s">
        <v>853</v>
      </c>
      <c r="Q871" s="16">
        <v>15799</v>
      </c>
      <c r="R871" s="17">
        <v>40</v>
      </c>
      <c r="S871" s="18">
        <v>10901.31</v>
      </c>
      <c r="T871" s="19" t="s">
        <v>846</v>
      </c>
      <c r="U871" s="20" t="s">
        <v>907</v>
      </c>
      <c r="V871" s="21">
        <v>44</v>
      </c>
      <c r="W871" s="21">
        <v>3</v>
      </c>
      <c r="X871" s="22"/>
    </row>
    <row r="872" spans="1:24" s="1" customFormat="1" ht="11.1" customHeight="1" x14ac:dyDescent="0.3">
      <c r="A872" s="11" t="s">
        <v>784</v>
      </c>
      <c r="B872" s="11" t="s">
        <v>1032</v>
      </c>
      <c r="C872" s="12" t="s">
        <v>1033</v>
      </c>
      <c r="D872" s="83"/>
      <c r="E872" s="69" t="str">
        <f t="shared" ref="E872:E881" si="45">HYPERLINK("https://www.google.ru/search?q=D1GA1924-54&amp;newwindow=1&amp;tbm=isch","Еще фото")</f>
        <v>Еще фото</v>
      </c>
      <c r="F872" s="13"/>
      <c r="G872" s="11" t="s">
        <v>394</v>
      </c>
      <c r="H872" s="11" t="s">
        <v>151</v>
      </c>
      <c r="I872" s="14" t="s">
        <v>424</v>
      </c>
      <c r="J872" s="14" t="s">
        <v>406</v>
      </c>
      <c r="K872" s="15" t="s">
        <v>114</v>
      </c>
      <c r="L872" s="86"/>
      <c r="M872" s="14"/>
      <c r="N872" s="14" t="s">
        <v>1034</v>
      </c>
      <c r="O872" s="14"/>
      <c r="P872" s="15" t="s">
        <v>967</v>
      </c>
      <c r="Q872" s="16">
        <v>10399</v>
      </c>
      <c r="R872" s="17">
        <v>40</v>
      </c>
      <c r="S872" s="18">
        <v>7175.3099999999986</v>
      </c>
      <c r="T872" s="19" t="s">
        <v>846</v>
      </c>
      <c r="U872" s="20" t="s">
        <v>821</v>
      </c>
      <c r="V872" s="21">
        <v>36</v>
      </c>
      <c r="W872" s="21">
        <v>4</v>
      </c>
      <c r="X872" s="22"/>
    </row>
    <row r="873" spans="1:24" s="1" customFormat="1" ht="11.1" customHeight="1" x14ac:dyDescent="0.3">
      <c r="A873" s="23" t="s">
        <v>784</v>
      </c>
      <c r="B873" s="23" t="s">
        <v>1032</v>
      </c>
      <c r="C873" s="12" t="s">
        <v>1033</v>
      </c>
      <c r="D873" s="84"/>
      <c r="E873" s="69" t="str">
        <f t="shared" si="45"/>
        <v>Еще фото</v>
      </c>
      <c r="F873" s="13"/>
      <c r="G873" s="23" t="s">
        <v>394</v>
      </c>
      <c r="H873" s="23" t="s">
        <v>151</v>
      </c>
      <c r="I873" s="23" t="s">
        <v>424</v>
      </c>
      <c r="J873" s="14" t="s">
        <v>406</v>
      </c>
      <c r="K873" s="15" t="s">
        <v>114</v>
      </c>
      <c r="L873" s="87"/>
      <c r="M873" s="14"/>
      <c r="N873" s="14" t="s">
        <v>1034</v>
      </c>
      <c r="O873" s="14"/>
      <c r="P873" s="15" t="s">
        <v>967</v>
      </c>
      <c r="Q873" s="16">
        <v>10399</v>
      </c>
      <c r="R873" s="17">
        <v>40</v>
      </c>
      <c r="S873" s="18">
        <v>7175.3099999999986</v>
      </c>
      <c r="T873" s="19" t="s">
        <v>846</v>
      </c>
      <c r="U873" s="20" t="s">
        <v>500</v>
      </c>
      <c r="V873" s="21">
        <v>39</v>
      </c>
      <c r="W873" s="21">
        <v>6</v>
      </c>
      <c r="X873" s="22"/>
    </row>
    <row r="874" spans="1:24" s="1" customFormat="1" ht="11.1" customHeight="1" x14ac:dyDescent="0.3">
      <c r="A874" s="23" t="s">
        <v>784</v>
      </c>
      <c r="B874" s="23" t="s">
        <v>1032</v>
      </c>
      <c r="C874" s="12" t="s">
        <v>1033</v>
      </c>
      <c r="D874" s="84"/>
      <c r="E874" s="69" t="str">
        <f t="shared" si="45"/>
        <v>Еще фото</v>
      </c>
      <c r="F874" s="13"/>
      <c r="G874" s="23" t="s">
        <v>394</v>
      </c>
      <c r="H874" s="23" t="s">
        <v>151</v>
      </c>
      <c r="I874" s="23" t="s">
        <v>424</v>
      </c>
      <c r="J874" s="14" t="s">
        <v>406</v>
      </c>
      <c r="K874" s="15" t="s">
        <v>114</v>
      </c>
      <c r="L874" s="87"/>
      <c r="M874" s="14"/>
      <c r="N874" s="14" t="s">
        <v>1034</v>
      </c>
      <c r="O874" s="14"/>
      <c r="P874" s="15" t="s">
        <v>967</v>
      </c>
      <c r="Q874" s="16">
        <v>10399</v>
      </c>
      <c r="R874" s="17">
        <v>40</v>
      </c>
      <c r="S874" s="18">
        <v>7175.3099999999986</v>
      </c>
      <c r="T874" s="19" t="s">
        <v>846</v>
      </c>
      <c r="U874" s="20" t="s">
        <v>854</v>
      </c>
      <c r="V874" s="30">
        <v>39.5</v>
      </c>
      <c r="W874" s="21">
        <v>3</v>
      </c>
      <c r="X874" s="22"/>
    </row>
    <row r="875" spans="1:24" s="1" customFormat="1" ht="11.1" customHeight="1" x14ac:dyDescent="0.3">
      <c r="A875" s="23" t="s">
        <v>784</v>
      </c>
      <c r="B875" s="23" t="s">
        <v>1032</v>
      </c>
      <c r="C875" s="12" t="s">
        <v>1033</v>
      </c>
      <c r="D875" s="84"/>
      <c r="E875" s="69" t="str">
        <f t="shared" si="45"/>
        <v>Еще фото</v>
      </c>
      <c r="F875" s="13"/>
      <c r="G875" s="23" t="s">
        <v>394</v>
      </c>
      <c r="H875" s="23" t="s">
        <v>151</v>
      </c>
      <c r="I875" s="23" t="s">
        <v>424</v>
      </c>
      <c r="J875" s="14" t="s">
        <v>406</v>
      </c>
      <c r="K875" s="15" t="s">
        <v>114</v>
      </c>
      <c r="L875" s="87"/>
      <c r="M875" s="14"/>
      <c r="N875" s="14" t="s">
        <v>1034</v>
      </c>
      <c r="O875" s="14"/>
      <c r="P875" s="15" t="s">
        <v>967</v>
      </c>
      <c r="Q875" s="16">
        <v>10399</v>
      </c>
      <c r="R875" s="17">
        <v>40</v>
      </c>
      <c r="S875" s="18">
        <v>7175.3099999999986</v>
      </c>
      <c r="T875" s="19" t="s">
        <v>846</v>
      </c>
      <c r="U875" s="20" t="s">
        <v>156</v>
      </c>
      <c r="V875" s="21">
        <v>40</v>
      </c>
      <c r="W875" s="21">
        <v>4</v>
      </c>
      <c r="X875" s="22"/>
    </row>
    <row r="876" spans="1:24" s="1" customFormat="1" ht="11.1" customHeight="1" x14ac:dyDescent="0.3">
      <c r="A876" s="23" t="s">
        <v>784</v>
      </c>
      <c r="B876" s="23" t="s">
        <v>1032</v>
      </c>
      <c r="C876" s="12" t="s">
        <v>1033</v>
      </c>
      <c r="D876" s="84"/>
      <c r="E876" s="69" t="str">
        <f t="shared" si="45"/>
        <v>Еще фото</v>
      </c>
      <c r="F876" s="13"/>
      <c r="G876" s="23" t="s">
        <v>394</v>
      </c>
      <c r="H876" s="23" t="s">
        <v>151</v>
      </c>
      <c r="I876" s="23" t="s">
        <v>424</v>
      </c>
      <c r="J876" s="14" t="s">
        <v>406</v>
      </c>
      <c r="K876" s="15" t="s">
        <v>114</v>
      </c>
      <c r="L876" s="87"/>
      <c r="M876" s="14"/>
      <c r="N876" s="14" t="s">
        <v>1034</v>
      </c>
      <c r="O876" s="14"/>
      <c r="P876" s="15" t="s">
        <v>967</v>
      </c>
      <c r="Q876" s="16">
        <v>10399</v>
      </c>
      <c r="R876" s="17">
        <v>40</v>
      </c>
      <c r="S876" s="18">
        <v>7175.3099999999986</v>
      </c>
      <c r="T876" s="19" t="s">
        <v>846</v>
      </c>
      <c r="U876" s="20" t="s">
        <v>157</v>
      </c>
      <c r="V876" s="21">
        <v>41</v>
      </c>
      <c r="W876" s="21">
        <v>2</v>
      </c>
      <c r="X876" s="22"/>
    </row>
    <row r="877" spans="1:24" s="1" customFormat="1" ht="11.1" customHeight="1" x14ac:dyDescent="0.3">
      <c r="A877" s="23" t="s">
        <v>784</v>
      </c>
      <c r="B877" s="23" t="s">
        <v>1032</v>
      </c>
      <c r="C877" s="12" t="s">
        <v>1033</v>
      </c>
      <c r="D877" s="84"/>
      <c r="E877" s="69" t="str">
        <f t="shared" si="45"/>
        <v>Еще фото</v>
      </c>
      <c r="F877" s="13"/>
      <c r="G877" s="23" t="s">
        <v>394</v>
      </c>
      <c r="H877" s="23" t="s">
        <v>151</v>
      </c>
      <c r="I877" s="23" t="s">
        <v>424</v>
      </c>
      <c r="J877" s="14" t="s">
        <v>406</v>
      </c>
      <c r="K877" s="15" t="s">
        <v>114</v>
      </c>
      <c r="L877" s="87"/>
      <c r="M877" s="14"/>
      <c r="N877" s="14" t="s">
        <v>1034</v>
      </c>
      <c r="O877" s="14"/>
      <c r="P877" s="15" t="s">
        <v>967</v>
      </c>
      <c r="Q877" s="16">
        <v>10399</v>
      </c>
      <c r="R877" s="17">
        <v>40</v>
      </c>
      <c r="S877" s="18">
        <v>7175.3099999999986</v>
      </c>
      <c r="T877" s="19" t="s">
        <v>846</v>
      </c>
      <c r="U877" s="20" t="s">
        <v>435</v>
      </c>
      <c r="V877" s="30">
        <v>41.5</v>
      </c>
      <c r="W877" s="21">
        <v>4</v>
      </c>
      <c r="X877" s="22"/>
    </row>
    <row r="878" spans="1:24" s="1" customFormat="1" ht="11.1" customHeight="1" x14ac:dyDescent="0.3">
      <c r="A878" s="23" t="s">
        <v>784</v>
      </c>
      <c r="B878" s="23" t="s">
        <v>1032</v>
      </c>
      <c r="C878" s="12" t="s">
        <v>1033</v>
      </c>
      <c r="D878" s="84"/>
      <c r="E878" s="69" t="str">
        <f t="shared" si="45"/>
        <v>Еще фото</v>
      </c>
      <c r="F878" s="13"/>
      <c r="G878" s="23" t="s">
        <v>394</v>
      </c>
      <c r="H878" s="23" t="s">
        <v>151</v>
      </c>
      <c r="I878" s="23" t="s">
        <v>424</v>
      </c>
      <c r="J878" s="14" t="s">
        <v>406</v>
      </c>
      <c r="K878" s="15" t="s">
        <v>114</v>
      </c>
      <c r="L878" s="87"/>
      <c r="M878" s="14"/>
      <c r="N878" s="14" t="s">
        <v>1034</v>
      </c>
      <c r="O878" s="14"/>
      <c r="P878" s="15" t="s">
        <v>967</v>
      </c>
      <c r="Q878" s="16">
        <v>10399</v>
      </c>
      <c r="R878" s="17">
        <v>40</v>
      </c>
      <c r="S878" s="18">
        <v>7175.3099999999986</v>
      </c>
      <c r="T878" s="19" t="s">
        <v>846</v>
      </c>
      <c r="U878" s="20" t="s">
        <v>162</v>
      </c>
      <c r="V878" s="21">
        <v>42</v>
      </c>
      <c r="W878" s="21">
        <v>2</v>
      </c>
      <c r="X878" s="22"/>
    </row>
    <row r="879" spans="1:24" s="1" customFormat="1" ht="11.1" customHeight="1" x14ac:dyDescent="0.3">
      <c r="A879" s="23" t="s">
        <v>784</v>
      </c>
      <c r="B879" s="23" t="s">
        <v>1032</v>
      </c>
      <c r="C879" s="12" t="s">
        <v>1033</v>
      </c>
      <c r="D879" s="84"/>
      <c r="E879" s="69" t="str">
        <f t="shared" si="45"/>
        <v>Еще фото</v>
      </c>
      <c r="F879" s="13"/>
      <c r="G879" s="23" t="s">
        <v>394</v>
      </c>
      <c r="H879" s="23" t="s">
        <v>151</v>
      </c>
      <c r="I879" s="23" t="s">
        <v>424</v>
      </c>
      <c r="J879" s="14" t="s">
        <v>406</v>
      </c>
      <c r="K879" s="15" t="s">
        <v>114</v>
      </c>
      <c r="L879" s="87"/>
      <c r="M879" s="14"/>
      <c r="N879" s="14" t="s">
        <v>1034</v>
      </c>
      <c r="O879" s="14"/>
      <c r="P879" s="15" t="s">
        <v>967</v>
      </c>
      <c r="Q879" s="16">
        <v>10399</v>
      </c>
      <c r="R879" s="17">
        <v>40</v>
      </c>
      <c r="S879" s="18">
        <v>7175.3099999999986</v>
      </c>
      <c r="T879" s="19" t="s">
        <v>846</v>
      </c>
      <c r="U879" s="20" t="s">
        <v>163</v>
      </c>
      <c r="V879" s="30">
        <v>43.5</v>
      </c>
      <c r="W879" s="21">
        <v>3</v>
      </c>
      <c r="X879" s="22"/>
    </row>
    <row r="880" spans="1:24" s="1" customFormat="1" ht="11.1" customHeight="1" x14ac:dyDescent="0.3">
      <c r="A880" s="23" t="s">
        <v>784</v>
      </c>
      <c r="B880" s="23" t="s">
        <v>1032</v>
      </c>
      <c r="C880" s="12" t="s">
        <v>1033</v>
      </c>
      <c r="D880" s="84"/>
      <c r="E880" s="69" t="str">
        <f t="shared" si="45"/>
        <v>Еще фото</v>
      </c>
      <c r="F880" s="13"/>
      <c r="G880" s="23" t="s">
        <v>394</v>
      </c>
      <c r="H880" s="23" t="s">
        <v>151</v>
      </c>
      <c r="I880" s="23" t="s">
        <v>424</v>
      </c>
      <c r="J880" s="14" t="s">
        <v>406</v>
      </c>
      <c r="K880" s="15" t="s">
        <v>114</v>
      </c>
      <c r="L880" s="87"/>
      <c r="M880" s="14"/>
      <c r="N880" s="14" t="s">
        <v>1034</v>
      </c>
      <c r="O880" s="14"/>
      <c r="P880" s="15" t="s">
        <v>967</v>
      </c>
      <c r="Q880" s="16">
        <v>10399</v>
      </c>
      <c r="R880" s="17">
        <v>40</v>
      </c>
      <c r="S880" s="18">
        <v>7175.3099999999986</v>
      </c>
      <c r="T880" s="19" t="s">
        <v>846</v>
      </c>
      <c r="U880" s="20" t="s">
        <v>907</v>
      </c>
      <c r="V880" s="21">
        <v>44</v>
      </c>
      <c r="W880" s="21">
        <v>3</v>
      </c>
      <c r="X880" s="22"/>
    </row>
    <row r="881" spans="1:24" s="1" customFormat="1" ht="11.1" customHeight="1" x14ac:dyDescent="0.3">
      <c r="A881" s="14" t="s">
        <v>784</v>
      </c>
      <c r="B881" s="14" t="s">
        <v>1032</v>
      </c>
      <c r="C881" s="12" t="s">
        <v>1033</v>
      </c>
      <c r="D881" s="85"/>
      <c r="E881" s="69" t="str">
        <f t="shared" si="45"/>
        <v>Еще фото</v>
      </c>
      <c r="F881" s="36"/>
      <c r="G881" s="14" t="s">
        <v>394</v>
      </c>
      <c r="H881" s="14" t="s">
        <v>151</v>
      </c>
      <c r="I881" s="14" t="s">
        <v>424</v>
      </c>
      <c r="J881" s="14" t="s">
        <v>406</v>
      </c>
      <c r="K881" s="14" t="s">
        <v>114</v>
      </c>
      <c r="L881" s="88"/>
      <c r="M881" s="14"/>
      <c r="N881" s="14" t="s">
        <v>1034</v>
      </c>
      <c r="O881" s="14"/>
      <c r="P881" s="14" t="s">
        <v>967</v>
      </c>
      <c r="Q881" s="33">
        <v>10399</v>
      </c>
      <c r="R881" s="34">
        <v>40</v>
      </c>
      <c r="S881" s="35">
        <v>7175.3099999999986</v>
      </c>
      <c r="T881" s="19" t="s">
        <v>846</v>
      </c>
      <c r="U881" s="20" t="s">
        <v>164</v>
      </c>
      <c r="V881" s="21">
        <v>45</v>
      </c>
      <c r="W881" s="21">
        <v>4</v>
      </c>
      <c r="X881" s="22"/>
    </row>
    <row r="882" spans="1:24" s="1" customFormat="1" ht="11.1" customHeight="1" x14ac:dyDescent="0.3">
      <c r="A882" s="11" t="s">
        <v>784</v>
      </c>
      <c r="B882" s="11" t="s">
        <v>1035</v>
      </c>
      <c r="C882" s="12" t="s">
        <v>1036</v>
      </c>
      <c r="D882" s="83"/>
      <c r="E882" s="69" t="str">
        <f t="shared" ref="E882:E892" si="46">HYPERLINK("https://www.google.ru/search?q=D1GA1924-65&amp;newwindow=1&amp;tbm=isch","Еще фото")</f>
        <v>Еще фото</v>
      </c>
      <c r="F882" s="13"/>
      <c r="G882" s="11" t="s">
        <v>394</v>
      </c>
      <c r="H882" s="11" t="s">
        <v>151</v>
      </c>
      <c r="I882" s="14" t="s">
        <v>424</v>
      </c>
      <c r="J882" s="14" t="s">
        <v>406</v>
      </c>
      <c r="K882" s="15" t="s">
        <v>114</v>
      </c>
      <c r="L882" s="86"/>
      <c r="M882" s="14"/>
      <c r="N882" s="14" t="s">
        <v>1037</v>
      </c>
      <c r="O882" s="14"/>
      <c r="P882" s="15" t="s">
        <v>967</v>
      </c>
      <c r="Q882" s="16">
        <v>10399</v>
      </c>
      <c r="R882" s="17">
        <v>40</v>
      </c>
      <c r="S882" s="18">
        <v>7175.3099999999986</v>
      </c>
      <c r="T882" s="19" t="s">
        <v>846</v>
      </c>
      <c r="U882" s="20" t="s">
        <v>849</v>
      </c>
      <c r="V882" s="21">
        <v>38</v>
      </c>
      <c r="W882" s="21">
        <v>2</v>
      </c>
      <c r="X882" s="22"/>
    </row>
    <row r="883" spans="1:24" s="1" customFormat="1" ht="11.1" customHeight="1" x14ac:dyDescent="0.3">
      <c r="A883" s="23" t="s">
        <v>784</v>
      </c>
      <c r="B883" s="23" t="s">
        <v>1035</v>
      </c>
      <c r="C883" s="12" t="s">
        <v>1036</v>
      </c>
      <c r="D883" s="84"/>
      <c r="E883" s="69" t="str">
        <f t="shared" si="46"/>
        <v>Еще фото</v>
      </c>
      <c r="F883" s="13"/>
      <c r="G883" s="23" t="s">
        <v>394</v>
      </c>
      <c r="H883" s="23" t="s">
        <v>151</v>
      </c>
      <c r="I883" s="23" t="s">
        <v>424</v>
      </c>
      <c r="J883" s="14" t="s">
        <v>406</v>
      </c>
      <c r="K883" s="15" t="s">
        <v>114</v>
      </c>
      <c r="L883" s="87"/>
      <c r="M883" s="14"/>
      <c r="N883" s="14" t="s">
        <v>1037</v>
      </c>
      <c r="O883" s="14"/>
      <c r="P883" s="15" t="s">
        <v>967</v>
      </c>
      <c r="Q883" s="16">
        <v>10399</v>
      </c>
      <c r="R883" s="17">
        <v>40</v>
      </c>
      <c r="S883" s="18">
        <v>7175.3099999999986</v>
      </c>
      <c r="T883" s="19" t="s">
        <v>846</v>
      </c>
      <c r="U883" s="20" t="s">
        <v>500</v>
      </c>
      <c r="V883" s="21">
        <v>39</v>
      </c>
      <c r="W883" s="21">
        <v>4</v>
      </c>
      <c r="X883" s="22"/>
    </row>
    <row r="884" spans="1:24" s="1" customFormat="1" ht="11.1" customHeight="1" x14ac:dyDescent="0.3">
      <c r="A884" s="23" t="s">
        <v>784</v>
      </c>
      <c r="B884" s="23" t="s">
        <v>1035</v>
      </c>
      <c r="C884" s="12" t="s">
        <v>1036</v>
      </c>
      <c r="D884" s="84"/>
      <c r="E884" s="69" t="str">
        <f t="shared" si="46"/>
        <v>Еще фото</v>
      </c>
      <c r="F884" s="13"/>
      <c r="G884" s="23" t="s">
        <v>394</v>
      </c>
      <c r="H884" s="23" t="s">
        <v>151</v>
      </c>
      <c r="I884" s="23" t="s">
        <v>424</v>
      </c>
      <c r="J884" s="14" t="s">
        <v>406</v>
      </c>
      <c r="K884" s="15" t="s">
        <v>114</v>
      </c>
      <c r="L884" s="87"/>
      <c r="M884" s="14"/>
      <c r="N884" s="14" t="s">
        <v>1037</v>
      </c>
      <c r="O884" s="14"/>
      <c r="P884" s="15" t="s">
        <v>967</v>
      </c>
      <c r="Q884" s="16">
        <v>10399</v>
      </c>
      <c r="R884" s="17">
        <v>40</v>
      </c>
      <c r="S884" s="18">
        <v>7175.3099999999986</v>
      </c>
      <c r="T884" s="19" t="s">
        <v>846</v>
      </c>
      <c r="U884" s="20" t="s">
        <v>854</v>
      </c>
      <c r="V884" s="30">
        <v>39.5</v>
      </c>
      <c r="W884" s="21">
        <v>3</v>
      </c>
      <c r="X884" s="22"/>
    </row>
    <row r="885" spans="1:24" s="1" customFormat="1" ht="11.1" customHeight="1" x14ac:dyDescent="0.3">
      <c r="A885" s="23" t="s">
        <v>784</v>
      </c>
      <c r="B885" s="23" t="s">
        <v>1035</v>
      </c>
      <c r="C885" s="12" t="s">
        <v>1036</v>
      </c>
      <c r="D885" s="84"/>
      <c r="E885" s="69" t="str">
        <f t="shared" si="46"/>
        <v>Еще фото</v>
      </c>
      <c r="F885" s="13"/>
      <c r="G885" s="23" t="s">
        <v>394</v>
      </c>
      <c r="H885" s="23" t="s">
        <v>151</v>
      </c>
      <c r="I885" s="23" t="s">
        <v>424</v>
      </c>
      <c r="J885" s="14" t="s">
        <v>406</v>
      </c>
      <c r="K885" s="15" t="s">
        <v>114</v>
      </c>
      <c r="L885" s="87"/>
      <c r="M885" s="14"/>
      <c r="N885" s="14" t="s">
        <v>1037</v>
      </c>
      <c r="O885" s="14"/>
      <c r="P885" s="15" t="s">
        <v>967</v>
      </c>
      <c r="Q885" s="16">
        <v>10399</v>
      </c>
      <c r="R885" s="17">
        <v>40</v>
      </c>
      <c r="S885" s="18">
        <v>7175.3099999999986</v>
      </c>
      <c r="T885" s="19" t="s">
        <v>846</v>
      </c>
      <c r="U885" s="20" t="s">
        <v>156</v>
      </c>
      <c r="V885" s="21">
        <v>40</v>
      </c>
      <c r="W885" s="21">
        <v>4</v>
      </c>
      <c r="X885" s="22"/>
    </row>
    <row r="886" spans="1:24" s="1" customFormat="1" ht="11.1" customHeight="1" x14ac:dyDescent="0.3">
      <c r="A886" s="23" t="s">
        <v>784</v>
      </c>
      <c r="B886" s="23" t="s">
        <v>1035</v>
      </c>
      <c r="C886" s="12" t="s">
        <v>1036</v>
      </c>
      <c r="D886" s="84"/>
      <c r="E886" s="69" t="str">
        <f t="shared" si="46"/>
        <v>Еще фото</v>
      </c>
      <c r="F886" s="13"/>
      <c r="G886" s="23" t="s">
        <v>394</v>
      </c>
      <c r="H886" s="23" t="s">
        <v>151</v>
      </c>
      <c r="I886" s="23" t="s">
        <v>424</v>
      </c>
      <c r="J886" s="14" t="s">
        <v>406</v>
      </c>
      <c r="K886" s="15" t="s">
        <v>114</v>
      </c>
      <c r="L886" s="87"/>
      <c r="M886" s="14"/>
      <c r="N886" s="14" t="s">
        <v>1037</v>
      </c>
      <c r="O886" s="14"/>
      <c r="P886" s="15" t="s">
        <v>967</v>
      </c>
      <c r="Q886" s="16">
        <v>10399</v>
      </c>
      <c r="R886" s="17">
        <v>40</v>
      </c>
      <c r="S886" s="18">
        <v>7175.3099999999986</v>
      </c>
      <c r="T886" s="19" t="s">
        <v>846</v>
      </c>
      <c r="U886" s="20" t="s">
        <v>157</v>
      </c>
      <c r="V886" s="21">
        <v>41</v>
      </c>
      <c r="W886" s="21">
        <v>4</v>
      </c>
      <c r="X886" s="22"/>
    </row>
    <row r="887" spans="1:24" s="1" customFormat="1" ht="11.1" customHeight="1" x14ac:dyDescent="0.3">
      <c r="A887" s="23" t="s">
        <v>784</v>
      </c>
      <c r="B887" s="23" t="s">
        <v>1035</v>
      </c>
      <c r="C887" s="12" t="s">
        <v>1036</v>
      </c>
      <c r="D887" s="84"/>
      <c r="E887" s="69" t="str">
        <f t="shared" si="46"/>
        <v>Еще фото</v>
      </c>
      <c r="F887" s="13"/>
      <c r="G887" s="23" t="s">
        <v>394</v>
      </c>
      <c r="H887" s="23" t="s">
        <v>151</v>
      </c>
      <c r="I887" s="23" t="s">
        <v>424</v>
      </c>
      <c r="J887" s="14" t="s">
        <v>406</v>
      </c>
      <c r="K887" s="15" t="s">
        <v>114</v>
      </c>
      <c r="L887" s="87"/>
      <c r="M887" s="14"/>
      <c r="N887" s="14" t="s">
        <v>1037</v>
      </c>
      <c r="O887" s="14"/>
      <c r="P887" s="15" t="s">
        <v>967</v>
      </c>
      <c r="Q887" s="16">
        <v>10399</v>
      </c>
      <c r="R887" s="17">
        <v>40</v>
      </c>
      <c r="S887" s="18">
        <v>7175.3099999999986</v>
      </c>
      <c r="T887" s="19" t="s">
        <v>846</v>
      </c>
      <c r="U887" s="20" t="s">
        <v>435</v>
      </c>
      <c r="V887" s="30">
        <v>41.5</v>
      </c>
      <c r="W887" s="21">
        <v>4</v>
      </c>
      <c r="X887" s="22"/>
    </row>
    <row r="888" spans="1:24" s="1" customFormat="1" ht="11.1" customHeight="1" x14ac:dyDescent="0.3">
      <c r="A888" s="23" t="s">
        <v>784</v>
      </c>
      <c r="B888" s="23" t="s">
        <v>1035</v>
      </c>
      <c r="C888" s="12" t="s">
        <v>1036</v>
      </c>
      <c r="D888" s="84"/>
      <c r="E888" s="69" t="str">
        <f t="shared" si="46"/>
        <v>Еще фото</v>
      </c>
      <c r="F888" s="13"/>
      <c r="G888" s="23" t="s">
        <v>394</v>
      </c>
      <c r="H888" s="23" t="s">
        <v>151</v>
      </c>
      <c r="I888" s="23" t="s">
        <v>424</v>
      </c>
      <c r="J888" s="14" t="s">
        <v>406</v>
      </c>
      <c r="K888" s="15" t="s">
        <v>114</v>
      </c>
      <c r="L888" s="87"/>
      <c r="M888" s="14"/>
      <c r="N888" s="14" t="s">
        <v>1037</v>
      </c>
      <c r="O888" s="14"/>
      <c r="P888" s="15" t="s">
        <v>967</v>
      </c>
      <c r="Q888" s="16">
        <v>10399</v>
      </c>
      <c r="R888" s="17">
        <v>40</v>
      </c>
      <c r="S888" s="18">
        <v>7175.3099999999986</v>
      </c>
      <c r="T888" s="19" t="s">
        <v>846</v>
      </c>
      <c r="U888" s="20" t="s">
        <v>162</v>
      </c>
      <c r="V888" s="21">
        <v>42</v>
      </c>
      <c r="W888" s="21">
        <v>5</v>
      </c>
      <c r="X888" s="22"/>
    </row>
    <row r="889" spans="1:24" s="1" customFormat="1" ht="11.1" customHeight="1" x14ac:dyDescent="0.3">
      <c r="A889" s="23" t="s">
        <v>784</v>
      </c>
      <c r="B889" s="23" t="s">
        <v>1035</v>
      </c>
      <c r="C889" s="12" t="s">
        <v>1036</v>
      </c>
      <c r="D889" s="84"/>
      <c r="E889" s="69" t="str">
        <f t="shared" si="46"/>
        <v>Еще фото</v>
      </c>
      <c r="F889" s="13"/>
      <c r="G889" s="23" t="s">
        <v>394</v>
      </c>
      <c r="H889" s="23" t="s">
        <v>151</v>
      </c>
      <c r="I889" s="23" t="s">
        <v>424</v>
      </c>
      <c r="J889" s="14" t="s">
        <v>406</v>
      </c>
      <c r="K889" s="15" t="s">
        <v>114</v>
      </c>
      <c r="L889" s="87"/>
      <c r="M889" s="14"/>
      <c r="N889" s="14" t="s">
        <v>1037</v>
      </c>
      <c r="O889" s="14"/>
      <c r="P889" s="15" t="s">
        <v>967</v>
      </c>
      <c r="Q889" s="16">
        <v>10399</v>
      </c>
      <c r="R889" s="17">
        <v>40</v>
      </c>
      <c r="S889" s="18">
        <v>7175.3099999999986</v>
      </c>
      <c r="T889" s="19" t="s">
        <v>846</v>
      </c>
      <c r="U889" s="20" t="s">
        <v>436</v>
      </c>
      <c r="V889" s="21">
        <v>43</v>
      </c>
      <c r="W889" s="21">
        <v>3</v>
      </c>
      <c r="X889" s="22"/>
    </row>
    <row r="890" spans="1:24" s="1" customFormat="1" ht="11.1" customHeight="1" x14ac:dyDescent="0.3">
      <c r="A890" s="23" t="s">
        <v>784</v>
      </c>
      <c r="B890" s="23" t="s">
        <v>1035</v>
      </c>
      <c r="C890" s="12" t="s">
        <v>1036</v>
      </c>
      <c r="D890" s="84"/>
      <c r="E890" s="69" t="str">
        <f t="shared" si="46"/>
        <v>Еще фото</v>
      </c>
      <c r="F890" s="13"/>
      <c r="G890" s="23" t="s">
        <v>394</v>
      </c>
      <c r="H890" s="23" t="s">
        <v>151</v>
      </c>
      <c r="I890" s="23" t="s">
        <v>424</v>
      </c>
      <c r="J890" s="14" t="s">
        <v>406</v>
      </c>
      <c r="K890" s="15" t="s">
        <v>114</v>
      </c>
      <c r="L890" s="87"/>
      <c r="M890" s="14"/>
      <c r="N890" s="14" t="s">
        <v>1037</v>
      </c>
      <c r="O890" s="14"/>
      <c r="P890" s="15" t="s">
        <v>967</v>
      </c>
      <c r="Q890" s="16">
        <v>10399</v>
      </c>
      <c r="R890" s="17">
        <v>40</v>
      </c>
      <c r="S890" s="18">
        <v>7175.3099999999986</v>
      </c>
      <c r="T890" s="19" t="s">
        <v>846</v>
      </c>
      <c r="U890" s="20" t="s">
        <v>163</v>
      </c>
      <c r="V890" s="30">
        <v>43.5</v>
      </c>
      <c r="W890" s="21">
        <v>5</v>
      </c>
      <c r="X890" s="22"/>
    </row>
    <row r="891" spans="1:24" s="1" customFormat="1" ht="11.1" customHeight="1" x14ac:dyDescent="0.3">
      <c r="A891" s="14" t="s">
        <v>784</v>
      </c>
      <c r="B891" s="14" t="s">
        <v>1035</v>
      </c>
      <c r="C891" s="12" t="s">
        <v>1036</v>
      </c>
      <c r="D891" s="84"/>
      <c r="E891" s="69" t="str">
        <f t="shared" si="46"/>
        <v>Еще фото</v>
      </c>
      <c r="F891" s="36"/>
      <c r="G891" s="14" t="s">
        <v>394</v>
      </c>
      <c r="H891" s="14" t="s">
        <v>151</v>
      </c>
      <c r="I891" s="14" t="s">
        <v>424</v>
      </c>
      <c r="J891" s="14" t="s">
        <v>406</v>
      </c>
      <c r="K891" s="14" t="s">
        <v>114</v>
      </c>
      <c r="L891" s="87"/>
      <c r="M891" s="14"/>
      <c r="N891" s="14" t="s">
        <v>1037</v>
      </c>
      <c r="O891" s="14"/>
      <c r="P891" s="14" t="s">
        <v>967</v>
      </c>
      <c r="Q891" s="33">
        <v>10399</v>
      </c>
      <c r="R891" s="34">
        <v>40</v>
      </c>
      <c r="S891" s="35">
        <v>7175.3099999999986</v>
      </c>
      <c r="T891" s="19" t="s">
        <v>846</v>
      </c>
      <c r="U891" s="20" t="s">
        <v>907</v>
      </c>
      <c r="V891" s="21">
        <v>44</v>
      </c>
      <c r="W891" s="21">
        <v>5</v>
      </c>
      <c r="X891" s="22"/>
    </row>
    <row r="892" spans="1:24" s="1" customFormat="1" ht="11.1" customHeight="1" x14ac:dyDescent="0.3">
      <c r="A892" s="14" t="s">
        <v>784</v>
      </c>
      <c r="B892" s="14" t="s">
        <v>1035</v>
      </c>
      <c r="C892" s="12" t="s">
        <v>1036</v>
      </c>
      <c r="D892" s="85"/>
      <c r="E892" s="69" t="str">
        <f t="shared" si="46"/>
        <v>Еще фото</v>
      </c>
      <c r="F892" s="36"/>
      <c r="G892" s="14" t="s">
        <v>394</v>
      </c>
      <c r="H892" s="14" t="s">
        <v>151</v>
      </c>
      <c r="I892" s="14" t="s">
        <v>424</v>
      </c>
      <c r="J892" s="14" t="s">
        <v>406</v>
      </c>
      <c r="K892" s="14" t="s">
        <v>114</v>
      </c>
      <c r="L892" s="88"/>
      <c r="M892" s="14"/>
      <c r="N892" s="14" t="s">
        <v>1037</v>
      </c>
      <c r="O892" s="14"/>
      <c r="P892" s="14" t="s">
        <v>967</v>
      </c>
      <c r="Q892" s="33">
        <v>10399</v>
      </c>
      <c r="R892" s="34">
        <v>40</v>
      </c>
      <c r="S892" s="35">
        <v>7175.3099999999986</v>
      </c>
      <c r="T892" s="19" t="s">
        <v>846</v>
      </c>
      <c r="U892" s="20" t="s">
        <v>164</v>
      </c>
      <c r="V892" s="21">
        <v>45</v>
      </c>
      <c r="W892" s="21">
        <v>2</v>
      </c>
      <c r="X892" s="22"/>
    </row>
    <row r="893" spans="1:24" s="1" customFormat="1" ht="14.1" customHeight="1" x14ac:dyDescent="0.3">
      <c r="A893" s="11" t="s">
        <v>784</v>
      </c>
      <c r="B893" s="11" t="s">
        <v>1038</v>
      </c>
      <c r="C893" s="12" t="s">
        <v>1039</v>
      </c>
      <c r="D893" s="83"/>
      <c r="E893" s="69" t="str">
        <f t="shared" ref="E893:E899" si="47">HYPERLINK("https://www.google.ru/search?q=D1GA1935-09&amp;newwindow=1&amp;tbm=isch","Еще фото")</f>
        <v>Еще фото</v>
      </c>
      <c r="F893" s="13"/>
      <c r="G893" s="11" t="s">
        <v>394</v>
      </c>
      <c r="H893" s="11" t="s">
        <v>151</v>
      </c>
      <c r="I893" s="14" t="s">
        <v>424</v>
      </c>
      <c r="J893" s="14" t="s">
        <v>406</v>
      </c>
      <c r="K893" s="15" t="s">
        <v>55</v>
      </c>
      <c r="L893" s="86"/>
      <c r="M893" s="14"/>
      <c r="N893" s="14" t="s">
        <v>1040</v>
      </c>
      <c r="O893" s="14"/>
      <c r="P893" s="15" t="s">
        <v>967</v>
      </c>
      <c r="Q893" s="16">
        <v>14099</v>
      </c>
      <c r="R893" s="17">
        <v>40</v>
      </c>
      <c r="S893" s="18">
        <v>9728.31</v>
      </c>
      <c r="T893" s="19" t="s">
        <v>846</v>
      </c>
      <c r="U893" s="20" t="s">
        <v>157</v>
      </c>
      <c r="V893" s="21">
        <v>41</v>
      </c>
      <c r="W893" s="21">
        <v>6</v>
      </c>
      <c r="X893" s="22"/>
    </row>
    <row r="894" spans="1:24" s="1" customFormat="1" ht="14.1" customHeight="1" x14ac:dyDescent="0.3">
      <c r="A894" s="23" t="s">
        <v>784</v>
      </c>
      <c r="B894" s="23" t="s">
        <v>1038</v>
      </c>
      <c r="C894" s="12" t="s">
        <v>1039</v>
      </c>
      <c r="D894" s="84"/>
      <c r="E894" s="69" t="str">
        <f t="shared" si="47"/>
        <v>Еще фото</v>
      </c>
      <c r="F894" s="13"/>
      <c r="G894" s="23" t="s">
        <v>394</v>
      </c>
      <c r="H894" s="23" t="s">
        <v>151</v>
      </c>
      <c r="I894" s="23" t="s">
        <v>424</v>
      </c>
      <c r="J894" s="14" t="s">
        <v>406</v>
      </c>
      <c r="K894" s="15" t="s">
        <v>55</v>
      </c>
      <c r="L894" s="87"/>
      <c r="M894" s="14"/>
      <c r="N894" s="14" t="s">
        <v>1040</v>
      </c>
      <c r="O894" s="14"/>
      <c r="P894" s="15" t="s">
        <v>967</v>
      </c>
      <c r="Q894" s="16">
        <v>14099</v>
      </c>
      <c r="R894" s="17">
        <v>40</v>
      </c>
      <c r="S894" s="18">
        <v>9728.31</v>
      </c>
      <c r="T894" s="19" t="s">
        <v>846</v>
      </c>
      <c r="U894" s="20" t="s">
        <v>435</v>
      </c>
      <c r="V894" s="30">
        <v>41.5</v>
      </c>
      <c r="W894" s="21">
        <v>7</v>
      </c>
      <c r="X894" s="22"/>
    </row>
    <row r="895" spans="1:24" s="1" customFormat="1" ht="14.1" customHeight="1" x14ac:dyDescent="0.3">
      <c r="A895" s="23" t="s">
        <v>784</v>
      </c>
      <c r="B895" s="23" t="s">
        <v>1038</v>
      </c>
      <c r="C895" s="12" t="s">
        <v>1039</v>
      </c>
      <c r="D895" s="84"/>
      <c r="E895" s="69" t="str">
        <f t="shared" si="47"/>
        <v>Еще фото</v>
      </c>
      <c r="F895" s="13"/>
      <c r="G895" s="23" t="s">
        <v>394</v>
      </c>
      <c r="H895" s="23" t="s">
        <v>151</v>
      </c>
      <c r="I895" s="23" t="s">
        <v>424</v>
      </c>
      <c r="J895" s="14" t="s">
        <v>406</v>
      </c>
      <c r="K895" s="15" t="s">
        <v>55</v>
      </c>
      <c r="L895" s="87"/>
      <c r="M895" s="14"/>
      <c r="N895" s="14" t="s">
        <v>1040</v>
      </c>
      <c r="O895" s="14"/>
      <c r="P895" s="15" t="s">
        <v>967</v>
      </c>
      <c r="Q895" s="16">
        <v>14099</v>
      </c>
      <c r="R895" s="17">
        <v>40</v>
      </c>
      <c r="S895" s="18">
        <v>9728.31</v>
      </c>
      <c r="T895" s="19" t="s">
        <v>846</v>
      </c>
      <c r="U895" s="20" t="s">
        <v>162</v>
      </c>
      <c r="V895" s="21">
        <v>42</v>
      </c>
      <c r="W895" s="21">
        <v>8</v>
      </c>
      <c r="X895" s="22"/>
    </row>
    <row r="896" spans="1:24" s="1" customFormat="1" ht="14.1" customHeight="1" x14ac:dyDescent="0.3">
      <c r="A896" s="23" t="s">
        <v>784</v>
      </c>
      <c r="B896" s="23" t="s">
        <v>1038</v>
      </c>
      <c r="C896" s="12" t="s">
        <v>1039</v>
      </c>
      <c r="D896" s="84"/>
      <c r="E896" s="69" t="str">
        <f t="shared" si="47"/>
        <v>Еще фото</v>
      </c>
      <c r="F896" s="13"/>
      <c r="G896" s="23" t="s">
        <v>394</v>
      </c>
      <c r="H896" s="23" t="s">
        <v>151</v>
      </c>
      <c r="I896" s="23" t="s">
        <v>424</v>
      </c>
      <c r="J896" s="14" t="s">
        <v>406</v>
      </c>
      <c r="K896" s="15" t="s">
        <v>55</v>
      </c>
      <c r="L896" s="87"/>
      <c r="M896" s="14"/>
      <c r="N896" s="14" t="s">
        <v>1040</v>
      </c>
      <c r="O896" s="14"/>
      <c r="P896" s="15" t="s">
        <v>967</v>
      </c>
      <c r="Q896" s="16">
        <v>14099</v>
      </c>
      <c r="R896" s="17">
        <v>40</v>
      </c>
      <c r="S896" s="18">
        <v>9728.31</v>
      </c>
      <c r="T896" s="19" t="s">
        <v>846</v>
      </c>
      <c r="U896" s="20" t="s">
        <v>436</v>
      </c>
      <c r="V896" s="21">
        <v>43</v>
      </c>
      <c r="W896" s="21">
        <v>10</v>
      </c>
      <c r="X896" s="22"/>
    </row>
    <row r="897" spans="1:24" s="1" customFormat="1" ht="14.1" customHeight="1" x14ac:dyDescent="0.3">
      <c r="A897" s="23" t="s">
        <v>784</v>
      </c>
      <c r="B897" s="23" t="s">
        <v>1038</v>
      </c>
      <c r="C897" s="12" t="s">
        <v>1039</v>
      </c>
      <c r="D897" s="84"/>
      <c r="E897" s="69" t="str">
        <f t="shared" si="47"/>
        <v>Еще фото</v>
      </c>
      <c r="F897" s="13"/>
      <c r="G897" s="23" t="s">
        <v>394</v>
      </c>
      <c r="H897" s="23" t="s">
        <v>151</v>
      </c>
      <c r="I897" s="23" t="s">
        <v>424</v>
      </c>
      <c r="J897" s="14" t="s">
        <v>406</v>
      </c>
      <c r="K897" s="15" t="s">
        <v>55</v>
      </c>
      <c r="L897" s="87"/>
      <c r="M897" s="14"/>
      <c r="N897" s="14" t="s">
        <v>1040</v>
      </c>
      <c r="O897" s="14"/>
      <c r="P897" s="15" t="s">
        <v>967</v>
      </c>
      <c r="Q897" s="16">
        <v>14099</v>
      </c>
      <c r="R897" s="17">
        <v>40</v>
      </c>
      <c r="S897" s="18">
        <v>9728.31</v>
      </c>
      <c r="T897" s="19" t="s">
        <v>846</v>
      </c>
      <c r="U897" s="20" t="s">
        <v>163</v>
      </c>
      <c r="V897" s="30">
        <v>43.5</v>
      </c>
      <c r="W897" s="21">
        <v>8</v>
      </c>
      <c r="X897" s="22"/>
    </row>
    <row r="898" spans="1:24" s="1" customFormat="1" ht="14.1" customHeight="1" x14ac:dyDescent="0.3">
      <c r="A898" s="23" t="s">
        <v>784</v>
      </c>
      <c r="B898" s="23" t="s">
        <v>1038</v>
      </c>
      <c r="C898" s="12" t="s">
        <v>1039</v>
      </c>
      <c r="D898" s="84"/>
      <c r="E898" s="69" t="str">
        <f t="shared" si="47"/>
        <v>Еще фото</v>
      </c>
      <c r="F898" s="13"/>
      <c r="G898" s="23" t="s">
        <v>394</v>
      </c>
      <c r="H898" s="23" t="s">
        <v>151</v>
      </c>
      <c r="I898" s="23" t="s">
        <v>424</v>
      </c>
      <c r="J898" s="14" t="s">
        <v>406</v>
      </c>
      <c r="K898" s="15" t="s">
        <v>55</v>
      </c>
      <c r="L898" s="87"/>
      <c r="M898" s="14"/>
      <c r="N898" s="14" t="s">
        <v>1040</v>
      </c>
      <c r="O898" s="14"/>
      <c r="P898" s="15" t="s">
        <v>967</v>
      </c>
      <c r="Q898" s="16">
        <v>14099</v>
      </c>
      <c r="R898" s="17">
        <v>40</v>
      </c>
      <c r="S898" s="18">
        <v>9728.31</v>
      </c>
      <c r="T898" s="19" t="s">
        <v>846</v>
      </c>
      <c r="U898" s="20" t="s">
        <v>907</v>
      </c>
      <c r="V898" s="21">
        <v>44</v>
      </c>
      <c r="W898" s="21">
        <v>6</v>
      </c>
      <c r="X898" s="22"/>
    </row>
    <row r="899" spans="1:24" s="1" customFormat="1" ht="17.100000000000001" customHeight="1" x14ac:dyDescent="0.3">
      <c r="A899" s="23" t="s">
        <v>784</v>
      </c>
      <c r="B899" s="23" t="s">
        <v>1038</v>
      </c>
      <c r="C899" s="12" t="s">
        <v>1039</v>
      </c>
      <c r="D899" s="85"/>
      <c r="E899" s="69" t="str">
        <f t="shared" si="47"/>
        <v>Еще фото</v>
      </c>
      <c r="F899" s="13"/>
      <c r="G899" s="23" t="s">
        <v>394</v>
      </c>
      <c r="H899" s="23" t="s">
        <v>151</v>
      </c>
      <c r="I899" s="23" t="s">
        <v>424</v>
      </c>
      <c r="J899" s="14" t="s">
        <v>406</v>
      </c>
      <c r="K899" s="15" t="s">
        <v>55</v>
      </c>
      <c r="L899" s="88"/>
      <c r="M899" s="14"/>
      <c r="N899" s="14" t="s">
        <v>1040</v>
      </c>
      <c r="O899" s="14"/>
      <c r="P899" s="15" t="s">
        <v>967</v>
      </c>
      <c r="Q899" s="16">
        <v>14099</v>
      </c>
      <c r="R899" s="17">
        <v>40</v>
      </c>
      <c r="S899" s="18">
        <v>9728.31</v>
      </c>
      <c r="T899" s="19" t="s">
        <v>846</v>
      </c>
      <c r="U899" s="20" t="s">
        <v>164</v>
      </c>
      <c r="V899" s="21">
        <v>45</v>
      </c>
      <c r="W899" s="21">
        <v>4</v>
      </c>
      <c r="X899" s="22"/>
    </row>
    <row r="900" spans="1:24" s="1" customFormat="1" ht="11.1" customHeight="1" x14ac:dyDescent="0.3">
      <c r="A900" s="11" t="s">
        <v>784</v>
      </c>
      <c r="B900" s="11" t="s">
        <v>1038</v>
      </c>
      <c r="C900" s="12" t="s">
        <v>1041</v>
      </c>
      <c r="D900" s="83"/>
      <c r="E900" s="69" t="str">
        <f t="shared" ref="E900:E911" si="48">HYPERLINK("https://www.google.ru/search?q=D1GA1935-35&amp;newwindow=1&amp;tbm=isch","Еще фото")</f>
        <v>Еще фото</v>
      </c>
      <c r="F900" s="13"/>
      <c r="G900" s="11" t="s">
        <v>394</v>
      </c>
      <c r="H900" s="11" t="s">
        <v>151</v>
      </c>
      <c r="I900" s="14" t="s">
        <v>424</v>
      </c>
      <c r="J900" s="14" t="s">
        <v>406</v>
      </c>
      <c r="K900" s="15" t="s">
        <v>114</v>
      </c>
      <c r="L900" s="86"/>
      <c r="M900" s="14"/>
      <c r="N900" s="14" t="s">
        <v>816</v>
      </c>
      <c r="O900" s="14"/>
      <c r="P900" s="15" t="s">
        <v>967</v>
      </c>
      <c r="Q900" s="16">
        <v>14099</v>
      </c>
      <c r="R900" s="17">
        <v>40</v>
      </c>
      <c r="S900" s="18">
        <v>9728.31</v>
      </c>
      <c r="T900" s="19" t="s">
        <v>846</v>
      </c>
      <c r="U900" s="20" t="s">
        <v>847</v>
      </c>
      <c r="V900" s="30">
        <v>36.5</v>
      </c>
      <c r="W900" s="21">
        <v>4</v>
      </c>
      <c r="X900" s="22"/>
    </row>
    <row r="901" spans="1:24" s="1" customFormat="1" ht="11.1" customHeight="1" x14ac:dyDescent="0.3">
      <c r="A901" s="23" t="s">
        <v>784</v>
      </c>
      <c r="B901" s="23" t="s">
        <v>1038</v>
      </c>
      <c r="C901" s="12" t="s">
        <v>1041</v>
      </c>
      <c r="D901" s="84"/>
      <c r="E901" s="69" t="str">
        <f t="shared" si="48"/>
        <v>Еще фото</v>
      </c>
      <c r="F901" s="13"/>
      <c r="G901" s="23" t="s">
        <v>394</v>
      </c>
      <c r="H901" s="23" t="s">
        <v>151</v>
      </c>
      <c r="I901" s="23" t="s">
        <v>424</v>
      </c>
      <c r="J901" s="14" t="s">
        <v>406</v>
      </c>
      <c r="K901" s="15" t="s">
        <v>114</v>
      </c>
      <c r="L901" s="87"/>
      <c r="M901" s="14"/>
      <c r="N901" s="14" t="s">
        <v>816</v>
      </c>
      <c r="O901" s="14"/>
      <c r="P901" s="15" t="s">
        <v>967</v>
      </c>
      <c r="Q901" s="16">
        <v>14099</v>
      </c>
      <c r="R901" s="17">
        <v>40</v>
      </c>
      <c r="S901" s="18">
        <v>9728.31</v>
      </c>
      <c r="T901" s="19" t="s">
        <v>846</v>
      </c>
      <c r="U901" s="20" t="s">
        <v>818</v>
      </c>
      <c r="V901" s="21">
        <v>37</v>
      </c>
      <c r="W901" s="21">
        <v>12</v>
      </c>
      <c r="X901" s="22"/>
    </row>
    <row r="902" spans="1:24" s="1" customFormat="1" ht="11.1" customHeight="1" x14ac:dyDescent="0.3">
      <c r="A902" s="23" t="s">
        <v>784</v>
      </c>
      <c r="B902" s="23" t="s">
        <v>1038</v>
      </c>
      <c r="C902" s="12" t="s">
        <v>1041</v>
      </c>
      <c r="D902" s="84"/>
      <c r="E902" s="69" t="str">
        <f t="shared" si="48"/>
        <v>Еще фото</v>
      </c>
      <c r="F902" s="13"/>
      <c r="G902" s="23" t="s">
        <v>394</v>
      </c>
      <c r="H902" s="23" t="s">
        <v>151</v>
      </c>
      <c r="I902" s="23" t="s">
        <v>424</v>
      </c>
      <c r="J902" s="14" t="s">
        <v>406</v>
      </c>
      <c r="K902" s="15" t="s">
        <v>114</v>
      </c>
      <c r="L902" s="87"/>
      <c r="M902" s="14"/>
      <c r="N902" s="14" t="s">
        <v>816</v>
      </c>
      <c r="O902" s="14"/>
      <c r="P902" s="15" t="s">
        <v>967</v>
      </c>
      <c r="Q902" s="16">
        <v>14099</v>
      </c>
      <c r="R902" s="17">
        <v>40</v>
      </c>
      <c r="S902" s="18">
        <v>9728.31</v>
      </c>
      <c r="T902" s="19" t="s">
        <v>846</v>
      </c>
      <c r="U902" s="20" t="s">
        <v>848</v>
      </c>
      <c r="V902" s="30">
        <v>37.5</v>
      </c>
      <c r="W902" s="21">
        <v>5</v>
      </c>
      <c r="X902" s="22"/>
    </row>
    <row r="903" spans="1:24" s="1" customFormat="1" ht="11.1" customHeight="1" x14ac:dyDescent="0.3">
      <c r="A903" s="23" t="s">
        <v>784</v>
      </c>
      <c r="B903" s="23" t="s">
        <v>1038</v>
      </c>
      <c r="C903" s="12" t="s">
        <v>1041</v>
      </c>
      <c r="D903" s="84"/>
      <c r="E903" s="69" t="str">
        <f t="shared" si="48"/>
        <v>Еще фото</v>
      </c>
      <c r="F903" s="13"/>
      <c r="G903" s="23" t="s">
        <v>394</v>
      </c>
      <c r="H903" s="23" t="s">
        <v>151</v>
      </c>
      <c r="I903" s="23" t="s">
        <v>424</v>
      </c>
      <c r="J903" s="14" t="s">
        <v>406</v>
      </c>
      <c r="K903" s="15" t="s">
        <v>114</v>
      </c>
      <c r="L903" s="87"/>
      <c r="M903" s="14"/>
      <c r="N903" s="14" t="s">
        <v>816</v>
      </c>
      <c r="O903" s="14"/>
      <c r="P903" s="15" t="s">
        <v>967</v>
      </c>
      <c r="Q903" s="16">
        <v>14099</v>
      </c>
      <c r="R903" s="17">
        <v>40</v>
      </c>
      <c r="S903" s="18">
        <v>9728.31</v>
      </c>
      <c r="T903" s="19" t="s">
        <v>846</v>
      </c>
      <c r="U903" s="20" t="s">
        <v>849</v>
      </c>
      <c r="V903" s="21">
        <v>38</v>
      </c>
      <c r="W903" s="21">
        <v>6</v>
      </c>
      <c r="X903" s="22"/>
    </row>
    <row r="904" spans="1:24" s="1" customFormat="1" ht="11.1" customHeight="1" x14ac:dyDescent="0.3">
      <c r="A904" s="23" t="s">
        <v>784</v>
      </c>
      <c r="B904" s="23" t="s">
        <v>1038</v>
      </c>
      <c r="C904" s="12" t="s">
        <v>1041</v>
      </c>
      <c r="D904" s="84"/>
      <c r="E904" s="69" t="str">
        <f t="shared" si="48"/>
        <v>Еще фото</v>
      </c>
      <c r="F904" s="13"/>
      <c r="G904" s="23" t="s">
        <v>394</v>
      </c>
      <c r="H904" s="23" t="s">
        <v>151</v>
      </c>
      <c r="I904" s="23" t="s">
        <v>424</v>
      </c>
      <c r="J904" s="14" t="s">
        <v>406</v>
      </c>
      <c r="K904" s="15" t="s">
        <v>114</v>
      </c>
      <c r="L904" s="87"/>
      <c r="M904" s="14"/>
      <c r="N904" s="14" t="s">
        <v>816</v>
      </c>
      <c r="O904" s="14"/>
      <c r="P904" s="15" t="s">
        <v>967</v>
      </c>
      <c r="Q904" s="16">
        <v>14099</v>
      </c>
      <c r="R904" s="17">
        <v>40</v>
      </c>
      <c r="S904" s="18">
        <v>9728.31</v>
      </c>
      <c r="T904" s="19" t="s">
        <v>846</v>
      </c>
      <c r="U904" s="20" t="s">
        <v>500</v>
      </c>
      <c r="V904" s="21">
        <v>39</v>
      </c>
      <c r="W904" s="21">
        <v>2</v>
      </c>
      <c r="X904" s="22"/>
    </row>
    <row r="905" spans="1:24" s="1" customFormat="1" ht="11.1" customHeight="1" x14ac:dyDescent="0.3">
      <c r="A905" s="23" t="s">
        <v>784</v>
      </c>
      <c r="B905" s="23" t="s">
        <v>1038</v>
      </c>
      <c r="C905" s="12" t="s">
        <v>1041</v>
      </c>
      <c r="D905" s="84"/>
      <c r="E905" s="69" t="str">
        <f t="shared" si="48"/>
        <v>Еще фото</v>
      </c>
      <c r="F905" s="13"/>
      <c r="G905" s="23" t="s">
        <v>394</v>
      </c>
      <c r="H905" s="23" t="s">
        <v>151</v>
      </c>
      <c r="I905" s="23" t="s">
        <v>424</v>
      </c>
      <c r="J905" s="14" t="s">
        <v>406</v>
      </c>
      <c r="K905" s="15" t="s">
        <v>114</v>
      </c>
      <c r="L905" s="87"/>
      <c r="M905" s="14"/>
      <c r="N905" s="14" t="s">
        <v>816</v>
      </c>
      <c r="O905" s="14"/>
      <c r="P905" s="15" t="s">
        <v>967</v>
      </c>
      <c r="Q905" s="16">
        <v>14099</v>
      </c>
      <c r="R905" s="17">
        <v>40</v>
      </c>
      <c r="S905" s="18">
        <v>9728.31</v>
      </c>
      <c r="T905" s="19" t="s">
        <v>846</v>
      </c>
      <c r="U905" s="20" t="s">
        <v>157</v>
      </c>
      <c r="V905" s="21">
        <v>41</v>
      </c>
      <c r="W905" s="21">
        <v>2</v>
      </c>
      <c r="X905" s="22"/>
    </row>
    <row r="906" spans="1:24" s="1" customFormat="1" ht="11.1" customHeight="1" x14ac:dyDescent="0.3">
      <c r="A906" s="23" t="s">
        <v>784</v>
      </c>
      <c r="B906" s="23" t="s">
        <v>1038</v>
      </c>
      <c r="C906" s="12" t="s">
        <v>1041</v>
      </c>
      <c r="D906" s="84"/>
      <c r="E906" s="69" t="str">
        <f t="shared" si="48"/>
        <v>Еще фото</v>
      </c>
      <c r="F906" s="13"/>
      <c r="G906" s="23" t="s">
        <v>394</v>
      </c>
      <c r="H906" s="23" t="s">
        <v>151</v>
      </c>
      <c r="I906" s="23" t="s">
        <v>424</v>
      </c>
      <c r="J906" s="14" t="s">
        <v>406</v>
      </c>
      <c r="K906" s="15" t="s">
        <v>114</v>
      </c>
      <c r="L906" s="87"/>
      <c r="M906" s="14"/>
      <c r="N906" s="14" t="s">
        <v>816</v>
      </c>
      <c r="O906" s="14"/>
      <c r="P906" s="15" t="s">
        <v>967</v>
      </c>
      <c r="Q906" s="16">
        <v>14099</v>
      </c>
      <c r="R906" s="17">
        <v>40</v>
      </c>
      <c r="S906" s="18">
        <v>9728.31</v>
      </c>
      <c r="T906" s="19" t="s">
        <v>846</v>
      </c>
      <c r="U906" s="20" t="s">
        <v>435</v>
      </c>
      <c r="V906" s="30">
        <v>41.5</v>
      </c>
      <c r="W906" s="21">
        <v>4</v>
      </c>
      <c r="X906" s="22"/>
    </row>
    <row r="907" spans="1:24" s="1" customFormat="1" ht="11.1" customHeight="1" x14ac:dyDescent="0.3">
      <c r="A907" s="23" t="s">
        <v>784</v>
      </c>
      <c r="B907" s="23" t="s">
        <v>1038</v>
      </c>
      <c r="C907" s="12" t="s">
        <v>1041</v>
      </c>
      <c r="D907" s="84"/>
      <c r="E907" s="69" t="str">
        <f t="shared" si="48"/>
        <v>Еще фото</v>
      </c>
      <c r="F907" s="13"/>
      <c r="G907" s="23" t="s">
        <v>394</v>
      </c>
      <c r="H907" s="23" t="s">
        <v>151</v>
      </c>
      <c r="I907" s="23" t="s">
        <v>424</v>
      </c>
      <c r="J907" s="14" t="s">
        <v>406</v>
      </c>
      <c r="K907" s="15" t="s">
        <v>114</v>
      </c>
      <c r="L907" s="87"/>
      <c r="M907" s="14"/>
      <c r="N907" s="14" t="s">
        <v>816</v>
      </c>
      <c r="O907" s="14"/>
      <c r="P907" s="15" t="s">
        <v>967</v>
      </c>
      <c r="Q907" s="16">
        <v>14099</v>
      </c>
      <c r="R907" s="17">
        <v>40</v>
      </c>
      <c r="S907" s="18">
        <v>9728.31</v>
      </c>
      <c r="T907" s="19" t="s">
        <v>846</v>
      </c>
      <c r="U907" s="20" t="s">
        <v>162</v>
      </c>
      <c r="V907" s="21">
        <v>42</v>
      </c>
      <c r="W907" s="21">
        <v>6</v>
      </c>
      <c r="X907" s="22"/>
    </row>
    <row r="908" spans="1:24" s="1" customFormat="1" ht="11.1" customHeight="1" x14ac:dyDescent="0.3">
      <c r="A908" s="23" t="s">
        <v>784</v>
      </c>
      <c r="B908" s="23" t="s">
        <v>1038</v>
      </c>
      <c r="C908" s="12" t="s">
        <v>1041</v>
      </c>
      <c r="D908" s="84"/>
      <c r="E908" s="69" t="str">
        <f t="shared" si="48"/>
        <v>Еще фото</v>
      </c>
      <c r="F908" s="13"/>
      <c r="G908" s="23" t="s">
        <v>394</v>
      </c>
      <c r="H908" s="23" t="s">
        <v>151</v>
      </c>
      <c r="I908" s="23" t="s">
        <v>424</v>
      </c>
      <c r="J908" s="14" t="s">
        <v>406</v>
      </c>
      <c r="K908" s="15" t="s">
        <v>114</v>
      </c>
      <c r="L908" s="87"/>
      <c r="M908" s="14"/>
      <c r="N908" s="14" t="s">
        <v>816</v>
      </c>
      <c r="O908" s="14"/>
      <c r="P908" s="15" t="s">
        <v>967</v>
      </c>
      <c r="Q908" s="16">
        <v>14099</v>
      </c>
      <c r="R908" s="17">
        <v>40</v>
      </c>
      <c r="S908" s="18">
        <v>9728.31</v>
      </c>
      <c r="T908" s="19" t="s">
        <v>846</v>
      </c>
      <c r="U908" s="20" t="s">
        <v>436</v>
      </c>
      <c r="V908" s="21">
        <v>43</v>
      </c>
      <c r="W908" s="21">
        <v>5</v>
      </c>
      <c r="X908" s="22"/>
    </row>
    <row r="909" spans="1:24" s="1" customFormat="1" ht="11.1" customHeight="1" x14ac:dyDescent="0.3">
      <c r="A909" s="14" t="s">
        <v>784</v>
      </c>
      <c r="B909" s="14" t="s">
        <v>1038</v>
      </c>
      <c r="C909" s="12" t="s">
        <v>1041</v>
      </c>
      <c r="D909" s="84"/>
      <c r="E909" s="69" t="str">
        <f t="shared" si="48"/>
        <v>Еще фото</v>
      </c>
      <c r="F909" s="36"/>
      <c r="G909" s="14" t="s">
        <v>394</v>
      </c>
      <c r="H909" s="14" t="s">
        <v>151</v>
      </c>
      <c r="I909" s="14" t="s">
        <v>424</v>
      </c>
      <c r="J909" s="14" t="s">
        <v>406</v>
      </c>
      <c r="K909" s="14" t="s">
        <v>114</v>
      </c>
      <c r="L909" s="87"/>
      <c r="M909" s="14"/>
      <c r="N909" s="14" t="s">
        <v>816</v>
      </c>
      <c r="O909" s="14"/>
      <c r="P909" s="14" t="s">
        <v>967</v>
      </c>
      <c r="Q909" s="33">
        <v>14099</v>
      </c>
      <c r="R909" s="34">
        <v>40</v>
      </c>
      <c r="S909" s="35">
        <v>9728.31</v>
      </c>
      <c r="T909" s="19" t="s">
        <v>846</v>
      </c>
      <c r="U909" s="20" t="s">
        <v>163</v>
      </c>
      <c r="V909" s="30">
        <v>43.5</v>
      </c>
      <c r="W909" s="21">
        <v>1</v>
      </c>
      <c r="X909" s="22"/>
    </row>
    <row r="910" spans="1:24" s="1" customFormat="1" ht="11.1" customHeight="1" x14ac:dyDescent="0.3">
      <c r="A910" s="14" t="s">
        <v>784</v>
      </c>
      <c r="B910" s="14" t="s">
        <v>1038</v>
      </c>
      <c r="C910" s="12" t="s">
        <v>1041</v>
      </c>
      <c r="D910" s="84"/>
      <c r="E910" s="69" t="str">
        <f t="shared" si="48"/>
        <v>Еще фото</v>
      </c>
      <c r="F910" s="36"/>
      <c r="G910" s="14" t="s">
        <v>394</v>
      </c>
      <c r="H910" s="14" t="s">
        <v>151</v>
      </c>
      <c r="I910" s="14" t="s">
        <v>424</v>
      </c>
      <c r="J910" s="14" t="s">
        <v>406</v>
      </c>
      <c r="K910" s="14" t="s">
        <v>114</v>
      </c>
      <c r="L910" s="87"/>
      <c r="M910" s="14"/>
      <c r="N910" s="14" t="s">
        <v>816</v>
      </c>
      <c r="O910" s="14"/>
      <c r="P910" s="14" t="s">
        <v>967</v>
      </c>
      <c r="Q910" s="33">
        <v>14099</v>
      </c>
      <c r="R910" s="34">
        <v>40</v>
      </c>
      <c r="S910" s="35">
        <v>9728.31</v>
      </c>
      <c r="T910" s="19" t="s">
        <v>846</v>
      </c>
      <c r="U910" s="20" t="s">
        <v>907</v>
      </c>
      <c r="V910" s="21">
        <v>44</v>
      </c>
      <c r="W910" s="21">
        <v>4</v>
      </c>
      <c r="X910" s="22"/>
    </row>
    <row r="911" spans="1:24" s="1" customFormat="1" ht="11.1" customHeight="1" x14ac:dyDescent="0.3">
      <c r="A911" s="14" t="s">
        <v>784</v>
      </c>
      <c r="B911" s="14" t="s">
        <v>1038</v>
      </c>
      <c r="C911" s="12" t="s">
        <v>1041</v>
      </c>
      <c r="D911" s="85"/>
      <c r="E911" s="69" t="str">
        <f t="shared" si="48"/>
        <v>Еще фото</v>
      </c>
      <c r="F911" s="36"/>
      <c r="G911" s="14" t="s">
        <v>394</v>
      </c>
      <c r="H911" s="14" t="s">
        <v>151</v>
      </c>
      <c r="I911" s="14" t="s">
        <v>424</v>
      </c>
      <c r="J911" s="14" t="s">
        <v>406</v>
      </c>
      <c r="K911" s="14" t="s">
        <v>114</v>
      </c>
      <c r="L911" s="88"/>
      <c r="M911" s="14"/>
      <c r="N911" s="14" t="s">
        <v>816</v>
      </c>
      <c r="O911" s="14"/>
      <c r="P911" s="14" t="s">
        <v>967</v>
      </c>
      <c r="Q911" s="33">
        <v>14099</v>
      </c>
      <c r="R911" s="34">
        <v>40</v>
      </c>
      <c r="S911" s="35">
        <v>9728.31</v>
      </c>
      <c r="T911" s="19" t="s">
        <v>846</v>
      </c>
      <c r="U911" s="20" t="s">
        <v>164</v>
      </c>
      <c r="V911" s="21">
        <v>45</v>
      </c>
      <c r="W911" s="21">
        <v>1</v>
      </c>
      <c r="X911" s="22"/>
    </row>
    <row r="912" spans="1:24" s="1" customFormat="1" ht="11.1" customHeight="1" x14ac:dyDescent="0.3">
      <c r="A912" s="11" t="s">
        <v>784</v>
      </c>
      <c r="B912" s="11" t="s">
        <v>1042</v>
      </c>
      <c r="C912" s="12" t="s">
        <v>1043</v>
      </c>
      <c r="D912" s="83"/>
      <c r="E912" s="69" t="str">
        <f t="shared" ref="E912:E921" si="49">HYPERLINK("https://www.google.ru/search?q=D1GA2005-09&amp;newwindow=1&amp;tbm=isch","Еще фото")</f>
        <v>Еще фото</v>
      </c>
      <c r="F912" s="13"/>
      <c r="G912" s="11" t="s">
        <v>394</v>
      </c>
      <c r="H912" s="11" t="s">
        <v>151</v>
      </c>
      <c r="I912" s="14" t="s">
        <v>424</v>
      </c>
      <c r="J912" s="14" t="s">
        <v>406</v>
      </c>
      <c r="K912" s="15" t="s">
        <v>55</v>
      </c>
      <c r="L912" s="86"/>
      <c r="M912" s="14"/>
      <c r="N912" s="14" t="s">
        <v>1044</v>
      </c>
      <c r="O912" s="14"/>
      <c r="P912" s="15" t="s">
        <v>967</v>
      </c>
      <c r="Q912" s="16">
        <v>12499</v>
      </c>
      <c r="R912" s="17">
        <v>40</v>
      </c>
      <c r="S912" s="18">
        <v>8624.31</v>
      </c>
      <c r="T912" s="19" t="s">
        <v>846</v>
      </c>
      <c r="U912" s="20" t="s">
        <v>821</v>
      </c>
      <c r="V912" s="21">
        <v>36</v>
      </c>
      <c r="W912" s="21">
        <v>2</v>
      </c>
      <c r="X912" s="22"/>
    </row>
    <row r="913" spans="1:24" s="1" customFormat="1" ht="11.1" customHeight="1" x14ac:dyDescent="0.3">
      <c r="A913" s="23" t="s">
        <v>784</v>
      </c>
      <c r="B913" s="23" t="s">
        <v>1042</v>
      </c>
      <c r="C913" s="12" t="s">
        <v>1043</v>
      </c>
      <c r="D913" s="84"/>
      <c r="E913" s="69" t="str">
        <f t="shared" si="49"/>
        <v>Еще фото</v>
      </c>
      <c r="F913" s="13"/>
      <c r="G913" s="23" t="s">
        <v>394</v>
      </c>
      <c r="H913" s="23" t="s">
        <v>151</v>
      </c>
      <c r="I913" s="23" t="s">
        <v>424</v>
      </c>
      <c r="J913" s="14" t="s">
        <v>406</v>
      </c>
      <c r="K913" s="15" t="s">
        <v>55</v>
      </c>
      <c r="L913" s="87"/>
      <c r="M913" s="14"/>
      <c r="N913" s="14" t="s">
        <v>1044</v>
      </c>
      <c r="O913" s="14"/>
      <c r="P913" s="15" t="s">
        <v>967</v>
      </c>
      <c r="Q913" s="16">
        <v>12499</v>
      </c>
      <c r="R913" s="17">
        <v>40</v>
      </c>
      <c r="S913" s="18">
        <v>8624.31</v>
      </c>
      <c r="T913" s="19" t="s">
        <v>846</v>
      </c>
      <c r="U913" s="20" t="s">
        <v>847</v>
      </c>
      <c r="V913" s="30">
        <v>36.5</v>
      </c>
      <c r="W913" s="21">
        <v>2</v>
      </c>
      <c r="X913" s="22"/>
    </row>
    <row r="914" spans="1:24" s="1" customFormat="1" ht="11.1" customHeight="1" x14ac:dyDescent="0.3">
      <c r="A914" s="23" t="s">
        <v>784</v>
      </c>
      <c r="B914" s="23" t="s">
        <v>1042</v>
      </c>
      <c r="C914" s="12" t="s">
        <v>1043</v>
      </c>
      <c r="D914" s="84"/>
      <c r="E914" s="69" t="str">
        <f t="shared" si="49"/>
        <v>Еще фото</v>
      </c>
      <c r="F914" s="13"/>
      <c r="G914" s="23" t="s">
        <v>394</v>
      </c>
      <c r="H914" s="23" t="s">
        <v>151</v>
      </c>
      <c r="I914" s="23" t="s">
        <v>424</v>
      </c>
      <c r="J914" s="14" t="s">
        <v>406</v>
      </c>
      <c r="K914" s="15" t="s">
        <v>55</v>
      </c>
      <c r="L914" s="87"/>
      <c r="M914" s="14"/>
      <c r="N914" s="14" t="s">
        <v>1044</v>
      </c>
      <c r="O914" s="14"/>
      <c r="P914" s="15" t="s">
        <v>967</v>
      </c>
      <c r="Q914" s="16">
        <v>12499</v>
      </c>
      <c r="R914" s="17">
        <v>40</v>
      </c>
      <c r="S914" s="18">
        <v>8624.31</v>
      </c>
      <c r="T914" s="19" t="s">
        <v>846</v>
      </c>
      <c r="U914" s="20" t="s">
        <v>818</v>
      </c>
      <c r="V914" s="21">
        <v>37</v>
      </c>
      <c r="W914" s="21">
        <v>8</v>
      </c>
      <c r="X914" s="22"/>
    </row>
    <row r="915" spans="1:24" s="1" customFormat="1" ht="11.1" customHeight="1" x14ac:dyDescent="0.3">
      <c r="A915" s="23" t="s">
        <v>784</v>
      </c>
      <c r="B915" s="23" t="s">
        <v>1042</v>
      </c>
      <c r="C915" s="12" t="s">
        <v>1043</v>
      </c>
      <c r="D915" s="84"/>
      <c r="E915" s="69" t="str">
        <f t="shared" si="49"/>
        <v>Еще фото</v>
      </c>
      <c r="F915" s="13"/>
      <c r="G915" s="23" t="s">
        <v>394</v>
      </c>
      <c r="H915" s="23" t="s">
        <v>151</v>
      </c>
      <c r="I915" s="23" t="s">
        <v>424</v>
      </c>
      <c r="J915" s="14" t="s">
        <v>406</v>
      </c>
      <c r="K915" s="15" t="s">
        <v>55</v>
      </c>
      <c r="L915" s="87"/>
      <c r="M915" s="14"/>
      <c r="N915" s="14" t="s">
        <v>1044</v>
      </c>
      <c r="O915" s="14"/>
      <c r="P915" s="15" t="s">
        <v>967</v>
      </c>
      <c r="Q915" s="16">
        <v>12499</v>
      </c>
      <c r="R915" s="17">
        <v>40</v>
      </c>
      <c r="S915" s="18">
        <v>8624.31</v>
      </c>
      <c r="T915" s="19" t="s">
        <v>846</v>
      </c>
      <c r="U915" s="20" t="s">
        <v>848</v>
      </c>
      <c r="V915" s="30">
        <v>37.5</v>
      </c>
      <c r="W915" s="21">
        <v>4</v>
      </c>
      <c r="X915" s="22"/>
    </row>
    <row r="916" spans="1:24" s="1" customFormat="1" ht="11.1" customHeight="1" x14ac:dyDescent="0.3">
      <c r="A916" s="23" t="s">
        <v>784</v>
      </c>
      <c r="B916" s="23" t="s">
        <v>1042</v>
      </c>
      <c r="C916" s="12" t="s">
        <v>1043</v>
      </c>
      <c r="D916" s="84"/>
      <c r="E916" s="69" t="str">
        <f t="shared" si="49"/>
        <v>Еще фото</v>
      </c>
      <c r="F916" s="13"/>
      <c r="G916" s="23" t="s">
        <v>394</v>
      </c>
      <c r="H916" s="23" t="s">
        <v>151</v>
      </c>
      <c r="I916" s="23" t="s">
        <v>424</v>
      </c>
      <c r="J916" s="14" t="s">
        <v>406</v>
      </c>
      <c r="K916" s="15" t="s">
        <v>55</v>
      </c>
      <c r="L916" s="87"/>
      <c r="M916" s="14"/>
      <c r="N916" s="14" t="s">
        <v>1044</v>
      </c>
      <c r="O916" s="14"/>
      <c r="P916" s="15" t="s">
        <v>967</v>
      </c>
      <c r="Q916" s="16">
        <v>12499</v>
      </c>
      <c r="R916" s="17">
        <v>40</v>
      </c>
      <c r="S916" s="18">
        <v>8624.31</v>
      </c>
      <c r="T916" s="19" t="s">
        <v>846</v>
      </c>
      <c r="U916" s="20" t="s">
        <v>849</v>
      </c>
      <c r="V916" s="21">
        <v>38</v>
      </c>
      <c r="W916" s="21">
        <v>7</v>
      </c>
      <c r="X916" s="22"/>
    </row>
    <row r="917" spans="1:24" s="1" customFormat="1" ht="11.1" customHeight="1" x14ac:dyDescent="0.3">
      <c r="A917" s="23" t="s">
        <v>784</v>
      </c>
      <c r="B917" s="23" t="s">
        <v>1042</v>
      </c>
      <c r="C917" s="12" t="s">
        <v>1043</v>
      </c>
      <c r="D917" s="84"/>
      <c r="E917" s="69" t="str">
        <f t="shared" si="49"/>
        <v>Еще фото</v>
      </c>
      <c r="F917" s="13"/>
      <c r="G917" s="23" t="s">
        <v>394</v>
      </c>
      <c r="H917" s="23" t="s">
        <v>151</v>
      </c>
      <c r="I917" s="23" t="s">
        <v>424</v>
      </c>
      <c r="J917" s="14" t="s">
        <v>406</v>
      </c>
      <c r="K917" s="15" t="s">
        <v>55</v>
      </c>
      <c r="L917" s="87"/>
      <c r="M917" s="14"/>
      <c r="N917" s="14" t="s">
        <v>1044</v>
      </c>
      <c r="O917" s="14"/>
      <c r="P917" s="15" t="s">
        <v>967</v>
      </c>
      <c r="Q917" s="16">
        <v>12499</v>
      </c>
      <c r="R917" s="17">
        <v>40</v>
      </c>
      <c r="S917" s="18">
        <v>8624.31</v>
      </c>
      <c r="T917" s="19" t="s">
        <v>846</v>
      </c>
      <c r="U917" s="20" t="s">
        <v>500</v>
      </c>
      <c r="V917" s="21">
        <v>39</v>
      </c>
      <c r="W917" s="21">
        <v>5</v>
      </c>
      <c r="X917" s="22"/>
    </row>
    <row r="918" spans="1:24" s="1" customFormat="1" ht="11.1" customHeight="1" x14ac:dyDescent="0.3">
      <c r="A918" s="23" t="s">
        <v>784</v>
      </c>
      <c r="B918" s="23" t="s">
        <v>1042</v>
      </c>
      <c r="C918" s="12" t="s">
        <v>1043</v>
      </c>
      <c r="D918" s="84"/>
      <c r="E918" s="69" t="str">
        <f t="shared" si="49"/>
        <v>Еще фото</v>
      </c>
      <c r="F918" s="13"/>
      <c r="G918" s="23" t="s">
        <v>394</v>
      </c>
      <c r="H918" s="23" t="s">
        <v>151</v>
      </c>
      <c r="I918" s="23" t="s">
        <v>424</v>
      </c>
      <c r="J918" s="14" t="s">
        <v>406</v>
      </c>
      <c r="K918" s="15" t="s">
        <v>55</v>
      </c>
      <c r="L918" s="87"/>
      <c r="M918" s="14"/>
      <c r="N918" s="14" t="s">
        <v>1044</v>
      </c>
      <c r="O918" s="14"/>
      <c r="P918" s="15" t="s">
        <v>967</v>
      </c>
      <c r="Q918" s="16">
        <v>12499</v>
      </c>
      <c r="R918" s="17">
        <v>40</v>
      </c>
      <c r="S918" s="18">
        <v>8624.31</v>
      </c>
      <c r="T918" s="19" t="s">
        <v>846</v>
      </c>
      <c r="U918" s="20" t="s">
        <v>156</v>
      </c>
      <c r="V918" s="21">
        <v>40</v>
      </c>
      <c r="W918" s="21">
        <v>3</v>
      </c>
      <c r="X918" s="22"/>
    </row>
    <row r="919" spans="1:24" s="1" customFormat="1" ht="11.1" customHeight="1" x14ac:dyDescent="0.3">
      <c r="A919" s="23" t="s">
        <v>784</v>
      </c>
      <c r="B919" s="23" t="s">
        <v>1042</v>
      </c>
      <c r="C919" s="12" t="s">
        <v>1043</v>
      </c>
      <c r="D919" s="84"/>
      <c r="E919" s="69" t="str">
        <f t="shared" si="49"/>
        <v>Еще фото</v>
      </c>
      <c r="F919" s="13"/>
      <c r="G919" s="23" t="s">
        <v>394</v>
      </c>
      <c r="H919" s="23" t="s">
        <v>151</v>
      </c>
      <c r="I919" s="23" t="s">
        <v>424</v>
      </c>
      <c r="J919" s="14" t="s">
        <v>406</v>
      </c>
      <c r="K919" s="15" t="s">
        <v>55</v>
      </c>
      <c r="L919" s="87"/>
      <c r="M919" s="14"/>
      <c r="N919" s="14" t="s">
        <v>1044</v>
      </c>
      <c r="O919" s="14"/>
      <c r="P919" s="15" t="s">
        <v>967</v>
      </c>
      <c r="Q919" s="16">
        <v>12499</v>
      </c>
      <c r="R919" s="17">
        <v>40</v>
      </c>
      <c r="S919" s="18">
        <v>8624.31</v>
      </c>
      <c r="T919" s="19" t="s">
        <v>846</v>
      </c>
      <c r="U919" s="20" t="s">
        <v>435</v>
      </c>
      <c r="V919" s="30">
        <v>41.5</v>
      </c>
      <c r="W919" s="21">
        <v>1</v>
      </c>
      <c r="X919" s="22"/>
    </row>
    <row r="920" spans="1:24" s="1" customFormat="1" ht="11.1" customHeight="1" x14ac:dyDescent="0.3">
      <c r="A920" s="23" t="s">
        <v>784</v>
      </c>
      <c r="B920" s="23" t="s">
        <v>1042</v>
      </c>
      <c r="C920" s="12" t="s">
        <v>1043</v>
      </c>
      <c r="D920" s="84"/>
      <c r="E920" s="69" t="str">
        <f t="shared" si="49"/>
        <v>Еще фото</v>
      </c>
      <c r="F920" s="13"/>
      <c r="G920" s="23" t="s">
        <v>394</v>
      </c>
      <c r="H920" s="23" t="s">
        <v>151</v>
      </c>
      <c r="I920" s="23" t="s">
        <v>424</v>
      </c>
      <c r="J920" s="14" t="s">
        <v>406</v>
      </c>
      <c r="K920" s="15" t="s">
        <v>55</v>
      </c>
      <c r="L920" s="87"/>
      <c r="M920" s="14"/>
      <c r="N920" s="14" t="s">
        <v>1044</v>
      </c>
      <c r="O920" s="14"/>
      <c r="P920" s="15" t="s">
        <v>967</v>
      </c>
      <c r="Q920" s="16">
        <v>12499</v>
      </c>
      <c r="R920" s="17">
        <v>40</v>
      </c>
      <c r="S920" s="18">
        <v>8624.31</v>
      </c>
      <c r="T920" s="19" t="s">
        <v>846</v>
      </c>
      <c r="U920" s="20" t="s">
        <v>436</v>
      </c>
      <c r="V920" s="21">
        <v>43</v>
      </c>
      <c r="W920" s="21">
        <v>3</v>
      </c>
      <c r="X920" s="22"/>
    </row>
    <row r="921" spans="1:24" s="1" customFormat="1" ht="11.1" customHeight="1" x14ac:dyDescent="0.3">
      <c r="A921" s="14" t="s">
        <v>784</v>
      </c>
      <c r="B921" s="14" t="s">
        <v>1042</v>
      </c>
      <c r="C921" s="12" t="s">
        <v>1043</v>
      </c>
      <c r="D921" s="85"/>
      <c r="E921" s="69" t="str">
        <f t="shared" si="49"/>
        <v>Еще фото</v>
      </c>
      <c r="F921" s="36"/>
      <c r="G921" s="14" t="s">
        <v>394</v>
      </c>
      <c r="H921" s="14" t="s">
        <v>151</v>
      </c>
      <c r="I921" s="14" t="s">
        <v>424</v>
      </c>
      <c r="J921" s="14" t="s">
        <v>406</v>
      </c>
      <c r="K921" s="14" t="s">
        <v>55</v>
      </c>
      <c r="L921" s="88"/>
      <c r="M921" s="14"/>
      <c r="N921" s="14" t="s">
        <v>1044</v>
      </c>
      <c r="O921" s="14"/>
      <c r="P921" s="14" t="s">
        <v>967</v>
      </c>
      <c r="Q921" s="33">
        <v>12499</v>
      </c>
      <c r="R921" s="34">
        <v>40</v>
      </c>
      <c r="S921" s="35">
        <v>8624.31</v>
      </c>
      <c r="T921" s="19" t="s">
        <v>846</v>
      </c>
      <c r="U921" s="20" t="s">
        <v>907</v>
      </c>
      <c r="V921" s="21">
        <v>44</v>
      </c>
      <c r="W921" s="21">
        <v>2</v>
      </c>
      <c r="X921" s="22"/>
    </row>
    <row r="922" spans="1:24" s="1" customFormat="1" ht="12.95" customHeight="1" x14ac:dyDescent="0.3">
      <c r="A922" s="11" t="s">
        <v>784</v>
      </c>
      <c r="B922" s="11" t="s">
        <v>1045</v>
      </c>
      <c r="C922" s="12" t="s">
        <v>1046</v>
      </c>
      <c r="D922" s="83"/>
      <c r="E922" s="69" t="str">
        <f t="shared" ref="E922:E929" si="50">HYPERLINK("https://www.google.ru/search?q=D1GA2101-64&amp;newwindow=1&amp;tbm=isch","Еще фото")</f>
        <v>Еще фото</v>
      </c>
      <c r="F922" s="13"/>
      <c r="G922" s="11" t="s">
        <v>394</v>
      </c>
      <c r="H922" s="11" t="s">
        <v>151</v>
      </c>
      <c r="I922" s="14" t="s">
        <v>424</v>
      </c>
      <c r="J922" s="14" t="s">
        <v>406</v>
      </c>
      <c r="K922" s="15" t="s">
        <v>55</v>
      </c>
      <c r="L922" s="86" t="s">
        <v>1047</v>
      </c>
      <c r="M922" s="14"/>
      <c r="N922" s="14" t="s">
        <v>89</v>
      </c>
      <c r="O922" s="14"/>
      <c r="P922" s="15" t="s">
        <v>967</v>
      </c>
      <c r="Q922" s="16">
        <v>9699</v>
      </c>
      <c r="R922" s="17">
        <v>40</v>
      </c>
      <c r="S922" s="18">
        <v>6692.3099999999995</v>
      </c>
      <c r="T922" s="19" t="s">
        <v>846</v>
      </c>
      <c r="U922" s="26" t="s">
        <v>821</v>
      </c>
      <c r="V922" s="21">
        <v>36</v>
      </c>
      <c r="W922" s="21">
        <v>3</v>
      </c>
      <c r="X922" s="22"/>
    </row>
    <row r="923" spans="1:24" s="1" customFormat="1" ht="12.95" customHeight="1" x14ac:dyDescent="0.3">
      <c r="A923" s="23" t="s">
        <v>784</v>
      </c>
      <c r="B923" s="23" t="s">
        <v>1045</v>
      </c>
      <c r="C923" s="12" t="s">
        <v>1046</v>
      </c>
      <c r="D923" s="84"/>
      <c r="E923" s="69" t="str">
        <f t="shared" si="50"/>
        <v>Еще фото</v>
      </c>
      <c r="F923" s="13"/>
      <c r="G923" s="23" t="s">
        <v>394</v>
      </c>
      <c r="H923" s="23" t="s">
        <v>151</v>
      </c>
      <c r="I923" s="23" t="s">
        <v>424</v>
      </c>
      <c r="J923" s="14" t="s">
        <v>406</v>
      </c>
      <c r="K923" s="15" t="s">
        <v>55</v>
      </c>
      <c r="L923" s="87"/>
      <c r="M923" s="14"/>
      <c r="N923" s="14" t="s">
        <v>89</v>
      </c>
      <c r="O923" s="14"/>
      <c r="P923" s="15" t="s">
        <v>967</v>
      </c>
      <c r="Q923" s="16">
        <v>9699</v>
      </c>
      <c r="R923" s="17">
        <v>40</v>
      </c>
      <c r="S923" s="18">
        <v>6692.3099999999995</v>
      </c>
      <c r="T923" s="19" t="s">
        <v>846</v>
      </c>
      <c r="U923" s="20" t="s">
        <v>847</v>
      </c>
      <c r="V923" s="30">
        <v>36.5</v>
      </c>
      <c r="W923" s="21">
        <v>2</v>
      </c>
      <c r="X923" s="22"/>
    </row>
    <row r="924" spans="1:24" s="1" customFormat="1" ht="12.95" customHeight="1" x14ac:dyDescent="0.3">
      <c r="A924" s="23" t="s">
        <v>784</v>
      </c>
      <c r="B924" s="23" t="s">
        <v>1045</v>
      </c>
      <c r="C924" s="12" t="s">
        <v>1046</v>
      </c>
      <c r="D924" s="84"/>
      <c r="E924" s="69" t="str">
        <f t="shared" si="50"/>
        <v>Еще фото</v>
      </c>
      <c r="F924" s="13"/>
      <c r="G924" s="23" t="s">
        <v>394</v>
      </c>
      <c r="H924" s="23" t="s">
        <v>151</v>
      </c>
      <c r="I924" s="23" t="s">
        <v>424</v>
      </c>
      <c r="J924" s="14" t="s">
        <v>406</v>
      </c>
      <c r="K924" s="15" t="s">
        <v>55</v>
      </c>
      <c r="L924" s="87"/>
      <c r="M924" s="14"/>
      <c r="N924" s="14" t="s">
        <v>89</v>
      </c>
      <c r="O924" s="14"/>
      <c r="P924" s="15" t="s">
        <v>967</v>
      </c>
      <c r="Q924" s="16">
        <v>9699</v>
      </c>
      <c r="R924" s="17">
        <v>40</v>
      </c>
      <c r="S924" s="18">
        <v>6692.3099999999995</v>
      </c>
      <c r="T924" s="19" t="s">
        <v>846</v>
      </c>
      <c r="U924" s="20" t="s">
        <v>818</v>
      </c>
      <c r="V924" s="21">
        <v>37</v>
      </c>
      <c r="W924" s="21">
        <v>1</v>
      </c>
      <c r="X924" s="22"/>
    </row>
    <row r="925" spans="1:24" s="1" customFormat="1" ht="12.95" customHeight="1" x14ac:dyDescent="0.3">
      <c r="A925" s="23" t="s">
        <v>784</v>
      </c>
      <c r="B925" s="23" t="s">
        <v>1045</v>
      </c>
      <c r="C925" s="12" t="s">
        <v>1046</v>
      </c>
      <c r="D925" s="84"/>
      <c r="E925" s="69" t="str">
        <f t="shared" si="50"/>
        <v>Еще фото</v>
      </c>
      <c r="F925" s="13"/>
      <c r="G925" s="23" t="s">
        <v>394</v>
      </c>
      <c r="H925" s="23" t="s">
        <v>151</v>
      </c>
      <c r="I925" s="23" t="s">
        <v>424</v>
      </c>
      <c r="J925" s="14" t="s">
        <v>406</v>
      </c>
      <c r="K925" s="15" t="s">
        <v>55</v>
      </c>
      <c r="L925" s="87"/>
      <c r="M925" s="14"/>
      <c r="N925" s="14" t="s">
        <v>89</v>
      </c>
      <c r="O925" s="14"/>
      <c r="P925" s="15" t="s">
        <v>967</v>
      </c>
      <c r="Q925" s="16">
        <v>9699</v>
      </c>
      <c r="R925" s="17">
        <v>40</v>
      </c>
      <c r="S925" s="18">
        <v>6692.3099999999995</v>
      </c>
      <c r="T925" s="19" t="s">
        <v>846</v>
      </c>
      <c r="U925" s="20" t="s">
        <v>848</v>
      </c>
      <c r="V925" s="30">
        <v>37.5</v>
      </c>
      <c r="W925" s="21">
        <v>1</v>
      </c>
      <c r="X925" s="22"/>
    </row>
    <row r="926" spans="1:24" s="1" customFormat="1" ht="12.95" customHeight="1" x14ac:dyDescent="0.3">
      <c r="A926" s="23" t="s">
        <v>784</v>
      </c>
      <c r="B926" s="23" t="s">
        <v>1045</v>
      </c>
      <c r="C926" s="12" t="s">
        <v>1046</v>
      </c>
      <c r="D926" s="84"/>
      <c r="E926" s="69" t="str">
        <f t="shared" si="50"/>
        <v>Еще фото</v>
      </c>
      <c r="F926" s="13"/>
      <c r="G926" s="23" t="s">
        <v>394</v>
      </c>
      <c r="H926" s="23" t="s">
        <v>151</v>
      </c>
      <c r="I926" s="23" t="s">
        <v>424</v>
      </c>
      <c r="J926" s="14" t="s">
        <v>406</v>
      </c>
      <c r="K926" s="15" t="s">
        <v>55</v>
      </c>
      <c r="L926" s="87"/>
      <c r="M926" s="14"/>
      <c r="N926" s="14" t="s">
        <v>89</v>
      </c>
      <c r="O926" s="14"/>
      <c r="P926" s="15" t="s">
        <v>967</v>
      </c>
      <c r="Q926" s="16">
        <v>9699</v>
      </c>
      <c r="R926" s="17">
        <v>40</v>
      </c>
      <c r="S926" s="18">
        <v>6692.3099999999995</v>
      </c>
      <c r="T926" s="19" t="s">
        <v>846</v>
      </c>
      <c r="U926" s="20" t="s">
        <v>849</v>
      </c>
      <c r="V926" s="21">
        <v>38</v>
      </c>
      <c r="W926" s="21">
        <v>3</v>
      </c>
      <c r="X926" s="22"/>
    </row>
    <row r="927" spans="1:24" s="1" customFormat="1" ht="12.95" customHeight="1" x14ac:dyDescent="0.3">
      <c r="A927" s="23" t="s">
        <v>784</v>
      </c>
      <c r="B927" s="23" t="s">
        <v>1045</v>
      </c>
      <c r="C927" s="12" t="s">
        <v>1046</v>
      </c>
      <c r="D927" s="84"/>
      <c r="E927" s="69" t="str">
        <f t="shared" si="50"/>
        <v>Еще фото</v>
      </c>
      <c r="F927" s="13"/>
      <c r="G927" s="23" t="s">
        <v>394</v>
      </c>
      <c r="H927" s="23" t="s">
        <v>151</v>
      </c>
      <c r="I927" s="23" t="s">
        <v>424</v>
      </c>
      <c r="J927" s="14" t="s">
        <v>406</v>
      </c>
      <c r="K927" s="15" t="s">
        <v>55</v>
      </c>
      <c r="L927" s="87"/>
      <c r="M927" s="14"/>
      <c r="N927" s="14" t="s">
        <v>89</v>
      </c>
      <c r="O927" s="14"/>
      <c r="P927" s="15" t="s">
        <v>967</v>
      </c>
      <c r="Q927" s="16">
        <v>9699</v>
      </c>
      <c r="R927" s="17">
        <v>40</v>
      </c>
      <c r="S927" s="18">
        <v>6692.3099999999995</v>
      </c>
      <c r="T927" s="19" t="s">
        <v>846</v>
      </c>
      <c r="U927" s="20" t="s">
        <v>500</v>
      </c>
      <c r="V927" s="21">
        <v>39</v>
      </c>
      <c r="W927" s="21">
        <v>2</v>
      </c>
      <c r="X927" s="22"/>
    </row>
    <row r="928" spans="1:24" s="1" customFormat="1" ht="12.95" customHeight="1" x14ac:dyDescent="0.3">
      <c r="A928" s="23" t="s">
        <v>784</v>
      </c>
      <c r="B928" s="23" t="s">
        <v>1045</v>
      </c>
      <c r="C928" s="12" t="s">
        <v>1046</v>
      </c>
      <c r="D928" s="84"/>
      <c r="E928" s="69" t="str">
        <f t="shared" si="50"/>
        <v>Еще фото</v>
      </c>
      <c r="F928" s="13"/>
      <c r="G928" s="23" t="s">
        <v>394</v>
      </c>
      <c r="H928" s="23" t="s">
        <v>151</v>
      </c>
      <c r="I928" s="23" t="s">
        <v>424</v>
      </c>
      <c r="J928" s="14" t="s">
        <v>406</v>
      </c>
      <c r="K928" s="15" t="s">
        <v>55</v>
      </c>
      <c r="L928" s="87"/>
      <c r="M928" s="14"/>
      <c r="N928" s="14" t="s">
        <v>89</v>
      </c>
      <c r="O928" s="14"/>
      <c r="P928" s="15" t="s">
        <v>967</v>
      </c>
      <c r="Q928" s="16">
        <v>9699</v>
      </c>
      <c r="R928" s="17">
        <v>40</v>
      </c>
      <c r="S928" s="18">
        <v>6692.3099999999995</v>
      </c>
      <c r="T928" s="19" t="s">
        <v>846</v>
      </c>
      <c r="U928" s="20" t="s">
        <v>854</v>
      </c>
      <c r="V928" s="30">
        <v>39.5</v>
      </c>
      <c r="W928" s="21">
        <v>3</v>
      </c>
      <c r="X928" s="22"/>
    </row>
    <row r="929" spans="1:24" s="1" customFormat="1" ht="18" customHeight="1" x14ac:dyDescent="0.3">
      <c r="A929" s="23" t="s">
        <v>784</v>
      </c>
      <c r="B929" s="23" t="s">
        <v>1045</v>
      </c>
      <c r="C929" s="12" t="s">
        <v>1046</v>
      </c>
      <c r="D929" s="85"/>
      <c r="E929" s="69" t="str">
        <f t="shared" si="50"/>
        <v>Еще фото</v>
      </c>
      <c r="F929" s="13"/>
      <c r="G929" s="23" t="s">
        <v>394</v>
      </c>
      <c r="H929" s="23" t="s">
        <v>151</v>
      </c>
      <c r="I929" s="23" t="s">
        <v>424</v>
      </c>
      <c r="J929" s="14" t="s">
        <v>406</v>
      </c>
      <c r="K929" s="15" t="s">
        <v>55</v>
      </c>
      <c r="L929" s="88"/>
      <c r="M929" s="14"/>
      <c r="N929" s="14" t="s">
        <v>89</v>
      </c>
      <c r="O929" s="14"/>
      <c r="P929" s="15" t="s">
        <v>967</v>
      </c>
      <c r="Q929" s="16">
        <v>9699</v>
      </c>
      <c r="R929" s="17">
        <v>40</v>
      </c>
      <c r="S929" s="18">
        <v>6692.3099999999995</v>
      </c>
      <c r="T929" s="19" t="s">
        <v>846</v>
      </c>
      <c r="U929" s="20" t="s">
        <v>156</v>
      </c>
      <c r="V929" s="21">
        <v>40</v>
      </c>
      <c r="W929" s="21">
        <v>2</v>
      </c>
      <c r="X929" s="22"/>
    </row>
    <row r="930" spans="1:24" s="1" customFormat="1" ht="11.1" customHeight="1" x14ac:dyDescent="0.3">
      <c r="A930" s="11" t="s">
        <v>784</v>
      </c>
      <c r="B930" s="11" t="s">
        <v>1048</v>
      </c>
      <c r="C930" s="12" t="s">
        <v>1049</v>
      </c>
      <c r="D930" s="83"/>
      <c r="E930" s="69" t="str">
        <f t="shared" ref="E930:E938" si="51">HYPERLINK("https://www.google.ru/search?q=D1GA2132-00&amp;newwindow=1&amp;tbm=isch","Еще фото")</f>
        <v>Еще фото</v>
      </c>
      <c r="F930" s="13"/>
      <c r="G930" s="11" t="s">
        <v>394</v>
      </c>
      <c r="H930" s="11" t="s">
        <v>151</v>
      </c>
      <c r="I930" s="14" t="s">
        <v>424</v>
      </c>
      <c r="J930" s="14" t="s">
        <v>406</v>
      </c>
      <c r="K930" s="15" t="s">
        <v>114</v>
      </c>
      <c r="L930" s="86"/>
      <c r="M930" s="14"/>
      <c r="N930" s="14" t="s">
        <v>1050</v>
      </c>
      <c r="O930" s="14"/>
      <c r="P930" s="15" t="s">
        <v>967</v>
      </c>
      <c r="Q930" s="16">
        <v>15799</v>
      </c>
      <c r="R930" s="17">
        <v>40</v>
      </c>
      <c r="S930" s="18">
        <v>10901.31</v>
      </c>
      <c r="T930" s="19" t="s">
        <v>846</v>
      </c>
      <c r="U930" s="20" t="s">
        <v>821</v>
      </c>
      <c r="V930" s="21">
        <v>36</v>
      </c>
      <c r="W930" s="21">
        <v>1</v>
      </c>
      <c r="X930" s="22"/>
    </row>
    <row r="931" spans="1:24" s="1" customFormat="1" ht="11.1" customHeight="1" x14ac:dyDescent="0.3">
      <c r="A931" s="23" t="s">
        <v>784</v>
      </c>
      <c r="B931" s="23" t="s">
        <v>1048</v>
      </c>
      <c r="C931" s="12" t="s">
        <v>1049</v>
      </c>
      <c r="D931" s="84"/>
      <c r="E931" s="69" t="str">
        <f t="shared" si="51"/>
        <v>Еще фото</v>
      </c>
      <c r="F931" s="13"/>
      <c r="G931" s="23" t="s">
        <v>394</v>
      </c>
      <c r="H931" s="23" t="s">
        <v>151</v>
      </c>
      <c r="I931" s="23" t="s">
        <v>424</v>
      </c>
      <c r="J931" s="14" t="s">
        <v>406</v>
      </c>
      <c r="K931" s="15" t="s">
        <v>114</v>
      </c>
      <c r="L931" s="87"/>
      <c r="M931" s="14"/>
      <c r="N931" s="14" t="s">
        <v>1050</v>
      </c>
      <c r="O931" s="14"/>
      <c r="P931" s="15" t="s">
        <v>967</v>
      </c>
      <c r="Q931" s="16">
        <v>15799</v>
      </c>
      <c r="R931" s="17">
        <v>40</v>
      </c>
      <c r="S931" s="18">
        <v>10901.31</v>
      </c>
      <c r="T931" s="19" t="s">
        <v>846</v>
      </c>
      <c r="U931" s="20" t="s">
        <v>847</v>
      </c>
      <c r="V931" s="30">
        <v>36.5</v>
      </c>
      <c r="W931" s="21">
        <v>2</v>
      </c>
      <c r="X931" s="22"/>
    </row>
    <row r="932" spans="1:24" s="1" customFormat="1" ht="11.1" customHeight="1" x14ac:dyDescent="0.3">
      <c r="A932" s="23" t="s">
        <v>784</v>
      </c>
      <c r="B932" s="23" t="s">
        <v>1048</v>
      </c>
      <c r="C932" s="12" t="s">
        <v>1049</v>
      </c>
      <c r="D932" s="84"/>
      <c r="E932" s="69" t="str">
        <f t="shared" si="51"/>
        <v>Еще фото</v>
      </c>
      <c r="F932" s="13"/>
      <c r="G932" s="23" t="s">
        <v>394</v>
      </c>
      <c r="H932" s="23" t="s">
        <v>151</v>
      </c>
      <c r="I932" s="23" t="s">
        <v>424</v>
      </c>
      <c r="J932" s="14" t="s">
        <v>406</v>
      </c>
      <c r="K932" s="15" t="s">
        <v>114</v>
      </c>
      <c r="L932" s="87"/>
      <c r="M932" s="14"/>
      <c r="N932" s="14" t="s">
        <v>1050</v>
      </c>
      <c r="O932" s="14"/>
      <c r="P932" s="15" t="s">
        <v>967</v>
      </c>
      <c r="Q932" s="16">
        <v>15799</v>
      </c>
      <c r="R932" s="17">
        <v>40</v>
      </c>
      <c r="S932" s="18">
        <v>10901.31</v>
      </c>
      <c r="T932" s="19" t="s">
        <v>846</v>
      </c>
      <c r="U932" s="20" t="s">
        <v>818</v>
      </c>
      <c r="V932" s="21">
        <v>37</v>
      </c>
      <c r="W932" s="21">
        <v>2</v>
      </c>
      <c r="X932" s="22"/>
    </row>
    <row r="933" spans="1:24" s="1" customFormat="1" ht="11.1" customHeight="1" x14ac:dyDescent="0.3">
      <c r="A933" s="23" t="s">
        <v>784</v>
      </c>
      <c r="B933" s="23" t="s">
        <v>1048</v>
      </c>
      <c r="C933" s="12" t="s">
        <v>1049</v>
      </c>
      <c r="D933" s="84"/>
      <c r="E933" s="69" t="str">
        <f t="shared" si="51"/>
        <v>Еще фото</v>
      </c>
      <c r="F933" s="13"/>
      <c r="G933" s="23" t="s">
        <v>394</v>
      </c>
      <c r="H933" s="23" t="s">
        <v>151</v>
      </c>
      <c r="I933" s="23" t="s">
        <v>424</v>
      </c>
      <c r="J933" s="14" t="s">
        <v>406</v>
      </c>
      <c r="K933" s="15" t="s">
        <v>114</v>
      </c>
      <c r="L933" s="87"/>
      <c r="M933" s="14"/>
      <c r="N933" s="14" t="s">
        <v>1050</v>
      </c>
      <c r="O933" s="14"/>
      <c r="P933" s="15" t="s">
        <v>967</v>
      </c>
      <c r="Q933" s="16">
        <v>15799</v>
      </c>
      <c r="R933" s="17">
        <v>40</v>
      </c>
      <c r="S933" s="18">
        <v>10901.31</v>
      </c>
      <c r="T933" s="19" t="s">
        <v>846</v>
      </c>
      <c r="U933" s="20" t="s">
        <v>500</v>
      </c>
      <c r="V933" s="21">
        <v>39</v>
      </c>
      <c r="W933" s="21">
        <v>2</v>
      </c>
      <c r="X933" s="22"/>
    </row>
    <row r="934" spans="1:24" s="1" customFormat="1" ht="11.1" customHeight="1" x14ac:dyDescent="0.3">
      <c r="A934" s="23" t="s">
        <v>784</v>
      </c>
      <c r="B934" s="23" t="s">
        <v>1048</v>
      </c>
      <c r="C934" s="12" t="s">
        <v>1049</v>
      </c>
      <c r="D934" s="84"/>
      <c r="E934" s="69" t="str">
        <f t="shared" si="51"/>
        <v>Еще фото</v>
      </c>
      <c r="F934" s="13"/>
      <c r="G934" s="23" t="s">
        <v>394</v>
      </c>
      <c r="H934" s="23" t="s">
        <v>151</v>
      </c>
      <c r="I934" s="23" t="s">
        <v>424</v>
      </c>
      <c r="J934" s="14" t="s">
        <v>406</v>
      </c>
      <c r="K934" s="15" t="s">
        <v>114</v>
      </c>
      <c r="L934" s="87"/>
      <c r="M934" s="14"/>
      <c r="N934" s="14" t="s">
        <v>1050</v>
      </c>
      <c r="O934" s="14"/>
      <c r="P934" s="15" t="s">
        <v>967</v>
      </c>
      <c r="Q934" s="16">
        <v>15799</v>
      </c>
      <c r="R934" s="17">
        <v>40</v>
      </c>
      <c r="S934" s="18">
        <v>10901.31</v>
      </c>
      <c r="T934" s="19" t="s">
        <v>846</v>
      </c>
      <c r="U934" s="20" t="s">
        <v>854</v>
      </c>
      <c r="V934" s="30">
        <v>39.5</v>
      </c>
      <c r="W934" s="21">
        <v>1</v>
      </c>
      <c r="X934" s="22"/>
    </row>
    <row r="935" spans="1:24" s="1" customFormat="1" ht="11.1" customHeight="1" x14ac:dyDescent="0.3">
      <c r="A935" s="23" t="s">
        <v>784</v>
      </c>
      <c r="B935" s="23" t="s">
        <v>1048</v>
      </c>
      <c r="C935" s="12" t="s">
        <v>1049</v>
      </c>
      <c r="D935" s="84"/>
      <c r="E935" s="69" t="str">
        <f t="shared" si="51"/>
        <v>Еще фото</v>
      </c>
      <c r="F935" s="13"/>
      <c r="G935" s="23" t="s">
        <v>394</v>
      </c>
      <c r="H935" s="23" t="s">
        <v>151</v>
      </c>
      <c r="I935" s="23" t="s">
        <v>424</v>
      </c>
      <c r="J935" s="14" t="s">
        <v>406</v>
      </c>
      <c r="K935" s="15" t="s">
        <v>114</v>
      </c>
      <c r="L935" s="87"/>
      <c r="M935" s="14"/>
      <c r="N935" s="14" t="s">
        <v>1050</v>
      </c>
      <c r="O935" s="14"/>
      <c r="P935" s="15" t="s">
        <v>967</v>
      </c>
      <c r="Q935" s="16">
        <v>15799</v>
      </c>
      <c r="R935" s="17">
        <v>40</v>
      </c>
      <c r="S935" s="18">
        <v>10901.31</v>
      </c>
      <c r="T935" s="19" t="s">
        <v>846</v>
      </c>
      <c r="U935" s="20" t="s">
        <v>156</v>
      </c>
      <c r="V935" s="21">
        <v>40</v>
      </c>
      <c r="W935" s="21">
        <v>2</v>
      </c>
      <c r="X935" s="22"/>
    </row>
    <row r="936" spans="1:24" s="1" customFormat="1" ht="11.1" customHeight="1" x14ac:dyDescent="0.3">
      <c r="A936" s="23" t="s">
        <v>784</v>
      </c>
      <c r="B936" s="23" t="s">
        <v>1048</v>
      </c>
      <c r="C936" s="12" t="s">
        <v>1049</v>
      </c>
      <c r="D936" s="84"/>
      <c r="E936" s="69" t="str">
        <f t="shared" si="51"/>
        <v>Еще фото</v>
      </c>
      <c r="F936" s="13"/>
      <c r="G936" s="23" t="s">
        <v>394</v>
      </c>
      <c r="H936" s="23" t="s">
        <v>151</v>
      </c>
      <c r="I936" s="23" t="s">
        <v>424</v>
      </c>
      <c r="J936" s="14" t="s">
        <v>406</v>
      </c>
      <c r="K936" s="15" t="s">
        <v>114</v>
      </c>
      <c r="L936" s="87"/>
      <c r="M936" s="14"/>
      <c r="N936" s="14" t="s">
        <v>1050</v>
      </c>
      <c r="O936" s="14"/>
      <c r="P936" s="15" t="s">
        <v>967</v>
      </c>
      <c r="Q936" s="16">
        <v>15799</v>
      </c>
      <c r="R936" s="17">
        <v>40</v>
      </c>
      <c r="S936" s="18">
        <v>10901.31</v>
      </c>
      <c r="T936" s="19" t="s">
        <v>846</v>
      </c>
      <c r="U936" s="20" t="s">
        <v>162</v>
      </c>
      <c r="V936" s="21">
        <v>42</v>
      </c>
      <c r="W936" s="21">
        <v>1</v>
      </c>
      <c r="X936" s="22"/>
    </row>
    <row r="937" spans="1:24" s="1" customFormat="1" ht="11.1" customHeight="1" x14ac:dyDescent="0.3">
      <c r="A937" s="23" t="s">
        <v>784</v>
      </c>
      <c r="B937" s="23" t="s">
        <v>1048</v>
      </c>
      <c r="C937" s="12" t="s">
        <v>1049</v>
      </c>
      <c r="D937" s="84"/>
      <c r="E937" s="69" t="str">
        <f t="shared" si="51"/>
        <v>Еще фото</v>
      </c>
      <c r="F937" s="13"/>
      <c r="G937" s="23" t="s">
        <v>394</v>
      </c>
      <c r="H937" s="23" t="s">
        <v>151</v>
      </c>
      <c r="I937" s="23" t="s">
        <v>424</v>
      </c>
      <c r="J937" s="14" t="s">
        <v>406</v>
      </c>
      <c r="K937" s="15" t="s">
        <v>114</v>
      </c>
      <c r="L937" s="87"/>
      <c r="M937" s="14"/>
      <c r="N937" s="14" t="s">
        <v>1050</v>
      </c>
      <c r="O937" s="14"/>
      <c r="P937" s="15" t="s">
        <v>967</v>
      </c>
      <c r="Q937" s="16">
        <v>15799</v>
      </c>
      <c r="R937" s="17">
        <v>40</v>
      </c>
      <c r="S937" s="18">
        <v>10901.31</v>
      </c>
      <c r="T937" s="19" t="s">
        <v>846</v>
      </c>
      <c r="U937" s="20" t="s">
        <v>436</v>
      </c>
      <c r="V937" s="21">
        <v>43</v>
      </c>
      <c r="W937" s="21">
        <v>1</v>
      </c>
      <c r="X937" s="22"/>
    </row>
    <row r="938" spans="1:24" s="1" customFormat="1" ht="11.1" customHeight="1" x14ac:dyDescent="0.3">
      <c r="A938" s="23" t="s">
        <v>784</v>
      </c>
      <c r="B938" s="23" t="s">
        <v>1048</v>
      </c>
      <c r="C938" s="12" t="s">
        <v>1049</v>
      </c>
      <c r="D938" s="85"/>
      <c r="E938" s="69" t="str">
        <f t="shared" si="51"/>
        <v>Еще фото</v>
      </c>
      <c r="F938" s="13"/>
      <c r="G938" s="23" t="s">
        <v>394</v>
      </c>
      <c r="H938" s="23" t="s">
        <v>151</v>
      </c>
      <c r="I938" s="23" t="s">
        <v>424</v>
      </c>
      <c r="J938" s="14" t="s">
        <v>406</v>
      </c>
      <c r="K938" s="15" t="s">
        <v>114</v>
      </c>
      <c r="L938" s="88"/>
      <c r="M938" s="14"/>
      <c r="N938" s="14" t="s">
        <v>1050</v>
      </c>
      <c r="O938" s="14"/>
      <c r="P938" s="15" t="s">
        <v>967</v>
      </c>
      <c r="Q938" s="16">
        <v>15799</v>
      </c>
      <c r="R938" s="17">
        <v>40</v>
      </c>
      <c r="S938" s="18">
        <v>10901.31</v>
      </c>
      <c r="T938" s="19" t="s">
        <v>846</v>
      </c>
      <c r="U938" s="20" t="s">
        <v>163</v>
      </c>
      <c r="V938" s="30">
        <v>43.5</v>
      </c>
      <c r="W938" s="21">
        <v>1</v>
      </c>
      <c r="X938" s="22"/>
    </row>
    <row r="939" spans="1:24" s="1" customFormat="1" ht="11.1" customHeight="1" x14ac:dyDescent="0.3">
      <c r="A939" s="11" t="s">
        <v>784</v>
      </c>
      <c r="B939" s="11" t="s">
        <v>1051</v>
      </c>
      <c r="C939" s="12" t="s">
        <v>1052</v>
      </c>
      <c r="D939" s="83"/>
      <c r="E939" s="69" t="str">
        <f t="shared" ref="E939:E949" si="52">HYPERLINK("https://www.google.ru/search?q=D1GA2132-06&amp;newwindow=1&amp;tbm=isch","Еще фото")</f>
        <v>Еще фото</v>
      </c>
      <c r="F939" s="13"/>
      <c r="G939" s="11" t="s">
        <v>394</v>
      </c>
      <c r="H939" s="11" t="s">
        <v>151</v>
      </c>
      <c r="I939" s="14" t="s">
        <v>424</v>
      </c>
      <c r="J939" s="14" t="s">
        <v>406</v>
      </c>
      <c r="K939" s="15" t="s">
        <v>114</v>
      </c>
      <c r="L939" s="86"/>
      <c r="M939" s="14"/>
      <c r="N939" s="14" t="s">
        <v>1053</v>
      </c>
      <c r="O939" s="14"/>
      <c r="P939" s="15" t="s">
        <v>967</v>
      </c>
      <c r="Q939" s="16">
        <v>15799</v>
      </c>
      <c r="R939" s="17">
        <v>40</v>
      </c>
      <c r="S939" s="18">
        <v>10901.31</v>
      </c>
      <c r="T939" s="19" t="s">
        <v>846</v>
      </c>
      <c r="U939" s="20" t="s">
        <v>847</v>
      </c>
      <c r="V939" s="30">
        <v>36.5</v>
      </c>
      <c r="W939" s="21">
        <v>2</v>
      </c>
      <c r="X939" s="22"/>
    </row>
    <row r="940" spans="1:24" s="1" customFormat="1" ht="11.1" customHeight="1" x14ac:dyDescent="0.3">
      <c r="A940" s="23" t="s">
        <v>784</v>
      </c>
      <c r="B940" s="23" t="s">
        <v>1051</v>
      </c>
      <c r="C940" s="12" t="s">
        <v>1052</v>
      </c>
      <c r="D940" s="84"/>
      <c r="E940" s="69" t="str">
        <f t="shared" si="52"/>
        <v>Еще фото</v>
      </c>
      <c r="F940" s="13"/>
      <c r="G940" s="23" t="s">
        <v>394</v>
      </c>
      <c r="H940" s="23" t="s">
        <v>151</v>
      </c>
      <c r="I940" s="23" t="s">
        <v>424</v>
      </c>
      <c r="J940" s="14" t="s">
        <v>406</v>
      </c>
      <c r="K940" s="15" t="s">
        <v>114</v>
      </c>
      <c r="L940" s="87"/>
      <c r="M940" s="14"/>
      <c r="N940" s="14" t="s">
        <v>1053</v>
      </c>
      <c r="O940" s="14"/>
      <c r="P940" s="15" t="s">
        <v>967</v>
      </c>
      <c r="Q940" s="16">
        <v>15799</v>
      </c>
      <c r="R940" s="17">
        <v>40</v>
      </c>
      <c r="S940" s="18">
        <v>10901.31</v>
      </c>
      <c r="T940" s="19" t="s">
        <v>846</v>
      </c>
      <c r="U940" s="20" t="s">
        <v>848</v>
      </c>
      <c r="V940" s="30">
        <v>37.5</v>
      </c>
      <c r="W940" s="21">
        <v>1</v>
      </c>
      <c r="X940" s="22"/>
    </row>
    <row r="941" spans="1:24" s="1" customFormat="1" ht="11.1" customHeight="1" x14ac:dyDescent="0.3">
      <c r="A941" s="23" t="s">
        <v>784</v>
      </c>
      <c r="B941" s="23" t="s">
        <v>1051</v>
      </c>
      <c r="C941" s="12" t="s">
        <v>1052</v>
      </c>
      <c r="D941" s="84"/>
      <c r="E941" s="69" t="str">
        <f t="shared" si="52"/>
        <v>Еще фото</v>
      </c>
      <c r="F941" s="13"/>
      <c r="G941" s="23" t="s">
        <v>394</v>
      </c>
      <c r="H941" s="23" t="s">
        <v>151</v>
      </c>
      <c r="I941" s="23" t="s">
        <v>424</v>
      </c>
      <c r="J941" s="14" t="s">
        <v>406</v>
      </c>
      <c r="K941" s="15" t="s">
        <v>114</v>
      </c>
      <c r="L941" s="87"/>
      <c r="M941" s="14"/>
      <c r="N941" s="14" t="s">
        <v>1053</v>
      </c>
      <c r="O941" s="14"/>
      <c r="P941" s="15" t="s">
        <v>967</v>
      </c>
      <c r="Q941" s="16">
        <v>15799</v>
      </c>
      <c r="R941" s="17">
        <v>40</v>
      </c>
      <c r="S941" s="18">
        <v>10901.31</v>
      </c>
      <c r="T941" s="19" t="s">
        <v>846</v>
      </c>
      <c r="U941" s="20" t="s">
        <v>849</v>
      </c>
      <c r="V941" s="21">
        <v>38</v>
      </c>
      <c r="W941" s="21">
        <v>3</v>
      </c>
      <c r="X941" s="22"/>
    </row>
    <row r="942" spans="1:24" s="1" customFormat="1" ht="11.1" customHeight="1" x14ac:dyDescent="0.3">
      <c r="A942" s="23" t="s">
        <v>784</v>
      </c>
      <c r="B942" s="23" t="s">
        <v>1051</v>
      </c>
      <c r="C942" s="12" t="s">
        <v>1052</v>
      </c>
      <c r="D942" s="84"/>
      <c r="E942" s="69" t="str">
        <f t="shared" si="52"/>
        <v>Еще фото</v>
      </c>
      <c r="F942" s="13"/>
      <c r="G942" s="23" t="s">
        <v>394</v>
      </c>
      <c r="H942" s="23" t="s">
        <v>151</v>
      </c>
      <c r="I942" s="23" t="s">
        <v>424</v>
      </c>
      <c r="J942" s="14" t="s">
        <v>406</v>
      </c>
      <c r="K942" s="15" t="s">
        <v>114</v>
      </c>
      <c r="L942" s="87"/>
      <c r="M942" s="14"/>
      <c r="N942" s="14" t="s">
        <v>1053</v>
      </c>
      <c r="O942" s="14"/>
      <c r="P942" s="15" t="s">
        <v>967</v>
      </c>
      <c r="Q942" s="16">
        <v>15799</v>
      </c>
      <c r="R942" s="17">
        <v>40</v>
      </c>
      <c r="S942" s="18">
        <v>10901.31</v>
      </c>
      <c r="T942" s="19" t="s">
        <v>846</v>
      </c>
      <c r="U942" s="20" t="s">
        <v>156</v>
      </c>
      <c r="V942" s="21">
        <v>40</v>
      </c>
      <c r="W942" s="21">
        <v>3</v>
      </c>
      <c r="X942" s="22"/>
    </row>
    <row r="943" spans="1:24" s="1" customFormat="1" ht="11.1" customHeight="1" x14ac:dyDescent="0.3">
      <c r="A943" s="23" t="s">
        <v>784</v>
      </c>
      <c r="B943" s="23" t="s">
        <v>1051</v>
      </c>
      <c r="C943" s="12" t="s">
        <v>1052</v>
      </c>
      <c r="D943" s="84"/>
      <c r="E943" s="69" t="str">
        <f t="shared" si="52"/>
        <v>Еще фото</v>
      </c>
      <c r="F943" s="13"/>
      <c r="G943" s="23" t="s">
        <v>394</v>
      </c>
      <c r="H943" s="23" t="s">
        <v>151</v>
      </c>
      <c r="I943" s="23" t="s">
        <v>424</v>
      </c>
      <c r="J943" s="14" t="s">
        <v>406</v>
      </c>
      <c r="K943" s="15" t="s">
        <v>114</v>
      </c>
      <c r="L943" s="87"/>
      <c r="M943" s="14"/>
      <c r="N943" s="14" t="s">
        <v>1053</v>
      </c>
      <c r="O943" s="14"/>
      <c r="P943" s="15" t="s">
        <v>967</v>
      </c>
      <c r="Q943" s="16">
        <v>15799</v>
      </c>
      <c r="R943" s="17">
        <v>40</v>
      </c>
      <c r="S943" s="18">
        <v>10901.31</v>
      </c>
      <c r="T943" s="19" t="s">
        <v>846</v>
      </c>
      <c r="U943" s="20" t="s">
        <v>157</v>
      </c>
      <c r="V943" s="21">
        <v>41</v>
      </c>
      <c r="W943" s="21">
        <v>4</v>
      </c>
      <c r="X943" s="22"/>
    </row>
    <row r="944" spans="1:24" s="1" customFormat="1" ht="11.1" customHeight="1" x14ac:dyDescent="0.3">
      <c r="A944" s="23" t="s">
        <v>784</v>
      </c>
      <c r="B944" s="23" t="s">
        <v>1051</v>
      </c>
      <c r="C944" s="12" t="s">
        <v>1052</v>
      </c>
      <c r="D944" s="84"/>
      <c r="E944" s="69" t="str">
        <f t="shared" si="52"/>
        <v>Еще фото</v>
      </c>
      <c r="F944" s="13"/>
      <c r="G944" s="23" t="s">
        <v>394</v>
      </c>
      <c r="H944" s="23" t="s">
        <v>151</v>
      </c>
      <c r="I944" s="23" t="s">
        <v>424</v>
      </c>
      <c r="J944" s="14" t="s">
        <v>406</v>
      </c>
      <c r="K944" s="15" t="s">
        <v>114</v>
      </c>
      <c r="L944" s="87"/>
      <c r="M944" s="14"/>
      <c r="N944" s="14" t="s">
        <v>1053</v>
      </c>
      <c r="O944" s="14"/>
      <c r="P944" s="15" t="s">
        <v>967</v>
      </c>
      <c r="Q944" s="16">
        <v>15799</v>
      </c>
      <c r="R944" s="17">
        <v>40</v>
      </c>
      <c r="S944" s="18">
        <v>10901.31</v>
      </c>
      <c r="T944" s="19" t="s">
        <v>846</v>
      </c>
      <c r="U944" s="20" t="s">
        <v>435</v>
      </c>
      <c r="V944" s="30">
        <v>41.5</v>
      </c>
      <c r="W944" s="21">
        <v>4</v>
      </c>
      <c r="X944" s="22"/>
    </row>
    <row r="945" spans="1:24" s="1" customFormat="1" ht="11.1" customHeight="1" x14ac:dyDescent="0.3">
      <c r="A945" s="23" t="s">
        <v>784</v>
      </c>
      <c r="B945" s="23" t="s">
        <v>1051</v>
      </c>
      <c r="C945" s="12" t="s">
        <v>1052</v>
      </c>
      <c r="D945" s="84"/>
      <c r="E945" s="69" t="str">
        <f t="shared" si="52"/>
        <v>Еще фото</v>
      </c>
      <c r="F945" s="13"/>
      <c r="G945" s="23" t="s">
        <v>394</v>
      </c>
      <c r="H945" s="23" t="s">
        <v>151</v>
      </c>
      <c r="I945" s="23" t="s">
        <v>424</v>
      </c>
      <c r="J945" s="14" t="s">
        <v>406</v>
      </c>
      <c r="K945" s="15" t="s">
        <v>114</v>
      </c>
      <c r="L945" s="87"/>
      <c r="M945" s="14"/>
      <c r="N945" s="14" t="s">
        <v>1053</v>
      </c>
      <c r="O945" s="14"/>
      <c r="P945" s="15" t="s">
        <v>967</v>
      </c>
      <c r="Q945" s="16">
        <v>15799</v>
      </c>
      <c r="R945" s="17">
        <v>40</v>
      </c>
      <c r="S945" s="18">
        <v>10901.31</v>
      </c>
      <c r="T945" s="19" t="s">
        <v>846</v>
      </c>
      <c r="U945" s="20" t="s">
        <v>162</v>
      </c>
      <c r="V945" s="21">
        <v>42</v>
      </c>
      <c r="W945" s="21">
        <v>8</v>
      </c>
      <c r="X945" s="22"/>
    </row>
    <row r="946" spans="1:24" s="1" customFormat="1" ht="11.1" customHeight="1" x14ac:dyDescent="0.3">
      <c r="A946" s="23" t="s">
        <v>784</v>
      </c>
      <c r="B946" s="23" t="s">
        <v>1051</v>
      </c>
      <c r="C946" s="12" t="s">
        <v>1052</v>
      </c>
      <c r="D946" s="84"/>
      <c r="E946" s="69" t="str">
        <f t="shared" si="52"/>
        <v>Еще фото</v>
      </c>
      <c r="F946" s="13"/>
      <c r="G946" s="23" t="s">
        <v>394</v>
      </c>
      <c r="H946" s="23" t="s">
        <v>151</v>
      </c>
      <c r="I946" s="23" t="s">
        <v>424</v>
      </c>
      <c r="J946" s="14" t="s">
        <v>406</v>
      </c>
      <c r="K946" s="15" t="s">
        <v>114</v>
      </c>
      <c r="L946" s="87"/>
      <c r="M946" s="14"/>
      <c r="N946" s="14" t="s">
        <v>1053</v>
      </c>
      <c r="O946" s="14"/>
      <c r="P946" s="15" t="s">
        <v>967</v>
      </c>
      <c r="Q946" s="16">
        <v>15799</v>
      </c>
      <c r="R946" s="17">
        <v>40</v>
      </c>
      <c r="S946" s="18">
        <v>10901.31</v>
      </c>
      <c r="T946" s="19" t="s">
        <v>846</v>
      </c>
      <c r="U946" s="20" t="s">
        <v>436</v>
      </c>
      <c r="V946" s="21">
        <v>43</v>
      </c>
      <c r="W946" s="21">
        <v>9</v>
      </c>
      <c r="X946" s="22"/>
    </row>
    <row r="947" spans="1:24" s="1" customFormat="1" ht="11.1" customHeight="1" x14ac:dyDescent="0.3">
      <c r="A947" s="23" t="s">
        <v>784</v>
      </c>
      <c r="B947" s="23" t="s">
        <v>1051</v>
      </c>
      <c r="C947" s="12" t="s">
        <v>1052</v>
      </c>
      <c r="D947" s="84"/>
      <c r="E947" s="69" t="str">
        <f t="shared" si="52"/>
        <v>Еще фото</v>
      </c>
      <c r="F947" s="13"/>
      <c r="G947" s="23" t="s">
        <v>394</v>
      </c>
      <c r="H947" s="23" t="s">
        <v>151</v>
      </c>
      <c r="I947" s="23" t="s">
        <v>424</v>
      </c>
      <c r="J947" s="14" t="s">
        <v>406</v>
      </c>
      <c r="K947" s="15" t="s">
        <v>114</v>
      </c>
      <c r="L947" s="87"/>
      <c r="M947" s="14"/>
      <c r="N947" s="14" t="s">
        <v>1053</v>
      </c>
      <c r="O947" s="14"/>
      <c r="P947" s="15" t="s">
        <v>967</v>
      </c>
      <c r="Q947" s="16">
        <v>15799</v>
      </c>
      <c r="R947" s="17">
        <v>40</v>
      </c>
      <c r="S947" s="18">
        <v>10901.31</v>
      </c>
      <c r="T947" s="19" t="s">
        <v>846</v>
      </c>
      <c r="U947" s="20" t="s">
        <v>163</v>
      </c>
      <c r="V947" s="30">
        <v>43.5</v>
      </c>
      <c r="W947" s="21">
        <v>6</v>
      </c>
      <c r="X947" s="22"/>
    </row>
    <row r="948" spans="1:24" s="1" customFormat="1" ht="11.1" customHeight="1" x14ac:dyDescent="0.3">
      <c r="A948" s="14" t="s">
        <v>784</v>
      </c>
      <c r="B948" s="14" t="s">
        <v>1051</v>
      </c>
      <c r="C948" s="12" t="s">
        <v>1052</v>
      </c>
      <c r="D948" s="84"/>
      <c r="E948" s="69" t="str">
        <f t="shared" si="52"/>
        <v>Еще фото</v>
      </c>
      <c r="F948" s="36"/>
      <c r="G948" s="14" t="s">
        <v>394</v>
      </c>
      <c r="H948" s="14" t="s">
        <v>151</v>
      </c>
      <c r="I948" s="14" t="s">
        <v>424</v>
      </c>
      <c r="J948" s="14" t="s">
        <v>406</v>
      </c>
      <c r="K948" s="14" t="s">
        <v>114</v>
      </c>
      <c r="L948" s="87"/>
      <c r="M948" s="14"/>
      <c r="N948" s="14" t="s">
        <v>1053</v>
      </c>
      <c r="O948" s="14"/>
      <c r="P948" s="14" t="s">
        <v>967</v>
      </c>
      <c r="Q948" s="33">
        <v>15799</v>
      </c>
      <c r="R948" s="34">
        <v>40</v>
      </c>
      <c r="S948" s="35">
        <v>10901.31</v>
      </c>
      <c r="T948" s="19" t="s">
        <v>846</v>
      </c>
      <c r="U948" s="20" t="s">
        <v>907</v>
      </c>
      <c r="V948" s="21">
        <v>44</v>
      </c>
      <c r="W948" s="21">
        <v>6</v>
      </c>
      <c r="X948" s="22"/>
    </row>
    <row r="949" spans="1:24" s="1" customFormat="1" ht="11.1" customHeight="1" x14ac:dyDescent="0.3">
      <c r="A949" s="14" t="s">
        <v>784</v>
      </c>
      <c r="B949" s="14" t="s">
        <v>1051</v>
      </c>
      <c r="C949" s="12" t="s">
        <v>1052</v>
      </c>
      <c r="D949" s="85"/>
      <c r="E949" s="69" t="str">
        <f t="shared" si="52"/>
        <v>Еще фото</v>
      </c>
      <c r="F949" s="36"/>
      <c r="G949" s="14" t="s">
        <v>394</v>
      </c>
      <c r="H949" s="14" t="s">
        <v>151</v>
      </c>
      <c r="I949" s="14" t="s">
        <v>424</v>
      </c>
      <c r="J949" s="14" t="s">
        <v>406</v>
      </c>
      <c r="K949" s="14" t="s">
        <v>114</v>
      </c>
      <c r="L949" s="88"/>
      <c r="M949" s="14"/>
      <c r="N949" s="14" t="s">
        <v>1053</v>
      </c>
      <c r="O949" s="14"/>
      <c r="P949" s="14" t="s">
        <v>967</v>
      </c>
      <c r="Q949" s="33">
        <v>15799</v>
      </c>
      <c r="R949" s="34">
        <v>40</v>
      </c>
      <c r="S949" s="35">
        <v>10901.31</v>
      </c>
      <c r="T949" s="19" t="s">
        <v>846</v>
      </c>
      <c r="U949" s="20" t="s">
        <v>164</v>
      </c>
      <c r="V949" s="21">
        <v>45</v>
      </c>
      <c r="W949" s="21">
        <v>2</v>
      </c>
      <c r="X949" s="22"/>
    </row>
    <row r="950" spans="1:24" s="1" customFormat="1" ht="17.100000000000001" customHeight="1" x14ac:dyDescent="0.3">
      <c r="A950" s="11" t="s">
        <v>784</v>
      </c>
      <c r="B950" s="11" t="s">
        <v>979</v>
      </c>
      <c r="C950" s="12" t="s">
        <v>1054</v>
      </c>
      <c r="D950" s="83"/>
      <c r="E950" s="69" t="str">
        <f t="shared" ref="E950:E955" si="53">HYPERLINK("https://www.google.ru/search?q=D1GA2369-14&amp;newwindow=1&amp;tbm=isch","Еще фото")</f>
        <v>Еще фото</v>
      </c>
      <c r="F950" s="13"/>
      <c r="G950" s="11" t="s">
        <v>394</v>
      </c>
      <c r="H950" s="11" t="s">
        <v>151</v>
      </c>
      <c r="I950" s="14" t="s">
        <v>424</v>
      </c>
      <c r="J950" s="14" t="s">
        <v>29</v>
      </c>
      <c r="K950" s="15" t="s">
        <v>114</v>
      </c>
      <c r="L950" s="86"/>
      <c r="M950" s="14"/>
      <c r="N950" s="14" t="s">
        <v>1055</v>
      </c>
      <c r="O950" s="14"/>
      <c r="P950" s="15" t="s">
        <v>967</v>
      </c>
      <c r="Q950" s="16">
        <v>11199</v>
      </c>
      <c r="R950" s="17">
        <v>40</v>
      </c>
      <c r="S950" s="18">
        <v>7727.3099999999986</v>
      </c>
      <c r="T950" s="19" t="s">
        <v>846</v>
      </c>
      <c r="U950" s="20" t="s">
        <v>500</v>
      </c>
      <c r="V950" s="21">
        <v>39</v>
      </c>
      <c r="W950" s="21">
        <v>6</v>
      </c>
      <c r="X950" s="22"/>
    </row>
    <row r="951" spans="1:24" s="1" customFormat="1" ht="17.100000000000001" customHeight="1" x14ac:dyDescent="0.3">
      <c r="A951" s="23" t="s">
        <v>784</v>
      </c>
      <c r="B951" s="23" t="s">
        <v>979</v>
      </c>
      <c r="C951" s="12" t="s">
        <v>1054</v>
      </c>
      <c r="D951" s="84"/>
      <c r="E951" s="69" t="str">
        <f t="shared" si="53"/>
        <v>Еще фото</v>
      </c>
      <c r="F951" s="13"/>
      <c r="G951" s="23" t="s">
        <v>394</v>
      </c>
      <c r="H951" s="23" t="s">
        <v>151</v>
      </c>
      <c r="I951" s="23" t="s">
        <v>424</v>
      </c>
      <c r="J951" s="14" t="s">
        <v>29</v>
      </c>
      <c r="K951" s="15" t="s">
        <v>114</v>
      </c>
      <c r="L951" s="87"/>
      <c r="M951" s="14"/>
      <c r="N951" s="14" t="s">
        <v>1055</v>
      </c>
      <c r="O951" s="14"/>
      <c r="P951" s="15" t="s">
        <v>967</v>
      </c>
      <c r="Q951" s="16">
        <v>11199</v>
      </c>
      <c r="R951" s="17">
        <v>40</v>
      </c>
      <c r="S951" s="18">
        <v>7727.3099999999986</v>
      </c>
      <c r="T951" s="19" t="s">
        <v>846</v>
      </c>
      <c r="U951" s="20" t="s">
        <v>156</v>
      </c>
      <c r="V951" s="21">
        <v>40</v>
      </c>
      <c r="W951" s="21">
        <v>1</v>
      </c>
      <c r="X951" s="22"/>
    </row>
    <row r="952" spans="1:24" s="1" customFormat="1" ht="17.100000000000001" customHeight="1" x14ac:dyDescent="0.3">
      <c r="A952" s="23" t="s">
        <v>784</v>
      </c>
      <c r="B952" s="23" t="s">
        <v>979</v>
      </c>
      <c r="C952" s="12" t="s">
        <v>1054</v>
      </c>
      <c r="D952" s="84"/>
      <c r="E952" s="69" t="str">
        <f t="shared" si="53"/>
        <v>Еще фото</v>
      </c>
      <c r="F952" s="13"/>
      <c r="G952" s="23" t="s">
        <v>394</v>
      </c>
      <c r="H952" s="23" t="s">
        <v>151</v>
      </c>
      <c r="I952" s="23" t="s">
        <v>424</v>
      </c>
      <c r="J952" s="14" t="s">
        <v>29</v>
      </c>
      <c r="K952" s="15" t="s">
        <v>114</v>
      </c>
      <c r="L952" s="87"/>
      <c r="M952" s="14"/>
      <c r="N952" s="14" t="s">
        <v>1055</v>
      </c>
      <c r="O952" s="14"/>
      <c r="P952" s="15" t="s">
        <v>967</v>
      </c>
      <c r="Q952" s="16">
        <v>11199</v>
      </c>
      <c r="R952" s="17">
        <v>40</v>
      </c>
      <c r="S952" s="18">
        <v>7727.3099999999986</v>
      </c>
      <c r="T952" s="19" t="s">
        <v>846</v>
      </c>
      <c r="U952" s="20" t="s">
        <v>162</v>
      </c>
      <c r="V952" s="21">
        <v>42</v>
      </c>
      <c r="W952" s="21">
        <v>6</v>
      </c>
      <c r="X952" s="22"/>
    </row>
    <row r="953" spans="1:24" s="1" customFormat="1" ht="17.100000000000001" customHeight="1" x14ac:dyDescent="0.3">
      <c r="A953" s="23" t="s">
        <v>784</v>
      </c>
      <c r="B953" s="23" t="s">
        <v>979</v>
      </c>
      <c r="C953" s="12" t="s">
        <v>1054</v>
      </c>
      <c r="D953" s="84"/>
      <c r="E953" s="69" t="str">
        <f t="shared" si="53"/>
        <v>Еще фото</v>
      </c>
      <c r="F953" s="13"/>
      <c r="G953" s="23" t="s">
        <v>394</v>
      </c>
      <c r="H953" s="23" t="s">
        <v>151</v>
      </c>
      <c r="I953" s="23" t="s">
        <v>424</v>
      </c>
      <c r="J953" s="14" t="s">
        <v>29</v>
      </c>
      <c r="K953" s="15" t="s">
        <v>114</v>
      </c>
      <c r="L953" s="87"/>
      <c r="M953" s="14"/>
      <c r="N953" s="14" t="s">
        <v>1055</v>
      </c>
      <c r="O953" s="14"/>
      <c r="P953" s="15" t="s">
        <v>967</v>
      </c>
      <c r="Q953" s="16">
        <v>11199</v>
      </c>
      <c r="R953" s="17">
        <v>40</v>
      </c>
      <c r="S953" s="18">
        <v>7727.3099999999986</v>
      </c>
      <c r="T953" s="19" t="s">
        <v>846</v>
      </c>
      <c r="U953" s="20" t="s">
        <v>436</v>
      </c>
      <c r="V953" s="21">
        <v>43</v>
      </c>
      <c r="W953" s="21">
        <v>10</v>
      </c>
      <c r="X953" s="22"/>
    </row>
    <row r="954" spans="1:24" s="1" customFormat="1" ht="17.100000000000001" customHeight="1" x14ac:dyDescent="0.3">
      <c r="A954" s="23" t="s">
        <v>784</v>
      </c>
      <c r="B954" s="23" t="s">
        <v>979</v>
      </c>
      <c r="C954" s="12" t="s">
        <v>1054</v>
      </c>
      <c r="D954" s="84"/>
      <c r="E954" s="69" t="str">
        <f t="shared" si="53"/>
        <v>Еще фото</v>
      </c>
      <c r="F954" s="13"/>
      <c r="G954" s="23" t="s">
        <v>394</v>
      </c>
      <c r="H954" s="23" t="s">
        <v>151</v>
      </c>
      <c r="I954" s="23" t="s">
        <v>424</v>
      </c>
      <c r="J954" s="14" t="s">
        <v>29</v>
      </c>
      <c r="K954" s="15" t="s">
        <v>114</v>
      </c>
      <c r="L954" s="87"/>
      <c r="M954" s="14"/>
      <c r="N954" s="14" t="s">
        <v>1055</v>
      </c>
      <c r="O954" s="14"/>
      <c r="P954" s="15" t="s">
        <v>967</v>
      </c>
      <c r="Q954" s="16">
        <v>11199</v>
      </c>
      <c r="R954" s="17">
        <v>40</v>
      </c>
      <c r="S954" s="18">
        <v>7727.3099999999986</v>
      </c>
      <c r="T954" s="19" t="s">
        <v>846</v>
      </c>
      <c r="U954" s="20" t="s">
        <v>907</v>
      </c>
      <c r="V954" s="21">
        <v>44</v>
      </c>
      <c r="W954" s="21">
        <v>4</v>
      </c>
      <c r="X954" s="22"/>
    </row>
    <row r="955" spans="1:24" s="1" customFormat="1" ht="21.95" customHeight="1" x14ac:dyDescent="0.3">
      <c r="A955" s="23" t="s">
        <v>784</v>
      </c>
      <c r="B955" s="23" t="s">
        <v>979</v>
      </c>
      <c r="C955" s="12" t="s">
        <v>1054</v>
      </c>
      <c r="D955" s="85"/>
      <c r="E955" s="69" t="str">
        <f t="shared" si="53"/>
        <v>Еще фото</v>
      </c>
      <c r="F955" s="13"/>
      <c r="G955" s="23" t="s">
        <v>394</v>
      </c>
      <c r="H955" s="23" t="s">
        <v>151</v>
      </c>
      <c r="I955" s="23" t="s">
        <v>424</v>
      </c>
      <c r="J955" s="14" t="s">
        <v>29</v>
      </c>
      <c r="K955" s="15" t="s">
        <v>114</v>
      </c>
      <c r="L955" s="88"/>
      <c r="M955" s="14"/>
      <c r="N955" s="14" t="s">
        <v>1055</v>
      </c>
      <c r="O955" s="14"/>
      <c r="P955" s="15" t="s">
        <v>967</v>
      </c>
      <c r="Q955" s="16">
        <v>11199</v>
      </c>
      <c r="R955" s="17">
        <v>40</v>
      </c>
      <c r="S955" s="18">
        <v>7727.3099999999986</v>
      </c>
      <c r="T955" s="19" t="s">
        <v>846</v>
      </c>
      <c r="U955" s="20" t="s">
        <v>164</v>
      </c>
      <c r="V955" s="21">
        <v>45</v>
      </c>
      <c r="W955" s="21">
        <v>3</v>
      </c>
      <c r="X955" s="22"/>
    </row>
    <row r="956" spans="1:24" s="1" customFormat="1" ht="35.1" customHeight="1" x14ac:dyDescent="0.3">
      <c r="A956" s="11" t="s">
        <v>784</v>
      </c>
      <c r="B956" s="11" t="s">
        <v>1056</v>
      </c>
      <c r="C956" s="12" t="s">
        <v>1057</v>
      </c>
      <c r="D956" s="83"/>
      <c r="E956" s="69" t="str">
        <f>HYPERLINK("https://www.google.ru/search?q=D1GA2451-08&amp;newwindow=1&amp;tbm=isch","Еще фото")</f>
        <v>Еще фото</v>
      </c>
      <c r="F956" s="13"/>
      <c r="G956" s="11" t="s">
        <v>394</v>
      </c>
      <c r="H956" s="11" t="s">
        <v>151</v>
      </c>
      <c r="I956" s="14" t="s">
        <v>424</v>
      </c>
      <c r="J956" s="14" t="s">
        <v>406</v>
      </c>
      <c r="K956" s="15" t="s">
        <v>55</v>
      </c>
      <c r="L956" s="86"/>
      <c r="M956" s="14"/>
      <c r="N956" s="14" t="s">
        <v>1058</v>
      </c>
      <c r="O956" s="14"/>
      <c r="P956" s="15" t="s">
        <v>967</v>
      </c>
      <c r="Q956" s="16">
        <v>9899</v>
      </c>
      <c r="R956" s="17">
        <v>40</v>
      </c>
      <c r="S956" s="18">
        <v>6830.3099999999995</v>
      </c>
      <c r="T956" s="19" t="s">
        <v>846</v>
      </c>
      <c r="U956" s="20" t="s">
        <v>854</v>
      </c>
      <c r="V956" s="30">
        <v>39.5</v>
      </c>
      <c r="W956" s="21">
        <v>1</v>
      </c>
      <c r="X956" s="22"/>
    </row>
    <row r="957" spans="1:24" s="1" customFormat="1" ht="35.1" customHeight="1" x14ac:dyDescent="0.3">
      <c r="A957" s="23" t="s">
        <v>784</v>
      </c>
      <c r="B957" s="23" t="s">
        <v>1056</v>
      </c>
      <c r="C957" s="12" t="s">
        <v>1057</v>
      </c>
      <c r="D957" s="84"/>
      <c r="E957" s="69" t="str">
        <f>HYPERLINK("https://www.google.ru/search?q=D1GA2451-08&amp;newwindow=1&amp;tbm=isch","Еще фото")</f>
        <v>Еще фото</v>
      </c>
      <c r="F957" s="13"/>
      <c r="G957" s="23" t="s">
        <v>394</v>
      </c>
      <c r="H957" s="23" t="s">
        <v>151</v>
      </c>
      <c r="I957" s="23" t="s">
        <v>424</v>
      </c>
      <c r="J957" s="14" t="s">
        <v>406</v>
      </c>
      <c r="K957" s="15" t="s">
        <v>55</v>
      </c>
      <c r="L957" s="87"/>
      <c r="M957" s="14"/>
      <c r="N957" s="14" t="s">
        <v>1058</v>
      </c>
      <c r="O957" s="14"/>
      <c r="P957" s="15" t="s">
        <v>967</v>
      </c>
      <c r="Q957" s="16">
        <v>9899</v>
      </c>
      <c r="R957" s="17">
        <v>40</v>
      </c>
      <c r="S957" s="18">
        <v>6830.3099999999995</v>
      </c>
      <c r="T957" s="19" t="s">
        <v>846</v>
      </c>
      <c r="U957" s="20" t="s">
        <v>435</v>
      </c>
      <c r="V957" s="30">
        <v>41.5</v>
      </c>
      <c r="W957" s="21">
        <v>1</v>
      </c>
      <c r="X957" s="22"/>
    </row>
    <row r="958" spans="1:24" s="1" customFormat="1" ht="36.950000000000003" customHeight="1" x14ac:dyDescent="0.3">
      <c r="A958" s="23" t="s">
        <v>784</v>
      </c>
      <c r="B958" s="23" t="s">
        <v>1056</v>
      </c>
      <c r="C958" s="12" t="s">
        <v>1057</v>
      </c>
      <c r="D958" s="85"/>
      <c r="E958" s="69" t="str">
        <f>HYPERLINK("https://www.google.ru/search?q=D1GA2451-08&amp;newwindow=1&amp;tbm=isch","Еще фото")</f>
        <v>Еще фото</v>
      </c>
      <c r="F958" s="13"/>
      <c r="G958" s="23" t="s">
        <v>394</v>
      </c>
      <c r="H958" s="23" t="s">
        <v>151</v>
      </c>
      <c r="I958" s="23" t="s">
        <v>424</v>
      </c>
      <c r="J958" s="14" t="s">
        <v>406</v>
      </c>
      <c r="K958" s="15" t="s">
        <v>55</v>
      </c>
      <c r="L958" s="88"/>
      <c r="M958" s="14"/>
      <c r="N958" s="14" t="s">
        <v>1058</v>
      </c>
      <c r="O958" s="14"/>
      <c r="P958" s="15" t="s">
        <v>967</v>
      </c>
      <c r="Q958" s="16">
        <v>9899</v>
      </c>
      <c r="R958" s="17">
        <v>40</v>
      </c>
      <c r="S958" s="18">
        <v>6830.3099999999995</v>
      </c>
      <c r="T958" s="19" t="s">
        <v>846</v>
      </c>
      <c r="U958" s="20" t="s">
        <v>163</v>
      </c>
      <c r="V958" s="30">
        <v>43.5</v>
      </c>
      <c r="W958" s="21">
        <v>2</v>
      </c>
      <c r="X958" s="22"/>
    </row>
    <row r="959" spans="1:24" s="1" customFormat="1" ht="51.95" customHeight="1" x14ac:dyDescent="0.3">
      <c r="A959" s="11" t="s">
        <v>784</v>
      </c>
      <c r="B959" s="11" t="s">
        <v>1059</v>
      </c>
      <c r="C959" s="12" t="s">
        <v>1060</v>
      </c>
      <c r="D959" s="89"/>
      <c r="E959" s="69" t="str">
        <f>HYPERLINK("https://www.google.ru/search?q=D1GA2468-03&amp;newwindow=1&amp;tbm=isch","Еще фото")</f>
        <v>Еще фото</v>
      </c>
      <c r="F959" s="13"/>
      <c r="G959" s="11" t="s">
        <v>394</v>
      </c>
      <c r="H959" s="11" t="s">
        <v>151</v>
      </c>
      <c r="I959" s="14" t="s">
        <v>424</v>
      </c>
      <c r="J959" s="14" t="s">
        <v>29</v>
      </c>
      <c r="K959" s="15" t="s">
        <v>114</v>
      </c>
      <c r="L959" s="86" t="s">
        <v>1061</v>
      </c>
      <c r="M959" s="14"/>
      <c r="N959" s="14" t="s">
        <v>41</v>
      </c>
      <c r="O959" s="14"/>
      <c r="P959" s="15" t="s">
        <v>1062</v>
      </c>
      <c r="Q959" s="16">
        <v>11399</v>
      </c>
      <c r="R959" s="17">
        <v>40</v>
      </c>
      <c r="S959" s="18">
        <v>7865.3099999999986</v>
      </c>
      <c r="T959" s="19" t="s">
        <v>846</v>
      </c>
      <c r="U959" s="20" t="s">
        <v>157</v>
      </c>
      <c r="V959" s="21">
        <v>41</v>
      </c>
      <c r="W959" s="21">
        <v>2</v>
      </c>
      <c r="X959" s="22"/>
    </row>
    <row r="960" spans="1:24" s="1" customFormat="1" ht="60.95" customHeight="1" x14ac:dyDescent="0.3">
      <c r="A960" s="23" t="s">
        <v>784</v>
      </c>
      <c r="B960" s="23" t="s">
        <v>1059</v>
      </c>
      <c r="C960" s="12" t="s">
        <v>1060</v>
      </c>
      <c r="D960" s="90"/>
      <c r="E960" s="69" t="str">
        <f>HYPERLINK("https://www.google.ru/search?q=D1GA2468-03&amp;newwindow=1&amp;tbm=isch","Еще фото")</f>
        <v>Еще фото</v>
      </c>
      <c r="F960" s="13"/>
      <c r="G960" s="23" t="s">
        <v>394</v>
      </c>
      <c r="H960" s="23" t="s">
        <v>151</v>
      </c>
      <c r="I960" s="23" t="s">
        <v>424</v>
      </c>
      <c r="J960" s="14" t="s">
        <v>29</v>
      </c>
      <c r="K960" s="15" t="s">
        <v>114</v>
      </c>
      <c r="L960" s="88"/>
      <c r="M960" s="14"/>
      <c r="N960" s="14" t="s">
        <v>41</v>
      </c>
      <c r="O960" s="14"/>
      <c r="P960" s="15" t="s">
        <v>1062</v>
      </c>
      <c r="Q960" s="16">
        <v>11399</v>
      </c>
      <c r="R960" s="17">
        <v>40</v>
      </c>
      <c r="S960" s="18">
        <v>7865.3099999999986</v>
      </c>
      <c r="T960" s="19" t="s">
        <v>846</v>
      </c>
      <c r="U960" s="20" t="s">
        <v>435</v>
      </c>
      <c r="V960" s="30">
        <v>41.5</v>
      </c>
      <c r="W960" s="21">
        <v>4</v>
      </c>
      <c r="X960" s="22"/>
    </row>
    <row r="961" spans="1:24" s="1" customFormat="1" ht="26.1" customHeight="1" x14ac:dyDescent="0.3">
      <c r="A961" s="11" t="s">
        <v>784</v>
      </c>
      <c r="B961" s="11" t="s">
        <v>1063</v>
      </c>
      <c r="C961" s="12" t="s">
        <v>1064</v>
      </c>
      <c r="D961" s="83"/>
      <c r="E961" s="69" t="str">
        <f>HYPERLINK("https://www.google.ru/search?q=Q1GA2403-91&amp;newwindow=1&amp;tbm=isch","Еще фото")</f>
        <v>Еще фото</v>
      </c>
      <c r="F961" s="13"/>
      <c r="G961" s="11" t="s">
        <v>394</v>
      </c>
      <c r="H961" s="11" t="s">
        <v>151</v>
      </c>
      <c r="I961" s="14" t="s">
        <v>424</v>
      </c>
      <c r="J961" s="14" t="s">
        <v>406</v>
      </c>
      <c r="K961" s="15" t="s">
        <v>55</v>
      </c>
      <c r="L961" s="86"/>
      <c r="M961" s="14"/>
      <c r="N961" s="14" t="s">
        <v>1065</v>
      </c>
      <c r="O961" s="14"/>
      <c r="P961" s="15" t="s">
        <v>853</v>
      </c>
      <c r="Q961" s="16">
        <v>6999</v>
      </c>
      <c r="R961" s="17">
        <v>40</v>
      </c>
      <c r="S961" s="18">
        <v>4829.3099999999995</v>
      </c>
      <c r="T961" s="19" t="s">
        <v>846</v>
      </c>
      <c r="U961" s="20" t="s">
        <v>156</v>
      </c>
      <c r="V961" s="21">
        <v>40</v>
      </c>
      <c r="W961" s="21">
        <v>2</v>
      </c>
      <c r="X961" s="22"/>
    </row>
    <row r="962" spans="1:24" s="1" customFormat="1" ht="26.1" customHeight="1" x14ac:dyDescent="0.3">
      <c r="A962" s="23" t="s">
        <v>784</v>
      </c>
      <c r="B962" s="23" t="s">
        <v>1063</v>
      </c>
      <c r="C962" s="12" t="s">
        <v>1064</v>
      </c>
      <c r="D962" s="84"/>
      <c r="E962" s="69" t="str">
        <f>HYPERLINK("https://www.google.ru/search?q=Q1GA2403-91&amp;newwindow=1&amp;tbm=isch","Еще фото")</f>
        <v>Еще фото</v>
      </c>
      <c r="F962" s="13"/>
      <c r="G962" s="23" t="s">
        <v>394</v>
      </c>
      <c r="H962" s="23" t="s">
        <v>151</v>
      </c>
      <c r="I962" s="23" t="s">
        <v>424</v>
      </c>
      <c r="J962" s="14" t="s">
        <v>406</v>
      </c>
      <c r="K962" s="15" t="s">
        <v>55</v>
      </c>
      <c r="L962" s="87"/>
      <c r="M962" s="14"/>
      <c r="N962" s="14" t="s">
        <v>1065</v>
      </c>
      <c r="O962" s="14"/>
      <c r="P962" s="15" t="s">
        <v>853</v>
      </c>
      <c r="Q962" s="16">
        <v>6999</v>
      </c>
      <c r="R962" s="17">
        <v>40</v>
      </c>
      <c r="S962" s="18">
        <v>4829.3099999999995</v>
      </c>
      <c r="T962" s="19" t="s">
        <v>846</v>
      </c>
      <c r="U962" s="20" t="s">
        <v>157</v>
      </c>
      <c r="V962" s="21">
        <v>41</v>
      </c>
      <c r="W962" s="21">
        <v>2</v>
      </c>
      <c r="X962" s="22"/>
    </row>
    <row r="963" spans="1:24" s="1" customFormat="1" ht="26.1" customHeight="1" x14ac:dyDescent="0.3">
      <c r="A963" s="23" t="s">
        <v>784</v>
      </c>
      <c r="B963" s="23" t="s">
        <v>1063</v>
      </c>
      <c r="C963" s="12" t="s">
        <v>1064</v>
      </c>
      <c r="D963" s="84"/>
      <c r="E963" s="69" t="str">
        <f>HYPERLINK("https://www.google.ru/search?q=Q1GA2403-91&amp;newwindow=1&amp;tbm=isch","Еще фото")</f>
        <v>Еще фото</v>
      </c>
      <c r="F963" s="13"/>
      <c r="G963" s="23" t="s">
        <v>394</v>
      </c>
      <c r="H963" s="23" t="s">
        <v>151</v>
      </c>
      <c r="I963" s="23" t="s">
        <v>424</v>
      </c>
      <c r="J963" s="14" t="s">
        <v>406</v>
      </c>
      <c r="K963" s="15" t="s">
        <v>55</v>
      </c>
      <c r="L963" s="87"/>
      <c r="M963" s="14"/>
      <c r="N963" s="14" t="s">
        <v>1065</v>
      </c>
      <c r="O963" s="14"/>
      <c r="P963" s="15" t="s">
        <v>853</v>
      </c>
      <c r="Q963" s="16">
        <v>6999</v>
      </c>
      <c r="R963" s="17">
        <v>40</v>
      </c>
      <c r="S963" s="18">
        <v>4829.3099999999995</v>
      </c>
      <c r="T963" s="19" t="s">
        <v>846</v>
      </c>
      <c r="U963" s="20" t="s">
        <v>436</v>
      </c>
      <c r="V963" s="21">
        <v>43</v>
      </c>
      <c r="W963" s="21">
        <v>4</v>
      </c>
      <c r="X963" s="22"/>
    </row>
    <row r="964" spans="1:24" s="1" customFormat="1" ht="26.1" customHeight="1" x14ac:dyDescent="0.3">
      <c r="A964" s="23" t="s">
        <v>784</v>
      </c>
      <c r="B964" s="23" t="s">
        <v>1063</v>
      </c>
      <c r="C964" s="12" t="s">
        <v>1064</v>
      </c>
      <c r="D964" s="85"/>
      <c r="E964" s="69" t="str">
        <f>HYPERLINK("https://www.google.ru/search?q=Q1GA2403-91&amp;newwindow=1&amp;tbm=isch","Еще фото")</f>
        <v>Еще фото</v>
      </c>
      <c r="F964" s="13"/>
      <c r="G964" s="23" t="s">
        <v>394</v>
      </c>
      <c r="H964" s="23" t="s">
        <v>151</v>
      </c>
      <c r="I964" s="23" t="s">
        <v>424</v>
      </c>
      <c r="J964" s="14" t="s">
        <v>406</v>
      </c>
      <c r="K964" s="15" t="s">
        <v>55</v>
      </c>
      <c r="L964" s="88"/>
      <c r="M964" s="14"/>
      <c r="N964" s="14" t="s">
        <v>1065</v>
      </c>
      <c r="O964" s="14"/>
      <c r="P964" s="15" t="s">
        <v>853</v>
      </c>
      <c r="Q964" s="16">
        <v>6999</v>
      </c>
      <c r="R964" s="17">
        <v>40</v>
      </c>
      <c r="S964" s="18">
        <v>4829.3099999999995</v>
      </c>
      <c r="T964" s="19" t="s">
        <v>846</v>
      </c>
      <c r="U964" s="20" t="s">
        <v>163</v>
      </c>
      <c r="V964" s="30">
        <v>43.5</v>
      </c>
      <c r="W964" s="21">
        <v>7</v>
      </c>
      <c r="X964" s="22"/>
    </row>
    <row r="965" spans="1:24" s="1" customFormat="1" ht="21" customHeight="1" x14ac:dyDescent="0.3">
      <c r="A965" s="11" t="s">
        <v>784</v>
      </c>
      <c r="B965" s="11" t="s">
        <v>1063</v>
      </c>
      <c r="C965" s="27" t="s">
        <v>1066</v>
      </c>
      <c r="D965" s="83"/>
      <c r="E965" s="69" t="str">
        <f>HYPERLINK("https://www.google.ru/search?q=Q1GA2416-02&amp;newwindow=1&amp;tbm=isch","Еще фото")</f>
        <v>Еще фото</v>
      </c>
      <c r="F965" s="13"/>
      <c r="G965" s="11" t="s">
        <v>394</v>
      </c>
      <c r="H965" s="11" t="s">
        <v>151</v>
      </c>
      <c r="I965" s="14" t="s">
        <v>424</v>
      </c>
      <c r="J965" s="14" t="s">
        <v>406</v>
      </c>
      <c r="K965" s="15" t="s">
        <v>55</v>
      </c>
      <c r="L965" s="86"/>
      <c r="M965" s="14"/>
      <c r="N965" s="14" t="s">
        <v>800</v>
      </c>
      <c r="O965" s="14"/>
      <c r="P965" s="15" t="s">
        <v>853</v>
      </c>
      <c r="Q965" s="16">
        <v>6999</v>
      </c>
      <c r="R965" s="17">
        <v>40</v>
      </c>
      <c r="S965" s="18">
        <v>4829.3099999999995</v>
      </c>
      <c r="T965" s="19" t="s">
        <v>846</v>
      </c>
      <c r="U965" s="20" t="s">
        <v>854</v>
      </c>
      <c r="V965" s="30">
        <v>39.5</v>
      </c>
      <c r="W965" s="21">
        <v>4</v>
      </c>
      <c r="X965" s="22"/>
    </row>
    <row r="966" spans="1:24" s="1" customFormat="1" ht="21" customHeight="1" x14ac:dyDescent="0.3">
      <c r="A966" s="23" t="s">
        <v>784</v>
      </c>
      <c r="B966" s="23" t="s">
        <v>1063</v>
      </c>
      <c r="C966" s="28" t="s">
        <v>1066</v>
      </c>
      <c r="D966" s="84"/>
      <c r="E966" s="69" t="str">
        <f>HYPERLINK("https://www.google.ru/search?q=Q1GA2416-02&amp;newwindow=1&amp;tbm=isch","Еще фото")</f>
        <v>Еще фото</v>
      </c>
      <c r="F966" s="13"/>
      <c r="G966" s="23" t="s">
        <v>394</v>
      </c>
      <c r="H966" s="23" t="s">
        <v>151</v>
      </c>
      <c r="I966" s="23" t="s">
        <v>424</v>
      </c>
      <c r="J966" s="14" t="s">
        <v>406</v>
      </c>
      <c r="K966" s="15" t="s">
        <v>55</v>
      </c>
      <c r="L966" s="87"/>
      <c r="M966" s="14"/>
      <c r="N966" s="14" t="s">
        <v>800</v>
      </c>
      <c r="O966" s="14"/>
      <c r="P966" s="15" t="s">
        <v>853</v>
      </c>
      <c r="Q966" s="16">
        <v>6999</v>
      </c>
      <c r="R966" s="17">
        <v>40</v>
      </c>
      <c r="S966" s="18">
        <v>4829.3099999999995</v>
      </c>
      <c r="T966" s="19" t="s">
        <v>846</v>
      </c>
      <c r="U966" s="20" t="s">
        <v>156</v>
      </c>
      <c r="V966" s="21">
        <v>40</v>
      </c>
      <c r="W966" s="21">
        <v>6</v>
      </c>
      <c r="X966" s="22"/>
    </row>
    <row r="967" spans="1:24" s="1" customFormat="1" ht="21" customHeight="1" x14ac:dyDescent="0.3">
      <c r="A967" s="23" t="s">
        <v>784</v>
      </c>
      <c r="B967" s="23" t="s">
        <v>1063</v>
      </c>
      <c r="C967" s="28" t="s">
        <v>1066</v>
      </c>
      <c r="D967" s="84"/>
      <c r="E967" s="69" t="str">
        <f>HYPERLINK("https://www.google.ru/search?q=Q1GA2416-02&amp;newwindow=1&amp;tbm=isch","Еще фото")</f>
        <v>Еще фото</v>
      </c>
      <c r="F967" s="13"/>
      <c r="G967" s="23" t="s">
        <v>394</v>
      </c>
      <c r="H967" s="23" t="s">
        <v>151</v>
      </c>
      <c r="I967" s="23" t="s">
        <v>424</v>
      </c>
      <c r="J967" s="14" t="s">
        <v>406</v>
      </c>
      <c r="K967" s="15" t="s">
        <v>55</v>
      </c>
      <c r="L967" s="87"/>
      <c r="M967" s="14"/>
      <c r="N967" s="14" t="s">
        <v>800</v>
      </c>
      <c r="O967" s="14"/>
      <c r="P967" s="15" t="s">
        <v>853</v>
      </c>
      <c r="Q967" s="16">
        <v>6999</v>
      </c>
      <c r="R967" s="17">
        <v>40</v>
      </c>
      <c r="S967" s="18">
        <v>4829.3099999999995</v>
      </c>
      <c r="T967" s="19" t="s">
        <v>846</v>
      </c>
      <c r="U967" s="20" t="s">
        <v>157</v>
      </c>
      <c r="V967" s="21">
        <v>41</v>
      </c>
      <c r="W967" s="21">
        <v>6</v>
      </c>
      <c r="X967" s="22"/>
    </row>
    <row r="968" spans="1:24" s="1" customFormat="1" ht="21" customHeight="1" x14ac:dyDescent="0.3">
      <c r="A968" s="23" t="s">
        <v>784</v>
      </c>
      <c r="B968" s="23" t="s">
        <v>1063</v>
      </c>
      <c r="C968" s="28" t="s">
        <v>1066</v>
      </c>
      <c r="D968" s="84"/>
      <c r="E968" s="69" t="str">
        <f>HYPERLINK("https://www.google.ru/search?q=Q1GA2416-02&amp;newwindow=1&amp;tbm=isch","Еще фото")</f>
        <v>Еще фото</v>
      </c>
      <c r="F968" s="13"/>
      <c r="G968" s="23" t="s">
        <v>394</v>
      </c>
      <c r="H968" s="23" t="s">
        <v>151</v>
      </c>
      <c r="I968" s="23" t="s">
        <v>424</v>
      </c>
      <c r="J968" s="14" t="s">
        <v>406</v>
      </c>
      <c r="K968" s="15" t="s">
        <v>55</v>
      </c>
      <c r="L968" s="87"/>
      <c r="M968" s="14"/>
      <c r="N968" s="14" t="s">
        <v>800</v>
      </c>
      <c r="O968" s="14"/>
      <c r="P968" s="15" t="s">
        <v>853</v>
      </c>
      <c r="Q968" s="16">
        <v>6999</v>
      </c>
      <c r="R968" s="17">
        <v>40</v>
      </c>
      <c r="S968" s="18">
        <v>4829.3099999999995</v>
      </c>
      <c r="T968" s="19" t="s">
        <v>846</v>
      </c>
      <c r="U968" s="20" t="s">
        <v>435</v>
      </c>
      <c r="V968" s="30">
        <v>41.5</v>
      </c>
      <c r="W968" s="21">
        <v>7</v>
      </c>
      <c r="X968" s="22"/>
    </row>
    <row r="969" spans="1:24" s="1" customFormat="1" ht="32.1" customHeight="1" x14ac:dyDescent="0.3">
      <c r="A969" s="23" t="s">
        <v>784</v>
      </c>
      <c r="B969" s="23" t="s">
        <v>1063</v>
      </c>
      <c r="C969" s="28" t="s">
        <v>1066</v>
      </c>
      <c r="D969" s="85"/>
      <c r="E969" s="69" t="str">
        <f>HYPERLINK("https://www.google.ru/search?q=Q1GA2416-02&amp;newwindow=1&amp;tbm=isch","Еще фото")</f>
        <v>Еще фото</v>
      </c>
      <c r="F969" s="13"/>
      <c r="G969" s="23" t="s">
        <v>394</v>
      </c>
      <c r="H969" s="23" t="s">
        <v>151</v>
      </c>
      <c r="I969" s="23" t="s">
        <v>424</v>
      </c>
      <c r="J969" s="14" t="s">
        <v>406</v>
      </c>
      <c r="K969" s="15" t="s">
        <v>55</v>
      </c>
      <c r="L969" s="88"/>
      <c r="M969" s="14"/>
      <c r="N969" s="14" t="s">
        <v>800</v>
      </c>
      <c r="O969" s="14"/>
      <c r="P969" s="15" t="s">
        <v>853</v>
      </c>
      <c r="Q969" s="16">
        <v>6999</v>
      </c>
      <c r="R969" s="17">
        <v>40</v>
      </c>
      <c r="S969" s="18">
        <v>4829.3099999999995</v>
      </c>
      <c r="T969" s="19" t="s">
        <v>846</v>
      </c>
      <c r="U969" s="20" t="s">
        <v>162</v>
      </c>
      <c r="V969" s="21">
        <v>42</v>
      </c>
      <c r="W969" s="21">
        <v>5</v>
      </c>
      <c r="X969" s="22"/>
    </row>
    <row r="970" spans="1:24" s="1" customFormat="1" ht="11.1" customHeight="1" x14ac:dyDescent="0.3">
      <c r="A970" s="11" t="s">
        <v>784</v>
      </c>
      <c r="B970" s="11" t="s">
        <v>1067</v>
      </c>
      <c r="C970" s="12" t="s">
        <v>1068</v>
      </c>
      <c r="D970" s="83"/>
      <c r="E970" s="69" t="str">
        <f t="shared" ref="E970:E980" si="54">HYPERLINK("https://www.google.ru/search?q=Q1GB2403-90&amp;newwindow=1&amp;tbm=isch","Еще фото")</f>
        <v>Еще фото</v>
      </c>
      <c r="F970" s="13"/>
      <c r="G970" s="11" t="s">
        <v>394</v>
      </c>
      <c r="H970" s="11" t="s">
        <v>151</v>
      </c>
      <c r="I970" s="14" t="s">
        <v>424</v>
      </c>
      <c r="J970" s="14" t="s">
        <v>406</v>
      </c>
      <c r="K970" s="15" t="s">
        <v>55</v>
      </c>
      <c r="L970" s="86"/>
      <c r="M970" s="14"/>
      <c r="N970" s="14" t="s">
        <v>800</v>
      </c>
      <c r="O970" s="14"/>
      <c r="P970" s="15" t="s">
        <v>853</v>
      </c>
      <c r="Q970" s="16">
        <v>6999</v>
      </c>
      <c r="R970" s="17">
        <v>40</v>
      </c>
      <c r="S970" s="18">
        <v>4829.3099999999995</v>
      </c>
      <c r="T970" s="19" t="s">
        <v>846</v>
      </c>
      <c r="U970" s="20" t="s">
        <v>849</v>
      </c>
      <c r="V970" s="21">
        <v>38</v>
      </c>
      <c r="W970" s="21">
        <v>1</v>
      </c>
      <c r="X970" s="22"/>
    </row>
    <row r="971" spans="1:24" s="1" customFormat="1" ht="11.1" customHeight="1" x14ac:dyDescent="0.3">
      <c r="A971" s="23" t="s">
        <v>784</v>
      </c>
      <c r="B971" s="23" t="s">
        <v>1067</v>
      </c>
      <c r="C971" s="12" t="s">
        <v>1068</v>
      </c>
      <c r="D971" s="84"/>
      <c r="E971" s="69" t="str">
        <f t="shared" si="54"/>
        <v>Еще фото</v>
      </c>
      <c r="F971" s="13"/>
      <c r="G971" s="23" t="s">
        <v>394</v>
      </c>
      <c r="H971" s="23" t="s">
        <v>151</v>
      </c>
      <c r="I971" s="23" t="s">
        <v>424</v>
      </c>
      <c r="J971" s="14" t="s">
        <v>406</v>
      </c>
      <c r="K971" s="15" t="s">
        <v>55</v>
      </c>
      <c r="L971" s="87"/>
      <c r="M971" s="14"/>
      <c r="N971" s="14" t="s">
        <v>800</v>
      </c>
      <c r="O971" s="14"/>
      <c r="P971" s="15" t="s">
        <v>853</v>
      </c>
      <c r="Q971" s="16">
        <v>6999</v>
      </c>
      <c r="R971" s="17">
        <v>40</v>
      </c>
      <c r="S971" s="18">
        <v>4829.3099999999995</v>
      </c>
      <c r="T971" s="19" t="s">
        <v>846</v>
      </c>
      <c r="U971" s="20" t="s">
        <v>500</v>
      </c>
      <c r="V971" s="21">
        <v>39</v>
      </c>
      <c r="W971" s="21">
        <v>2</v>
      </c>
      <c r="X971" s="22"/>
    </row>
    <row r="972" spans="1:24" s="1" customFormat="1" ht="11.1" customHeight="1" x14ac:dyDescent="0.3">
      <c r="A972" s="23" t="s">
        <v>784</v>
      </c>
      <c r="B972" s="23" t="s">
        <v>1067</v>
      </c>
      <c r="C972" s="12" t="s">
        <v>1068</v>
      </c>
      <c r="D972" s="84"/>
      <c r="E972" s="69" t="str">
        <f t="shared" si="54"/>
        <v>Еще фото</v>
      </c>
      <c r="F972" s="13"/>
      <c r="G972" s="23" t="s">
        <v>394</v>
      </c>
      <c r="H972" s="23" t="s">
        <v>151</v>
      </c>
      <c r="I972" s="23" t="s">
        <v>424</v>
      </c>
      <c r="J972" s="14" t="s">
        <v>406</v>
      </c>
      <c r="K972" s="15" t="s">
        <v>55</v>
      </c>
      <c r="L972" s="87"/>
      <c r="M972" s="14"/>
      <c r="N972" s="14" t="s">
        <v>800</v>
      </c>
      <c r="O972" s="14"/>
      <c r="P972" s="15" t="s">
        <v>853</v>
      </c>
      <c r="Q972" s="16">
        <v>6999</v>
      </c>
      <c r="R972" s="17">
        <v>40</v>
      </c>
      <c r="S972" s="18">
        <v>4829.3099999999995</v>
      </c>
      <c r="T972" s="19" t="s">
        <v>846</v>
      </c>
      <c r="U972" s="20" t="s">
        <v>854</v>
      </c>
      <c r="V972" s="30">
        <v>39.5</v>
      </c>
      <c r="W972" s="21">
        <v>4</v>
      </c>
      <c r="X972" s="22"/>
    </row>
    <row r="973" spans="1:24" s="1" customFormat="1" ht="11.1" customHeight="1" x14ac:dyDescent="0.3">
      <c r="A973" s="23" t="s">
        <v>784</v>
      </c>
      <c r="B973" s="23" t="s">
        <v>1067</v>
      </c>
      <c r="C973" s="12" t="s">
        <v>1068</v>
      </c>
      <c r="D973" s="84"/>
      <c r="E973" s="69" t="str">
        <f t="shared" si="54"/>
        <v>Еще фото</v>
      </c>
      <c r="F973" s="13"/>
      <c r="G973" s="23" t="s">
        <v>394</v>
      </c>
      <c r="H973" s="23" t="s">
        <v>151</v>
      </c>
      <c r="I973" s="23" t="s">
        <v>424</v>
      </c>
      <c r="J973" s="14" t="s">
        <v>406</v>
      </c>
      <c r="K973" s="15" t="s">
        <v>55</v>
      </c>
      <c r="L973" s="87"/>
      <c r="M973" s="14"/>
      <c r="N973" s="14" t="s">
        <v>800</v>
      </c>
      <c r="O973" s="14"/>
      <c r="P973" s="15" t="s">
        <v>853</v>
      </c>
      <c r="Q973" s="16">
        <v>6999</v>
      </c>
      <c r="R973" s="17">
        <v>40</v>
      </c>
      <c r="S973" s="18">
        <v>4829.3099999999995</v>
      </c>
      <c r="T973" s="19" t="s">
        <v>846</v>
      </c>
      <c r="U973" s="20" t="s">
        <v>156</v>
      </c>
      <c r="V973" s="21">
        <v>40</v>
      </c>
      <c r="W973" s="21">
        <v>6</v>
      </c>
      <c r="X973" s="22"/>
    </row>
    <row r="974" spans="1:24" s="1" customFormat="1" ht="11.1" customHeight="1" x14ac:dyDescent="0.3">
      <c r="A974" s="23" t="s">
        <v>784</v>
      </c>
      <c r="B974" s="23" t="s">
        <v>1067</v>
      </c>
      <c r="C974" s="12" t="s">
        <v>1068</v>
      </c>
      <c r="D974" s="84"/>
      <c r="E974" s="69" t="str">
        <f t="shared" si="54"/>
        <v>Еще фото</v>
      </c>
      <c r="F974" s="13"/>
      <c r="G974" s="23" t="s">
        <v>394</v>
      </c>
      <c r="H974" s="23" t="s">
        <v>151</v>
      </c>
      <c r="I974" s="23" t="s">
        <v>424</v>
      </c>
      <c r="J974" s="14" t="s">
        <v>406</v>
      </c>
      <c r="K974" s="15" t="s">
        <v>55</v>
      </c>
      <c r="L974" s="87"/>
      <c r="M974" s="14"/>
      <c r="N974" s="14" t="s">
        <v>800</v>
      </c>
      <c r="O974" s="14"/>
      <c r="P974" s="15" t="s">
        <v>853</v>
      </c>
      <c r="Q974" s="16">
        <v>6999</v>
      </c>
      <c r="R974" s="17">
        <v>40</v>
      </c>
      <c r="S974" s="18">
        <v>4829.3099999999995</v>
      </c>
      <c r="T974" s="19" t="s">
        <v>846</v>
      </c>
      <c r="U974" s="20" t="s">
        <v>157</v>
      </c>
      <c r="V974" s="21">
        <v>41</v>
      </c>
      <c r="W974" s="21">
        <v>8</v>
      </c>
      <c r="X974" s="22"/>
    </row>
    <row r="975" spans="1:24" s="1" customFormat="1" ht="11.1" customHeight="1" x14ac:dyDescent="0.3">
      <c r="A975" s="23" t="s">
        <v>784</v>
      </c>
      <c r="B975" s="23" t="s">
        <v>1067</v>
      </c>
      <c r="C975" s="12" t="s">
        <v>1068</v>
      </c>
      <c r="D975" s="84"/>
      <c r="E975" s="69" t="str">
        <f t="shared" si="54"/>
        <v>Еще фото</v>
      </c>
      <c r="F975" s="13"/>
      <c r="G975" s="23" t="s">
        <v>394</v>
      </c>
      <c r="H975" s="23" t="s">
        <v>151</v>
      </c>
      <c r="I975" s="23" t="s">
        <v>424</v>
      </c>
      <c r="J975" s="14" t="s">
        <v>406</v>
      </c>
      <c r="K975" s="15" t="s">
        <v>55</v>
      </c>
      <c r="L975" s="87"/>
      <c r="M975" s="14"/>
      <c r="N975" s="14" t="s">
        <v>800</v>
      </c>
      <c r="O975" s="14"/>
      <c r="P975" s="15" t="s">
        <v>853</v>
      </c>
      <c r="Q975" s="16">
        <v>6999</v>
      </c>
      <c r="R975" s="17">
        <v>40</v>
      </c>
      <c r="S975" s="18">
        <v>4829.3099999999995</v>
      </c>
      <c r="T975" s="19" t="s">
        <v>846</v>
      </c>
      <c r="U975" s="20" t="s">
        <v>435</v>
      </c>
      <c r="V975" s="30">
        <v>41.5</v>
      </c>
      <c r="W975" s="21">
        <v>7</v>
      </c>
      <c r="X975" s="22"/>
    </row>
    <row r="976" spans="1:24" s="1" customFormat="1" ht="11.1" customHeight="1" x14ac:dyDescent="0.3">
      <c r="A976" s="23" t="s">
        <v>784</v>
      </c>
      <c r="B976" s="23" t="s">
        <v>1067</v>
      </c>
      <c r="C976" s="12" t="s">
        <v>1068</v>
      </c>
      <c r="D976" s="84"/>
      <c r="E976" s="69" t="str">
        <f t="shared" si="54"/>
        <v>Еще фото</v>
      </c>
      <c r="F976" s="13"/>
      <c r="G976" s="23" t="s">
        <v>394</v>
      </c>
      <c r="H976" s="23" t="s">
        <v>151</v>
      </c>
      <c r="I976" s="23" t="s">
        <v>424</v>
      </c>
      <c r="J976" s="14" t="s">
        <v>406</v>
      </c>
      <c r="K976" s="15" t="s">
        <v>55</v>
      </c>
      <c r="L976" s="87"/>
      <c r="M976" s="14"/>
      <c r="N976" s="14" t="s">
        <v>800</v>
      </c>
      <c r="O976" s="14"/>
      <c r="P976" s="15" t="s">
        <v>853</v>
      </c>
      <c r="Q976" s="16">
        <v>6999</v>
      </c>
      <c r="R976" s="17">
        <v>40</v>
      </c>
      <c r="S976" s="18">
        <v>4829.3099999999995</v>
      </c>
      <c r="T976" s="19" t="s">
        <v>846</v>
      </c>
      <c r="U976" s="20" t="s">
        <v>162</v>
      </c>
      <c r="V976" s="21">
        <v>42</v>
      </c>
      <c r="W976" s="21">
        <v>9</v>
      </c>
      <c r="X976" s="22"/>
    </row>
    <row r="977" spans="1:24" s="1" customFormat="1" ht="11.1" customHeight="1" x14ac:dyDescent="0.3">
      <c r="A977" s="23" t="s">
        <v>784</v>
      </c>
      <c r="B977" s="23" t="s">
        <v>1067</v>
      </c>
      <c r="C977" s="12" t="s">
        <v>1068</v>
      </c>
      <c r="D977" s="84"/>
      <c r="E977" s="69" t="str">
        <f t="shared" si="54"/>
        <v>Еще фото</v>
      </c>
      <c r="F977" s="13"/>
      <c r="G977" s="23" t="s">
        <v>394</v>
      </c>
      <c r="H977" s="23" t="s">
        <v>151</v>
      </c>
      <c r="I977" s="23" t="s">
        <v>424</v>
      </c>
      <c r="J977" s="14" t="s">
        <v>406</v>
      </c>
      <c r="K977" s="15" t="s">
        <v>55</v>
      </c>
      <c r="L977" s="87"/>
      <c r="M977" s="14"/>
      <c r="N977" s="14" t="s">
        <v>800</v>
      </c>
      <c r="O977" s="14"/>
      <c r="P977" s="15" t="s">
        <v>853</v>
      </c>
      <c r="Q977" s="16">
        <v>6999</v>
      </c>
      <c r="R977" s="17">
        <v>40</v>
      </c>
      <c r="S977" s="18">
        <v>4829.3099999999995</v>
      </c>
      <c r="T977" s="19" t="s">
        <v>846</v>
      </c>
      <c r="U977" s="20" t="s">
        <v>436</v>
      </c>
      <c r="V977" s="21">
        <v>43</v>
      </c>
      <c r="W977" s="21">
        <v>11</v>
      </c>
      <c r="X977" s="22"/>
    </row>
    <row r="978" spans="1:24" s="1" customFormat="1" ht="11.1" customHeight="1" x14ac:dyDescent="0.3">
      <c r="A978" s="23" t="s">
        <v>784</v>
      </c>
      <c r="B978" s="23" t="s">
        <v>1067</v>
      </c>
      <c r="C978" s="12" t="s">
        <v>1068</v>
      </c>
      <c r="D978" s="84"/>
      <c r="E978" s="69" t="str">
        <f t="shared" si="54"/>
        <v>Еще фото</v>
      </c>
      <c r="F978" s="13"/>
      <c r="G978" s="23" t="s">
        <v>394</v>
      </c>
      <c r="H978" s="23" t="s">
        <v>151</v>
      </c>
      <c r="I978" s="23" t="s">
        <v>424</v>
      </c>
      <c r="J978" s="14" t="s">
        <v>406</v>
      </c>
      <c r="K978" s="15" t="s">
        <v>55</v>
      </c>
      <c r="L978" s="87"/>
      <c r="M978" s="14"/>
      <c r="N978" s="14" t="s">
        <v>800</v>
      </c>
      <c r="O978" s="14"/>
      <c r="P978" s="15" t="s">
        <v>853</v>
      </c>
      <c r="Q978" s="16">
        <v>6999</v>
      </c>
      <c r="R978" s="17">
        <v>40</v>
      </c>
      <c r="S978" s="18">
        <v>4829.3099999999995</v>
      </c>
      <c r="T978" s="19" t="s">
        <v>846</v>
      </c>
      <c r="U978" s="20" t="s">
        <v>163</v>
      </c>
      <c r="V978" s="30">
        <v>43.5</v>
      </c>
      <c r="W978" s="21">
        <v>7</v>
      </c>
      <c r="X978" s="22"/>
    </row>
    <row r="979" spans="1:24" s="1" customFormat="1" ht="11.1" customHeight="1" x14ac:dyDescent="0.3">
      <c r="A979" s="14" t="s">
        <v>784</v>
      </c>
      <c r="B979" s="14" t="s">
        <v>1067</v>
      </c>
      <c r="C979" s="12" t="s">
        <v>1068</v>
      </c>
      <c r="D979" s="84"/>
      <c r="E979" s="69" t="str">
        <f t="shared" si="54"/>
        <v>Еще фото</v>
      </c>
      <c r="F979" s="36"/>
      <c r="G979" s="14" t="s">
        <v>394</v>
      </c>
      <c r="H979" s="14" t="s">
        <v>151</v>
      </c>
      <c r="I979" s="14" t="s">
        <v>424</v>
      </c>
      <c r="J979" s="14" t="s">
        <v>406</v>
      </c>
      <c r="K979" s="14" t="s">
        <v>55</v>
      </c>
      <c r="L979" s="87"/>
      <c r="M979" s="14"/>
      <c r="N979" s="14" t="s">
        <v>800</v>
      </c>
      <c r="O979" s="14"/>
      <c r="P979" s="14" t="s">
        <v>853</v>
      </c>
      <c r="Q979" s="33">
        <v>6999</v>
      </c>
      <c r="R979" s="34">
        <v>40</v>
      </c>
      <c r="S979" s="35">
        <v>4829.3099999999995</v>
      </c>
      <c r="T979" s="19" t="s">
        <v>846</v>
      </c>
      <c r="U979" s="20" t="s">
        <v>907</v>
      </c>
      <c r="V979" s="21">
        <v>44</v>
      </c>
      <c r="W979" s="21">
        <v>8</v>
      </c>
      <c r="X979" s="22"/>
    </row>
    <row r="980" spans="1:24" s="1" customFormat="1" ht="11.1" customHeight="1" x14ac:dyDescent="0.3">
      <c r="A980" s="14" t="s">
        <v>784</v>
      </c>
      <c r="B980" s="14" t="s">
        <v>1067</v>
      </c>
      <c r="C980" s="12" t="s">
        <v>1068</v>
      </c>
      <c r="D980" s="85"/>
      <c r="E980" s="69" t="str">
        <f t="shared" si="54"/>
        <v>Еще фото</v>
      </c>
      <c r="F980" s="36"/>
      <c r="G980" s="14" t="s">
        <v>394</v>
      </c>
      <c r="H980" s="14" t="s">
        <v>151</v>
      </c>
      <c r="I980" s="14" t="s">
        <v>424</v>
      </c>
      <c r="J980" s="14" t="s">
        <v>406</v>
      </c>
      <c r="K980" s="14" t="s">
        <v>55</v>
      </c>
      <c r="L980" s="88"/>
      <c r="M980" s="14"/>
      <c r="N980" s="14" t="s">
        <v>800</v>
      </c>
      <c r="O980" s="14"/>
      <c r="P980" s="14" t="s">
        <v>853</v>
      </c>
      <c r="Q980" s="33">
        <v>6999</v>
      </c>
      <c r="R980" s="34">
        <v>40</v>
      </c>
      <c r="S980" s="35">
        <v>4829.3099999999995</v>
      </c>
      <c r="T980" s="19" t="s">
        <v>846</v>
      </c>
      <c r="U980" s="20" t="s">
        <v>164</v>
      </c>
      <c r="V980" s="21">
        <v>45</v>
      </c>
      <c r="W980" s="21">
        <v>6</v>
      </c>
      <c r="X980" s="22"/>
    </row>
    <row r="981" spans="1:24" s="1" customFormat="1" ht="11.1" customHeight="1" x14ac:dyDescent="0.3">
      <c r="A981" s="11" t="s">
        <v>784</v>
      </c>
      <c r="B981" s="11" t="s">
        <v>1067</v>
      </c>
      <c r="C981" s="12" t="s">
        <v>1069</v>
      </c>
      <c r="D981" s="83"/>
      <c r="E981" s="69" t="str">
        <f t="shared" ref="E981:E991" si="55">HYPERLINK("https://www.google.ru/search?q=Q1GB2403-92&amp;newwindow=1&amp;tbm=isch","Еще фото")</f>
        <v>Еще фото</v>
      </c>
      <c r="F981" s="13"/>
      <c r="G981" s="11" t="s">
        <v>394</v>
      </c>
      <c r="H981" s="11" t="s">
        <v>151</v>
      </c>
      <c r="I981" s="14" t="s">
        <v>424</v>
      </c>
      <c r="J981" s="14" t="s">
        <v>406</v>
      </c>
      <c r="K981" s="15" t="s">
        <v>55</v>
      </c>
      <c r="L981" s="86"/>
      <c r="M981" s="14"/>
      <c r="N981" s="14" t="s">
        <v>1070</v>
      </c>
      <c r="O981" s="14"/>
      <c r="P981" s="15" t="s">
        <v>853</v>
      </c>
      <c r="Q981" s="16">
        <v>6999</v>
      </c>
      <c r="R981" s="17">
        <v>40</v>
      </c>
      <c r="S981" s="18">
        <v>4829.3099999999995</v>
      </c>
      <c r="T981" s="19" t="s">
        <v>846</v>
      </c>
      <c r="U981" s="20" t="s">
        <v>849</v>
      </c>
      <c r="V981" s="21">
        <v>38</v>
      </c>
      <c r="W981" s="21">
        <v>2</v>
      </c>
      <c r="X981" s="22"/>
    </row>
    <row r="982" spans="1:24" s="1" customFormat="1" ht="11.1" customHeight="1" x14ac:dyDescent="0.3">
      <c r="A982" s="23" t="s">
        <v>784</v>
      </c>
      <c r="B982" s="23" t="s">
        <v>1067</v>
      </c>
      <c r="C982" s="12" t="s">
        <v>1069</v>
      </c>
      <c r="D982" s="84"/>
      <c r="E982" s="69" t="str">
        <f t="shared" si="55"/>
        <v>Еще фото</v>
      </c>
      <c r="F982" s="13"/>
      <c r="G982" s="23" t="s">
        <v>394</v>
      </c>
      <c r="H982" s="23" t="s">
        <v>151</v>
      </c>
      <c r="I982" s="23" t="s">
        <v>424</v>
      </c>
      <c r="J982" s="14" t="s">
        <v>406</v>
      </c>
      <c r="K982" s="15" t="s">
        <v>55</v>
      </c>
      <c r="L982" s="87"/>
      <c r="M982" s="14"/>
      <c r="N982" s="14" t="s">
        <v>1070</v>
      </c>
      <c r="O982" s="14"/>
      <c r="P982" s="15" t="s">
        <v>853</v>
      </c>
      <c r="Q982" s="16">
        <v>6999</v>
      </c>
      <c r="R982" s="17">
        <v>40</v>
      </c>
      <c r="S982" s="18">
        <v>4829.3099999999995</v>
      </c>
      <c r="T982" s="19" t="s">
        <v>846</v>
      </c>
      <c r="U982" s="20" t="s">
        <v>500</v>
      </c>
      <c r="V982" s="21">
        <v>39</v>
      </c>
      <c r="W982" s="21">
        <v>3</v>
      </c>
      <c r="X982" s="22"/>
    </row>
    <row r="983" spans="1:24" s="1" customFormat="1" ht="11.1" customHeight="1" x14ac:dyDescent="0.3">
      <c r="A983" s="23" t="s">
        <v>784</v>
      </c>
      <c r="B983" s="23" t="s">
        <v>1067</v>
      </c>
      <c r="C983" s="12" t="s">
        <v>1069</v>
      </c>
      <c r="D983" s="84"/>
      <c r="E983" s="69" t="str">
        <f t="shared" si="55"/>
        <v>Еще фото</v>
      </c>
      <c r="F983" s="13"/>
      <c r="G983" s="23" t="s">
        <v>394</v>
      </c>
      <c r="H983" s="23" t="s">
        <v>151</v>
      </c>
      <c r="I983" s="23" t="s">
        <v>424</v>
      </c>
      <c r="J983" s="14" t="s">
        <v>406</v>
      </c>
      <c r="K983" s="15" t="s">
        <v>55</v>
      </c>
      <c r="L983" s="87"/>
      <c r="M983" s="14"/>
      <c r="N983" s="14" t="s">
        <v>1070</v>
      </c>
      <c r="O983" s="14"/>
      <c r="P983" s="15" t="s">
        <v>853</v>
      </c>
      <c r="Q983" s="16">
        <v>6999</v>
      </c>
      <c r="R983" s="17">
        <v>40</v>
      </c>
      <c r="S983" s="18">
        <v>4829.3099999999995</v>
      </c>
      <c r="T983" s="19" t="s">
        <v>846</v>
      </c>
      <c r="U983" s="20" t="s">
        <v>854</v>
      </c>
      <c r="V983" s="30">
        <v>39.5</v>
      </c>
      <c r="W983" s="21">
        <v>4</v>
      </c>
      <c r="X983" s="22"/>
    </row>
    <row r="984" spans="1:24" s="1" customFormat="1" ht="11.1" customHeight="1" x14ac:dyDescent="0.3">
      <c r="A984" s="23" t="s">
        <v>784</v>
      </c>
      <c r="B984" s="23" t="s">
        <v>1067</v>
      </c>
      <c r="C984" s="12" t="s">
        <v>1069</v>
      </c>
      <c r="D984" s="84"/>
      <c r="E984" s="69" t="str">
        <f t="shared" si="55"/>
        <v>Еще фото</v>
      </c>
      <c r="F984" s="13"/>
      <c r="G984" s="23" t="s">
        <v>394</v>
      </c>
      <c r="H984" s="23" t="s">
        <v>151</v>
      </c>
      <c r="I984" s="23" t="s">
        <v>424</v>
      </c>
      <c r="J984" s="14" t="s">
        <v>406</v>
      </c>
      <c r="K984" s="15" t="s">
        <v>55</v>
      </c>
      <c r="L984" s="87"/>
      <c r="M984" s="14"/>
      <c r="N984" s="14" t="s">
        <v>1070</v>
      </c>
      <c r="O984" s="14"/>
      <c r="P984" s="15" t="s">
        <v>853</v>
      </c>
      <c r="Q984" s="16">
        <v>6999</v>
      </c>
      <c r="R984" s="17">
        <v>40</v>
      </c>
      <c r="S984" s="18">
        <v>4829.3099999999995</v>
      </c>
      <c r="T984" s="19" t="s">
        <v>846</v>
      </c>
      <c r="U984" s="20" t="s">
        <v>156</v>
      </c>
      <c r="V984" s="21">
        <v>40</v>
      </c>
      <c r="W984" s="21">
        <v>6</v>
      </c>
      <c r="X984" s="22"/>
    </row>
    <row r="985" spans="1:24" s="1" customFormat="1" ht="11.1" customHeight="1" x14ac:dyDescent="0.3">
      <c r="A985" s="23" t="s">
        <v>784</v>
      </c>
      <c r="B985" s="23" t="s">
        <v>1067</v>
      </c>
      <c r="C985" s="12" t="s">
        <v>1069</v>
      </c>
      <c r="D985" s="84"/>
      <c r="E985" s="69" t="str">
        <f t="shared" si="55"/>
        <v>Еще фото</v>
      </c>
      <c r="F985" s="13"/>
      <c r="G985" s="23" t="s">
        <v>394</v>
      </c>
      <c r="H985" s="23" t="s">
        <v>151</v>
      </c>
      <c r="I985" s="23" t="s">
        <v>424</v>
      </c>
      <c r="J985" s="14" t="s">
        <v>406</v>
      </c>
      <c r="K985" s="15" t="s">
        <v>55</v>
      </c>
      <c r="L985" s="87"/>
      <c r="M985" s="14"/>
      <c r="N985" s="14" t="s">
        <v>1070</v>
      </c>
      <c r="O985" s="14"/>
      <c r="P985" s="15" t="s">
        <v>853</v>
      </c>
      <c r="Q985" s="16">
        <v>6999</v>
      </c>
      <c r="R985" s="17">
        <v>40</v>
      </c>
      <c r="S985" s="18">
        <v>4829.3099999999995</v>
      </c>
      <c r="T985" s="19" t="s">
        <v>846</v>
      </c>
      <c r="U985" s="20" t="s">
        <v>157</v>
      </c>
      <c r="V985" s="21">
        <v>41</v>
      </c>
      <c r="W985" s="21">
        <v>8</v>
      </c>
      <c r="X985" s="22"/>
    </row>
    <row r="986" spans="1:24" s="1" customFormat="1" ht="11.1" customHeight="1" x14ac:dyDescent="0.3">
      <c r="A986" s="23" t="s">
        <v>784</v>
      </c>
      <c r="B986" s="23" t="s">
        <v>1067</v>
      </c>
      <c r="C986" s="12" t="s">
        <v>1069</v>
      </c>
      <c r="D986" s="84"/>
      <c r="E986" s="69" t="str">
        <f t="shared" si="55"/>
        <v>Еще фото</v>
      </c>
      <c r="F986" s="13"/>
      <c r="G986" s="23" t="s">
        <v>394</v>
      </c>
      <c r="H986" s="23" t="s">
        <v>151</v>
      </c>
      <c r="I986" s="23" t="s">
        <v>424</v>
      </c>
      <c r="J986" s="14" t="s">
        <v>406</v>
      </c>
      <c r="K986" s="15" t="s">
        <v>55</v>
      </c>
      <c r="L986" s="87"/>
      <c r="M986" s="14"/>
      <c r="N986" s="14" t="s">
        <v>1070</v>
      </c>
      <c r="O986" s="14"/>
      <c r="P986" s="15" t="s">
        <v>853</v>
      </c>
      <c r="Q986" s="16">
        <v>6999</v>
      </c>
      <c r="R986" s="17">
        <v>40</v>
      </c>
      <c r="S986" s="18">
        <v>4829.3099999999995</v>
      </c>
      <c r="T986" s="19" t="s">
        <v>846</v>
      </c>
      <c r="U986" s="20" t="s">
        <v>435</v>
      </c>
      <c r="V986" s="30">
        <v>41.5</v>
      </c>
      <c r="W986" s="21">
        <v>10</v>
      </c>
      <c r="X986" s="22"/>
    </row>
    <row r="987" spans="1:24" s="1" customFormat="1" ht="11.1" customHeight="1" x14ac:dyDescent="0.3">
      <c r="A987" s="23" t="s">
        <v>784</v>
      </c>
      <c r="B987" s="23" t="s">
        <v>1067</v>
      </c>
      <c r="C987" s="12" t="s">
        <v>1069</v>
      </c>
      <c r="D987" s="84"/>
      <c r="E987" s="69" t="str">
        <f t="shared" si="55"/>
        <v>Еще фото</v>
      </c>
      <c r="F987" s="13"/>
      <c r="G987" s="23" t="s">
        <v>394</v>
      </c>
      <c r="H987" s="23" t="s">
        <v>151</v>
      </c>
      <c r="I987" s="23" t="s">
        <v>424</v>
      </c>
      <c r="J987" s="14" t="s">
        <v>406</v>
      </c>
      <c r="K987" s="15" t="s">
        <v>55</v>
      </c>
      <c r="L987" s="87"/>
      <c r="M987" s="14"/>
      <c r="N987" s="14" t="s">
        <v>1070</v>
      </c>
      <c r="O987" s="14"/>
      <c r="P987" s="15" t="s">
        <v>853</v>
      </c>
      <c r="Q987" s="16">
        <v>6999</v>
      </c>
      <c r="R987" s="17">
        <v>40</v>
      </c>
      <c r="S987" s="18">
        <v>4829.3099999999995</v>
      </c>
      <c r="T987" s="19" t="s">
        <v>846</v>
      </c>
      <c r="U987" s="20" t="s">
        <v>162</v>
      </c>
      <c r="V987" s="21">
        <v>42</v>
      </c>
      <c r="W987" s="21">
        <v>12</v>
      </c>
      <c r="X987" s="22"/>
    </row>
    <row r="988" spans="1:24" s="1" customFormat="1" ht="11.1" customHeight="1" x14ac:dyDescent="0.3">
      <c r="A988" s="23" t="s">
        <v>784</v>
      </c>
      <c r="B988" s="23" t="s">
        <v>1067</v>
      </c>
      <c r="C988" s="12" t="s">
        <v>1069</v>
      </c>
      <c r="D988" s="84"/>
      <c r="E988" s="69" t="str">
        <f t="shared" si="55"/>
        <v>Еще фото</v>
      </c>
      <c r="F988" s="13"/>
      <c r="G988" s="23" t="s">
        <v>394</v>
      </c>
      <c r="H988" s="23" t="s">
        <v>151</v>
      </c>
      <c r="I988" s="23" t="s">
        <v>424</v>
      </c>
      <c r="J988" s="14" t="s">
        <v>406</v>
      </c>
      <c r="K988" s="15" t="s">
        <v>55</v>
      </c>
      <c r="L988" s="87"/>
      <c r="M988" s="14"/>
      <c r="N988" s="14" t="s">
        <v>1070</v>
      </c>
      <c r="O988" s="14"/>
      <c r="P988" s="15" t="s">
        <v>853</v>
      </c>
      <c r="Q988" s="16">
        <v>6999</v>
      </c>
      <c r="R988" s="17">
        <v>40</v>
      </c>
      <c r="S988" s="18">
        <v>4829.3099999999995</v>
      </c>
      <c r="T988" s="19" t="s">
        <v>846</v>
      </c>
      <c r="U988" s="20" t="s">
        <v>436</v>
      </c>
      <c r="V988" s="21">
        <v>43</v>
      </c>
      <c r="W988" s="21">
        <v>11</v>
      </c>
      <c r="X988" s="22"/>
    </row>
    <row r="989" spans="1:24" s="1" customFormat="1" ht="11.1" customHeight="1" x14ac:dyDescent="0.3">
      <c r="A989" s="23" t="s">
        <v>784</v>
      </c>
      <c r="B989" s="23" t="s">
        <v>1067</v>
      </c>
      <c r="C989" s="12" t="s">
        <v>1069</v>
      </c>
      <c r="D989" s="84"/>
      <c r="E989" s="69" t="str">
        <f t="shared" si="55"/>
        <v>Еще фото</v>
      </c>
      <c r="F989" s="13"/>
      <c r="G989" s="23" t="s">
        <v>394</v>
      </c>
      <c r="H989" s="23" t="s">
        <v>151</v>
      </c>
      <c r="I989" s="23" t="s">
        <v>424</v>
      </c>
      <c r="J989" s="14" t="s">
        <v>406</v>
      </c>
      <c r="K989" s="15" t="s">
        <v>55</v>
      </c>
      <c r="L989" s="87"/>
      <c r="M989" s="14"/>
      <c r="N989" s="14" t="s">
        <v>1070</v>
      </c>
      <c r="O989" s="14"/>
      <c r="P989" s="15" t="s">
        <v>853</v>
      </c>
      <c r="Q989" s="16">
        <v>6999</v>
      </c>
      <c r="R989" s="17">
        <v>40</v>
      </c>
      <c r="S989" s="18">
        <v>4829.3099999999995</v>
      </c>
      <c r="T989" s="19" t="s">
        <v>846</v>
      </c>
      <c r="U989" s="20" t="s">
        <v>163</v>
      </c>
      <c r="V989" s="30">
        <v>43.5</v>
      </c>
      <c r="W989" s="21">
        <v>9</v>
      </c>
      <c r="X989" s="22"/>
    </row>
    <row r="990" spans="1:24" s="1" customFormat="1" ht="11.1" customHeight="1" x14ac:dyDescent="0.3">
      <c r="A990" s="14" t="s">
        <v>784</v>
      </c>
      <c r="B990" s="14" t="s">
        <v>1067</v>
      </c>
      <c r="C990" s="12" t="s">
        <v>1069</v>
      </c>
      <c r="D990" s="84"/>
      <c r="E990" s="69" t="str">
        <f t="shared" si="55"/>
        <v>Еще фото</v>
      </c>
      <c r="F990" s="36"/>
      <c r="G990" s="14" t="s">
        <v>394</v>
      </c>
      <c r="H990" s="14" t="s">
        <v>151</v>
      </c>
      <c r="I990" s="14" t="s">
        <v>424</v>
      </c>
      <c r="J990" s="14" t="s">
        <v>406</v>
      </c>
      <c r="K990" s="14" t="s">
        <v>55</v>
      </c>
      <c r="L990" s="87"/>
      <c r="M990" s="14"/>
      <c r="N990" s="14" t="s">
        <v>1070</v>
      </c>
      <c r="O990" s="14"/>
      <c r="P990" s="14" t="s">
        <v>853</v>
      </c>
      <c r="Q990" s="33">
        <v>6999</v>
      </c>
      <c r="R990" s="34">
        <v>40</v>
      </c>
      <c r="S990" s="35">
        <v>4829.3099999999995</v>
      </c>
      <c r="T990" s="19" t="s">
        <v>846</v>
      </c>
      <c r="U990" s="20" t="s">
        <v>907</v>
      </c>
      <c r="V990" s="21">
        <v>44</v>
      </c>
      <c r="W990" s="21">
        <v>8</v>
      </c>
      <c r="X990" s="22"/>
    </row>
    <row r="991" spans="1:24" s="1" customFormat="1" ht="11.1" customHeight="1" x14ac:dyDescent="0.3">
      <c r="A991" s="14" t="s">
        <v>784</v>
      </c>
      <c r="B991" s="14" t="s">
        <v>1067</v>
      </c>
      <c r="C991" s="12" t="s">
        <v>1069</v>
      </c>
      <c r="D991" s="85"/>
      <c r="E991" s="69" t="str">
        <f t="shared" si="55"/>
        <v>Еще фото</v>
      </c>
      <c r="F991" s="36"/>
      <c r="G991" s="14" t="s">
        <v>394</v>
      </c>
      <c r="H991" s="14" t="s">
        <v>151</v>
      </c>
      <c r="I991" s="14" t="s">
        <v>424</v>
      </c>
      <c r="J991" s="14" t="s">
        <v>406</v>
      </c>
      <c r="K991" s="14" t="s">
        <v>55</v>
      </c>
      <c r="L991" s="88"/>
      <c r="M991" s="14"/>
      <c r="N991" s="14" t="s">
        <v>1070</v>
      </c>
      <c r="O991" s="14"/>
      <c r="P991" s="14" t="s">
        <v>853</v>
      </c>
      <c r="Q991" s="33">
        <v>6999</v>
      </c>
      <c r="R991" s="34">
        <v>40</v>
      </c>
      <c r="S991" s="35">
        <v>4829.3099999999995</v>
      </c>
      <c r="T991" s="19" t="s">
        <v>846</v>
      </c>
      <c r="U991" s="20" t="s">
        <v>164</v>
      </c>
      <c r="V991" s="21">
        <v>45</v>
      </c>
      <c r="W991" s="21">
        <v>5</v>
      </c>
      <c r="X991" s="22"/>
    </row>
    <row r="992" spans="1:24" s="1" customFormat="1" ht="11.1" customHeight="1" x14ac:dyDescent="0.3">
      <c r="A992" s="11" t="s">
        <v>784</v>
      </c>
      <c r="B992" s="11" t="s">
        <v>1071</v>
      </c>
      <c r="C992" s="12" t="s">
        <v>1072</v>
      </c>
      <c r="D992" s="83"/>
      <c r="E992" s="69" t="str">
        <f t="shared" ref="E992:E1002" si="56">HYPERLINK("https://www.google.ru/search?q=V1GA1912-51&amp;newwindow=1&amp;tbm=isch","Еще фото")</f>
        <v>Еще фото</v>
      </c>
      <c r="F992" s="13"/>
      <c r="G992" s="11" t="s">
        <v>394</v>
      </c>
      <c r="H992" s="11" t="s">
        <v>151</v>
      </c>
      <c r="I992" s="14" t="s">
        <v>424</v>
      </c>
      <c r="J992" s="14" t="s">
        <v>406</v>
      </c>
      <c r="K992" s="15" t="s">
        <v>114</v>
      </c>
      <c r="L992" s="86"/>
      <c r="M992" s="14"/>
      <c r="N992" s="14" t="s">
        <v>1073</v>
      </c>
      <c r="O992" s="14"/>
      <c r="P992" s="15" t="s">
        <v>853</v>
      </c>
      <c r="Q992" s="16">
        <v>14099</v>
      </c>
      <c r="R992" s="17">
        <v>40</v>
      </c>
      <c r="S992" s="18">
        <v>9728.31</v>
      </c>
      <c r="T992" s="19" t="s">
        <v>846</v>
      </c>
      <c r="U992" s="20" t="s">
        <v>818</v>
      </c>
      <c r="V992" s="21">
        <v>37</v>
      </c>
      <c r="W992" s="21">
        <v>4</v>
      </c>
      <c r="X992" s="22"/>
    </row>
    <row r="993" spans="1:24" s="1" customFormat="1" ht="11.1" customHeight="1" x14ac:dyDescent="0.3">
      <c r="A993" s="23" t="s">
        <v>784</v>
      </c>
      <c r="B993" s="23" t="s">
        <v>1071</v>
      </c>
      <c r="C993" s="12" t="s">
        <v>1072</v>
      </c>
      <c r="D993" s="84"/>
      <c r="E993" s="69" t="str">
        <f t="shared" si="56"/>
        <v>Еще фото</v>
      </c>
      <c r="F993" s="13"/>
      <c r="G993" s="23" t="s">
        <v>394</v>
      </c>
      <c r="H993" s="23" t="s">
        <v>151</v>
      </c>
      <c r="I993" s="23" t="s">
        <v>424</v>
      </c>
      <c r="J993" s="14" t="s">
        <v>406</v>
      </c>
      <c r="K993" s="15" t="s">
        <v>114</v>
      </c>
      <c r="L993" s="87"/>
      <c r="M993" s="14"/>
      <c r="N993" s="14" t="s">
        <v>1073</v>
      </c>
      <c r="O993" s="14"/>
      <c r="P993" s="15" t="s">
        <v>853</v>
      </c>
      <c r="Q993" s="16">
        <v>14099</v>
      </c>
      <c r="R993" s="17">
        <v>40</v>
      </c>
      <c r="S993" s="18">
        <v>9728.31</v>
      </c>
      <c r="T993" s="19" t="s">
        <v>846</v>
      </c>
      <c r="U993" s="20" t="s">
        <v>848</v>
      </c>
      <c r="V993" s="30">
        <v>37.5</v>
      </c>
      <c r="W993" s="21">
        <v>1</v>
      </c>
      <c r="X993" s="22"/>
    </row>
    <row r="994" spans="1:24" s="1" customFormat="1" ht="11.1" customHeight="1" x14ac:dyDescent="0.3">
      <c r="A994" s="23" t="s">
        <v>784</v>
      </c>
      <c r="B994" s="23" t="s">
        <v>1071</v>
      </c>
      <c r="C994" s="12" t="s">
        <v>1072</v>
      </c>
      <c r="D994" s="84"/>
      <c r="E994" s="69" t="str">
        <f t="shared" si="56"/>
        <v>Еще фото</v>
      </c>
      <c r="F994" s="13"/>
      <c r="G994" s="23" t="s">
        <v>394</v>
      </c>
      <c r="H994" s="23" t="s">
        <v>151</v>
      </c>
      <c r="I994" s="23" t="s">
        <v>424</v>
      </c>
      <c r="J994" s="14" t="s">
        <v>406</v>
      </c>
      <c r="K994" s="15" t="s">
        <v>114</v>
      </c>
      <c r="L994" s="87"/>
      <c r="M994" s="14"/>
      <c r="N994" s="14" t="s">
        <v>1073</v>
      </c>
      <c r="O994" s="14"/>
      <c r="P994" s="15" t="s">
        <v>853</v>
      </c>
      <c r="Q994" s="16">
        <v>14099</v>
      </c>
      <c r="R994" s="17">
        <v>40</v>
      </c>
      <c r="S994" s="18">
        <v>9728.31</v>
      </c>
      <c r="T994" s="19" t="s">
        <v>846</v>
      </c>
      <c r="U994" s="20" t="s">
        <v>156</v>
      </c>
      <c r="V994" s="21">
        <v>40</v>
      </c>
      <c r="W994" s="21">
        <v>5</v>
      </c>
      <c r="X994" s="22"/>
    </row>
    <row r="995" spans="1:24" s="1" customFormat="1" ht="11.1" customHeight="1" x14ac:dyDescent="0.3">
      <c r="A995" s="23" t="s">
        <v>784</v>
      </c>
      <c r="B995" s="23" t="s">
        <v>1071</v>
      </c>
      <c r="C995" s="12" t="s">
        <v>1072</v>
      </c>
      <c r="D995" s="84"/>
      <c r="E995" s="69" t="str">
        <f t="shared" si="56"/>
        <v>Еще фото</v>
      </c>
      <c r="F995" s="13"/>
      <c r="G995" s="23" t="s">
        <v>394</v>
      </c>
      <c r="H995" s="23" t="s">
        <v>151</v>
      </c>
      <c r="I995" s="23" t="s">
        <v>424</v>
      </c>
      <c r="J995" s="14" t="s">
        <v>406</v>
      </c>
      <c r="K995" s="15" t="s">
        <v>114</v>
      </c>
      <c r="L995" s="87"/>
      <c r="M995" s="14"/>
      <c r="N995" s="14" t="s">
        <v>1073</v>
      </c>
      <c r="O995" s="14"/>
      <c r="P995" s="15" t="s">
        <v>853</v>
      </c>
      <c r="Q995" s="16">
        <v>14099</v>
      </c>
      <c r="R995" s="17">
        <v>40</v>
      </c>
      <c r="S995" s="18">
        <v>9728.31</v>
      </c>
      <c r="T995" s="19" t="s">
        <v>846</v>
      </c>
      <c r="U995" s="20" t="s">
        <v>157</v>
      </c>
      <c r="V995" s="21">
        <v>41</v>
      </c>
      <c r="W995" s="21">
        <v>1</v>
      </c>
      <c r="X995" s="22"/>
    </row>
    <row r="996" spans="1:24" s="1" customFormat="1" ht="11.1" customHeight="1" x14ac:dyDescent="0.3">
      <c r="A996" s="23" t="s">
        <v>784</v>
      </c>
      <c r="B996" s="23" t="s">
        <v>1071</v>
      </c>
      <c r="C996" s="12" t="s">
        <v>1072</v>
      </c>
      <c r="D996" s="84"/>
      <c r="E996" s="69" t="str">
        <f t="shared" si="56"/>
        <v>Еще фото</v>
      </c>
      <c r="F996" s="13"/>
      <c r="G996" s="23" t="s">
        <v>394</v>
      </c>
      <c r="H996" s="23" t="s">
        <v>151</v>
      </c>
      <c r="I996" s="23" t="s">
        <v>424</v>
      </c>
      <c r="J996" s="14" t="s">
        <v>406</v>
      </c>
      <c r="K996" s="15" t="s">
        <v>114</v>
      </c>
      <c r="L996" s="87"/>
      <c r="M996" s="14"/>
      <c r="N996" s="14" t="s">
        <v>1073</v>
      </c>
      <c r="O996" s="14"/>
      <c r="P996" s="15" t="s">
        <v>853</v>
      </c>
      <c r="Q996" s="16">
        <v>14099</v>
      </c>
      <c r="R996" s="17">
        <v>40</v>
      </c>
      <c r="S996" s="18">
        <v>9728.31</v>
      </c>
      <c r="T996" s="19" t="s">
        <v>846</v>
      </c>
      <c r="U996" s="20" t="s">
        <v>435</v>
      </c>
      <c r="V996" s="30">
        <v>41.5</v>
      </c>
      <c r="W996" s="21">
        <v>2</v>
      </c>
      <c r="X996" s="22"/>
    </row>
    <row r="997" spans="1:24" s="1" customFormat="1" ht="11.1" customHeight="1" x14ac:dyDescent="0.3">
      <c r="A997" s="23" t="s">
        <v>784</v>
      </c>
      <c r="B997" s="23" t="s">
        <v>1071</v>
      </c>
      <c r="C997" s="12" t="s">
        <v>1072</v>
      </c>
      <c r="D997" s="84"/>
      <c r="E997" s="69" t="str">
        <f t="shared" si="56"/>
        <v>Еще фото</v>
      </c>
      <c r="F997" s="13"/>
      <c r="G997" s="23" t="s">
        <v>394</v>
      </c>
      <c r="H997" s="23" t="s">
        <v>151</v>
      </c>
      <c r="I997" s="23" t="s">
        <v>424</v>
      </c>
      <c r="J997" s="14" t="s">
        <v>406</v>
      </c>
      <c r="K997" s="15" t="s">
        <v>114</v>
      </c>
      <c r="L997" s="87"/>
      <c r="M997" s="14"/>
      <c r="N997" s="14" t="s">
        <v>1073</v>
      </c>
      <c r="O997" s="14"/>
      <c r="P997" s="15" t="s">
        <v>853</v>
      </c>
      <c r="Q997" s="16">
        <v>14099</v>
      </c>
      <c r="R997" s="17">
        <v>40</v>
      </c>
      <c r="S997" s="18">
        <v>9728.31</v>
      </c>
      <c r="T997" s="19" t="s">
        <v>846</v>
      </c>
      <c r="U997" s="20" t="s">
        <v>163</v>
      </c>
      <c r="V997" s="30">
        <v>43.5</v>
      </c>
      <c r="W997" s="21">
        <v>2</v>
      </c>
      <c r="X997" s="22"/>
    </row>
    <row r="998" spans="1:24" s="1" customFormat="1" ht="11.1" customHeight="1" x14ac:dyDescent="0.3">
      <c r="A998" s="23" t="s">
        <v>784</v>
      </c>
      <c r="B998" s="23" t="s">
        <v>1071</v>
      </c>
      <c r="C998" s="12" t="s">
        <v>1072</v>
      </c>
      <c r="D998" s="84"/>
      <c r="E998" s="69" t="str">
        <f t="shared" si="56"/>
        <v>Еще фото</v>
      </c>
      <c r="F998" s="13"/>
      <c r="G998" s="23" t="s">
        <v>394</v>
      </c>
      <c r="H998" s="23" t="s">
        <v>151</v>
      </c>
      <c r="I998" s="23" t="s">
        <v>424</v>
      </c>
      <c r="J998" s="14" t="s">
        <v>406</v>
      </c>
      <c r="K998" s="15" t="s">
        <v>114</v>
      </c>
      <c r="L998" s="87"/>
      <c r="M998" s="14"/>
      <c r="N998" s="14" t="s">
        <v>1073</v>
      </c>
      <c r="O998" s="14"/>
      <c r="P998" s="15" t="s">
        <v>853</v>
      </c>
      <c r="Q998" s="16">
        <v>14099</v>
      </c>
      <c r="R998" s="17">
        <v>40</v>
      </c>
      <c r="S998" s="18">
        <v>9728.31</v>
      </c>
      <c r="T998" s="19" t="s">
        <v>846</v>
      </c>
      <c r="U998" s="20" t="s">
        <v>907</v>
      </c>
      <c r="V998" s="21">
        <v>44</v>
      </c>
      <c r="W998" s="21">
        <v>6</v>
      </c>
      <c r="X998" s="22"/>
    </row>
    <row r="999" spans="1:24" s="1" customFormat="1" ht="11.1" customHeight="1" x14ac:dyDescent="0.3">
      <c r="A999" s="23" t="s">
        <v>784</v>
      </c>
      <c r="B999" s="23" t="s">
        <v>1071</v>
      </c>
      <c r="C999" s="12" t="s">
        <v>1072</v>
      </c>
      <c r="D999" s="84"/>
      <c r="E999" s="69" t="str">
        <f t="shared" si="56"/>
        <v>Еще фото</v>
      </c>
      <c r="F999" s="13"/>
      <c r="G999" s="23" t="s">
        <v>394</v>
      </c>
      <c r="H999" s="23" t="s">
        <v>151</v>
      </c>
      <c r="I999" s="23" t="s">
        <v>424</v>
      </c>
      <c r="J999" s="14" t="s">
        <v>406</v>
      </c>
      <c r="K999" s="15" t="s">
        <v>114</v>
      </c>
      <c r="L999" s="87"/>
      <c r="M999" s="14"/>
      <c r="N999" s="14" t="s">
        <v>1073</v>
      </c>
      <c r="O999" s="14"/>
      <c r="P999" s="15" t="s">
        <v>853</v>
      </c>
      <c r="Q999" s="16">
        <v>14099</v>
      </c>
      <c r="R999" s="17">
        <v>40</v>
      </c>
      <c r="S999" s="18">
        <v>9728.31</v>
      </c>
      <c r="T999" s="19" t="s">
        <v>846</v>
      </c>
      <c r="U999" s="20" t="s">
        <v>164</v>
      </c>
      <c r="V999" s="21">
        <v>45</v>
      </c>
      <c r="W999" s="21">
        <v>4</v>
      </c>
      <c r="X999" s="22"/>
    </row>
    <row r="1000" spans="1:24" s="1" customFormat="1" ht="11.1" customHeight="1" x14ac:dyDescent="0.3">
      <c r="A1000" s="23" t="s">
        <v>784</v>
      </c>
      <c r="B1000" s="23" t="s">
        <v>1071</v>
      </c>
      <c r="C1000" s="12" t="s">
        <v>1072</v>
      </c>
      <c r="D1000" s="84"/>
      <c r="E1000" s="69" t="str">
        <f t="shared" si="56"/>
        <v>Еще фото</v>
      </c>
      <c r="F1000" s="13"/>
      <c r="G1000" s="23" t="s">
        <v>394</v>
      </c>
      <c r="H1000" s="23" t="s">
        <v>151</v>
      </c>
      <c r="I1000" s="23" t="s">
        <v>424</v>
      </c>
      <c r="J1000" s="14" t="s">
        <v>406</v>
      </c>
      <c r="K1000" s="15" t="s">
        <v>114</v>
      </c>
      <c r="L1000" s="87"/>
      <c r="M1000" s="14"/>
      <c r="N1000" s="14" t="s">
        <v>1073</v>
      </c>
      <c r="O1000" s="14"/>
      <c r="P1000" s="15" t="s">
        <v>853</v>
      </c>
      <c r="Q1000" s="16">
        <v>14099</v>
      </c>
      <c r="R1000" s="17">
        <v>40</v>
      </c>
      <c r="S1000" s="18">
        <v>9728.31</v>
      </c>
      <c r="T1000" s="19" t="s">
        <v>846</v>
      </c>
      <c r="U1000" s="20" t="s">
        <v>941</v>
      </c>
      <c r="V1000" s="30">
        <v>45.5</v>
      </c>
      <c r="W1000" s="21">
        <v>3</v>
      </c>
      <c r="X1000" s="22"/>
    </row>
    <row r="1001" spans="1:24" s="1" customFormat="1" ht="11.1" customHeight="1" x14ac:dyDescent="0.3">
      <c r="A1001" s="14" t="s">
        <v>784</v>
      </c>
      <c r="B1001" s="14" t="s">
        <v>1071</v>
      </c>
      <c r="C1001" s="12" t="s">
        <v>1072</v>
      </c>
      <c r="D1001" s="84"/>
      <c r="E1001" s="69" t="str">
        <f t="shared" si="56"/>
        <v>Еще фото</v>
      </c>
      <c r="F1001" s="36"/>
      <c r="G1001" s="14" t="s">
        <v>394</v>
      </c>
      <c r="H1001" s="14" t="s">
        <v>151</v>
      </c>
      <c r="I1001" s="14" t="s">
        <v>424</v>
      </c>
      <c r="J1001" s="14" t="s">
        <v>406</v>
      </c>
      <c r="K1001" s="14" t="s">
        <v>114</v>
      </c>
      <c r="L1001" s="87"/>
      <c r="M1001" s="14"/>
      <c r="N1001" s="14" t="s">
        <v>1073</v>
      </c>
      <c r="O1001" s="14"/>
      <c r="P1001" s="14" t="s">
        <v>853</v>
      </c>
      <c r="Q1001" s="33">
        <v>14099</v>
      </c>
      <c r="R1001" s="34">
        <v>40</v>
      </c>
      <c r="S1001" s="35">
        <v>9728.31</v>
      </c>
      <c r="T1001" s="19" t="s">
        <v>846</v>
      </c>
      <c r="U1001" s="20" t="s">
        <v>462</v>
      </c>
      <c r="V1001" s="21">
        <v>46</v>
      </c>
      <c r="W1001" s="21">
        <v>3</v>
      </c>
      <c r="X1001" s="22"/>
    </row>
    <row r="1002" spans="1:24" s="1" customFormat="1" ht="11.1" customHeight="1" x14ac:dyDescent="0.3">
      <c r="A1002" s="14" t="s">
        <v>784</v>
      </c>
      <c r="B1002" s="14" t="s">
        <v>1071</v>
      </c>
      <c r="C1002" s="12" t="s">
        <v>1072</v>
      </c>
      <c r="D1002" s="85"/>
      <c r="E1002" s="69" t="str">
        <f t="shared" si="56"/>
        <v>Еще фото</v>
      </c>
      <c r="F1002" s="36"/>
      <c r="G1002" s="14" t="s">
        <v>394</v>
      </c>
      <c r="H1002" s="14" t="s">
        <v>151</v>
      </c>
      <c r="I1002" s="14" t="s">
        <v>424</v>
      </c>
      <c r="J1002" s="14" t="s">
        <v>406</v>
      </c>
      <c r="K1002" s="14" t="s">
        <v>114</v>
      </c>
      <c r="L1002" s="88"/>
      <c r="M1002" s="14"/>
      <c r="N1002" s="14" t="s">
        <v>1073</v>
      </c>
      <c r="O1002" s="14"/>
      <c r="P1002" s="14" t="s">
        <v>853</v>
      </c>
      <c r="Q1002" s="33">
        <v>14099</v>
      </c>
      <c r="R1002" s="34">
        <v>40</v>
      </c>
      <c r="S1002" s="35">
        <v>9728.31</v>
      </c>
      <c r="T1002" s="19" t="s">
        <v>846</v>
      </c>
      <c r="U1002" s="20" t="s">
        <v>897</v>
      </c>
      <c r="V1002" s="30">
        <v>47.5</v>
      </c>
      <c r="W1002" s="21">
        <v>6</v>
      </c>
      <c r="X1002" s="22"/>
    </row>
    <row r="1003" spans="1:24" s="1" customFormat="1" ht="26.1" customHeight="1" x14ac:dyDescent="0.3">
      <c r="A1003" s="11" t="s">
        <v>784</v>
      </c>
      <c r="B1003" s="11" t="s">
        <v>1074</v>
      </c>
      <c r="C1003" s="12" t="s">
        <v>1075</v>
      </c>
      <c r="D1003" s="83"/>
      <c r="E1003" s="69" t="str">
        <f>HYPERLINK("https://www.google.ru/search?q=V1GA2180K-38&amp;newwindow=1&amp;tbm=isch","Еще фото")</f>
        <v>Еще фото</v>
      </c>
      <c r="F1003" s="13"/>
      <c r="G1003" s="11" t="s">
        <v>394</v>
      </c>
      <c r="H1003" s="11" t="s">
        <v>151</v>
      </c>
      <c r="I1003" s="14" t="s">
        <v>424</v>
      </c>
      <c r="J1003" s="14" t="s">
        <v>406</v>
      </c>
      <c r="K1003" s="15" t="s">
        <v>114</v>
      </c>
      <c r="L1003" s="86"/>
      <c r="M1003" s="14"/>
      <c r="N1003" s="14" t="s">
        <v>1076</v>
      </c>
      <c r="O1003" s="14"/>
      <c r="P1003" s="15" t="s">
        <v>853</v>
      </c>
      <c r="Q1003" s="16">
        <v>6999</v>
      </c>
      <c r="R1003" s="17">
        <v>40</v>
      </c>
      <c r="S1003" s="18">
        <v>4829.3099999999995</v>
      </c>
      <c r="T1003" s="19" t="s">
        <v>846</v>
      </c>
      <c r="U1003" s="20" t="s">
        <v>995</v>
      </c>
      <c r="V1003" s="21">
        <v>35</v>
      </c>
      <c r="W1003" s="21">
        <v>5</v>
      </c>
      <c r="X1003" s="22"/>
    </row>
    <row r="1004" spans="1:24" s="1" customFormat="1" ht="26.1" customHeight="1" x14ac:dyDescent="0.3">
      <c r="A1004" s="23" t="s">
        <v>784</v>
      </c>
      <c r="B1004" s="23" t="s">
        <v>1074</v>
      </c>
      <c r="C1004" s="12" t="s">
        <v>1075</v>
      </c>
      <c r="D1004" s="84"/>
      <c r="E1004" s="69" t="str">
        <f>HYPERLINK("https://www.google.ru/search?q=V1GA2180K-38&amp;newwindow=1&amp;tbm=isch","Еще фото")</f>
        <v>Еще фото</v>
      </c>
      <c r="F1004" s="13"/>
      <c r="G1004" s="23" t="s">
        <v>394</v>
      </c>
      <c r="H1004" s="23" t="s">
        <v>151</v>
      </c>
      <c r="I1004" s="23" t="s">
        <v>424</v>
      </c>
      <c r="J1004" s="14" t="s">
        <v>406</v>
      </c>
      <c r="K1004" s="15" t="s">
        <v>114</v>
      </c>
      <c r="L1004" s="87"/>
      <c r="M1004" s="14"/>
      <c r="N1004" s="14" t="s">
        <v>1076</v>
      </c>
      <c r="O1004" s="14"/>
      <c r="P1004" s="15" t="s">
        <v>853</v>
      </c>
      <c r="Q1004" s="16">
        <v>6999</v>
      </c>
      <c r="R1004" s="17">
        <v>40</v>
      </c>
      <c r="S1004" s="18">
        <v>4829.3099999999995</v>
      </c>
      <c r="T1004" s="19" t="s">
        <v>846</v>
      </c>
      <c r="U1004" s="20" t="s">
        <v>157</v>
      </c>
      <c r="V1004" s="21">
        <v>41</v>
      </c>
      <c r="W1004" s="21">
        <v>1</v>
      </c>
      <c r="X1004" s="22"/>
    </row>
    <row r="1005" spans="1:24" s="1" customFormat="1" ht="26.1" customHeight="1" x14ac:dyDescent="0.3">
      <c r="A1005" s="23" t="s">
        <v>784</v>
      </c>
      <c r="B1005" s="23" t="s">
        <v>1074</v>
      </c>
      <c r="C1005" s="12" t="s">
        <v>1075</v>
      </c>
      <c r="D1005" s="84"/>
      <c r="E1005" s="69" t="str">
        <f>HYPERLINK("https://www.google.ru/search?q=V1GA2180K-38&amp;newwindow=1&amp;tbm=isch","Еще фото")</f>
        <v>Еще фото</v>
      </c>
      <c r="F1005" s="13"/>
      <c r="G1005" s="23" t="s">
        <v>394</v>
      </c>
      <c r="H1005" s="23" t="s">
        <v>151</v>
      </c>
      <c r="I1005" s="23" t="s">
        <v>424</v>
      </c>
      <c r="J1005" s="14" t="s">
        <v>406</v>
      </c>
      <c r="K1005" s="15" t="s">
        <v>114</v>
      </c>
      <c r="L1005" s="87"/>
      <c r="M1005" s="14"/>
      <c r="N1005" s="14" t="s">
        <v>1076</v>
      </c>
      <c r="O1005" s="14"/>
      <c r="P1005" s="15" t="s">
        <v>853</v>
      </c>
      <c r="Q1005" s="16">
        <v>6999</v>
      </c>
      <c r="R1005" s="17">
        <v>40</v>
      </c>
      <c r="S1005" s="18">
        <v>4829.3099999999995</v>
      </c>
      <c r="T1005" s="19" t="s">
        <v>846</v>
      </c>
      <c r="U1005" s="20" t="s">
        <v>436</v>
      </c>
      <c r="V1005" s="21">
        <v>43</v>
      </c>
      <c r="W1005" s="21">
        <v>4</v>
      </c>
      <c r="X1005" s="22"/>
    </row>
    <row r="1006" spans="1:24" s="1" customFormat="1" ht="26.1" customHeight="1" x14ac:dyDescent="0.3">
      <c r="A1006" s="23" t="s">
        <v>784</v>
      </c>
      <c r="B1006" s="23" t="s">
        <v>1074</v>
      </c>
      <c r="C1006" s="12" t="s">
        <v>1075</v>
      </c>
      <c r="D1006" s="85"/>
      <c r="E1006" s="69" t="str">
        <f>HYPERLINK("https://www.google.ru/search?q=V1GA2180K-38&amp;newwindow=1&amp;tbm=isch","Еще фото")</f>
        <v>Еще фото</v>
      </c>
      <c r="F1006" s="13"/>
      <c r="G1006" s="23" t="s">
        <v>394</v>
      </c>
      <c r="H1006" s="23" t="s">
        <v>151</v>
      </c>
      <c r="I1006" s="23" t="s">
        <v>424</v>
      </c>
      <c r="J1006" s="14" t="s">
        <v>406</v>
      </c>
      <c r="K1006" s="15" t="s">
        <v>114</v>
      </c>
      <c r="L1006" s="88"/>
      <c r="M1006" s="14"/>
      <c r="N1006" s="14" t="s">
        <v>1076</v>
      </c>
      <c r="O1006" s="14"/>
      <c r="P1006" s="15" t="s">
        <v>853</v>
      </c>
      <c r="Q1006" s="16">
        <v>6999</v>
      </c>
      <c r="R1006" s="17">
        <v>40</v>
      </c>
      <c r="S1006" s="18">
        <v>4829.3099999999995</v>
      </c>
      <c r="T1006" s="19" t="s">
        <v>846</v>
      </c>
      <c r="U1006" s="20" t="s">
        <v>164</v>
      </c>
      <c r="V1006" s="21">
        <v>45</v>
      </c>
      <c r="W1006" s="21">
        <v>3</v>
      </c>
      <c r="X1006" s="22"/>
    </row>
    <row r="1007" spans="1:24" s="1" customFormat="1" ht="17.100000000000001" customHeight="1" x14ac:dyDescent="0.3">
      <c r="A1007" s="11" t="s">
        <v>784</v>
      </c>
      <c r="B1007" s="11" t="s">
        <v>1077</v>
      </c>
      <c r="C1007" s="12" t="s">
        <v>1078</v>
      </c>
      <c r="D1007" s="83"/>
      <c r="E1007" s="69" t="str">
        <f t="shared" ref="E1007:E1012" si="57">HYPERLINK("https://www.google.ru/search?q=V1GC1740-60&amp;newwindow=1&amp;tbm=isch","Еще фото")</f>
        <v>Еще фото</v>
      </c>
      <c r="F1007" s="13"/>
      <c r="G1007" s="11" t="s">
        <v>394</v>
      </c>
      <c r="H1007" s="11" t="s">
        <v>151</v>
      </c>
      <c r="I1007" s="14" t="s">
        <v>424</v>
      </c>
      <c r="J1007" s="14" t="s">
        <v>406</v>
      </c>
      <c r="K1007" s="15" t="s">
        <v>47</v>
      </c>
      <c r="L1007" s="86"/>
      <c r="M1007" s="14"/>
      <c r="N1007" s="14" t="s">
        <v>1079</v>
      </c>
      <c r="O1007" s="14"/>
      <c r="P1007" s="15" t="s">
        <v>853</v>
      </c>
      <c r="Q1007" s="16">
        <v>11099</v>
      </c>
      <c r="R1007" s="17">
        <v>40</v>
      </c>
      <c r="S1007" s="18">
        <v>7658.3099999999986</v>
      </c>
      <c r="T1007" s="19" t="s">
        <v>846</v>
      </c>
      <c r="U1007" s="20" t="s">
        <v>821</v>
      </c>
      <c r="V1007" s="21">
        <v>36</v>
      </c>
      <c r="W1007" s="21">
        <v>3</v>
      </c>
      <c r="X1007" s="22"/>
    </row>
    <row r="1008" spans="1:24" s="1" customFormat="1" ht="17.100000000000001" customHeight="1" x14ac:dyDescent="0.3">
      <c r="A1008" s="23" t="s">
        <v>784</v>
      </c>
      <c r="B1008" s="23" t="s">
        <v>1077</v>
      </c>
      <c r="C1008" s="12" t="s">
        <v>1078</v>
      </c>
      <c r="D1008" s="84"/>
      <c r="E1008" s="69" t="str">
        <f t="shared" si="57"/>
        <v>Еще фото</v>
      </c>
      <c r="F1008" s="13"/>
      <c r="G1008" s="23" t="s">
        <v>394</v>
      </c>
      <c r="H1008" s="23" t="s">
        <v>151</v>
      </c>
      <c r="I1008" s="23" t="s">
        <v>424</v>
      </c>
      <c r="J1008" s="14" t="s">
        <v>406</v>
      </c>
      <c r="K1008" s="15" t="s">
        <v>47</v>
      </c>
      <c r="L1008" s="87"/>
      <c r="M1008" s="14"/>
      <c r="N1008" s="14" t="s">
        <v>1079</v>
      </c>
      <c r="O1008" s="14"/>
      <c r="P1008" s="15" t="s">
        <v>853</v>
      </c>
      <c r="Q1008" s="16">
        <v>11099</v>
      </c>
      <c r="R1008" s="17">
        <v>40</v>
      </c>
      <c r="S1008" s="18">
        <v>7658.3099999999986</v>
      </c>
      <c r="T1008" s="19" t="s">
        <v>846</v>
      </c>
      <c r="U1008" s="20" t="s">
        <v>847</v>
      </c>
      <c r="V1008" s="30">
        <v>36.5</v>
      </c>
      <c r="W1008" s="21">
        <v>8</v>
      </c>
      <c r="X1008" s="22"/>
    </row>
    <row r="1009" spans="1:24" s="1" customFormat="1" ht="17.100000000000001" customHeight="1" x14ac:dyDescent="0.3">
      <c r="A1009" s="23" t="s">
        <v>784</v>
      </c>
      <c r="B1009" s="23" t="s">
        <v>1077</v>
      </c>
      <c r="C1009" s="12" t="s">
        <v>1078</v>
      </c>
      <c r="D1009" s="84"/>
      <c r="E1009" s="69" t="str">
        <f t="shared" si="57"/>
        <v>Еще фото</v>
      </c>
      <c r="F1009" s="13"/>
      <c r="G1009" s="23" t="s">
        <v>394</v>
      </c>
      <c r="H1009" s="23" t="s">
        <v>151</v>
      </c>
      <c r="I1009" s="23" t="s">
        <v>424</v>
      </c>
      <c r="J1009" s="14" t="s">
        <v>406</v>
      </c>
      <c r="K1009" s="15" t="s">
        <v>47</v>
      </c>
      <c r="L1009" s="87"/>
      <c r="M1009" s="14"/>
      <c r="N1009" s="14" t="s">
        <v>1079</v>
      </c>
      <c r="O1009" s="14"/>
      <c r="P1009" s="15" t="s">
        <v>853</v>
      </c>
      <c r="Q1009" s="16">
        <v>11099</v>
      </c>
      <c r="R1009" s="17">
        <v>40</v>
      </c>
      <c r="S1009" s="18">
        <v>7658.3099999999986</v>
      </c>
      <c r="T1009" s="19" t="s">
        <v>846</v>
      </c>
      <c r="U1009" s="20" t="s">
        <v>848</v>
      </c>
      <c r="V1009" s="30">
        <v>37.5</v>
      </c>
      <c r="W1009" s="21">
        <v>6</v>
      </c>
      <c r="X1009" s="22"/>
    </row>
    <row r="1010" spans="1:24" s="1" customFormat="1" ht="17.100000000000001" customHeight="1" x14ac:dyDescent="0.3">
      <c r="A1010" s="23" t="s">
        <v>784</v>
      </c>
      <c r="B1010" s="23" t="s">
        <v>1077</v>
      </c>
      <c r="C1010" s="12" t="s">
        <v>1078</v>
      </c>
      <c r="D1010" s="84"/>
      <c r="E1010" s="69" t="str">
        <f t="shared" si="57"/>
        <v>Еще фото</v>
      </c>
      <c r="F1010" s="13"/>
      <c r="G1010" s="23" t="s">
        <v>394</v>
      </c>
      <c r="H1010" s="23" t="s">
        <v>151</v>
      </c>
      <c r="I1010" s="23" t="s">
        <v>424</v>
      </c>
      <c r="J1010" s="14" t="s">
        <v>406</v>
      </c>
      <c r="K1010" s="15" t="s">
        <v>47</v>
      </c>
      <c r="L1010" s="87"/>
      <c r="M1010" s="14"/>
      <c r="N1010" s="14" t="s">
        <v>1079</v>
      </c>
      <c r="O1010" s="14"/>
      <c r="P1010" s="15" t="s">
        <v>853</v>
      </c>
      <c r="Q1010" s="16">
        <v>11099</v>
      </c>
      <c r="R1010" s="17">
        <v>40</v>
      </c>
      <c r="S1010" s="18">
        <v>7658.3099999999986</v>
      </c>
      <c r="T1010" s="19" t="s">
        <v>846</v>
      </c>
      <c r="U1010" s="20" t="s">
        <v>500</v>
      </c>
      <c r="V1010" s="21">
        <v>39</v>
      </c>
      <c r="W1010" s="21">
        <v>9</v>
      </c>
      <c r="X1010" s="22"/>
    </row>
    <row r="1011" spans="1:24" s="1" customFormat="1" ht="17.100000000000001" customHeight="1" x14ac:dyDescent="0.3">
      <c r="A1011" s="23" t="s">
        <v>784</v>
      </c>
      <c r="B1011" s="23" t="s">
        <v>1077</v>
      </c>
      <c r="C1011" s="12" t="s">
        <v>1078</v>
      </c>
      <c r="D1011" s="84"/>
      <c r="E1011" s="69" t="str">
        <f t="shared" si="57"/>
        <v>Еще фото</v>
      </c>
      <c r="F1011" s="13"/>
      <c r="G1011" s="23" t="s">
        <v>394</v>
      </c>
      <c r="H1011" s="23" t="s">
        <v>151</v>
      </c>
      <c r="I1011" s="23" t="s">
        <v>424</v>
      </c>
      <c r="J1011" s="14" t="s">
        <v>406</v>
      </c>
      <c r="K1011" s="15" t="s">
        <v>47</v>
      </c>
      <c r="L1011" s="87"/>
      <c r="M1011" s="14"/>
      <c r="N1011" s="14" t="s">
        <v>1079</v>
      </c>
      <c r="O1011" s="14"/>
      <c r="P1011" s="15" t="s">
        <v>853</v>
      </c>
      <c r="Q1011" s="16">
        <v>11099</v>
      </c>
      <c r="R1011" s="17">
        <v>40</v>
      </c>
      <c r="S1011" s="18">
        <v>7658.3099999999986</v>
      </c>
      <c r="T1011" s="19" t="s">
        <v>846</v>
      </c>
      <c r="U1011" s="20" t="s">
        <v>854</v>
      </c>
      <c r="V1011" s="30">
        <v>39.5</v>
      </c>
      <c r="W1011" s="21">
        <v>6</v>
      </c>
      <c r="X1011" s="22"/>
    </row>
    <row r="1012" spans="1:24" s="1" customFormat="1" ht="21.95" customHeight="1" x14ac:dyDescent="0.3">
      <c r="A1012" s="23" t="s">
        <v>784</v>
      </c>
      <c r="B1012" s="23" t="s">
        <v>1077</v>
      </c>
      <c r="C1012" s="12" t="s">
        <v>1078</v>
      </c>
      <c r="D1012" s="85"/>
      <c r="E1012" s="69" t="str">
        <f t="shared" si="57"/>
        <v>Еще фото</v>
      </c>
      <c r="F1012" s="13"/>
      <c r="G1012" s="23" t="s">
        <v>394</v>
      </c>
      <c r="H1012" s="23" t="s">
        <v>151</v>
      </c>
      <c r="I1012" s="23" t="s">
        <v>424</v>
      </c>
      <c r="J1012" s="14" t="s">
        <v>406</v>
      </c>
      <c r="K1012" s="15" t="s">
        <v>47</v>
      </c>
      <c r="L1012" s="88"/>
      <c r="M1012" s="14"/>
      <c r="N1012" s="14" t="s">
        <v>1079</v>
      </c>
      <c r="O1012" s="14"/>
      <c r="P1012" s="15" t="s">
        <v>853</v>
      </c>
      <c r="Q1012" s="16">
        <v>11099</v>
      </c>
      <c r="R1012" s="17">
        <v>40</v>
      </c>
      <c r="S1012" s="18">
        <v>7658.3099999999986</v>
      </c>
      <c r="T1012" s="19" t="s">
        <v>846</v>
      </c>
      <c r="U1012" s="20" t="s">
        <v>435</v>
      </c>
      <c r="V1012" s="30">
        <v>41.5</v>
      </c>
      <c r="W1012" s="21">
        <v>2</v>
      </c>
      <c r="X1012" s="22"/>
    </row>
    <row r="1013" spans="1:24" s="1" customFormat="1" ht="14.1" customHeight="1" x14ac:dyDescent="0.3">
      <c r="A1013" s="11" t="s">
        <v>784</v>
      </c>
      <c r="B1013" s="11" t="s">
        <v>1080</v>
      </c>
      <c r="C1013" s="12" t="s">
        <v>1081</v>
      </c>
      <c r="D1013" s="83"/>
      <c r="E1013" s="69" t="str">
        <f t="shared" ref="E1013:E1019" si="58">HYPERLINK("https://www.google.ru/search?q=V1GC1820-59&amp;newwindow=1&amp;tbm=isch","Еще фото")</f>
        <v>Еще фото</v>
      </c>
      <c r="F1013" s="13"/>
      <c r="G1013" s="11" t="s">
        <v>394</v>
      </c>
      <c r="H1013" s="11" t="s">
        <v>151</v>
      </c>
      <c r="I1013" s="14" t="s">
        <v>424</v>
      </c>
      <c r="J1013" s="14" t="s">
        <v>406</v>
      </c>
      <c r="K1013" s="15" t="s">
        <v>47</v>
      </c>
      <c r="L1013" s="86"/>
      <c r="M1013" s="14"/>
      <c r="N1013" s="14" t="s">
        <v>1082</v>
      </c>
      <c r="O1013" s="14"/>
      <c r="P1013" s="15" t="s">
        <v>853</v>
      </c>
      <c r="Q1013" s="16">
        <v>11999</v>
      </c>
      <c r="R1013" s="17">
        <v>40</v>
      </c>
      <c r="S1013" s="18">
        <v>8279.31</v>
      </c>
      <c r="T1013" s="19" t="s">
        <v>846</v>
      </c>
      <c r="U1013" s="20" t="s">
        <v>818</v>
      </c>
      <c r="V1013" s="21">
        <v>37</v>
      </c>
      <c r="W1013" s="21">
        <v>2</v>
      </c>
      <c r="X1013" s="22"/>
    </row>
    <row r="1014" spans="1:24" s="1" customFormat="1" ht="14.1" customHeight="1" x14ac:dyDescent="0.3">
      <c r="A1014" s="23" t="s">
        <v>784</v>
      </c>
      <c r="B1014" s="23" t="s">
        <v>1080</v>
      </c>
      <c r="C1014" s="12" t="s">
        <v>1081</v>
      </c>
      <c r="D1014" s="84"/>
      <c r="E1014" s="69" t="str">
        <f t="shared" si="58"/>
        <v>Еще фото</v>
      </c>
      <c r="F1014" s="13"/>
      <c r="G1014" s="23" t="s">
        <v>394</v>
      </c>
      <c r="H1014" s="23" t="s">
        <v>151</v>
      </c>
      <c r="I1014" s="23" t="s">
        <v>424</v>
      </c>
      <c r="J1014" s="14" t="s">
        <v>406</v>
      </c>
      <c r="K1014" s="15" t="s">
        <v>47</v>
      </c>
      <c r="L1014" s="87"/>
      <c r="M1014" s="14"/>
      <c r="N1014" s="14" t="s">
        <v>1082</v>
      </c>
      <c r="O1014" s="14"/>
      <c r="P1014" s="15" t="s">
        <v>853</v>
      </c>
      <c r="Q1014" s="16">
        <v>11999</v>
      </c>
      <c r="R1014" s="17">
        <v>40</v>
      </c>
      <c r="S1014" s="18">
        <v>8279.31</v>
      </c>
      <c r="T1014" s="19" t="s">
        <v>846</v>
      </c>
      <c r="U1014" s="20" t="s">
        <v>848</v>
      </c>
      <c r="V1014" s="30">
        <v>37.5</v>
      </c>
      <c r="W1014" s="21">
        <v>7</v>
      </c>
      <c r="X1014" s="22"/>
    </row>
    <row r="1015" spans="1:24" s="1" customFormat="1" ht="14.1" customHeight="1" x14ac:dyDescent="0.3">
      <c r="A1015" s="23" t="s">
        <v>784</v>
      </c>
      <c r="B1015" s="23" t="s">
        <v>1080</v>
      </c>
      <c r="C1015" s="12" t="s">
        <v>1081</v>
      </c>
      <c r="D1015" s="84"/>
      <c r="E1015" s="69" t="str">
        <f t="shared" si="58"/>
        <v>Еще фото</v>
      </c>
      <c r="F1015" s="13"/>
      <c r="G1015" s="23" t="s">
        <v>394</v>
      </c>
      <c r="H1015" s="23" t="s">
        <v>151</v>
      </c>
      <c r="I1015" s="23" t="s">
        <v>424</v>
      </c>
      <c r="J1015" s="14" t="s">
        <v>406</v>
      </c>
      <c r="K1015" s="15" t="s">
        <v>47</v>
      </c>
      <c r="L1015" s="87"/>
      <c r="M1015" s="14"/>
      <c r="N1015" s="14" t="s">
        <v>1082</v>
      </c>
      <c r="O1015" s="14"/>
      <c r="P1015" s="15" t="s">
        <v>853</v>
      </c>
      <c r="Q1015" s="16">
        <v>11999</v>
      </c>
      <c r="R1015" s="17">
        <v>40</v>
      </c>
      <c r="S1015" s="18">
        <v>8279.31</v>
      </c>
      <c r="T1015" s="19" t="s">
        <v>846</v>
      </c>
      <c r="U1015" s="20" t="s">
        <v>849</v>
      </c>
      <c r="V1015" s="21">
        <v>38</v>
      </c>
      <c r="W1015" s="21">
        <v>14</v>
      </c>
      <c r="X1015" s="22"/>
    </row>
    <row r="1016" spans="1:24" s="1" customFormat="1" ht="14.1" customHeight="1" x14ac:dyDescent="0.3">
      <c r="A1016" s="23" t="s">
        <v>784</v>
      </c>
      <c r="B1016" s="23" t="s">
        <v>1080</v>
      </c>
      <c r="C1016" s="12" t="s">
        <v>1081</v>
      </c>
      <c r="D1016" s="84"/>
      <c r="E1016" s="69" t="str">
        <f t="shared" si="58"/>
        <v>Еще фото</v>
      </c>
      <c r="F1016" s="13"/>
      <c r="G1016" s="23" t="s">
        <v>394</v>
      </c>
      <c r="H1016" s="23" t="s">
        <v>151</v>
      </c>
      <c r="I1016" s="23" t="s">
        <v>424</v>
      </c>
      <c r="J1016" s="14" t="s">
        <v>406</v>
      </c>
      <c r="K1016" s="15" t="s">
        <v>47</v>
      </c>
      <c r="L1016" s="87"/>
      <c r="M1016" s="14"/>
      <c r="N1016" s="14" t="s">
        <v>1082</v>
      </c>
      <c r="O1016" s="14"/>
      <c r="P1016" s="15" t="s">
        <v>853</v>
      </c>
      <c r="Q1016" s="16">
        <v>11999</v>
      </c>
      <c r="R1016" s="17">
        <v>40</v>
      </c>
      <c r="S1016" s="18">
        <v>8279.31</v>
      </c>
      <c r="T1016" s="19" t="s">
        <v>846</v>
      </c>
      <c r="U1016" s="20" t="s">
        <v>500</v>
      </c>
      <c r="V1016" s="21">
        <v>39</v>
      </c>
      <c r="W1016" s="21">
        <v>6</v>
      </c>
      <c r="X1016" s="22"/>
    </row>
    <row r="1017" spans="1:24" s="1" customFormat="1" ht="14.1" customHeight="1" x14ac:dyDescent="0.3">
      <c r="A1017" s="23" t="s">
        <v>784</v>
      </c>
      <c r="B1017" s="23" t="s">
        <v>1080</v>
      </c>
      <c r="C1017" s="12" t="s">
        <v>1081</v>
      </c>
      <c r="D1017" s="84"/>
      <c r="E1017" s="69" t="str">
        <f t="shared" si="58"/>
        <v>Еще фото</v>
      </c>
      <c r="F1017" s="13"/>
      <c r="G1017" s="23" t="s">
        <v>394</v>
      </c>
      <c r="H1017" s="23" t="s">
        <v>151</v>
      </c>
      <c r="I1017" s="23" t="s">
        <v>424</v>
      </c>
      <c r="J1017" s="14" t="s">
        <v>406</v>
      </c>
      <c r="K1017" s="15" t="s">
        <v>47</v>
      </c>
      <c r="L1017" s="87"/>
      <c r="M1017" s="14"/>
      <c r="N1017" s="14" t="s">
        <v>1082</v>
      </c>
      <c r="O1017" s="14"/>
      <c r="P1017" s="15" t="s">
        <v>853</v>
      </c>
      <c r="Q1017" s="16">
        <v>11999</v>
      </c>
      <c r="R1017" s="17">
        <v>40</v>
      </c>
      <c r="S1017" s="18">
        <v>8279.31</v>
      </c>
      <c r="T1017" s="19" t="s">
        <v>846</v>
      </c>
      <c r="U1017" s="20" t="s">
        <v>854</v>
      </c>
      <c r="V1017" s="30">
        <v>39.5</v>
      </c>
      <c r="W1017" s="21">
        <v>8</v>
      </c>
      <c r="X1017" s="22"/>
    </row>
    <row r="1018" spans="1:24" s="1" customFormat="1" ht="14.1" customHeight="1" x14ac:dyDescent="0.3">
      <c r="A1018" s="23" t="s">
        <v>784</v>
      </c>
      <c r="B1018" s="23" t="s">
        <v>1080</v>
      </c>
      <c r="C1018" s="12" t="s">
        <v>1081</v>
      </c>
      <c r="D1018" s="84"/>
      <c r="E1018" s="69" t="str">
        <f t="shared" si="58"/>
        <v>Еще фото</v>
      </c>
      <c r="F1018" s="13"/>
      <c r="G1018" s="23" t="s">
        <v>394</v>
      </c>
      <c r="H1018" s="23" t="s">
        <v>151</v>
      </c>
      <c r="I1018" s="23" t="s">
        <v>424</v>
      </c>
      <c r="J1018" s="14" t="s">
        <v>406</v>
      </c>
      <c r="K1018" s="15" t="s">
        <v>47</v>
      </c>
      <c r="L1018" s="87"/>
      <c r="M1018" s="14"/>
      <c r="N1018" s="14" t="s">
        <v>1082</v>
      </c>
      <c r="O1018" s="14"/>
      <c r="P1018" s="15" t="s">
        <v>853</v>
      </c>
      <c r="Q1018" s="16">
        <v>11999</v>
      </c>
      <c r="R1018" s="17">
        <v>40</v>
      </c>
      <c r="S1018" s="18">
        <v>8279.31</v>
      </c>
      <c r="T1018" s="19" t="s">
        <v>846</v>
      </c>
      <c r="U1018" s="20" t="s">
        <v>156</v>
      </c>
      <c r="V1018" s="21">
        <v>40</v>
      </c>
      <c r="W1018" s="21">
        <v>1</v>
      </c>
      <c r="X1018" s="22"/>
    </row>
    <row r="1019" spans="1:24" s="1" customFormat="1" ht="17.100000000000001" customHeight="1" x14ac:dyDescent="0.3">
      <c r="A1019" s="23" t="s">
        <v>784</v>
      </c>
      <c r="B1019" s="23" t="s">
        <v>1080</v>
      </c>
      <c r="C1019" s="12" t="s">
        <v>1081</v>
      </c>
      <c r="D1019" s="85"/>
      <c r="E1019" s="69" t="str">
        <f t="shared" si="58"/>
        <v>Еще фото</v>
      </c>
      <c r="F1019" s="13"/>
      <c r="G1019" s="23" t="s">
        <v>394</v>
      </c>
      <c r="H1019" s="23" t="s">
        <v>151</v>
      </c>
      <c r="I1019" s="23" t="s">
        <v>424</v>
      </c>
      <c r="J1019" s="14" t="s">
        <v>406</v>
      </c>
      <c r="K1019" s="15" t="s">
        <v>47</v>
      </c>
      <c r="L1019" s="88"/>
      <c r="M1019" s="14"/>
      <c r="N1019" s="14" t="s">
        <v>1082</v>
      </c>
      <c r="O1019" s="14"/>
      <c r="P1019" s="15" t="s">
        <v>853</v>
      </c>
      <c r="Q1019" s="16">
        <v>11999</v>
      </c>
      <c r="R1019" s="17">
        <v>40</v>
      </c>
      <c r="S1019" s="18">
        <v>8279.31</v>
      </c>
      <c r="T1019" s="19" t="s">
        <v>846</v>
      </c>
      <c r="U1019" s="20" t="s">
        <v>157</v>
      </c>
      <c r="V1019" s="21">
        <v>41</v>
      </c>
      <c r="W1019" s="21">
        <v>2</v>
      </c>
      <c r="X1019" s="22"/>
    </row>
    <row r="1020" spans="1:24" s="1" customFormat="1" ht="11.1" customHeight="1" x14ac:dyDescent="0.3">
      <c r="A1020" s="11" t="s">
        <v>784</v>
      </c>
      <c r="B1020" s="11" t="s">
        <v>1083</v>
      </c>
      <c r="C1020" s="12" t="s">
        <v>1084</v>
      </c>
      <c r="D1020" s="83"/>
      <c r="E1020" s="69" t="str">
        <f t="shared" ref="E1020:E1028" si="59">HYPERLINK("https://www.google.ru/search?q=V1GC1912-18&amp;newwindow=1&amp;tbm=isch","Еще фото")</f>
        <v>Еще фото</v>
      </c>
      <c r="F1020" s="13"/>
      <c r="G1020" s="11" t="s">
        <v>394</v>
      </c>
      <c r="H1020" s="11" t="s">
        <v>151</v>
      </c>
      <c r="I1020" s="14" t="s">
        <v>424</v>
      </c>
      <c r="J1020" s="14" t="s">
        <v>406</v>
      </c>
      <c r="K1020" s="15" t="s">
        <v>47</v>
      </c>
      <c r="L1020" s="86"/>
      <c r="M1020" s="14"/>
      <c r="N1020" s="14" t="s">
        <v>816</v>
      </c>
      <c r="O1020" s="14"/>
      <c r="P1020" s="15" t="s">
        <v>853</v>
      </c>
      <c r="Q1020" s="16">
        <v>14099</v>
      </c>
      <c r="R1020" s="17">
        <v>40</v>
      </c>
      <c r="S1020" s="18">
        <v>9728.31</v>
      </c>
      <c r="T1020" s="19" t="s">
        <v>846</v>
      </c>
      <c r="U1020" s="20" t="s">
        <v>847</v>
      </c>
      <c r="V1020" s="30">
        <v>36.5</v>
      </c>
      <c r="W1020" s="21">
        <v>2</v>
      </c>
      <c r="X1020" s="22"/>
    </row>
    <row r="1021" spans="1:24" s="1" customFormat="1" ht="11.1" customHeight="1" x14ac:dyDescent="0.3">
      <c r="A1021" s="23" t="s">
        <v>784</v>
      </c>
      <c r="B1021" s="23" t="s">
        <v>1083</v>
      </c>
      <c r="C1021" s="12" t="s">
        <v>1084</v>
      </c>
      <c r="D1021" s="84"/>
      <c r="E1021" s="69" t="str">
        <f t="shared" si="59"/>
        <v>Еще фото</v>
      </c>
      <c r="F1021" s="13"/>
      <c r="G1021" s="23" t="s">
        <v>394</v>
      </c>
      <c r="H1021" s="23" t="s">
        <v>151</v>
      </c>
      <c r="I1021" s="23" t="s">
        <v>424</v>
      </c>
      <c r="J1021" s="14" t="s">
        <v>406</v>
      </c>
      <c r="K1021" s="15" t="s">
        <v>47</v>
      </c>
      <c r="L1021" s="87"/>
      <c r="M1021" s="14"/>
      <c r="N1021" s="14" t="s">
        <v>816</v>
      </c>
      <c r="O1021" s="14"/>
      <c r="P1021" s="15" t="s">
        <v>853</v>
      </c>
      <c r="Q1021" s="16">
        <v>14099</v>
      </c>
      <c r="R1021" s="17">
        <v>40</v>
      </c>
      <c r="S1021" s="18">
        <v>9728.31</v>
      </c>
      <c r="T1021" s="19" t="s">
        <v>846</v>
      </c>
      <c r="U1021" s="20" t="s">
        <v>818</v>
      </c>
      <c r="V1021" s="21">
        <v>37</v>
      </c>
      <c r="W1021" s="21">
        <v>4</v>
      </c>
      <c r="X1021" s="22"/>
    </row>
    <row r="1022" spans="1:24" s="1" customFormat="1" ht="11.1" customHeight="1" x14ac:dyDescent="0.3">
      <c r="A1022" s="23" t="s">
        <v>784</v>
      </c>
      <c r="B1022" s="23" t="s">
        <v>1083</v>
      </c>
      <c r="C1022" s="12" t="s">
        <v>1084</v>
      </c>
      <c r="D1022" s="84"/>
      <c r="E1022" s="69" t="str">
        <f t="shared" si="59"/>
        <v>Еще фото</v>
      </c>
      <c r="F1022" s="13"/>
      <c r="G1022" s="23" t="s">
        <v>394</v>
      </c>
      <c r="H1022" s="23" t="s">
        <v>151</v>
      </c>
      <c r="I1022" s="23" t="s">
        <v>424</v>
      </c>
      <c r="J1022" s="14" t="s">
        <v>406</v>
      </c>
      <c r="K1022" s="15" t="s">
        <v>47</v>
      </c>
      <c r="L1022" s="87"/>
      <c r="M1022" s="14"/>
      <c r="N1022" s="14" t="s">
        <v>816</v>
      </c>
      <c r="O1022" s="14"/>
      <c r="P1022" s="15" t="s">
        <v>853</v>
      </c>
      <c r="Q1022" s="16">
        <v>14099</v>
      </c>
      <c r="R1022" s="17">
        <v>40</v>
      </c>
      <c r="S1022" s="18">
        <v>9728.31</v>
      </c>
      <c r="T1022" s="19" t="s">
        <v>846</v>
      </c>
      <c r="U1022" s="20" t="s">
        <v>848</v>
      </c>
      <c r="V1022" s="30">
        <v>37.5</v>
      </c>
      <c r="W1022" s="21">
        <v>8</v>
      </c>
      <c r="X1022" s="22"/>
    </row>
    <row r="1023" spans="1:24" s="1" customFormat="1" ht="11.1" customHeight="1" x14ac:dyDescent="0.3">
      <c r="A1023" s="23" t="s">
        <v>784</v>
      </c>
      <c r="B1023" s="23" t="s">
        <v>1083</v>
      </c>
      <c r="C1023" s="12" t="s">
        <v>1084</v>
      </c>
      <c r="D1023" s="84"/>
      <c r="E1023" s="69" t="str">
        <f t="shared" si="59"/>
        <v>Еще фото</v>
      </c>
      <c r="F1023" s="13"/>
      <c r="G1023" s="23" t="s">
        <v>394</v>
      </c>
      <c r="H1023" s="23" t="s">
        <v>151</v>
      </c>
      <c r="I1023" s="23" t="s">
        <v>424</v>
      </c>
      <c r="J1023" s="14" t="s">
        <v>406</v>
      </c>
      <c r="K1023" s="15" t="s">
        <v>47</v>
      </c>
      <c r="L1023" s="87"/>
      <c r="M1023" s="14"/>
      <c r="N1023" s="14" t="s">
        <v>816</v>
      </c>
      <c r="O1023" s="14"/>
      <c r="P1023" s="15" t="s">
        <v>853</v>
      </c>
      <c r="Q1023" s="16">
        <v>14099</v>
      </c>
      <c r="R1023" s="17">
        <v>40</v>
      </c>
      <c r="S1023" s="18">
        <v>9728.31</v>
      </c>
      <c r="T1023" s="19" t="s">
        <v>846</v>
      </c>
      <c r="U1023" s="20" t="s">
        <v>849</v>
      </c>
      <c r="V1023" s="21">
        <v>38</v>
      </c>
      <c r="W1023" s="21">
        <v>3</v>
      </c>
      <c r="X1023" s="22"/>
    </row>
    <row r="1024" spans="1:24" s="1" customFormat="1" ht="11.1" customHeight="1" x14ac:dyDescent="0.3">
      <c r="A1024" s="23" t="s">
        <v>784</v>
      </c>
      <c r="B1024" s="23" t="s">
        <v>1083</v>
      </c>
      <c r="C1024" s="12" t="s">
        <v>1084</v>
      </c>
      <c r="D1024" s="84"/>
      <c r="E1024" s="69" t="str">
        <f t="shared" si="59"/>
        <v>Еще фото</v>
      </c>
      <c r="F1024" s="13"/>
      <c r="G1024" s="23" t="s">
        <v>394</v>
      </c>
      <c r="H1024" s="23" t="s">
        <v>151</v>
      </c>
      <c r="I1024" s="23" t="s">
        <v>424</v>
      </c>
      <c r="J1024" s="14" t="s">
        <v>406</v>
      </c>
      <c r="K1024" s="15" t="s">
        <v>47</v>
      </c>
      <c r="L1024" s="87"/>
      <c r="M1024" s="14"/>
      <c r="N1024" s="14" t="s">
        <v>816</v>
      </c>
      <c r="O1024" s="14"/>
      <c r="P1024" s="15" t="s">
        <v>853</v>
      </c>
      <c r="Q1024" s="16">
        <v>14099</v>
      </c>
      <c r="R1024" s="17">
        <v>40</v>
      </c>
      <c r="S1024" s="18">
        <v>9728.31</v>
      </c>
      <c r="T1024" s="19" t="s">
        <v>846</v>
      </c>
      <c r="U1024" s="20" t="s">
        <v>500</v>
      </c>
      <c r="V1024" s="21">
        <v>39</v>
      </c>
      <c r="W1024" s="21">
        <v>4</v>
      </c>
      <c r="X1024" s="22"/>
    </row>
    <row r="1025" spans="1:24" s="1" customFormat="1" ht="11.1" customHeight="1" x14ac:dyDescent="0.3">
      <c r="A1025" s="23" t="s">
        <v>784</v>
      </c>
      <c r="B1025" s="23" t="s">
        <v>1083</v>
      </c>
      <c r="C1025" s="12" t="s">
        <v>1084</v>
      </c>
      <c r="D1025" s="84"/>
      <c r="E1025" s="69" t="str">
        <f t="shared" si="59"/>
        <v>Еще фото</v>
      </c>
      <c r="F1025" s="13"/>
      <c r="G1025" s="23" t="s">
        <v>394</v>
      </c>
      <c r="H1025" s="23" t="s">
        <v>151</v>
      </c>
      <c r="I1025" s="23" t="s">
        <v>424</v>
      </c>
      <c r="J1025" s="14" t="s">
        <v>406</v>
      </c>
      <c r="K1025" s="15" t="s">
        <v>47</v>
      </c>
      <c r="L1025" s="87"/>
      <c r="M1025" s="14"/>
      <c r="N1025" s="14" t="s">
        <v>816</v>
      </c>
      <c r="O1025" s="14"/>
      <c r="P1025" s="15" t="s">
        <v>853</v>
      </c>
      <c r="Q1025" s="16">
        <v>14099</v>
      </c>
      <c r="R1025" s="17">
        <v>40</v>
      </c>
      <c r="S1025" s="18">
        <v>9728.31</v>
      </c>
      <c r="T1025" s="19" t="s">
        <v>846</v>
      </c>
      <c r="U1025" s="20" t="s">
        <v>854</v>
      </c>
      <c r="V1025" s="30">
        <v>39.5</v>
      </c>
      <c r="W1025" s="21">
        <v>4</v>
      </c>
      <c r="X1025" s="22"/>
    </row>
    <row r="1026" spans="1:24" s="1" customFormat="1" ht="11.1" customHeight="1" x14ac:dyDescent="0.3">
      <c r="A1026" s="23" t="s">
        <v>784</v>
      </c>
      <c r="B1026" s="23" t="s">
        <v>1083</v>
      </c>
      <c r="C1026" s="12" t="s">
        <v>1084</v>
      </c>
      <c r="D1026" s="84"/>
      <c r="E1026" s="69" t="str">
        <f t="shared" si="59"/>
        <v>Еще фото</v>
      </c>
      <c r="F1026" s="13"/>
      <c r="G1026" s="23" t="s">
        <v>394</v>
      </c>
      <c r="H1026" s="23" t="s">
        <v>151</v>
      </c>
      <c r="I1026" s="23" t="s">
        <v>424</v>
      </c>
      <c r="J1026" s="14" t="s">
        <v>406</v>
      </c>
      <c r="K1026" s="15" t="s">
        <v>47</v>
      </c>
      <c r="L1026" s="87"/>
      <c r="M1026" s="14"/>
      <c r="N1026" s="14" t="s">
        <v>816</v>
      </c>
      <c r="O1026" s="14"/>
      <c r="P1026" s="15" t="s">
        <v>853</v>
      </c>
      <c r="Q1026" s="16">
        <v>14099</v>
      </c>
      <c r="R1026" s="17">
        <v>40</v>
      </c>
      <c r="S1026" s="18">
        <v>9728.31</v>
      </c>
      <c r="T1026" s="19" t="s">
        <v>846</v>
      </c>
      <c r="U1026" s="20" t="s">
        <v>156</v>
      </c>
      <c r="V1026" s="21">
        <v>40</v>
      </c>
      <c r="W1026" s="21">
        <v>2</v>
      </c>
      <c r="X1026" s="22"/>
    </row>
    <row r="1027" spans="1:24" s="1" customFormat="1" ht="11.1" customHeight="1" x14ac:dyDescent="0.3">
      <c r="A1027" s="23" t="s">
        <v>784</v>
      </c>
      <c r="B1027" s="23" t="s">
        <v>1083</v>
      </c>
      <c r="C1027" s="12" t="s">
        <v>1084</v>
      </c>
      <c r="D1027" s="84"/>
      <c r="E1027" s="69" t="str">
        <f t="shared" si="59"/>
        <v>Еще фото</v>
      </c>
      <c r="F1027" s="13"/>
      <c r="G1027" s="23" t="s">
        <v>394</v>
      </c>
      <c r="H1027" s="23" t="s">
        <v>151</v>
      </c>
      <c r="I1027" s="23" t="s">
        <v>424</v>
      </c>
      <c r="J1027" s="14" t="s">
        <v>406</v>
      </c>
      <c r="K1027" s="15" t="s">
        <v>47</v>
      </c>
      <c r="L1027" s="87"/>
      <c r="M1027" s="14"/>
      <c r="N1027" s="14" t="s">
        <v>816</v>
      </c>
      <c r="O1027" s="14"/>
      <c r="P1027" s="15" t="s">
        <v>853</v>
      </c>
      <c r="Q1027" s="16">
        <v>14099</v>
      </c>
      <c r="R1027" s="17">
        <v>40</v>
      </c>
      <c r="S1027" s="18">
        <v>9728.31</v>
      </c>
      <c r="T1027" s="19" t="s">
        <v>846</v>
      </c>
      <c r="U1027" s="20" t="s">
        <v>435</v>
      </c>
      <c r="V1027" s="30">
        <v>41.5</v>
      </c>
      <c r="W1027" s="21">
        <v>1</v>
      </c>
      <c r="X1027" s="22"/>
    </row>
    <row r="1028" spans="1:24" s="1" customFormat="1" ht="11.1" customHeight="1" x14ac:dyDescent="0.3">
      <c r="A1028" s="23" t="s">
        <v>784</v>
      </c>
      <c r="B1028" s="23" t="s">
        <v>1083</v>
      </c>
      <c r="C1028" s="12" t="s">
        <v>1084</v>
      </c>
      <c r="D1028" s="85"/>
      <c r="E1028" s="69" t="str">
        <f t="shared" si="59"/>
        <v>Еще фото</v>
      </c>
      <c r="F1028" s="13"/>
      <c r="G1028" s="23" t="s">
        <v>394</v>
      </c>
      <c r="H1028" s="23" t="s">
        <v>151</v>
      </c>
      <c r="I1028" s="23" t="s">
        <v>424</v>
      </c>
      <c r="J1028" s="14" t="s">
        <v>406</v>
      </c>
      <c r="K1028" s="15" t="s">
        <v>47</v>
      </c>
      <c r="L1028" s="88"/>
      <c r="M1028" s="14"/>
      <c r="N1028" s="14" t="s">
        <v>816</v>
      </c>
      <c r="O1028" s="14"/>
      <c r="P1028" s="15" t="s">
        <v>853</v>
      </c>
      <c r="Q1028" s="16">
        <v>14099</v>
      </c>
      <c r="R1028" s="17">
        <v>40</v>
      </c>
      <c r="S1028" s="18">
        <v>9728.31</v>
      </c>
      <c r="T1028" s="19" t="s">
        <v>846</v>
      </c>
      <c r="U1028" s="20" t="s">
        <v>436</v>
      </c>
      <c r="V1028" s="21">
        <v>43</v>
      </c>
      <c r="W1028" s="21">
        <v>3</v>
      </c>
      <c r="X1028" s="22"/>
    </row>
    <row r="1029" spans="1:24" s="1" customFormat="1" ht="11.1" customHeight="1" x14ac:dyDescent="0.3">
      <c r="A1029" s="11" t="s">
        <v>784</v>
      </c>
      <c r="B1029" s="11" t="s">
        <v>1085</v>
      </c>
      <c r="C1029" s="12" t="s">
        <v>1086</v>
      </c>
      <c r="D1029" s="83"/>
      <c r="E1029" s="69" t="str">
        <f t="shared" ref="E1029:E1040" si="60">HYPERLINK("https://www.google.ru/search?q=V1GC1912-59&amp;newwindow=1&amp;tbm=isch","Еще фото")</f>
        <v>Еще фото</v>
      </c>
      <c r="F1029" s="13"/>
      <c r="G1029" s="11" t="s">
        <v>394</v>
      </c>
      <c r="H1029" s="11" t="s">
        <v>151</v>
      </c>
      <c r="I1029" s="14" t="s">
        <v>424</v>
      </c>
      <c r="J1029" s="14" t="s">
        <v>406</v>
      </c>
      <c r="K1029" s="15" t="s">
        <v>47</v>
      </c>
      <c r="L1029" s="86"/>
      <c r="M1029" s="14"/>
      <c r="N1029" s="14" t="s">
        <v>1082</v>
      </c>
      <c r="O1029" s="14"/>
      <c r="P1029" s="15" t="s">
        <v>853</v>
      </c>
      <c r="Q1029" s="16">
        <v>14099</v>
      </c>
      <c r="R1029" s="17">
        <v>40</v>
      </c>
      <c r="S1029" s="18">
        <v>9728.31</v>
      </c>
      <c r="T1029" s="19" t="s">
        <v>846</v>
      </c>
      <c r="U1029" s="20" t="s">
        <v>821</v>
      </c>
      <c r="V1029" s="21">
        <v>36</v>
      </c>
      <c r="W1029" s="21">
        <v>1</v>
      </c>
      <c r="X1029" s="22"/>
    </row>
    <row r="1030" spans="1:24" s="1" customFormat="1" ht="11.1" customHeight="1" x14ac:dyDescent="0.3">
      <c r="A1030" s="23" t="s">
        <v>784</v>
      </c>
      <c r="B1030" s="23" t="s">
        <v>1085</v>
      </c>
      <c r="C1030" s="12" t="s">
        <v>1086</v>
      </c>
      <c r="D1030" s="84"/>
      <c r="E1030" s="69" t="str">
        <f t="shared" si="60"/>
        <v>Еще фото</v>
      </c>
      <c r="F1030" s="13"/>
      <c r="G1030" s="23" t="s">
        <v>394</v>
      </c>
      <c r="H1030" s="23" t="s">
        <v>151</v>
      </c>
      <c r="I1030" s="23" t="s">
        <v>424</v>
      </c>
      <c r="J1030" s="14" t="s">
        <v>406</v>
      </c>
      <c r="K1030" s="15" t="s">
        <v>47</v>
      </c>
      <c r="L1030" s="87"/>
      <c r="M1030" s="14"/>
      <c r="N1030" s="14" t="s">
        <v>1082</v>
      </c>
      <c r="O1030" s="14"/>
      <c r="P1030" s="15" t="s">
        <v>853</v>
      </c>
      <c r="Q1030" s="16">
        <v>14099</v>
      </c>
      <c r="R1030" s="17">
        <v>40</v>
      </c>
      <c r="S1030" s="18">
        <v>9728.31</v>
      </c>
      <c r="T1030" s="19" t="s">
        <v>846</v>
      </c>
      <c r="U1030" s="20" t="s">
        <v>847</v>
      </c>
      <c r="V1030" s="30">
        <v>36.5</v>
      </c>
      <c r="W1030" s="21">
        <v>4</v>
      </c>
      <c r="X1030" s="22"/>
    </row>
    <row r="1031" spans="1:24" s="1" customFormat="1" ht="11.1" customHeight="1" x14ac:dyDescent="0.3">
      <c r="A1031" s="23" t="s">
        <v>784</v>
      </c>
      <c r="B1031" s="23" t="s">
        <v>1085</v>
      </c>
      <c r="C1031" s="12" t="s">
        <v>1086</v>
      </c>
      <c r="D1031" s="84"/>
      <c r="E1031" s="69" t="str">
        <f t="shared" si="60"/>
        <v>Еще фото</v>
      </c>
      <c r="F1031" s="13"/>
      <c r="G1031" s="23" t="s">
        <v>394</v>
      </c>
      <c r="H1031" s="23" t="s">
        <v>151</v>
      </c>
      <c r="I1031" s="23" t="s">
        <v>424</v>
      </c>
      <c r="J1031" s="14" t="s">
        <v>406</v>
      </c>
      <c r="K1031" s="15" t="s">
        <v>47</v>
      </c>
      <c r="L1031" s="87"/>
      <c r="M1031" s="14"/>
      <c r="N1031" s="14" t="s">
        <v>1082</v>
      </c>
      <c r="O1031" s="14"/>
      <c r="P1031" s="15" t="s">
        <v>853</v>
      </c>
      <c r="Q1031" s="16">
        <v>14099</v>
      </c>
      <c r="R1031" s="17">
        <v>40</v>
      </c>
      <c r="S1031" s="18">
        <v>9728.31</v>
      </c>
      <c r="T1031" s="19" t="s">
        <v>846</v>
      </c>
      <c r="U1031" s="20" t="s">
        <v>818</v>
      </c>
      <c r="V1031" s="21">
        <v>37</v>
      </c>
      <c r="W1031" s="21">
        <v>2</v>
      </c>
      <c r="X1031" s="22"/>
    </row>
    <row r="1032" spans="1:24" s="1" customFormat="1" ht="11.1" customHeight="1" x14ac:dyDescent="0.3">
      <c r="A1032" s="23" t="s">
        <v>784</v>
      </c>
      <c r="B1032" s="23" t="s">
        <v>1085</v>
      </c>
      <c r="C1032" s="12" t="s">
        <v>1086</v>
      </c>
      <c r="D1032" s="84"/>
      <c r="E1032" s="69" t="str">
        <f t="shared" si="60"/>
        <v>Еще фото</v>
      </c>
      <c r="F1032" s="13"/>
      <c r="G1032" s="23" t="s">
        <v>394</v>
      </c>
      <c r="H1032" s="23" t="s">
        <v>151</v>
      </c>
      <c r="I1032" s="23" t="s">
        <v>424</v>
      </c>
      <c r="J1032" s="14" t="s">
        <v>406</v>
      </c>
      <c r="K1032" s="15" t="s">
        <v>47</v>
      </c>
      <c r="L1032" s="87"/>
      <c r="M1032" s="14"/>
      <c r="N1032" s="14" t="s">
        <v>1082</v>
      </c>
      <c r="O1032" s="14"/>
      <c r="P1032" s="15" t="s">
        <v>853</v>
      </c>
      <c r="Q1032" s="16">
        <v>14099</v>
      </c>
      <c r="R1032" s="17">
        <v>40</v>
      </c>
      <c r="S1032" s="18">
        <v>9728.31</v>
      </c>
      <c r="T1032" s="19" t="s">
        <v>846</v>
      </c>
      <c r="U1032" s="20" t="s">
        <v>848</v>
      </c>
      <c r="V1032" s="30">
        <v>37.5</v>
      </c>
      <c r="W1032" s="21">
        <v>6</v>
      </c>
      <c r="X1032" s="22"/>
    </row>
    <row r="1033" spans="1:24" s="1" customFormat="1" ht="11.1" customHeight="1" x14ac:dyDescent="0.3">
      <c r="A1033" s="23" t="s">
        <v>784</v>
      </c>
      <c r="B1033" s="23" t="s">
        <v>1085</v>
      </c>
      <c r="C1033" s="12" t="s">
        <v>1086</v>
      </c>
      <c r="D1033" s="84"/>
      <c r="E1033" s="69" t="str">
        <f t="shared" si="60"/>
        <v>Еще фото</v>
      </c>
      <c r="F1033" s="13"/>
      <c r="G1033" s="23" t="s">
        <v>394</v>
      </c>
      <c r="H1033" s="23" t="s">
        <v>151</v>
      </c>
      <c r="I1033" s="23" t="s">
        <v>424</v>
      </c>
      <c r="J1033" s="14" t="s">
        <v>406</v>
      </c>
      <c r="K1033" s="15" t="s">
        <v>47</v>
      </c>
      <c r="L1033" s="87"/>
      <c r="M1033" s="14"/>
      <c r="N1033" s="14" t="s">
        <v>1082</v>
      </c>
      <c r="O1033" s="14"/>
      <c r="P1033" s="15" t="s">
        <v>853</v>
      </c>
      <c r="Q1033" s="16">
        <v>14099</v>
      </c>
      <c r="R1033" s="17">
        <v>40</v>
      </c>
      <c r="S1033" s="18">
        <v>9728.31</v>
      </c>
      <c r="T1033" s="19" t="s">
        <v>846</v>
      </c>
      <c r="U1033" s="20" t="s">
        <v>849</v>
      </c>
      <c r="V1033" s="21">
        <v>38</v>
      </c>
      <c r="W1033" s="21">
        <v>8</v>
      </c>
      <c r="X1033" s="22"/>
    </row>
    <row r="1034" spans="1:24" s="1" customFormat="1" ht="11.1" customHeight="1" x14ac:dyDescent="0.3">
      <c r="A1034" s="23" t="s">
        <v>784</v>
      </c>
      <c r="B1034" s="23" t="s">
        <v>1085</v>
      </c>
      <c r="C1034" s="12" t="s">
        <v>1086</v>
      </c>
      <c r="D1034" s="84"/>
      <c r="E1034" s="69" t="str">
        <f t="shared" si="60"/>
        <v>Еще фото</v>
      </c>
      <c r="F1034" s="13"/>
      <c r="G1034" s="23" t="s">
        <v>394</v>
      </c>
      <c r="H1034" s="23" t="s">
        <v>151</v>
      </c>
      <c r="I1034" s="23" t="s">
        <v>424</v>
      </c>
      <c r="J1034" s="14" t="s">
        <v>406</v>
      </c>
      <c r="K1034" s="15" t="s">
        <v>47</v>
      </c>
      <c r="L1034" s="87"/>
      <c r="M1034" s="14"/>
      <c r="N1034" s="14" t="s">
        <v>1082</v>
      </c>
      <c r="O1034" s="14"/>
      <c r="P1034" s="15" t="s">
        <v>853</v>
      </c>
      <c r="Q1034" s="16">
        <v>14099</v>
      </c>
      <c r="R1034" s="17">
        <v>40</v>
      </c>
      <c r="S1034" s="18">
        <v>9728.31</v>
      </c>
      <c r="T1034" s="19" t="s">
        <v>846</v>
      </c>
      <c r="U1034" s="20" t="s">
        <v>500</v>
      </c>
      <c r="V1034" s="21">
        <v>39</v>
      </c>
      <c r="W1034" s="21">
        <v>10</v>
      </c>
      <c r="X1034" s="22"/>
    </row>
    <row r="1035" spans="1:24" s="1" customFormat="1" ht="11.1" customHeight="1" x14ac:dyDescent="0.3">
      <c r="A1035" s="23" t="s">
        <v>784</v>
      </c>
      <c r="B1035" s="23" t="s">
        <v>1085</v>
      </c>
      <c r="C1035" s="12" t="s">
        <v>1086</v>
      </c>
      <c r="D1035" s="84"/>
      <c r="E1035" s="69" t="str">
        <f t="shared" si="60"/>
        <v>Еще фото</v>
      </c>
      <c r="F1035" s="13"/>
      <c r="G1035" s="23" t="s">
        <v>394</v>
      </c>
      <c r="H1035" s="23" t="s">
        <v>151</v>
      </c>
      <c r="I1035" s="23" t="s">
        <v>424</v>
      </c>
      <c r="J1035" s="14" t="s">
        <v>406</v>
      </c>
      <c r="K1035" s="15" t="s">
        <v>47</v>
      </c>
      <c r="L1035" s="87"/>
      <c r="M1035" s="14"/>
      <c r="N1035" s="14" t="s">
        <v>1082</v>
      </c>
      <c r="O1035" s="14"/>
      <c r="P1035" s="15" t="s">
        <v>853</v>
      </c>
      <c r="Q1035" s="16">
        <v>14099</v>
      </c>
      <c r="R1035" s="17">
        <v>40</v>
      </c>
      <c r="S1035" s="18">
        <v>9728.31</v>
      </c>
      <c r="T1035" s="19" t="s">
        <v>846</v>
      </c>
      <c r="U1035" s="20" t="s">
        <v>854</v>
      </c>
      <c r="V1035" s="30">
        <v>39.5</v>
      </c>
      <c r="W1035" s="21">
        <v>10</v>
      </c>
      <c r="X1035" s="22"/>
    </row>
    <row r="1036" spans="1:24" s="1" customFormat="1" ht="11.1" customHeight="1" x14ac:dyDescent="0.3">
      <c r="A1036" s="23" t="s">
        <v>784</v>
      </c>
      <c r="B1036" s="23" t="s">
        <v>1085</v>
      </c>
      <c r="C1036" s="12" t="s">
        <v>1086</v>
      </c>
      <c r="D1036" s="84"/>
      <c r="E1036" s="69" t="str">
        <f t="shared" si="60"/>
        <v>Еще фото</v>
      </c>
      <c r="F1036" s="13"/>
      <c r="G1036" s="23" t="s">
        <v>394</v>
      </c>
      <c r="H1036" s="23" t="s">
        <v>151</v>
      </c>
      <c r="I1036" s="23" t="s">
        <v>424</v>
      </c>
      <c r="J1036" s="14" t="s">
        <v>406</v>
      </c>
      <c r="K1036" s="15" t="s">
        <v>47</v>
      </c>
      <c r="L1036" s="87"/>
      <c r="M1036" s="14"/>
      <c r="N1036" s="14" t="s">
        <v>1082</v>
      </c>
      <c r="O1036" s="14"/>
      <c r="P1036" s="15" t="s">
        <v>853</v>
      </c>
      <c r="Q1036" s="16">
        <v>14099</v>
      </c>
      <c r="R1036" s="17">
        <v>40</v>
      </c>
      <c r="S1036" s="18">
        <v>9728.31</v>
      </c>
      <c r="T1036" s="19" t="s">
        <v>846</v>
      </c>
      <c r="U1036" s="20" t="s">
        <v>156</v>
      </c>
      <c r="V1036" s="21">
        <v>40</v>
      </c>
      <c r="W1036" s="21">
        <v>10</v>
      </c>
      <c r="X1036" s="22"/>
    </row>
    <row r="1037" spans="1:24" s="1" customFormat="1" ht="11.1" customHeight="1" x14ac:dyDescent="0.3">
      <c r="A1037" s="23" t="s">
        <v>784</v>
      </c>
      <c r="B1037" s="23" t="s">
        <v>1085</v>
      </c>
      <c r="C1037" s="12" t="s">
        <v>1086</v>
      </c>
      <c r="D1037" s="84"/>
      <c r="E1037" s="69" t="str">
        <f t="shared" si="60"/>
        <v>Еще фото</v>
      </c>
      <c r="F1037" s="13"/>
      <c r="G1037" s="23" t="s">
        <v>394</v>
      </c>
      <c r="H1037" s="23" t="s">
        <v>151</v>
      </c>
      <c r="I1037" s="23" t="s">
        <v>424</v>
      </c>
      <c r="J1037" s="14" t="s">
        <v>406</v>
      </c>
      <c r="K1037" s="15" t="s">
        <v>47</v>
      </c>
      <c r="L1037" s="87"/>
      <c r="M1037" s="14"/>
      <c r="N1037" s="14" t="s">
        <v>1082</v>
      </c>
      <c r="O1037" s="14"/>
      <c r="P1037" s="15" t="s">
        <v>853</v>
      </c>
      <c r="Q1037" s="16">
        <v>14099</v>
      </c>
      <c r="R1037" s="17">
        <v>40</v>
      </c>
      <c r="S1037" s="18">
        <v>9728.31</v>
      </c>
      <c r="T1037" s="19" t="s">
        <v>846</v>
      </c>
      <c r="U1037" s="20" t="s">
        <v>157</v>
      </c>
      <c r="V1037" s="21">
        <v>41</v>
      </c>
      <c r="W1037" s="21">
        <v>8</v>
      </c>
      <c r="X1037" s="22"/>
    </row>
    <row r="1038" spans="1:24" s="1" customFormat="1" ht="11.1" customHeight="1" x14ac:dyDescent="0.3">
      <c r="A1038" s="14" t="s">
        <v>784</v>
      </c>
      <c r="B1038" s="14" t="s">
        <v>1085</v>
      </c>
      <c r="C1038" s="12" t="s">
        <v>1086</v>
      </c>
      <c r="D1038" s="84"/>
      <c r="E1038" s="69" t="str">
        <f t="shared" si="60"/>
        <v>Еще фото</v>
      </c>
      <c r="F1038" s="36"/>
      <c r="G1038" s="14" t="s">
        <v>394</v>
      </c>
      <c r="H1038" s="14" t="s">
        <v>151</v>
      </c>
      <c r="I1038" s="14" t="s">
        <v>424</v>
      </c>
      <c r="J1038" s="14" t="s">
        <v>406</v>
      </c>
      <c r="K1038" s="14" t="s">
        <v>47</v>
      </c>
      <c r="L1038" s="87"/>
      <c r="M1038" s="14"/>
      <c r="N1038" s="14" t="s">
        <v>1082</v>
      </c>
      <c r="O1038" s="14"/>
      <c r="P1038" s="14" t="s">
        <v>853</v>
      </c>
      <c r="Q1038" s="33">
        <v>14099</v>
      </c>
      <c r="R1038" s="34">
        <v>40</v>
      </c>
      <c r="S1038" s="35">
        <v>9728.31</v>
      </c>
      <c r="T1038" s="19" t="s">
        <v>846</v>
      </c>
      <c r="U1038" s="20" t="s">
        <v>435</v>
      </c>
      <c r="V1038" s="30">
        <v>41.5</v>
      </c>
      <c r="W1038" s="21">
        <v>6</v>
      </c>
      <c r="X1038" s="22"/>
    </row>
    <row r="1039" spans="1:24" s="1" customFormat="1" ht="11.1" customHeight="1" x14ac:dyDescent="0.3">
      <c r="A1039" s="14" t="s">
        <v>784</v>
      </c>
      <c r="B1039" s="14" t="s">
        <v>1085</v>
      </c>
      <c r="C1039" s="12" t="s">
        <v>1086</v>
      </c>
      <c r="D1039" s="84"/>
      <c r="E1039" s="69" t="str">
        <f t="shared" si="60"/>
        <v>Еще фото</v>
      </c>
      <c r="F1039" s="36"/>
      <c r="G1039" s="14" t="s">
        <v>394</v>
      </c>
      <c r="H1039" s="14" t="s">
        <v>151</v>
      </c>
      <c r="I1039" s="14" t="s">
        <v>424</v>
      </c>
      <c r="J1039" s="14" t="s">
        <v>406</v>
      </c>
      <c r="K1039" s="14" t="s">
        <v>47</v>
      </c>
      <c r="L1039" s="87"/>
      <c r="M1039" s="14"/>
      <c r="N1039" s="14" t="s">
        <v>1082</v>
      </c>
      <c r="O1039" s="14"/>
      <c r="P1039" s="14" t="s">
        <v>853</v>
      </c>
      <c r="Q1039" s="33">
        <v>14099</v>
      </c>
      <c r="R1039" s="34">
        <v>40</v>
      </c>
      <c r="S1039" s="35">
        <v>9728.31</v>
      </c>
      <c r="T1039" s="19" t="s">
        <v>846</v>
      </c>
      <c r="U1039" s="20" t="s">
        <v>163</v>
      </c>
      <c r="V1039" s="30">
        <v>43.5</v>
      </c>
      <c r="W1039" s="21">
        <v>2</v>
      </c>
      <c r="X1039" s="22"/>
    </row>
    <row r="1040" spans="1:24" s="1" customFormat="1" ht="11.1" customHeight="1" x14ac:dyDescent="0.3">
      <c r="A1040" s="14" t="s">
        <v>784</v>
      </c>
      <c r="B1040" s="14" t="s">
        <v>1085</v>
      </c>
      <c r="C1040" s="12" t="s">
        <v>1086</v>
      </c>
      <c r="D1040" s="85"/>
      <c r="E1040" s="69" t="str">
        <f t="shared" si="60"/>
        <v>Еще фото</v>
      </c>
      <c r="F1040" s="36"/>
      <c r="G1040" s="14" t="s">
        <v>394</v>
      </c>
      <c r="H1040" s="14" t="s">
        <v>151</v>
      </c>
      <c r="I1040" s="14" t="s">
        <v>424</v>
      </c>
      <c r="J1040" s="14" t="s">
        <v>406</v>
      </c>
      <c r="K1040" s="14" t="s">
        <v>47</v>
      </c>
      <c r="L1040" s="88"/>
      <c r="M1040" s="14"/>
      <c r="N1040" s="14" t="s">
        <v>1082</v>
      </c>
      <c r="O1040" s="14"/>
      <c r="P1040" s="14" t="s">
        <v>853</v>
      </c>
      <c r="Q1040" s="33">
        <v>14099</v>
      </c>
      <c r="R1040" s="34">
        <v>40</v>
      </c>
      <c r="S1040" s="35">
        <v>9728.31</v>
      </c>
      <c r="T1040" s="19" t="s">
        <v>846</v>
      </c>
      <c r="U1040" s="20" t="s">
        <v>436</v>
      </c>
      <c r="V1040" s="21">
        <v>43</v>
      </c>
      <c r="W1040" s="21">
        <v>1</v>
      </c>
      <c r="X1040" s="22"/>
    </row>
    <row r="1041" spans="1:24" s="1" customFormat="1" ht="14.1" customHeight="1" x14ac:dyDescent="0.3">
      <c r="A1041" s="11" t="s">
        <v>784</v>
      </c>
      <c r="B1041" s="11" t="s">
        <v>1087</v>
      </c>
      <c r="C1041" s="12" t="s">
        <v>1088</v>
      </c>
      <c r="D1041" s="83"/>
      <c r="E1041" s="69" t="str">
        <f t="shared" ref="E1041:E1047" si="61">HYPERLINK("https://www.google.ru/search?q=X1GA2000-01&amp;newwindow=1&amp;tbm=isch","Еще фото")</f>
        <v>Еще фото</v>
      </c>
      <c r="F1041" s="13"/>
      <c r="G1041" s="11" t="s">
        <v>394</v>
      </c>
      <c r="H1041" s="11" t="s">
        <v>151</v>
      </c>
      <c r="I1041" s="14" t="s">
        <v>424</v>
      </c>
      <c r="J1041" s="14" t="s">
        <v>406</v>
      </c>
      <c r="K1041" s="15" t="s">
        <v>114</v>
      </c>
      <c r="L1041" s="86"/>
      <c r="M1041" s="14"/>
      <c r="N1041" s="14" t="s">
        <v>116</v>
      </c>
      <c r="O1041" s="14"/>
      <c r="P1041" s="15" t="s">
        <v>853</v>
      </c>
      <c r="Q1041" s="16">
        <v>16299</v>
      </c>
      <c r="R1041" s="17">
        <v>40</v>
      </c>
      <c r="S1041" s="18">
        <v>11246.31</v>
      </c>
      <c r="T1041" s="19" t="s">
        <v>846</v>
      </c>
      <c r="U1041" s="20" t="s">
        <v>162</v>
      </c>
      <c r="V1041" s="21">
        <v>42</v>
      </c>
      <c r="W1041" s="21">
        <v>5</v>
      </c>
      <c r="X1041" s="22"/>
    </row>
    <row r="1042" spans="1:24" s="1" customFormat="1" ht="14.1" customHeight="1" x14ac:dyDescent="0.3">
      <c r="A1042" s="23" t="s">
        <v>784</v>
      </c>
      <c r="B1042" s="23" t="s">
        <v>1087</v>
      </c>
      <c r="C1042" s="12" t="s">
        <v>1088</v>
      </c>
      <c r="D1042" s="84"/>
      <c r="E1042" s="69" t="str">
        <f t="shared" si="61"/>
        <v>Еще фото</v>
      </c>
      <c r="F1042" s="13"/>
      <c r="G1042" s="23" t="s">
        <v>394</v>
      </c>
      <c r="H1042" s="23" t="s">
        <v>151</v>
      </c>
      <c r="I1042" s="23" t="s">
        <v>424</v>
      </c>
      <c r="J1042" s="14" t="s">
        <v>406</v>
      </c>
      <c r="K1042" s="15" t="s">
        <v>114</v>
      </c>
      <c r="L1042" s="87"/>
      <c r="M1042" s="14"/>
      <c r="N1042" s="14" t="s">
        <v>116</v>
      </c>
      <c r="O1042" s="14"/>
      <c r="P1042" s="15" t="s">
        <v>853</v>
      </c>
      <c r="Q1042" s="16">
        <v>16299</v>
      </c>
      <c r="R1042" s="17">
        <v>40</v>
      </c>
      <c r="S1042" s="18">
        <v>11246.31</v>
      </c>
      <c r="T1042" s="19" t="s">
        <v>846</v>
      </c>
      <c r="U1042" s="20" t="s">
        <v>436</v>
      </c>
      <c r="V1042" s="21">
        <v>43</v>
      </c>
      <c r="W1042" s="21">
        <v>4</v>
      </c>
      <c r="X1042" s="22"/>
    </row>
    <row r="1043" spans="1:24" s="1" customFormat="1" ht="14.1" customHeight="1" x14ac:dyDescent="0.3">
      <c r="A1043" s="23" t="s">
        <v>784</v>
      </c>
      <c r="B1043" s="23" t="s">
        <v>1087</v>
      </c>
      <c r="C1043" s="12" t="s">
        <v>1088</v>
      </c>
      <c r="D1043" s="84"/>
      <c r="E1043" s="69" t="str">
        <f t="shared" si="61"/>
        <v>Еще фото</v>
      </c>
      <c r="F1043" s="13"/>
      <c r="G1043" s="23" t="s">
        <v>394</v>
      </c>
      <c r="H1043" s="23" t="s">
        <v>151</v>
      </c>
      <c r="I1043" s="23" t="s">
        <v>424</v>
      </c>
      <c r="J1043" s="14" t="s">
        <v>406</v>
      </c>
      <c r="K1043" s="15" t="s">
        <v>114</v>
      </c>
      <c r="L1043" s="87"/>
      <c r="M1043" s="14"/>
      <c r="N1043" s="14" t="s">
        <v>116</v>
      </c>
      <c r="O1043" s="14"/>
      <c r="P1043" s="15" t="s">
        <v>853</v>
      </c>
      <c r="Q1043" s="16">
        <v>16299</v>
      </c>
      <c r="R1043" s="17">
        <v>40</v>
      </c>
      <c r="S1043" s="18">
        <v>11246.31</v>
      </c>
      <c r="T1043" s="19" t="s">
        <v>846</v>
      </c>
      <c r="U1043" s="20" t="s">
        <v>163</v>
      </c>
      <c r="V1043" s="30">
        <v>43.5</v>
      </c>
      <c r="W1043" s="21">
        <v>6</v>
      </c>
      <c r="X1043" s="22"/>
    </row>
    <row r="1044" spans="1:24" s="1" customFormat="1" ht="14.1" customHeight="1" x14ac:dyDescent="0.3">
      <c r="A1044" s="23" t="s">
        <v>784</v>
      </c>
      <c r="B1044" s="23" t="s">
        <v>1087</v>
      </c>
      <c r="C1044" s="12" t="s">
        <v>1088</v>
      </c>
      <c r="D1044" s="84"/>
      <c r="E1044" s="69" t="str">
        <f t="shared" si="61"/>
        <v>Еще фото</v>
      </c>
      <c r="F1044" s="13"/>
      <c r="G1044" s="23" t="s">
        <v>394</v>
      </c>
      <c r="H1044" s="23" t="s">
        <v>151</v>
      </c>
      <c r="I1044" s="23" t="s">
        <v>424</v>
      </c>
      <c r="J1044" s="14" t="s">
        <v>406</v>
      </c>
      <c r="K1044" s="15" t="s">
        <v>114</v>
      </c>
      <c r="L1044" s="87"/>
      <c r="M1044" s="14"/>
      <c r="N1044" s="14" t="s">
        <v>116</v>
      </c>
      <c r="O1044" s="14"/>
      <c r="P1044" s="15" t="s">
        <v>853</v>
      </c>
      <c r="Q1044" s="16">
        <v>16299</v>
      </c>
      <c r="R1044" s="17">
        <v>40</v>
      </c>
      <c r="S1044" s="18">
        <v>11246.31</v>
      </c>
      <c r="T1044" s="19" t="s">
        <v>846</v>
      </c>
      <c r="U1044" s="20" t="s">
        <v>907</v>
      </c>
      <c r="V1044" s="21">
        <v>44</v>
      </c>
      <c r="W1044" s="21">
        <v>3</v>
      </c>
      <c r="X1044" s="22"/>
    </row>
    <row r="1045" spans="1:24" s="1" customFormat="1" ht="14.1" customHeight="1" x14ac:dyDescent="0.3">
      <c r="A1045" s="23" t="s">
        <v>784</v>
      </c>
      <c r="B1045" s="23" t="s">
        <v>1087</v>
      </c>
      <c r="C1045" s="12" t="s">
        <v>1088</v>
      </c>
      <c r="D1045" s="84"/>
      <c r="E1045" s="69" t="str">
        <f t="shared" si="61"/>
        <v>Еще фото</v>
      </c>
      <c r="F1045" s="13"/>
      <c r="G1045" s="23" t="s">
        <v>394</v>
      </c>
      <c r="H1045" s="23" t="s">
        <v>151</v>
      </c>
      <c r="I1045" s="23" t="s">
        <v>424</v>
      </c>
      <c r="J1045" s="14" t="s">
        <v>406</v>
      </c>
      <c r="K1045" s="15" t="s">
        <v>114</v>
      </c>
      <c r="L1045" s="87"/>
      <c r="M1045" s="14"/>
      <c r="N1045" s="14" t="s">
        <v>116</v>
      </c>
      <c r="O1045" s="14"/>
      <c r="P1045" s="15" t="s">
        <v>853</v>
      </c>
      <c r="Q1045" s="16">
        <v>16299</v>
      </c>
      <c r="R1045" s="17">
        <v>40</v>
      </c>
      <c r="S1045" s="18">
        <v>11246.31</v>
      </c>
      <c r="T1045" s="19" t="s">
        <v>846</v>
      </c>
      <c r="U1045" s="20" t="s">
        <v>164</v>
      </c>
      <c r="V1045" s="21">
        <v>45</v>
      </c>
      <c r="W1045" s="21">
        <v>3</v>
      </c>
      <c r="X1045" s="22"/>
    </row>
    <row r="1046" spans="1:24" s="1" customFormat="1" ht="14.1" customHeight="1" x14ac:dyDescent="0.3">
      <c r="A1046" s="23" t="s">
        <v>784</v>
      </c>
      <c r="B1046" s="23" t="s">
        <v>1087</v>
      </c>
      <c r="C1046" s="12" t="s">
        <v>1088</v>
      </c>
      <c r="D1046" s="84"/>
      <c r="E1046" s="69" t="str">
        <f t="shared" si="61"/>
        <v>Еще фото</v>
      </c>
      <c r="F1046" s="13"/>
      <c r="G1046" s="23" t="s">
        <v>394</v>
      </c>
      <c r="H1046" s="23" t="s">
        <v>151</v>
      </c>
      <c r="I1046" s="23" t="s">
        <v>424</v>
      </c>
      <c r="J1046" s="14" t="s">
        <v>406</v>
      </c>
      <c r="K1046" s="15" t="s">
        <v>114</v>
      </c>
      <c r="L1046" s="87"/>
      <c r="M1046" s="14"/>
      <c r="N1046" s="14" t="s">
        <v>116</v>
      </c>
      <c r="O1046" s="14"/>
      <c r="P1046" s="15" t="s">
        <v>853</v>
      </c>
      <c r="Q1046" s="16">
        <v>16299</v>
      </c>
      <c r="R1046" s="17">
        <v>40</v>
      </c>
      <c r="S1046" s="18">
        <v>11246.31</v>
      </c>
      <c r="T1046" s="19" t="s">
        <v>846</v>
      </c>
      <c r="U1046" s="20" t="s">
        <v>941</v>
      </c>
      <c r="V1046" s="30">
        <v>45.5</v>
      </c>
      <c r="W1046" s="21">
        <v>2</v>
      </c>
      <c r="X1046" s="22"/>
    </row>
    <row r="1047" spans="1:24" s="1" customFormat="1" ht="17.100000000000001" customHeight="1" x14ac:dyDescent="0.3">
      <c r="A1047" s="23" t="s">
        <v>784</v>
      </c>
      <c r="B1047" s="23" t="s">
        <v>1087</v>
      </c>
      <c r="C1047" s="12" t="s">
        <v>1088</v>
      </c>
      <c r="D1047" s="85"/>
      <c r="E1047" s="69" t="str">
        <f t="shared" si="61"/>
        <v>Еще фото</v>
      </c>
      <c r="F1047" s="13"/>
      <c r="G1047" s="23" t="s">
        <v>394</v>
      </c>
      <c r="H1047" s="23" t="s">
        <v>151</v>
      </c>
      <c r="I1047" s="23" t="s">
        <v>424</v>
      </c>
      <c r="J1047" s="14" t="s">
        <v>406</v>
      </c>
      <c r="K1047" s="15" t="s">
        <v>114</v>
      </c>
      <c r="L1047" s="88"/>
      <c r="M1047" s="14"/>
      <c r="N1047" s="14" t="s">
        <v>116</v>
      </c>
      <c r="O1047" s="14"/>
      <c r="P1047" s="15" t="s">
        <v>853</v>
      </c>
      <c r="Q1047" s="16">
        <v>16299</v>
      </c>
      <c r="R1047" s="17">
        <v>40</v>
      </c>
      <c r="S1047" s="18">
        <v>11246.31</v>
      </c>
      <c r="T1047" s="19" t="s">
        <v>846</v>
      </c>
      <c r="U1047" s="20" t="s">
        <v>462</v>
      </c>
      <c r="V1047" s="21">
        <v>46</v>
      </c>
      <c r="W1047" s="21">
        <v>2</v>
      </c>
      <c r="X1047" s="22"/>
    </row>
    <row r="1048" spans="1:24" s="1" customFormat="1" ht="12.95" customHeight="1" x14ac:dyDescent="0.3">
      <c r="A1048" s="11" t="s">
        <v>784</v>
      </c>
      <c r="B1048" s="11" t="s">
        <v>1089</v>
      </c>
      <c r="C1048" s="12" t="s">
        <v>1090</v>
      </c>
      <c r="D1048" s="83"/>
      <c r="E1048" s="69" t="str">
        <f t="shared" ref="E1048:E1055" si="62">HYPERLINK("https://www.google.ru/search?q=X1GA2000-41&amp;newwindow=1&amp;tbm=isch","Еще фото")</f>
        <v>Еще фото</v>
      </c>
      <c r="F1048" s="13"/>
      <c r="G1048" s="11" t="s">
        <v>394</v>
      </c>
      <c r="H1048" s="11" t="s">
        <v>151</v>
      </c>
      <c r="I1048" s="14" t="s">
        <v>424</v>
      </c>
      <c r="J1048" s="14" t="s">
        <v>406</v>
      </c>
      <c r="K1048" s="15" t="s">
        <v>114</v>
      </c>
      <c r="L1048" s="86"/>
      <c r="M1048" s="14"/>
      <c r="N1048" s="14" t="s">
        <v>1091</v>
      </c>
      <c r="O1048" s="14"/>
      <c r="P1048" s="15" t="s">
        <v>853</v>
      </c>
      <c r="Q1048" s="16">
        <v>16299</v>
      </c>
      <c r="R1048" s="17">
        <v>40</v>
      </c>
      <c r="S1048" s="18">
        <v>11246.31</v>
      </c>
      <c r="T1048" s="19" t="s">
        <v>846</v>
      </c>
      <c r="U1048" s="26" t="s">
        <v>162</v>
      </c>
      <c r="V1048" s="21">
        <v>42</v>
      </c>
      <c r="W1048" s="21">
        <v>5</v>
      </c>
      <c r="X1048" s="22"/>
    </row>
    <row r="1049" spans="1:24" s="1" customFormat="1" ht="12.95" customHeight="1" x14ac:dyDescent="0.3">
      <c r="A1049" s="23" t="s">
        <v>784</v>
      </c>
      <c r="B1049" s="23" t="s">
        <v>1089</v>
      </c>
      <c r="C1049" s="12" t="s">
        <v>1090</v>
      </c>
      <c r="D1049" s="84"/>
      <c r="E1049" s="69" t="str">
        <f t="shared" si="62"/>
        <v>Еще фото</v>
      </c>
      <c r="F1049" s="13"/>
      <c r="G1049" s="23" t="s">
        <v>394</v>
      </c>
      <c r="H1049" s="23" t="s">
        <v>151</v>
      </c>
      <c r="I1049" s="23" t="s">
        <v>424</v>
      </c>
      <c r="J1049" s="14" t="s">
        <v>406</v>
      </c>
      <c r="K1049" s="15" t="s">
        <v>114</v>
      </c>
      <c r="L1049" s="87"/>
      <c r="M1049" s="14"/>
      <c r="N1049" s="14" t="s">
        <v>1091</v>
      </c>
      <c r="O1049" s="14"/>
      <c r="P1049" s="15" t="s">
        <v>853</v>
      </c>
      <c r="Q1049" s="16">
        <v>16299</v>
      </c>
      <c r="R1049" s="17">
        <v>40</v>
      </c>
      <c r="S1049" s="18">
        <v>11246.31</v>
      </c>
      <c r="T1049" s="19" t="s">
        <v>846</v>
      </c>
      <c r="U1049" s="20" t="s">
        <v>436</v>
      </c>
      <c r="V1049" s="21">
        <v>43</v>
      </c>
      <c r="W1049" s="21">
        <v>8</v>
      </c>
      <c r="X1049" s="22"/>
    </row>
    <row r="1050" spans="1:24" s="1" customFormat="1" ht="12.95" customHeight="1" x14ac:dyDescent="0.3">
      <c r="A1050" s="23" t="s">
        <v>784</v>
      </c>
      <c r="B1050" s="23" t="s">
        <v>1089</v>
      </c>
      <c r="C1050" s="12" t="s">
        <v>1090</v>
      </c>
      <c r="D1050" s="84"/>
      <c r="E1050" s="69" t="str">
        <f t="shared" si="62"/>
        <v>Еще фото</v>
      </c>
      <c r="F1050" s="13"/>
      <c r="G1050" s="23" t="s">
        <v>394</v>
      </c>
      <c r="H1050" s="23" t="s">
        <v>151</v>
      </c>
      <c r="I1050" s="23" t="s">
        <v>424</v>
      </c>
      <c r="J1050" s="14" t="s">
        <v>406</v>
      </c>
      <c r="K1050" s="15" t="s">
        <v>114</v>
      </c>
      <c r="L1050" s="87"/>
      <c r="M1050" s="14"/>
      <c r="N1050" s="14" t="s">
        <v>1091</v>
      </c>
      <c r="O1050" s="14"/>
      <c r="P1050" s="15" t="s">
        <v>853</v>
      </c>
      <c r="Q1050" s="16">
        <v>16299</v>
      </c>
      <c r="R1050" s="17">
        <v>40</v>
      </c>
      <c r="S1050" s="18">
        <v>11246.31</v>
      </c>
      <c r="T1050" s="19" t="s">
        <v>846</v>
      </c>
      <c r="U1050" s="20" t="s">
        <v>163</v>
      </c>
      <c r="V1050" s="30">
        <v>43.5</v>
      </c>
      <c r="W1050" s="21">
        <v>8</v>
      </c>
      <c r="X1050" s="22"/>
    </row>
    <row r="1051" spans="1:24" s="1" customFormat="1" ht="12.95" customHeight="1" x14ac:dyDescent="0.3">
      <c r="A1051" s="23" t="s">
        <v>784</v>
      </c>
      <c r="B1051" s="23" t="s">
        <v>1089</v>
      </c>
      <c r="C1051" s="12" t="s">
        <v>1090</v>
      </c>
      <c r="D1051" s="84"/>
      <c r="E1051" s="69" t="str">
        <f t="shared" si="62"/>
        <v>Еще фото</v>
      </c>
      <c r="F1051" s="13"/>
      <c r="G1051" s="23" t="s">
        <v>394</v>
      </c>
      <c r="H1051" s="23" t="s">
        <v>151</v>
      </c>
      <c r="I1051" s="23" t="s">
        <v>424</v>
      </c>
      <c r="J1051" s="14" t="s">
        <v>406</v>
      </c>
      <c r="K1051" s="15" t="s">
        <v>114</v>
      </c>
      <c r="L1051" s="87"/>
      <c r="M1051" s="14"/>
      <c r="N1051" s="14" t="s">
        <v>1091</v>
      </c>
      <c r="O1051" s="14"/>
      <c r="P1051" s="15" t="s">
        <v>853</v>
      </c>
      <c r="Q1051" s="16">
        <v>16299</v>
      </c>
      <c r="R1051" s="17">
        <v>40</v>
      </c>
      <c r="S1051" s="18">
        <v>11246.31</v>
      </c>
      <c r="T1051" s="19" t="s">
        <v>846</v>
      </c>
      <c r="U1051" s="20" t="s">
        <v>907</v>
      </c>
      <c r="V1051" s="21">
        <v>44</v>
      </c>
      <c r="W1051" s="21">
        <v>8</v>
      </c>
      <c r="X1051" s="22"/>
    </row>
    <row r="1052" spans="1:24" s="1" customFormat="1" ht="12.95" customHeight="1" x14ac:dyDescent="0.3">
      <c r="A1052" s="23" t="s">
        <v>784</v>
      </c>
      <c r="B1052" s="23" t="s">
        <v>1089</v>
      </c>
      <c r="C1052" s="12" t="s">
        <v>1090</v>
      </c>
      <c r="D1052" s="84"/>
      <c r="E1052" s="69" t="str">
        <f t="shared" si="62"/>
        <v>Еще фото</v>
      </c>
      <c r="F1052" s="13"/>
      <c r="G1052" s="23" t="s">
        <v>394</v>
      </c>
      <c r="H1052" s="23" t="s">
        <v>151</v>
      </c>
      <c r="I1052" s="23" t="s">
        <v>424</v>
      </c>
      <c r="J1052" s="14" t="s">
        <v>406</v>
      </c>
      <c r="K1052" s="15" t="s">
        <v>114</v>
      </c>
      <c r="L1052" s="87"/>
      <c r="M1052" s="14"/>
      <c r="N1052" s="14" t="s">
        <v>1091</v>
      </c>
      <c r="O1052" s="14"/>
      <c r="P1052" s="15" t="s">
        <v>853</v>
      </c>
      <c r="Q1052" s="16">
        <v>16299</v>
      </c>
      <c r="R1052" s="17">
        <v>40</v>
      </c>
      <c r="S1052" s="18">
        <v>11246.31</v>
      </c>
      <c r="T1052" s="19" t="s">
        <v>846</v>
      </c>
      <c r="U1052" s="20" t="s">
        <v>164</v>
      </c>
      <c r="V1052" s="21">
        <v>45</v>
      </c>
      <c r="W1052" s="21">
        <v>5</v>
      </c>
      <c r="X1052" s="22"/>
    </row>
    <row r="1053" spans="1:24" s="1" customFormat="1" ht="12.95" customHeight="1" x14ac:dyDescent="0.3">
      <c r="A1053" s="23" t="s">
        <v>784</v>
      </c>
      <c r="B1053" s="23" t="s">
        <v>1089</v>
      </c>
      <c r="C1053" s="12" t="s">
        <v>1090</v>
      </c>
      <c r="D1053" s="84"/>
      <c r="E1053" s="69" t="str">
        <f t="shared" si="62"/>
        <v>Еще фото</v>
      </c>
      <c r="F1053" s="13"/>
      <c r="G1053" s="23" t="s">
        <v>394</v>
      </c>
      <c r="H1053" s="23" t="s">
        <v>151</v>
      </c>
      <c r="I1053" s="23" t="s">
        <v>424</v>
      </c>
      <c r="J1053" s="14" t="s">
        <v>406</v>
      </c>
      <c r="K1053" s="15" t="s">
        <v>114</v>
      </c>
      <c r="L1053" s="87"/>
      <c r="M1053" s="14"/>
      <c r="N1053" s="14" t="s">
        <v>1091</v>
      </c>
      <c r="O1053" s="14"/>
      <c r="P1053" s="15" t="s">
        <v>853</v>
      </c>
      <c r="Q1053" s="16">
        <v>16299</v>
      </c>
      <c r="R1053" s="17">
        <v>40</v>
      </c>
      <c r="S1053" s="18">
        <v>11246.31</v>
      </c>
      <c r="T1053" s="19" t="s">
        <v>846</v>
      </c>
      <c r="U1053" s="20" t="s">
        <v>941</v>
      </c>
      <c r="V1053" s="30">
        <v>45.5</v>
      </c>
      <c r="W1053" s="21">
        <v>3</v>
      </c>
      <c r="X1053" s="22"/>
    </row>
    <row r="1054" spans="1:24" s="1" customFormat="1" ht="12.95" customHeight="1" x14ac:dyDescent="0.3">
      <c r="A1054" s="23" t="s">
        <v>784</v>
      </c>
      <c r="B1054" s="23" t="s">
        <v>1089</v>
      </c>
      <c r="C1054" s="12" t="s">
        <v>1090</v>
      </c>
      <c r="D1054" s="84"/>
      <c r="E1054" s="69" t="str">
        <f t="shared" si="62"/>
        <v>Еще фото</v>
      </c>
      <c r="F1054" s="13"/>
      <c r="G1054" s="23" t="s">
        <v>394</v>
      </c>
      <c r="H1054" s="23" t="s">
        <v>151</v>
      </c>
      <c r="I1054" s="23" t="s">
        <v>424</v>
      </c>
      <c r="J1054" s="14" t="s">
        <v>406</v>
      </c>
      <c r="K1054" s="15" t="s">
        <v>114</v>
      </c>
      <c r="L1054" s="87"/>
      <c r="M1054" s="14"/>
      <c r="N1054" s="14" t="s">
        <v>1091</v>
      </c>
      <c r="O1054" s="14"/>
      <c r="P1054" s="15" t="s">
        <v>853</v>
      </c>
      <c r="Q1054" s="16">
        <v>16299</v>
      </c>
      <c r="R1054" s="17">
        <v>40</v>
      </c>
      <c r="S1054" s="18">
        <v>11246.31</v>
      </c>
      <c r="T1054" s="19" t="s">
        <v>846</v>
      </c>
      <c r="U1054" s="20" t="s">
        <v>462</v>
      </c>
      <c r="V1054" s="21">
        <v>46</v>
      </c>
      <c r="W1054" s="21">
        <v>1</v>
      </c>
      <c r="X1054" s="22"/>
    </row>
    <row r="1055" spans="1:24" s="1" customFormat="1" ht="18" customHeight="1" x14ac:dyDescent="0.3">
      <c r="A1055" s="23" t="s">
        <v>784</v>
      </c>
      <c r="B1055" s="23" t="s">
        <v>1089</v>
      </c>
      <c r="C1055" s="12" t="s">
        <v>1090</v>
      </c>
      <c r="D1055" s="85"/>
      <c r="E1055" s="69" t="str">
        <f t="shared" si="62"/>
        <v>Еще фото</v>
      </c>
      <c r="F1055" s="13"/>
      <c r="G1055" s="23" t="s">
        <v>394</v>
      </c>
      <c r="H1055" s="23" t="s">
        <v>151</v>
      </c>
      <c r="I1055" s="23" t="s">
        <v>424</v>
      </c>
      <c r="J1055" s="14" t="s">
        <v>406</v>
      </c>
      <c r="K1055" s="15" t="s">
        <v>114</v>
      </c>
      <c r="L1055" s="88"/>
      <c r="M1055" s="14"/>
      <c r="N1055" s="14" t="s">
        <v>1091</v>
      </c>
      <c r="O1055" s="14"/>
      <c r="P1055" s="15" t="s">
        <v>853</v>
      </c>
      <c r="Q1055" s="16">
        <v>16299</v>
      </c>
      <c r="R1055" s="17">
        <v>40</v>
      </c>
      <c r="S1055" s="18">
        <v>11246.31</v>
      </c>
      <c r="T1055" s="19" t="s">
        <v>846</v>
      </c>
      <c r="U1055" s="20" t="s">
        <v>897</v>
      </c>
      <c r="V1055" s="30">
        <v>47.5</v>
      </c>
      <c r="W1055" s="21">
        <v>1</v>
      </c>
      <c r="X1055" s="22"/>
    </row>
    <row r="1056" spans="1:24" s="1" customFormat="1" ht="17.100000000000001" customHeight="1" x14ac:dyDescent="0.3">
      <c r="A1056" s="11" t="s">
        <v>784</v>
      </c>
      <c r="B1056" s="11" t="s">
        <v>1092</v>
      </c>
      <c r="C1056" s="12" t="s">
        <v>1093</v>
      </c>
      <c r="D1056" s="83"/>
      <c r="E1056" s="69" t="str">
        <f t="shared" ref="E1056:E1061" si="63">HYPERLINK("https://www.google.ru/search?q=X1GA2260-44&amp;newwindow=1&amp;tbm=isch","Еще фото")</f>
        <v>Еще фото</v>
      </c>
      <c r="F1056" s="13"/>
      <c r="G1056" s="11" t="s">
        <v>394</v>
      </c>
      <c r="H1056" s="11" t="s">
        <v>151</v>
      </c>
      <c r="I1056" s="14" t="s">
        <v>424</v>
      </c>
      <c r="J1056" s="14" t="s">
        <v>406</v>
      </c>
      <c r="K1056" s="15" t="s">
        <v>114</v>
      </c>
      <c r="L1056" s="86"/>
      <c r="M1056" s="14"/>
      <c r="N1056" s="14" t="s">
        <v>1094</v>
      </c>
      <c r="O1056" s="14"/>
      <c r="P1056" s="15" t="s">
        <v>853</v>
      </c>
      <c r="Q1056" s="16">
        <v>11099</v>
      </c>
      <c r="R1056" s="17">
        <v>40</v>
      </c>
      <c r="S1056" s="18">
        <v>7658.3099999999986</v>
      </c>
      <c r="T1056" s="19" t="s">
        <v>846</v>
      </c>
      <c r="U1056" s="20" t="s">
        <v>847</v>
      </c>
      <c r="V1056" s="30">
        <v>36.5</v>
      </c>
      <c r="W1056" s="21">
        <v>1</v>
      </c>
      <c r="X1056" s="22"/>
    </row>
    <row r="1057" spans="1:24" s="1" customFormat="1" ht="17.100000000000001" customHeight="1" x14ac:dyDescent="0.3">
      <c r="A1057" s="23" t="s">
        <v>784</v>
      </c>
      <c r="B1057" s="23" t="s">
        <v>1092</v>
      </c>
      <c r="C1057" s="12" t="s">
        <v>1093</v>
      </c>
      <c r="D1057" s="84"/>
      <c r="E1057" s="69" t="str">
        <f t="shared" si="63"/>
        <v>Еще фото</v>
      </c>
      <c r="F1057" s="13"/>
      <c r="G1057" s="23" t="s">
        <v>394</v>
      </c>
      <c r="H1057" s="23" t="s">
        <v>151</v>
      </c>
      <c r="I1057" s="23" t="s">
        <v>424</v>
      </c>
      <c r="J1057" s="14" t="s">
        <v>406</v>
      </c>
      <c r="K1057" s="15" t="s">
        <v>114</v>
      </c>
      <c r="L1057" s="87"/>
      <c r="M1057" s="14"/>
      <c r="N1057" s="14" t="s">
        <v>1094</v>
      </c>
      <c r="O1057" s="14"/>
      <c r="P1057" s="15" t="s">
        <v>853</v>
      </c>
      <c r="Q1057" s="16">
        <v>11099</v>
      </c>
      <c r="R1057" s="17">
        <v>40</v>
      </c>
      <c r="S1057" s="18">
        <v>7658.3099999999986</v>
      </c>
      <c r="T1057" s="19" t="s">
        <v>846</v>
      </c>
      <c r="U1057" s="20" t="s">
        <v>848</v>
      </c>
      <c r="V1057" s="30">
        <v>37.5</v>
      </c>
      <c r="W1057" s="21">
        <v>2</v>
      </c>
      <c r="X1057" s="22"/>
    </row>
    <row r="1058" spans="1:24" s="1" customFormat="1" ht="17.100000000000001" customHeight="1" x14ac:dyDescent="0.3">
      <c r="A1058" s="23" t="s">
        <v>784</v>
      </c>
      <c r="B1058" s="23" t="s">
        <v>1092</v>
      </c>
      <c r="C1058" s="12" t="s">
        <v>1093</v>
      </c>
      <c r="D1058" s="84"/>
      <c r="E1058" s="69" t="str">
        <f t="shared" si="63"/>
        <v>Еще фото</v>
      </c>
      <c r="F1058" s="13"/>
      <c r="G1058" s="23" t="s">
        <v>394</v>
      </c>
      <c r="H1058" s="23" t="s">
        <v>151</v>
      </c>
      <c r="I1058" s="23" t="s">
        <v>424</v>
      </c>
      <c r="J1058" s="14" t="s">
        <v>406</v>
      </c>
      <c r="K1058" s="15" t="s">
        <v>114</v>
      </c>
      <c r="L1058" s="87"/>
      <c r="M1058" s="14"/>
      <c r="N1058" s="14" t="s">
        <v>1094</v>
      </c>
      <c r="O1058" s="14"/>
      <c r="P1058" s="15" t="s">
        <v>853</v>
      </c>
      <c r="Q1058" s="16">
        <v>11099</v>
      </c>
      <c r="R1058" s="17">
        <v>40</v>
      </c>
      <c r="S1058" s="18">
        <v>7658.3099999999986</v>
      </c>
      <c r="T1058" s="19" t="s">
        <v>846</v>
      </c>
      <c r="U1058" s="20" t="s">
        <v>162</v>
      </c>
      <c r="V1058" s="21">
        <v>42</v>
      </c>
      <c r="W1058" s="21">
        <v>4</v>
      </c>
      <c r="X1058" s="22"/>
    </row>
    <row r="1059" spans="1:24" s="1" customFormat="1" ht="17.100000000000001" customHeight="1" x14ac:dyDescent="0.3">
      <c r="A1059" s="23" t="s">
        <v>784</v>
      </c>
      <c r="B1059" s="23" t="s">
        <v>1092</v>
      </c>
      <c r="C1059" s="12" t="s">
        <v>1093</v>
      </c>
      <c r="D1059" s="84"/>
      <c r="E1059" s="69" t="str">
        <f t="shared" si="63"/>
        <v>Еще фото</v>
      </c>
      <c r="F1059" s="13"/>
      <c r="G1059" s="23" t="s">
        <v>394</v>
      </c>
      <c r="H1059" s="23" t="s">
        <v>151</v>
      </c>
      <c r="I1059" s="23" t="s">
        <v>424</v>
      </c>
      <c r="J1059" s="14" t="s">
        <v>406</v>
      </c>
      <c r="K1059" s="15" t="s">
        <v>114</v>
      </c>
      <c r="L1059" s="87"/>
      <c r="M1059" s="14"/>
      <c r="N1059" s="14" t="s">
        <v>1094</v>
      </c>
      <c r="O1059" s="14"/>
      <c r="P1059" s="15" t="s">
        <v>853</v>
      </c>
      <c r="Q1059" s="16">
        <v>11099</v>
      </c>
      <c r="R1059" s="17">
        <v>40</v>
      </c>
      <c r="S1059" s="18">
        <v>7658.3099999999986</v>
      </c>
      <c r="T1059" s="19" t="s">
        <v>846</v>
      </c>
      <c r="U1059" s="20" t="s">
        <v>436</v>
      </c>
      <c r="V1059" s="21">
        <v>43</v>
      </c>
      <c r="W1059" s="21">
        <v>5</v>
      </c>
      <c r="X1059" s="22"/>
    </row>
    <row r="1060" spans="1:24" s="1" customFormat="1" ht="17.100000000000001" customHeight="1" x14ac:dyDescent="0.3">
      <c r="A1060" s="23" t="s">
        <v>784</v>
      </c>
      <c r="B1060" s="23" t="s">
        <v>1092</v>
      </c>
      <c r="C1060" s="12" t="s">
        <v>1093</v>
      </c>
      <c r="D1060" s="84"/>
      <c r="E1060" s="69" t="str">
        <f t="shared" si="63"/>
        <v>Еще фото</v>
      </c>
      <c r="F1060" s="13"/>
      <c r="G1060" s="23" t="s">
        <v>394</v>
      </c>
      <c r="H1060" s="23" t="s">
        <v>151</v>
      </c>
      <c r="I1060" s="23" t="s">
        <v>424</v>
      </c>
      <c r="J1060" s="14" t="s">
        <v>406</v>
      </c>
      <c r="K1060" s="15" t="s">
        <v>114</v>
      </c>
      <c r="L1060" s="87"/>
      <c r="M1060" s="14"/>
      <c r="N1060" s="14" t="s">
        <v>1094</v>
      </c>
      <c r="O1060" s="14"/>
      <c r="P1060" s="15" t="s">
        <v>853</v>
      </c>
      <c r="Q1060" s="16">
        <v>11099</v>
      </c>
      <c r="R1060" s="17">
        <v>40</v>
      </c>
      <c r="S1060" s="18">
        <v>7658.3099999999986</v>
      </c>
      <c r="T1060" s="19" t="s">
        <v>846</v>
      </c>
      <c r="U1060" s="20" t="s">
        <v>163</v>
      </c>
      <c r="V1060" s="30">
        <v>43.5</v>
      </c>
      <c r="W1060" s="21">
        <v>11</v>
      </c>
      <c r="X1060" s="22"/>
    </row>
    <row r="1061" spans="1:24" s="1" customFormat="1" ht="21.95" customHeight="1" x14ac:dyDescent="0.3">
      <c r="A1061" s="23" t="s">
        <v>784</v>
      </c>
      <c r="B1061" s="23" t="s">
        <v>1092</v>
      </c>
      <c r="C1061" s="12" t="s">
        <v>1093</v>
      </c>
      <c r="D1061" s="85"/>
      <c r="E1061" s="69" t="str">
        <f t="shared" si="63"/>
        <v>Еще фото</v>
      </c>
      <c r="F1061" s="13"/>
      <c r="G1061" s="23" t="s">
        <v>394</v>
      </c>
      <c r="H1061" s="23" t="s">
        <v>151</v>
      </c>
      <c r="I1061" s="23" t="s">
        <v>424</v>
      </c>
      <c r="J1061" s="14" t="s">
        <v>406</v>
      </c>
      <c r="K1061" s="15" t="s">
        <v>114</v>
      </c>
      <c r="L1061" s="88"/>
      <c r="M1061" s="14"/>
      <c r="N1061" s="14" t="s">
        <v>1094</v>
      </c>
      <c r="O1061" s="14"/>
      <c r="P1061" s="15" t="s">
        <v>853</v>
      </c>
      <c r="Q1061" s="16">
        <v>11099</v>
      </c>
      <c r="R1061" s="17">
        <v>40</v>
      </c>
      <c r="S1061" s="18">
        <v>7658.3099999999986</v>
      </c>
      <c r="T1061" s="19" t="s">
        <v>846</v>
      </c>
      <c r="U1061" s="20" t="s">
        <v>907</v>
      </c>
      <c r="V1061" s="21">
        <v>44</v>
      </c>
      <c r="W1061" s="21">
        <v>5</v>
      </c>
      <c r="X1061" s="22"/>
    </row>
    <row r="1062" spans="1:24" s="1" customFormat="1" ht="12.95" customHeight="1" x14ac:dyDescent="0.3">
      <c r="A1062" s="11" t="s">
        <v>784</v>
      </c>
      <c r="B1062" s="11" t="s">
        <v>1095</v>
      </c>
      <c r="C1062" s="12" t="s">
        <v>1096</v>
      </c>
      <c r="D1062" s="83"/>
      <c r="E1062" s="69" t="str">
        <f t="shared" ref="E1062:E1069" si="64">HYPERLINK("https://www.google.ru/search?q=X1GB1950-01&amp;newwindow=1&amp;tbm=isch","Еще фото")</f>
        <v>Еще фото</v>
      </c>
      <c r="F1062" s="13"/>
      <c r="G1062" s="11" t="s">
        <v>394</v>
      </c>
      <c r="H1062" s="11" t="s">
        <v>151</v>
      </c>
      <c r="I1062" s="14" t="s">
        <v>424</v>
      </c>
      <c r="J1062" s="14" t="s">
        <v>406</v>
      </c>
      <c r="K1062" s="15" t="s">
        <v>55</v>
      </c>
      <c r="L1062" s="86"/>
      <c r="M1062" s="14"/>
      <c r="N1062" s="14" t="s">
        <v>1097</v>
      </c>
      <c r="O1062" s="14"/>
      <c r="P1062" s="15" t="s">
        <v>853</v>
      </c>
      <c r="Q1062" s="16">
        <v>12499</v>
      </c>
      <c r="R1062" s="17">
        <v>40</v>
      </c>
      <c r="S1062" s="18">
        <v>8624.31</v>
      </c>
      <c r="T1062" s="19" t="s">
        <v>846</v>
      </c>
      <c r="U1062" s="26" t="s">
        <v>847</v>
      </c>
      <c r="V1062" s="30">
        <v>36.5</v>
      </c>
      <c r="W1062" s="21">
        <v>2</v>
      </c>
      <c r="X1062" s="22"/>
    </row>
    <row r="1063" spans="1:24" s="1" customFormat="1" ht="12.95" customHeight="1" x14ac:dyDescent="0.3">
      <c r="A1063" s="23" t="s">
        <v>784</v>
      </c>
      <c r="B1063" s="23" t="s">
        <v>1095</v>
      </c>
      <c r="C1063" s="12" t="s">
        <v>1096</v>
      </c>
      <c r="D1063" s="84"/>
      <c r="E1063" s="69" t="str">
        <f t="shared" si="64"/>
        <v>Еще фото</v>
      </c>
      <c r="F1063" s="13"/>
      <c r="G1063" s="23" t="s">
        <v>394</v>
      </c>
      <c r="H1063" s="23" t="s">
        <v>151</v>
      </c>
      <c r="I1063" s="23" t="s">
        <v>424</v>
      </c>
      <c r="J1063" s="14" t="s">
        <v>406</v>
      </c>
      <c r="K1063" s="15" t="s">
        <v>55</v>
      </c>
      <c r="L1063" s="87"/>
      <c r="M1063" s="14"/>
      <c r="N1063" s="14" t="s">
        <v>1097</v>
      </c>
      <c r="O1063" s="14"/>
      <c r="P1063" s="15" t="s">
        <v>853</v>
      </c>
      <c r="Q1063" s="16">
        <v>12499</v>
      </c>
      <c r="R1063" s="17">
        <v>40</v>
      </c>
      <c r="S1063" s="18">
        <v>8624.31</v>
      </c>
      <c r="T1063" s="19" t="s">
        <v>846</v>
      </c>
      <c r="U1063" s="20" t="s">
        <v>818</v>
      </c>
      <c r="V1063" s="21">
        <v>37</v>
      </c>
      <c r="W1063" s="21">
        <v>4</v>
      </c>
      <c r="X1063" s="22"/>
    </row>
    <row r="1064" spans="1:24" s="1" customFormat="1" ht="12.95" customHeight="1" x14ac:dyDescent="0.3">
      <c r="A1064" s="23" t="s">
        <v>784</v>
      </c>
      <c r="B1064" s="23" t="s">
        <v>1095</v>
      </c>
      <c r="C1064" s="12" t="s">
        <v>1096</v>
      </c>
      <c r="D1064" s="84"/>
      <c r="E1064" s="69" t="str">
        <f t="shared" si="64"/>
        <v>Еще фото</v>
      </c>
      <c r="F1064" s="13"/>
      <c r="G1064" s="23" t="s">
        <v>394</v>
      </c>
      <c r="H1064" s="23" t="s">
        <v>151</v>
      </c>
      <c r="I1064" s="23" t="s">
        <v>424</v>
      </c>
      <c r="J1064" s="14" t="s">
        <v>406</v>
      </c>
      <c r="K1064" s="15" t="s">
        <v>55</v>
      </c>
      <c r="L1064" s="87"/>
      <c r="M1064" s="14"/>
      <c r="N1064" s="14" t="s">
        <v>1097</v>
      </c>
      <c r="O1064" s="14"/>
      <c r="P1064" s="15" t="s">
        <v>853</v>
      </c>
      <c r="Q1064" s="16">
        <v>12499</v>
      </c>
      <c r="R1064" s="17">
        <v>40</v>
      </c>
      <c r="S1064" s="18">
        <v>8624.31</v>
      </c>
      <c r="T1064" s="19" t="s">
        <v>846</v>
      </c>
      <c r="U1064" s="20" t="s">
        <v>848</v>
      </c>
      <c r="V1064" s="30">
        <v>37.5</v>
      </c>
      <c r="W1064" s="21">
        <v>6</v>
      </c>
      <c r="X1064" s="22"/>
    </row>
    <row r="1065" spans="1:24" s="1" customFormat="1" ht="12.95" customHeight="1" x14ac:dyDescent="0.3">
      <c r="A1065" s="23" t="s">
        <v>784</v>
      </c>
      <c r="B1065" s="23" t="s">
        <v>1095</v>
      </c>
      <c r="C1065" s="12" t="s">
        <v>1096</v>
      </c>
      <c r="D1065" s="84"/>
      <c r="E1065" s="69" t="str">
        <f t="shared" si="64"/>
        <v>Еще фото</v>
      </c>
      <c r="F1065" s="13"/>
      <c r="G1065" s="23" t="s">
        <v>394</v>
      </c>
      <c r="H1065" s="23" t="s">
        <v>151</v>
      </c>
      <c r="I1065" s="23" t="s">
        <v>424</v>
      </c>
      <c r="J1065" s="14" t="s">
        <v>406</v>
      </c>
      <c r="K1065" s="15" t="s">
        <v>55</v>
      </c>
      <c r="L1065" s="87"/>
      <c r="M1065" s="14"/>
      <c r="N1065" s="14" t="s">
        <v>1097</v>
      </c>
      <c r="O1065" s="14"/>
      <c r="P1065" s="15" t="s">
        <v>853</v>
      </c>
      <c r="Q1065" s="16">
        <v>12499</v>
      </c>
      <c r="R1065" s="17">
        <v>40</v>
      </c>
      <c r="S1065" s="18">
        <v>8624.31</v>
      </c>
      <c r="T1065" s="19" t="s">
        <v>846</v>
      </c>
      <c r="U1065" s="20" t="s">
        <v>849</v>
      </c>
      <c r="V1065" s="21">
        <v>38</v>
      </c>
      <c r="W1065" s="21">
        <v>9</v>
      </c>
      <c r="X1065" s="22"/>
    </row>
    <row r="1066" spans="1:24" s="1" customFormat="1" ht="12.95" customHeight="1" x14ac:dyDescent="0.3">
      <c r="A1066" s="23" t="s">
        <v>784</v>
      </c>
      <c r="B1066" s="23" t="s">
        <v>1095</v>
      </c>
      <c r="C1066" s="12" t="s">
        <v>1096</v>
      </c>
      <c r="D1066" s="84"/>
      <c r="E1066" s="69" t="str">
        <f t="shared" si="64"/>
        <v>Еще фото</v>
      </c>
      <c r="F1066" s="13"/>
      <c r="G1066" s="23" t="s">
        <v>394</v>
      </c>
      <c r="H1066" s="23" t="s">
        <v>151</v>
      </c>
      <c r="I1066" s="23" t="s">
        <v>424</v>
      </c>
      <c r="J1066" s="14" t="s">
        <v>406</v>
      </c>
      <c r="K1066" s="15" t="s">
        <v>55</v>
      </c>
      <c r="L1066" s="87"/>
      <c r="M1066" s="14"/>
      <c r="N1066" s="14" t="s">
        <v>1097</v>
      </c>
      <c r="O1066" s="14"/>
      <c r="P1066" s="15" t="s">
        <v>853</v>
      </c>
      <c r="Q1066" s="16">
        <v>12499</v>
      </c>
      <c r="R1066" s="17">
        <v>40</v>
      </c>
      <c r="S1066" s="18">
        <v>8624.31</v>
      </c>
      <c r="T1066" s="19" t="s">
        <v>846</v>
      </c>
      <c r="U1066" s="20" t="s">
        <v>500</v>
      </c>
      <c r="V1066" s="21">
        <v>39</v>
      </c>
      <c r="W1066" s="21">
        <v>9</v>
      </c>
      <c r="X1066" s="22"/>
    </row>
    <row r="1067" spans="1:24" s="1" customFormat="1" ht="12.95" customHeight="1" x14ac:dyDescent="0.3">
      <c r="A1067" s="23" t="s">
        <v>784</v>
      </c>
      <c r="B1067" s="23" t="s">
        <v>1095</v>
      </c>
      <c r="C1067" s="12" t="s">
        <v>1096</v>
      </c>
      <c r="D1067" s="84"/>
      <c r="E1067" s="69" t="str">
        <f t="shared" si="64"/>
        <v>Еще фото</v>
      </c>
      <c r="F1067" s="13"/>
      <c r="G1067" s="23" t="s">
        <v>394</v>
      </c>
      <c r="H1067" s="23" t="s">
        <v>151</v>
      </c>
      <c r="I1067" s="23" t="s">
        <v>424</v>
      </c>
      <c r="J1067" s="14" t="s">
        <v>406</v>
      </c>
      <c r="K1067" s="15" t="s">
        <v>55</v>
      </c>
      <c r="L1067" s="87"/>
      <c r="M1067" s="14"/>
      <c r="N1067" s="14" t="s">
        <v>1097</v>
      </c>
      <c r="O1067" s="14"/>
      <c r="P1067" s="15" t="s">
        <v>853</v>
      </c>
      <c r="Q1067" s="16">
        <v>12499</v>
      </c>
      <c r="R1067" s="17">
        <v>40</v>
      </c>
      <c r="S1067" s="18">
        <v>8624.31</v>
      </c>
      <c r="T1067" s="19" t="s">
        <v>846</v>
      </c>
      <c r="U1067" s="20" t="s">
        <v>854</v>
      </c>
      <c r="V1067" s="30">
        <v>39.5</v>
      </c>
      <c r="W1067" s="21">
        <v>5</v>
      </c>
      <c r="X1067" s="22"/>
    </row>
    <row r="1068" spans="1:24" s="1" customFormat="1" ht="12.95" customHeight="1" x14ac:dyDescent="0.3">
      <c r="A1068" s="23" t="s">
        <v>784</v>
      </c>
      <c r="B1068" s="23" t="s">
        <v>1095</v>
      </c>
      <c r="C1068" s="12" t="s">
        <v>1096</v>
      </c>
      <c r="D1068" s="84"/>
      <c r="E1068" s="69" t="str">
        <f t="shared" si="64"/>
        <v>Еще фото</v>
      </c>
      <c r="F1068" s="13"/>
      <c r="G1068" s="23" t="s">
        <v>394</v>
      </c>
      <c r="H1068" s="23" t="s">
        <v>151</v>
      </c>
      <c r="I1068" s="23" t="s">
        <v>424</v>
      </c>
      <c r="J1068" s="14" t="s">
        <v>406</v>
      </c>
      <c r="K1068" s="15" t="s">
        <v>55</v>
      </c>
      <c r="L1068" s="87"/>
      <c r="M1068" s="14"/>
      <c r="N1068" s="14" t="s">
        <v>1097</v>
      </c>
      <c r="O1068" s="14"/>
      <c r="P1068" s="15" t="s">
        <v>853</v>
      </c>
      <c r="Q1068" s="16">
        <v>12499</v>
      </c>
      <c r="R1068" s="17">
        <v>40</v>
      </c>
      <c r="S1068" s="18">
        <v>8624.31</v>
      </c>
      <c r="T1068" s="19" t="s">
        <v>846</v>
      </c>
      <c r="U1068" s="20" t="s">
        <v>156</v>
      </c>
      <c r="V1068" s="21">
        <v>40</v>
      </c>
      <c r="W1068" s="21">
        <v>3</v>
      </c>
      <c r="X1068" s="22"/>
    </row>
    <row r="1069" spans="1:24" s="1" customFormat="1" ht="18" customHeight="1" x14ac:dyDescent="0.3">
      <c r="A1069" s="23" t="s">
        <v>784</v>
      </c>
      <c r="B1069" s="23" t="s">
        <v>1095</v>
      </c>
      <c r="C1069" s="12" t="s">
        <v>1096</v>
      </c>
      <c r="D1069" s="85"/>
      <c r="E1069" s="69" t="str">
        <f t="shared" si="64"/>
        <v>Еще фото</v>
      </c>
      <c r="F1069" s="13"/>
      <c r="G1069" s="23" t="s">
        <v>394</v>
      </c>
      <c r="H1069" s="23" t="s">
        <v>151</v>
      </c>
      <c r="I1069" s="23" t="s">
        <v>424</v>
      </c>
      <c r="J1069" s="14" t="s">
        <v>406</v>
      </c>
      <c r="K1069" s="15" t="s">
        <v>55</v>
      </c>
      <c r="L1069" s="88"/>
      <c r="M1069" s="14"/>
      <c r="N1069" s="14" t="s">
        <v>1097</v>
      </c>
      <c r="O1069" s="14"/>
      <c r="P1069" s="15" t="s">
        <v>853</v>
      </c>
      <c r="Q1069" s="16">
        <v>12499</v>
      </c>
      <c r="R1069" s="17">
        <v>40</v>
      </c>
      <c r="S1069" s="18">
        <v>8624.31</v>
      </c>
      <c r="T1069" s="19" t="s">
        <v>846</v>
      </c>
      <c r="U1069" s="20" t="s">
        <v>157</v>
      </c>
      <c r="V1069" s="21">
        <v>41</v>
      </c>
      <c r="W1069" s="21">
        <v>1</v>
      </c>
      <c r="X1069" s="22"/>
    </row>
    <row r="1070" spans="1:24" s="1" customFormat="1" ht="12.95" customHeight="1" x14ac:dyDescent="0.3">
      <c r="A1070" s="11" t="s">
        <v>784</v>
      </c>
      <c r="B1070" s="11" t="s">
        <v>1098</v>
      </c>
      <c r="C1070" s="12" t="s">
        <v>1099</v>
      </c>
      <c r="D1070" s="83"/>
      <c r="E1070" s="69" t="str">
        <f t="shared" ref="E1070:E1077" si="65">HYPERLINK("https://www.google.ru/search?q=X1GB2150-02&amp;newwindow=1&amp;tbm=isch","Еще фото")</f>
        <v>Еще фото</v>
      </c>
      <c r="F1070" s="13"/>
      <c r="G1070" s="11" t="s">
        <v>394</v>
      </c>
      <c r="H1070" s="11" t="s">
        <v>151</v>
      </c>
      <c r="I1070" s="14" t="s">
        <v>424</v>
      </c>
      <c r="J1070" s="14" t="s">
        <v>406</v>
      </c>
      <c r="K1070" s="15" t="s">
        <v>47</v>
      </c>
      <c r="L1070" s="86"/>
      <c r="M1070" s="14"/>
      <c r="N1070" s="14" t="s">
        <v>41</v>
      </c>
      <c r="O1070" s="14"/>
      <c r="P1070" s="15" t="s">
        <v>853</v>
      </c>
      <c r="Q1070" s="16">
        <v>14099</v>
      </c>
      <c r="R1070" s="17">
        <v>40</v>
      </c>
      <c r="S1070" s="18">
        <v>9728.31</v>
      </c>
      <c r="T1070" s="19" t="s">
        <v>846</v>
      </c>
      <c r="U1070" s="26" t="s">
        <v>847</v>
      </c>
      <c r="V1070" s="30">
        <v>36.5</v>
      </c>
      <c r="W1070" s="21">
        <v>1</v>
      </c>
      <c r="X1070" s="22"/>
    </row>
    <row r="1071" spans="1:24" s="1" customFormat="1" ht="12.95" customHeight="1" x14ac:dyDescent="0.3">
      <c r="A1071" s="23" t="s">
        <v>784</v>
      </c>
      <c r="B1071" s="23" t="s">
        <v>1098</v>
      </c>
      <c r="C1071" s="12" t="s">
        <v>1099</v>
      </c>
      <c r="D1071" s="84"/>
      <c r="E1071" s="69" t="str">
        <f t="shared" si="65"/>
        <v>Еще фото</v>
      </c>
      <c r="F1071" s="13"/>
      <c r="G1071" s="23" t="s">
        <v>394</v>
      </c>
      <c r="H1071" s="23" t="s">
        <v>151</v>
      </c>
      <c r="I1071" s="23" t="s">
        <v>424</v>
      </c>
      <c r="J1071" s="14" t="s">
        <v>406</v>
      </c>
      <c r="K1071" s="15" t="s">
        <v>47</v>
      </c>
      <c r="L1071" s="87"/>
      <c r="M1071" s="14"/>
      <c r="N1071" s="14" t="s">
        <v>41</v>
      </c>
      <c r="O1071" s="14"/>
      <c r="P1071" s="15" t="s">
        <v>853</v>
      </c>
      <c r="Q1071" s="16">
        <v>14099</v>
      </c>
      <c r="R1071" s="17">
        <v>40</v>
      </c>
      <c r="S1071" s="18">
        <v>9728.31</v>
      </c>
      <c r="T1071" s="19" t="s">
        <v>846</v>
      </c>
      <c r="U1071" s="20" t="s">
        <v>818</v>
      </c>
      <c r="V1071" s="21">
        <v>37</v>
      </c>
      <c r="W1071" s="21">
        <v>3</v>
      </c>
      <c r="X1071" s="22"/>
    </row>
    <row r="1072" spans="1:24" s="1" customFormat="1" ht="12.95" customHeight="1" x14ac:dyDescent="0.3">
      <c r="A1072" s="23" t="s">
        <v>784</v>
      </c>
      <c r="B1072" s="23" t="s">
        <v>1098</v>
      </c>
      <c r="C1072" s="12" t="s">
        <v>1099</v>
      </c>
      <c r="D1072" s="84"/>
      <c r="E1072" s="69" t="str">
        <f t="shared" si="65"/>
        <v>Еще фото</v>
      </c>
      <c r="F1072" s="13"/>
      <c r="G1072" s="23" t="s">
        <v>394</v>
      </c>
      <c r="H1072" s="23" t="s">
        <v>151</v>
      </c>
      <c r="I1072" s="23" t="s">
        <v>424</v>
      </c>
      <c r="J1072" s="14" t="s">
        <v>406</v>
      </c>
      <c r="K1072" s="15" t="s">
        <v>47</v>
      </c>
      <c r="L1072" s="87"/>
      <c r="M1072" s="14"/>
      <c r="N1072" s="14" t="s">
        <v>41</v>
      </c>
      <c r="O1072" s="14"/>
      <c r="P1072" s="15" t="s">
        <v>853</v>
      </c>
      <c r="Q1072" s="16">
        <v>14099</v>
      </c>
      <c r="R1072" s="17">
        <v>40</v>
      </c>
      <c r="S1072" s="18">
        <v>9728.31</v>
      </c>
      <c r="T1072" s="19" t="s">
        <v>846</v>
      </c>
      <c r="U1072" s="20" t="s">
        <v>848</v>
      </c>
      <c r="V1072" s="30">
        <v>37.5</v>
      </c>
      <c r="W1072" s="21">
        <v>4</v>
      </c>
      <c r="X1072" s="22"/>
    </row>
    <row r="1073" spans="1:24" s="1" customFormat="1" ht="12.95" customHeight="1" x14ac:dyDescent="0.3">
      <c r="A1073" s="23" t="s">
        <v>784</v>
      </c>
      <c r="B1073" s="23" t="s">
        <v>1098</v>
      </c>
      <c r="C1073" s="12" t="s">
        <v>1099</v>
      </c>
      <c r="D1073" s="84"/>
      <c r="E1073" s="69" t="str">
        <f t="shared" si="65"/>
        <v>Еще фото</v>
      </c>
      <c r="F1073" s="13"/>
      <c r="G1073" s="23" t="s">
        <v>394</v>
      </c>
      <c r="H1073" s="23" t="s">
        <v>151</v>
      </c>
      <c r="I1073" s="23" t="s">
        <v>424</v>
      </c>
      <c r="J1073" s="14" t="s">
        <v>406</v>
      </c>
      <c r="K1073" s="15" t="s">
        <v>47</v>
      </c>
      <c r="L1073" s="87"/>
      <c r="M1073" s="14"/>
      <c r="N1073" s="14" t="s">
        <v>41</v>
      </c>
      <c r="O1073" s="14"/>
      <c r="P1073" s="15" t="s">
        <v>853</v>
      </c>
      <c r="Q1073" s="16">
        <v>14099</v>
      </c>
      <c r="R1073" s="17">
        <v>40</v>
      </c>
      <c r="S1073" s="18">
        <v>9728.31</v>
      </c>
      <c r="T1073" s="19" t="s">
        <v>846</v>
      </c>
      <c r="U1073" s="20" t="s">
        <v>849</v>
      </c>
      <c r="V1073" s="21">
        <v>38</v>
      </c>
      <c r="W1073" s="21">
        <v>8</v>
      </c>
      <c r="X1073" s="22"/>
    </row>
    <row r="1074" spans="1:24" s="1" customFormat="1" ht="12.95" customHeight="1" x14ac:dyDescent="0.3">
      <c r="A1074" s="23" t="s">
        <v>784</v>
      </c>
      <c r="B1074" s="23" t="s">
        <v>1098</v>
      </c>
      <c r="C1074" s="12" t="s">
        <v>1099</v>
      </c>
      <c r="D1074" s="84"/>
      <c r="E1074" s="69" t="str">
        <f t="shared" si="65"/>
        <v>Еще фото</v>
      </c>
      <c r="F1074" s="13"/>
      <c r="G1074" s="23" t="s">
        <v>394</v>
      </c>
      <c r="H1074" s="23" t="s">
        <v>151</v>
      </c>
      <c r="I1074" s="23" t="s">
        <v>424</v>
      </c>
      <c r="J1074" s="14" t="s">
        <v>406</v>
      </c>
      <c r="K1074" s="15" t="s">
        <v>47</v>
      </c>
      <c r="L1074" s="87"/>
      <c r="M1074" s="14"/>
      <c r="N1074" s="14" t="s">
        <v>41</v>
      </c>
      <c r="O1074" s="14"/>
      <c r="P1074" s="15" t="s">
        <v>853</v>
      </c>
      <c r="Q1074" s="16">
        <v>14099</v>
      </c>
      <c r="R1074" s="17">
        <v>40</v>
      </c>
      <c r="S1074" s="18">
        <v>9728.31</v>
      </c>
      <c r="T1074" s="19" t="s">
        <v>846</v>
      </c>
      <c r="U1074" s="20" t="s">
        <v>500</v>
      </c>
      <c r="V1074" s="21">
        <v>39</v>
      </c>
      <c r="W1074" s="21">
        <v>8</v>
      </c>
      <c r="X1074" s="22"/>
    </row>
    <row r="1075" spans="1:24" s="1" customFormat="1" ht="12.95" customHeight="1" x14ac:dyDescent="0.3">
      <c r="A1075" s="23" t="s">
        <v>784</v>
      </c>
      <c r="B1075" s="23" t="s">
        <v>1098</v>
      </c>
      <c r="C1075" s="12" t="s">
        <v>1099</v>
      </c>
      <c r="D1075" s="84"/>
      <c r="E1075" s="69" t="str">
        <f t="shared" si="65"/>
        <v>Еще фото</v>
      </c>
      <c r="F1075" s="13"/>
      <c r="G1075" s="23" t="s">
        <v>394</v>
      </c>
      <c r="H1075" s="23" t="s">
        <v>151</v>
      </c>
      <c r="I1075" s="23" t="s">
        <v>424</v>
      </c>
      <c r="J1075" s="14" t="s">
        <v>406</v>
      </c>
      <c r="K1075" s="15" t="s">
        <v>47</v>
      </c>
      <c r="L1075" s="87"/>
      <c r="M1075" s="14"/>
      <c r="N1075" s="14" t="s">
        <v>41</v>
      </c>
      <c r="O1075" s="14"/>
      <c r="P1075" s="15" t="s">
        <v>853</v>
      </c>
      <c r="Q1075" s="16">
        <v>14099</v>
      </c>
      <c r="R1075" s="17">
        <v>40</v>
      </c>
      <c r="S1075" s="18">
        <v>9728.31</v>
      </c>
      <c r="T1075" s="19" t="s">
        <v>846</v>
      </c>
      <c r="U1075" s="20" t="s">
        <v>854</v>
      </c>
      <c r="V1075" s="30">
        <v>39.5</v>
      </c>
      <c r="W1075" s="21">
        <v>6</v>
      </c>
      <c r="X1075" s="22"/>
    </row>
    <row r="1076" spans="1:24" s="1" customFormat="1" ht="12.95" customHeight="1" x14ac:dyDescent="0.3">
      <c r="A1076" s="23" t="s">
        <v>784</v>
      </c>
      <c r="B1076" s="23" t="s">
        <v>1098</v>
      </c>
      <c r="C1076" s="12" t="s">
        <v>1099</v>
      </c>
      <c r="D1076" s="84"/>
      <c r="E1076" s="69" t="str">
        <f t="shared" si="65"/>
        <v>Еще фото</v>
      </c>
      <c r="F1076" s="13"/>
      <c r="G1076" s="23" t="s">
        <v>394</v>
      </c>
      <c r="H1076" s="23" t="s">
        <v>151</v>
      </c>
      <c r="I1076" s="23" t="s">
        <v>424</v>
      </c>
      <c r="J1076" s="14" t="s">
        <v>406</v>
      </c>
      <c r="K1076" s="15" t="s">
        <v>47</v>
      </c>
      <c r="L1076" s="87"/>
      <c r="M1076" s="14"/>
      <c r="N1076" s="14" t="s">
        <v>41</v>
      </c>
      <c r="O1076" s="14"/>
      <c r="P1076" s="15" t="s">
        <v>853</v>
      </c>
      <c r="Q1076" s="16">
        <v>14099</v>
      </c>
      <c r="R1076" s="17">
        <v>40</v>
      </c>
      <c r="S1076" s="18">
        <v>9728.31</v>
      </c>
      <c r="T1076" s="19" t="s">
        <v>846</v>
      </c>
      <c r="U1076" s="20" t="s">
        <v>156</v>
      </c>
      <c r="V1076" s="21">
        <v>40</v>
      </c>
      <c r="W1076" s="21">
        <v>6</v>
      </c>
      <c r="X1076" s="22"/>
    </row>
    <row r="1077" spans="1:24" s="1" customFormat="1" ht="18" customHeight="1" x14ac:dyDescent="0.3">
      <c r="A1077" s="23" t="s">
        <v>784</v>
      </c>
      <c r="B1077" s="23" t="s">
        <v>1098</v>
      </c>
      <c r="C1077" s="12" t="s">
        <v>1099</v>
      </c>
      <c r="D1077" s="85"/>
      <c r="E1077" s="69" t="str">
        <f t="shared" si="65"/>
        <v>Еще фото</v>
      </c>
      <c r="F1077" s="13"/>
      <c r="G1077" s="23" t="s">
        <v>394</v>
      </c>
      <c r="H1077" s="23" t="s">
        <v>151</v>
      </c>
      <c r="I1077" s="23" t="s">
        <v>424</v>
      </c>
      <c r="J1077" s="14" t="s">
        <v>406</v>
      </c>
      <c r="K1077" s="15" t="s">
        <v>47</v>
      </c>
      <c r="L1077" s="88"/>
      <c r="M1077" s="14"/>
      <c r="N1077" s="14" t="s">
        <v>41</v>
      </c>
      <c r="O1077" s="14"/>
      <c r="P1077" s="15" t="s">
        <v>853</v>
      </c>
      <c r="Q1077" s="16">
        <v>14099</v>
      </c>
      <c r="R1077" s="17">
        <v>40</v>
      </c>
      <c r="S1077" s="18">
        <v>9728.31</v>
      </c>
      <c r="T1077" s="19" t="s">
        <v>846</v>
      </c>
      <c r="U1077" s="20" t="s">
        <v>157</v>
      </c>
      <c r="V1077" s="21">
        <v>41</v>
      </c>
      <c r="W1077" s="21">
        <v>2</v>
      </c>
      <c r="X1077" s="22"/>
    </row>
    <row r="1078" spans="1:24" s="1" customFormat="1" ht="108" customHeight="1" x14ac:dyDescent="0.3">
      <c r="A1078" s="11" t="s">
        <v>784</v>
      </c>
      <c r="B1078" s="11" t="s">
        <v>1100</v>
      </c>
      <c r="C1078" s="12" t="s">
        <v>1101</v>
      </c>
      <c r="D1078" s="24"/>
      <c r="E1078" s="69" t="str">
        <f>HYPERLINK("https://www.google.ru/search?q=J3GD3015-09&amp;newwindow=1&amp;tbm=isch","Еще фото")</f>
        <v>Еще фото</v>
      </c>
      <c r="F1078" s="13"/>
      <c r="G1078" s="11" t="s">
        <v>1102</v>
      </c>
      <c r="H1078" s="11" t="s">
        <v>112</v>
      </c>
      <c r="I1078" s="14" t="s">
        <v>514</v>
      </c>
      <c r="J1078" s="14" t="s">
        <v>406</v>
      </c>
      <c r="K1078" s="15" t="s">
        <v>114</v>
      </c>
      <c r="L1078" s="14" t="s">
        <v>1103</v>
      </c>
      <c r="M1078" s="14"/>
      <c r="N1078" s="14" t="s">
        <v>49</v>
      </c>
      <c r="O1078" s="14"/>
      <c r="P1078" s="15" t="s">
        <v>1104</v>
      </c>
      <c r="Q1078" s="16">
        <v>2099</v>
      </c>
      <c r="R1078" s="17">
        <v>45.32</v>
      </c>
      <c r="S1078" s="18">
        <v>1319.9354999999998</v>
      </c>
      <c r="T1078" s="19" t="s">
        <v>117</v>
      </c>
      <c r="U1078" s="20" t="s">
        <v>788</v>
      </c>
      <c r="V1078" s="25" t="s">
        <v>119</v>
      </c>
      <c r="W1078" s="21">
        <v>62</v>
      </c>
      <c r="X1078" s="22"/>
    </row>
    <row r="1079" spans="1:24" s="1" customFormat="1" ht="108" customHeight="1" x14ac:dyDescent="0.3">
      <c r="A1079" s="11" t="s">
        <v>784</v>
      </c>
      <c r="B1079" s="11" t="s">
        <v>1105</v>
      </c>
      <c r="C1079" s="12" t="s">
        <v>1106</v>
      </c>
      <c r="D1079" s="24"/>
      <c r="E1079" s="69" t="str">
        <f>HYPERLINK("https://www.google.ru/search?q=33GD3001-05&amp;newwindow=1&amp;tbm=isch","Еще фото")</f>
        <v>Еще фото</v>
      </c>
      <c r="F1079" s="13"/>
      <c r="G1079" s="11" t="s">
        <v>535</v>
      </c>
      <c r="H1079" s="11" t="s">
        <v>536</v>
      </c>
      <c r="I1079" s="14" t="s">
        <v>537</v>
      </c>
      <c r="J1079" s="14" t="s">
        <v>406</v>
      </c>
      <c r="K1079" s="15" t="s">
        <v>114</v>
      </c>
      <c r="L1079" s="14"/>
      <c r="M1079" s="14"/>
      <c r="N1079" s="14" t="s">
        <v>1107</v>
      </c>
      <c r="O1079" s="14"/>
      <c r="P1079" s="15" t="s">
        <v>1108</v>
      </c>
      <c r="Q1079" s="16">
        <v>9899</v>
      </c>
      <c r="R1079" s="17">
        <v>40</v>
      </c>
      <c r="S1079" s="18">
        <v>6830.3099999999995</v>
      </c>
      <c r="T1079" s="19" t="s">
        <v>117</v>
      </c>
      <c r="U1079" s="20" t="s">
        <v>788</v>
      </c>
      <c r="V1079" s="25" t="s">
        <v>119</v>
      </c>
      <c r="W1079" s="21">
        <v>12</v>
      </c>
      <c r="X1079" s="22"/>
    </row>
    <row r="1080" spans="1:24" s="1" customFormat="1" ht="108" customHeight="1" x14ac:dyDescent="0.3">
      <c r="A1080" s="11" t="s">
        <v>784</v>
      </c>
      <c r="B1080" s="11" t="s">
        <v>1109</v>
      </c>
      <c r="C1080" s="12" t="s">
        <v>1110</v>
      </c>
      <c r="D1080" s="24"/>
      <c r="E1080" s="69" t="str">
        <f>HYPERLINK("https://www.google.ru/search?q=J3GD3011-05&amp;newwindow=1&amp;tbm=isch","Еще фото")</f>
        <v>Еще фото</v>
      </c>
      <c r="F1080" s="13"/>
      <c r="G1080" s="11" t="s">
        <v>535</v>
      </c>
      <c r="H1080" s="11" t="s">
        <v>536</v>
      </c>
      <c r="I1080" s="14" t="s">
        <v>537</v>
      </c>
      <c r="J1080" s="14" t="s">
        <v>29</v>
      </c>
      <c r="K1080" s="15" t="s">
        <v>114</v>
      </c>
      <c r="L1080" s="14"/>
      <c r="M1080" s="14"/>
      <c r="N1080" s="14" t="s">
        <v>265</v>
      </c>
      <c r="O1080" s="14"/>
      <c r="P1080" s="15" t="s">
        <v>108</v>
      </c>
      <c r="Q1080" s="16">
        <v>4999</v>
      </c>
      <c r="R1080" s="17">
        <v>40</v>
      </c>
      <c r="S1080" s="18">
        <v>3449.31</v>
      </c>
      <c r="T1080" s="19" t="s">
        <v>117</v>
      </c>
      <c r="U1080" s="20" t="s">
        <v>788</v>
      </c>
      <c r="V1080" s="25" t="s">
        <v>119</v>
      </c>
      <c r="W1080" s="21">
        <v>9</v>
      </c>
      <c r="X1080" s="22"/>
    </row>
    <row r="1081" spans="1:24" s="1" customFormat="1" ht="108" customHeight="1" x14ac:dyDescent="0.3">
      <c r="A1081" s="11" t="s">
        <v>784</v>
      </c>
      <c r="B1081" s="11" t="s">
        <v>1111</v>
      </c>
      <c r="C1081" s="12" t="s">
        <v>1112</v>
      </c>
      <c r="D1081" s="24"/>
      <c r="E1081" s="69" t="str">
        <f>HYPERLINK("https://www.google.ru/search?q=33GD1007-92&amp;newwindow=1&amp;tbm=isch","Еще фото")</f>
        <v>Еще фото</v>
      </c>
      <c r="F1081" s="13"/>
      <c r="G1081" s="11" t="s">
        <v>1113</v>
      </c>
      <c r="H1081" s="11" t="s">
        <v>536</v>
      </c>
      <c r="I1081" s="14" t="s">
        <v>1114</v>
      </c>
      <c r="J1081" s="14" t="s">
        <v>29</v>
      </c>
      <c r="K1081" s="15" t="s">
        <v>114</v>
      </c>
      <c r="L1081" s="14"/>
      <c r="M1081" s="14"/>
      <c r="N1081" s="14" t="s">
        <v>1115</v>
      </c>
      <c r="O1081" s="14"/>
      <c r="P1081" s="15" t="s">
        <v>108</v>
      </c>
      <c r="Q1081" s="16">
        <v>2299</v>
      </c>
      <c r="R1081" s="17">
        <v>40</v>
      </c>
      <c r="S1081" s="18">
        <v>1586.31</v>
      </c>
      <c r="T1081" s="19" t="s">
        <v>117</v>
      </c>
      <c r="U1081" s="20" t="s">
        <v>788</v>
      </c>
      <c r="V1081" s="25" t="s">
        <v>119</v>
      </c>
      <c r="W1081" s="21">
        <v>8</v>
      </c>
      <c r="X1081" s="22"/>
    </row>
    <row r="1082" spans="1:24" s="1" customFormat="1" ht="108" customHeight="1" x14ac:dyDescent="0.3">
      <c r="A1082" s="11" t="s">
        <v>784</v>
      </c>
      <c r="B1082" s="11" t="s">
        <v>1111</v>
      </c>
      <c r="C1082" s="12" t="s">
        <v>1116</v>
      </c>
      <c r="D1082" s="24"/>
      <c r="E1082" s="69" t="str">
        <f>HYPERLINK("https://www.google.ru/search?q=33GD1007-96&amp;newwindow=1&amp;tbm=isch","Еще фото")</f>
        <v>Еще фото</v>
      </c>
      <c r="F1082" s="13"/>
      <c r="G1082" s="11" t="s">
        <v>1113</v>
      </c>
      <c r="H1082" s="11" t="s">
        <v>536</v>
      </c>
      <c r="I1082" s="14" t="s">
        <v>1114</v>
      </c>
      <c r="J1082" s="14" t="s">
        <v>29</v>
      </c>
      <c r="K1082" s="15" t="s">
        <v>114</v>
      </c>
      <c r="L1082" s="14"/>
      <c r="M1082" s="14"/>
      <c r="N1082" s="14" t="s">
        <v>1117</v>
      </c>
      <c r="O1082" s="14"/>
      <c r="P1082" s="15" t="s">
        <v>108</v>
      </c>
      <c r="Q1082" s="16">
        <v>2299</v>
      </c>
      <c r="R1082" s="17">
        <v>40</v>
      </c>
      <c r="S1082" s="18">
        <v>1586.31</v>
      </c>
      <c r="T1082" s="19" t="s">
        <v>117</v>
      </c>
      <c r="U1082" s="20" t="s">
        <v>788</v>
      </c>
      <c r="V1082" s="25" t="s">
        <v>119</v>
      </c>
      <c r="W1082" s="21">
        <v>11</v>
      </c>
      <c r="X1082" s="22"/>
    </row>
    <row r="1083" spans="1:24" s="1" customFormat="1" ht="108" customHeight="1" x14ac:dyDescent="0.3">
      <c r="A1083" s="11" t="s">
        <v>784</v>
      </c>
      <c r="B1083" s="11" t="s">
        <v>1118</v>
      </c>
      <c r="C1083" s="12" t="s">
        <v>1119</v>
      </c>
      <c r="D1083" s="24"/>
      <c r="E1083" s="69" t="str">
        <f>HYPERLINK("https://www.google.ru/search?q=33GD2007-05&amp;newwindow=1&amp;tbm=isch","Еще фото")</f>
        <v>Еще фото</v>
      </c>
      <c r="F1083" s="13"/>
      <c r="G1083" s="11" t="s">
        <v>1113</v>
      </c>
      <c r="H1083" s="11" t="s">
        <v>536</v>
      </c>
      <c r="I1083" s="14" t="s">
        <v>1114</v>
      </c>
      <c r="J1083" s="14" t="s">
        <v>29</v>
      </c>
      <c r="K1083" s="15" t="s">
        <v>114</v>
      </c>
      <c r="L1083" s="14"/>
      <c r="M1083" s="14"/>
      <c r="N1083" s="14" t="s">
        <v>49</v>
      </c>
      <c r="O1083" s="14"/>
      <c r="P1083" s="15" t="s">
        <v>1108</v>
      </c>
      <c r="Q1083" s="16">
        <v>2490</v>
      </c>
      <c r="R1083" s="17">
        <v>40</v>
      </c>
      <c r="S1083" s="18">
        <v>1718.1</v>
      </c>
      <c r="T1083" s="19" t="s">
        <v>117</v>
      </c>
      <c r="U1083" s="20" t="s">
        <v>788</v>
      </c>
      <c r="V1083" s="25" t="s">
        <v>119</v>
      </c>
      <c r="W1083" s="21">
        <v>6</v>
      </c>
      <c r="X1083" s="22"/>
    </row>
    <row r="1084" spans="1:24" s="1" customFormat="1" ht="108" customHeight="1" x14ac:dyDescent="0.3">
      <c r="A1084" s="11" t="s">
        <v>784</v>
      </c>
      <c r="B1084" s="11" t="s">
        <v>1118</v>
      </c>
      <c r="C1084" s="12" t="s">
        <v>1120</v>
      </c>
      <c r="D1084" s="24"/>
      <c r="E1084" s="69" t="str">
        <f>HYPERLINK("https://www.google.ru/search?q=33GD2007-09&amp;newwindow=1&amp;tbm=isch","Еще фото")</f>
        <v>Еще фото</v>
      </c>
      <c r="F1084" s="13"/>
      <c r="G1084" s="11" t="s">
        <v>1113</v>
      </c>
      <c r="H1084" s="11" t="s">
        <v>536</v>
      </c>
      <c r="I1084" s="14" t="s">
        <v>1114</v>
      </c>
      <c r="J1084" s="14" t="s">
        <v>29</v>
      </c>
      <c r="K1084" s="15" t="s">
        <v>114</v>
      </c>
      <c r="L1084" s="14"/>
      <c r="M1084" s="14"/>
      <c r="N1084" s="14" t="s">
        <v>49</v>
      </c>
      <c r="O1084" s="14"/>
      <c r="P1084" s="15" t="s">
        <v>1108</v>
      </c>
      <c r="Q1084" s="16">
        <v>2490</v>
      </c>
      <c r="R1084" s="17">
        <v>40</v>
      </c>
      <c r="S1084" s="18">
        <v>1718.1</v>
      </c>
      <c r="T1084" s="19" t="s">
        <v>117</v>
      </c>
      <c r="U1084" s="20" t="s">
        <v>788</v>
      </c>
      <c r="V1084" s="25" t="s">
        <v>119</v>
      </c>
      <c r="W1084" s="21">
        <v>9</v>
      </c>
      <c r="X1084" s="22"/>
    </row>
    <row r="1085" spans="1:24" s="1" customFormat="1" ht="108" customHeight="1" x14ac:dyDescent="0.3">
      <c r="A1085" s="11" t="s">
        <v>784</v>
      </c>
      <c r="B1085" s="11" t="s">
        <v>1118</v>
      </c>
      <c r="C1085" s="12" t="s">
        <v>1121</v>
      </c>
      <c r="D1085" s="24"/>
      <c r="E1085" s="69" t="str">
        <f>HYPERLINK("https://www.google.ru/search?q=33GD2007-14&amp;newwindow=1&amp;tbm=isch","Еще фото")</f>
        <v>Еще фото</v>
      </c>
      <c r="F1085" s="13"/>
      <c r="G1085" s="11" t="s">
        <v>1113</v>
      </c>
      <c r="H1085" s="11" t="s">
        <v>536</v>
      </c>
      <c r="I1085" s="14" t="s">
        <v>1114</v>
      </c>
      <c r="J1085" s="14" t="s">
        <v>29</v>
      </c>
      <c r="K1085" s="15" t="s">
        <v>114</v>
      </c>
      <c r="L1085" s="14"/>
      <c r="M1085" s="14"/>
      <c r="N1085" s="14" t="s">
        <v>1115</v>
      </c>
      <c r="O1085" s="14"/>
      <c r="P1085" s="15" t="s">
        <v>1108</v>
      </c>
      <c r="Q1085" s="16">
        <v>2490</v>
      </c>
      <c r="R1085" s="17">
        <v>40</v>
      </c>
      <c r="S1085" s="18">
        <v>1718.1</v>
      </c>
      <c r="T1085" s="19" t="s">
        <v>117</v>
      </c>
      <c r="U1085" s="20" t="s">
        <v>788</v>
      </c>
      <c r="V1085" s="25" t="s">
        <v>119</v>
      </c>
      <c r="W1085" s="21">
        <v>30</v>
      </c>
      <c r="X1085" s="22"/>
    </row>
    <row r="1086" spans="1:24" s="1" customFormat="1" ht="108" customHeight="1" x14ac:dyDescent="0.3">
      <c r="A1086" s="11" t="s">
        <v>784</v>
      </c>
      <c r="B1086" s="11" t="s">
        <v>1122</v>
      </c>
      <c r="C1086" s="12" t="s">
        <v>1123</v>
      </c>
      <c r="D1086" s="24"/>
      <c r="E1086" s="69" t="str">
        <f>HYPERLINK("https://www.google.ru/search?q=33GD9012-09&amp;newwindow=1&amp;tbm=isch","Еще фото")</f>
        <v>Еще фото</v>
      </c>
      <c r="F1086" s="13"/>
      <c r="G1086" s="11" t="s">
        <v>1124</v>
      </c>
      <c r="H1086" s="11" t="s">
        <v>536</v>
      </c>
      <c r="I1086" s="14" t="s">
        <v>1114</v>
      </c>
      <c r="J1086" s="14" t="s">
        <v>29</v>
      </c>
      <c r="K1086" s="15" t="s">
        <v>114</v>
      </c>
      <c r="L1086" s="14" t="s">
        <v>1125</v>
      </c>
      <c r="M1086" s="14"/>
      <c r="N1086" s="14" t="s">
        <v>49</v>
      </c>
      <c r="O1086" s="14"/>
      <c r="P1086" s="15" t="s">
        <v>797</v>
      </c>
      <c r="Q1086" s="16">
        <v>2399</v>
      </c>
      <c r="R1086" s="17">
        <v>40</v>
      </c>
      <c r="S1086" s="18">
        <v>1655.31</v>
      </c>
      <c r="T1086" s="19" t="s">
        <v>117</v>
      </c>
      <c r="U1086" s="20" t="s">
        <v>788</v>
      </c>
      <c r="V1086" s="25" t="s">
        <v>119</v>
      </c>
      <c r="W1086" s="21">
        <v>51</v>
      </c>
      <c r="X1086" s="22"/>
    </row>
    <row r="1087" spans="1:24" s="1" customFormat="1" ht="108" customHeight="1" x14ac:dyDescent="0.3">
      <c r="A1087" s="11" t="s">
        <v>784</v>
      </c>
      <c r="B1087" s="11" t="s">
        <v>1126</v>
      </c>
      <c r="C1087" s="12" t="s">
        <v>1127</v>
      </c>
      <c r="D1087" s="24"/>
      <c r="E1087" s="69" t="str">
        <f>HYPERLINK("https://www.google.ru/search?q=K3EY6A07-90&amp;newwindow=1&amp;tbm=isch","Еще фото")</f>
        <v>Еще фото</v>
      </c>
      <c r="F1087" s="13"/>
      <c r="G1087" s="11" t="s">
        <v>1113</v>
      </c>
      <c r="H1087" s="11" t="s">
        <v>536</v>
      </c>
      <c r="I1087" s="14" t="s">
        <v>1114</v>
      </c>
      <c r="J1087" s="14" t="s">
        <v>406</v>
      </c>
      <c r="K1087" s="15" t="s">
        <v>114</v>
      </c>
      <c r="L1087" s="14" t="s">
        <v>1128</v>
      </c>
      <c r="M1087" s="14"/>
      <c r="N1087" s="14" t="s">
        <v>49</v>
      </c>
      <c r="O1087" s="14"/>
      <c r="P1087" s="15" t="s">
        <v>797</v>
      </c>
      <c r="Q1087" s="16">
        <v>4699</v>
      </c>
      <c r="R1087" s="17">
        <v>40</v>
      </c>
      <c r="S1087" s="18">
        <v>3242.31</v>
      </c>
      <c r="T1087" s="19" t="s">
        <v>117</v>
      </c>
      <c r="U1087" s="20" t="s">
        <v>788</v>
      </c>
      <c r="V1087" s="25" t="s">
        <v>119</v>
      </c>
      <c r="W1087" s="21">
        <v>50</v>
      </c>
      <c r="X1087" s="22"/>
    </row>
    <row r="1088" spans="1:24" s="1" customFormat="1" ht="108" customHeight="1" x14ac:dyDescent="0.3">
      <c r="A1088" s="11" t="s">
        <v>784</v>
      </c>
      <c r="B1088" s="11" t="s">
        <v>1129</v>
      </c>
      <c r="C1088" s="12" t="s">
        <v>1130</v>
      </c>
      <c r="D1088" s="24"/>
      <c r="E1088" s="69" t="str">
        <f>HYPERLINK("https://www.google.ru/search?q=K3EY6W92-09&amp;newwindow=1&amp;tbm=isch","Еще фото")</f>
        <v>Еще фото</v>
      </c>
      <c r="F1088" s="13"/>
      <c r="G1088" s="11" t="s">
        <v>1113</v>
      </c>
      <c r="H1088" s="11" t="s">
        <v>536</v>
      </c>
      <c r="I1088" s="14" t="s">
        <v>1114</v>
      </c>
      <c r="J1088" s="14" t="s">
        <v>29</v>
      </c>
      <c r="K1088" s="15" t="s">
        <v>114</v>
      </c>
      <c r="L1088" s="14"/>
      <c r="M1088" s="14"/>
      <c r="N1088" s="14" t="s">
        <v>748</v>
      </c>
      <c r="O1088" s="14"/>
      <c r="P1088" s="15" t="s">
        <v>817</v>
      </c>
      <c r="Q1088" s="16">
        <v>4599</v>
      </c>
      <c r="R1088" s="17">
        <v>40</v>
      </c>
      <c r="S1088" s="18">
        <v>3173.31</v>
      </c>
      <c r="T1088" s="19" t="s">
        <v>117</v>
      </c>
      <c r="U1088" s="20" t="s">
        <v>788</v>
      </c>
      <c r="V1088" s="25" t="s">
        <v>119</v>
      </c>
      <c r="W1088" s="21">
        <v>4</v>
      </c>
      <c r="X1088" s="22"/>
    </row>
    <row r="1089" spans="1:24" s="1" customFormat="1" ht="26.1" customHeight="1" x14ac:dyDescent="0.3">
      <c r="A1089" s="11" t="s">
        <v>784</v>
      </c>
      <c r="B1089" s="11" t="s">
        <v>1131</v>
      </c>
      <c r="C1089" s="12" t="s">
        <v>1132</v>
      </c>
      <c r="D1089" s="83"/>
      <c r="E1089" s="69" t="str">
        <f>HYPERLINK("https://www.google.ru/search?q=62GB1215-01&amp;newwindow=1&amp;tbm=isch","Еще фото")</f>
        <v>Еще фото</v>
      </c>
      <c r="F1089" s="13"/>
      <c r="G1089" s="11" t="s">
        <v>675</v>
      </c>
      <c r="H1089" s="11" t="s">
        <v>27</v>
      </c>
      <c r="I1089" s="14" t="s">
        <v>675</v>
      </c>
      <c r="J1089" s="14" t="s">
        <v>879</v>
      </c>
      <c r="K1089" s="15" t="s">
        <v>47</v>
      </c>
      <c r="L1089" s="86" t="s">
        <v>1133</v>
      </c>
      <c r="M1089" s="14"/>
      <c r="N1089" s="14" t="s">
        <v>89</v>
      </c>
      <c r="O1089" s="14"/>
      <c r="P1089" s="15" t="s">
        <v>1134</v>
      </c>
      <c r="Q1089" s="16">
        <v>3399</v>
      </c>
      <c r="R1089" s="17">
        <v>45.05</v>
      </c>
      <c r="S1089" s="18">
        <v>2147.9354999999996</v>
      </c>
      <c r="T1089" s="19" t="s">
        <v>51</v>
      </c>
      <c r="U1089" s="20" t="s">
        <v>354</v>
      </c>
      <c r="V1089" s="21">
        <v>42</v>
      </c>
      <c r="W1089" s="21">
        <v>2</v>
      </c>
      <c r="X1089" s="22"/>
    </row>
    <row r="1090" spans="1:24" s="1" customFormat="1" ht="26.1" customHeight="1" x14ac:dyDescent="0.3">
      <c r="A1090" s="23" t="s">
        <v>784</v>
      </c>
      <c r="B1090" s="23" t="s">
        <v>1131</v>
      </c>
      <c r="C1090" s="12" t="s">
        <v>1132</v>
      </c>
      <c r="D1090" s="84"/>
      <c r="E1090" s="69" t="str">
        <f>HYPERLINK("https://www.google.ru/search?q=62GB1215-01&amp;newwindow=1&amp;tbm=isch","Еще фото")</f>
        <v>Еще фото</v>
      </c>
      <c r="F1090" s="13"/>
      <c r="G1090" s="23" t="s">
        <v>675</v>
      </c>
      <c r="H1090" s="23" t="s">
        <v>27</v>
      </c>
      <c r="I1090" s="23" t="s">
        <v>675</v>
      </c>
      <c r="J1090" s="14" t="s">
        <v>879</v>
      </c>
      <c r="K1090" s="15" t="s">
        <v>47</v>
      </c>
      <c r="L1090" s="87"/>
      <c r="M1090" s="14"/>
      <c r="N1090" s="14" t="s">
        <v>89</v>
      </c>
      <c r="O1090" s="14"/>
      <c r="P1090" s="15" t="s">
        <v>1134</v>
      </c>
      <c r="Q1090" s="16">
        <v>3399</v>
      </c>
      <c r="R1090" s="17">
        <v>45.05</v>
      </c>
      <c r="S1090" s="18">
        <v>2147.9354999999996</v>
      </c>
      <c r="T1090" s="19" t="s">
        <v>51</v>
      </c>
      <c r="U1090" s="20" t="s">
        <v>66</v>
      </c>
      <c r="V1090" s="21">
        <v>44</v>
      </c>
      <c r="W1090" s="21">
        <v>3</v>
      </c>
      <c r="X1090" s="22"/>
    </row>
    <row r="1091" spans="1:24" s="1" customFormat="1" ht="26.1" customHeight="1" x14ac:dyDescent="0.3">
      <c r="A1091" s="23" t="s">
        <v>784</v>
      </c>
      <c r="B1091" s="23" t="s">
        <v>1131</v>
      </c>
      <c r="C1091" s="12" t="s">
        <v>1132</v>
      </c>
      <c r="D1091" s="84"/>
      <c r="E1091" s="69" t="str">
        <f>HYPERLINK("https://www.google.ru/search?q=62GB1215-01&amp;newwindow=1&amp;tbm=isch","Еще фото")</f>
        <v>Еще фото</v>
      </c>
      <c r="F1091" s="13"/>
      <c r="G1091" s="23" t="s">
        <v>675</v>
      </c>
      <c r="H1091" s="23" t="s">
        <v>27</v>
      </c>
      <c r="I1091" s="23" t="s">
        <v>675</v>
      </c>
      <c r="J1091" s="14" t="s">
        <v>879</v>
      </c>
      <c r="K1091" s="15" t="s">
        <v>47</v>
      </c>
      <c r="L1091" s="87"/>
      <c r="M1091" s="14"/>
      <c r="N1091" s="14" t="s">
        <v>89</v>
      </c>
      <c r="O1091" s="14"/>
      <c r="P1091" s="15" t="s">
        <v>1134</v>
      </c>
      <c r="Q1091" s="16">
        <v>3399</v>
      </c>
      <c r="R1091" s="17">
        <v>45.05</v>
      </c>
      <c r="S1091" s="18">
        <v>2147.9354999999996</v>
      </c>
      <c r="T1091" s="19" t="s">
        <v>51</v>
      </c>
      <c r="U1091" s="20" t="s">
        <v>58</v>
      </c>
      <c r="V1091" s="21">
        <v>46</v>
      </c>
      <c r="W1091" s="21">
        <v>1</v>
      </c>
      <c r="X1091" s="22"/>
    </row>
    <row r="1092" spans="1:24" s="1" customFormat="1" ht="26.1" customHeight="1" x14ac:dyDescent="0.3">
      <c r="A1092" s="23" t="s">
        <v>784</v>
      </c>
      <c r="B1092" s="23" t="s">
        <v>1131</v>
      </c>
      <c r="C1092" s="12" t="s">
        <v>1132</v>
      </c>
      <c r="D1092" s="85"/>
      <c r="E1092" s="69" t="str">
        <f>HYPERLINK("https://www.google.ru/search?q=62GB1215-01&amp;newwindow=1&amp;tbm=isch","Еще фото")</f>
        <v>Еще фото</v>
      </c>
      <c r="F1092" s="13"/>
      <c r="G1092" s="23" t="s">
        <v>675</v>
      </c>
      <c r="H1092" s="23" t="s">
        <v>27</v>
      </c>
      <c r="I1092" s="23" t="s">
        <v>675</v>
      </c>
      <c r="J1092" s="14" t="s">
        <v>879</v>
      </c>
      <c r="K1092" s="15" t="s">
        <v>47</v>
      </c>
      <c r="L1092" s="88"/>
      <c r="M1092" s="14"/>
      <c r="N1092" s="14" t="s">
        <v>89</v>
      </c>
      <c r="O1092" s="14"/>
      <c r="P1092" s="15" t="s">
        <v>1134</v>
      </c>
      <c r="Q1092" s="16">
        <v>3399</v>
      </c>
      <c r="R1092" s="17">
        <v>45.05</v>
      </c>
      <c r="S1092" s="18">
        <v>2147.9354999999996</v>
      </c>
      <c r="T1092" s="19" t="s">
        <v>51</v>
      </c>
      <c r="U1092" s="20" t="s">
        <v>52</v>
      </c>
      <c r="V1092" s="25" t="s">
        <v>53</v>
      </c>
      <c r="W1092" s="21">
        <v>1</v>
      </c>
      <c r="X1092" s="22"/>
    </row>
    <row r="1093" spans="1:24" s="1" customFormat="1" ht="108" customHeight="1" x14ac:dyDescent="0.3">
      <c r="A1093" s="11" t="s">
        <v>784</v>
      </c>
      <c r="B1093" s="11" t="s">
        <v>1131</v>
      </c>
      <c r="C1093" s="12" t="s">
        <v>1135</v>
      </c>
      <c r="D1093" s="24"/>
      <c r="E1093" s="69" t="str">
        <f>HYPERLINK("https://www.google.ru/search?q=62GB1215-09&amp;newwindow=1&amp;tbm=isch","Еще фото")</f>
        <v>Еще фото</v>
      </c>
      <c r="F1093" s="13"/>
      <c r="G1093" s="11" t="s">
        <v>675</v>
      </c>
      <c r="H1093" s="11" t="s">
        <v>27</v>
      </c>
      <c r="I1093" s="14" t="s">
        <v>675</v>
      </c>
      <c r="J1093" s="14" t="s">
        <v>879</v>
      </c>
      <c r="K1093" s="15" t="s">
        <v>47</v>
      </c>
      <c r="L1093" s="14" t="s">
        <v>1133</v>
      </c>
      <c r="M1093" s="14"/>
      <c r="N1093" s="14" t="s">
        <v>49</v>
      </c>
      <c r="O1093" s="14"/>
      <c r="P1093" s="15" t="s">
        <v>1134</v>
      </c>
      <c r="Q1093" s="16">
        <v>3790</v>
      </c>
      <c r="R1093" s="17">
        <v>40</v>
      </c>
      <c r="S1093" s="18">
        <v>2615.1</v>
      </c>
      <c r="T1093" s="19" t="s">
        <v>51</v>
      </c>
      <c r="U1093" s="20" t="s">
        <v>66</v>
      </c>
      <c r="V1093" s="21">
        <v>44</v>
      </c>
      <c r="W1093" s="21">
        <v>1</v>
      </c>
      <c r="X1093" s="22"/>
    </row>
    <row r="1094" spans="1:24" s="1" customFormat="1" ht="26.1" customHeight="1" x14ac:dyDescent="0.3">
      <c r="A1094" s="11" t="s">
        <v>784</v>
      </c>
      <c r="B1094" s="11" t="s">
        <v>1136</v>
      </c>
      <c r="C1094" s="12" t="s">
        <v>1137</v>
      </c>
      <c r="D1094" s="83"/>
      <c r="E1094" s="69" t="str">
        <f>HYPERLINK("https://www.google.ru/search?q=62GB2201-13&amp;newwindow=1&amp;tbm=isch","Еще фото")</f>
        <v>Еще фото</v>
      </c>
      <c r="F1094" s="13"/>
      <c r="G1094" s="11" t="s">
        <v>714</v>
      </c>
      <c r="H1094" s="11" t="s">
        <v>27</v>
      </c>
      <c r="I1094" s="14" t="s">
        <v>697</v>
      </c>
      <c r="J1094" s="14" t="s">
        <v>879</v>
      </c>
      <c r="K1094" s="15" t="s">
        <v>47</v>
      </c>
      <c r="L1094" s="86" t="s">
        <v>1138</v>
      </c>
      <c r="M1094" s="14"/>
      <c r="N1094" s="14" t="s">
        <v>242</v>
      </c>
      <c r="O1094" s="14"/>
      <c r="P1094" s="15" t="s">
        <v>1139</v>
      </c>
      <c r="Q1094" s="16">
        <v>4490</v>
      </c>
      <c r="R1094" s="17">
        <v>56.4</v>
      </c>
      <c r="S1094" s="18">
        <v>2251.4354999999996</v>
      </c>
      <c r="T1094" s="19" t="s">
        <v>51</v>
      </c>
      <c r="U1094" s="20" t="s">
        <v>354</v>
      </c>
      <c r="V1094" s="21">
        <v>42</v>
      </c>
      <c r="W1094" s="21">
        <v>4</v>
      </c>
      <c r="X1094" s="22"/>
    </row>
    <row r="1095" spans="1:24" s="1" customFormat="1" ht="26.1" customHeight="1" x14ac:dyDescent="0.3">
      <c r="A1095" s="23" t="s">
        <v>784</v>
      </c>
      <c r="B1095" s="23" t="s">
        <v>1136</v>
      </c>
      <c r="C1095" s="12" t="s">
        <v>1137</v>
      </c>
      <c r="D1095" s="84"/>
      <c r="E1095" s="69" t="str">
        <f>HYPERLINK("https://www.google.ru/search?q=62GB2201-13&amp;newwindow=1&amp;tbm=isch","Еще фото")</f>
        <v>Еще фото</v>
      </c>
      <c r="F1095" s="13"/>
      <c r="G1095" s="23" t="s">
        <v>714</v>
      </c>
      <c r="H1095" s="23" t="s">
        <v>27</v>
      </c>
      <c r="I1095" s="23" t="s">
        <v>697</v>
      </c>
      <c r="J1095" s="14" t="s">
        <v>879</v>
      </c>
      <c r="K1095" s="15" t="s">
        <v>47</v>
      </c>
      <c r="L1095" s="87"/>
      <c r="M1095" s="14"/>
      <c r="N1095" s="14" t="s">
        <v>242</v>
      </c>
      <c r="O1095" s="14"/>
      <c r="P1095" s="15" t="s">
        <v>1139</v>
      </c>
      <c r="Q1095" s="16">
        <v>4490</v>
      </c>
      <c r="R1095" s="17">
        <v>56.4</v>
      </c>
      <c r="S1095" s="18">
        <v>2251.4354999999996</v>
      </c>
      <c r="T1095" s="19" t="s">
        <v>51</v>
      </c>
      <c r="U1095" s="20" t="s">
        <v>64</v>
      </c>
      <c r="V1095" s="25" t="s">
        <v>65</v>
      </c>
      <c r="W1095" s="21">
        <v>2</v>
      </c>
      <c r="X1095" s="22"/>
    </row>
    <row r="1096" spans="1:24" s="1" customFormat="1" ht="26.1" customHeight="1" x14ac:dyDescent="0.3">
      <c r="A1096" s="23" t="s">
        <v>784</v>
      </c>
      <c r="B1096" s="23" t="s">
        <v>1136</v>
      </c>
      <c r="C1096" s="12" t="s">
        <v>1137</v>
      </c>
      <c r="D1096" s="84"/>
      <c r="E1096" s="69" t="str">
        <f>HYPERLINK("https://www.google.ru/search?q=62GB2201-13&amp;newwindow=1&amp;tbm=isch","Еще фото")</f>
        <v>Еще фото</v>
      </c>
      <c r="F1096" s="13"/>
      <c r="G1096" s="23" t="s">
        <v>714</v>
      </c>
      <c r="H1096" s="23" t="s">
        <v>27</v>
      </c>
      <c r="I1096" s="23" t="s">
        <v>697</v>
      </c>
      <c r="J1096" s="14" t="s">
        <v>879</v>
      </c>
      <c r="K1096" s="15" t="s">
        <v>47</v>
      </c>
      <c r="L1096" s="87"/>
      <c r="M1096" s="14"/>
      <c r="N1096" s="14" t="s">
        <v>242</v>
      </c>
      <c r="O1096" s="14"/>
      <c r="P1096" s="15" t="s">
        <v>1139</v>
      </c>
      <c r="Q1096" s="16">
        <v>4490</v>
      </c>
      <c r="R1096" s="17">
        <v>56.4</v>
      </c>
      <c r="S1096" s="18">
        <v>2251.4354999999996</v>
      </c>
      <c r="T1096" s="19" t="s">
        <v>51</v>
      </c>
      <c r="U1096" s="20" t="s">
        <v>66</v>
      </c>
      <c r="V1096" s="21">
        <v>44</v>
      </c>
      <c r="W1096" s="21">
        <v>3</v>
      </c>
      <c r="X1096" s="22"/>
    </row>
    <row r="1097" spans="1:24" s="1" customFormat="1" ht="26.1" customHeight="1" x14ac:dyDescent="0.3">
      <c r="A1097" s="23" t="s">
        <v>784</v>
      </c>
      <c r="B1097" s="23" t="s">
        <v>1136</v>
      </c>
      <c r="C1097" s="12" t="s">
        <v>1137</v>
      </c>
      <c r="D1097" s="85"/>
      <c r="E1097" s="69" t="str">
        <f>HYPERLINK("https://www.google.ru/search?q=62GB2201-13&amp;newwindow=1&amp;tbm=isch","Еще фото")</f>
        <v>Еще фото</v>
      </c>
      <c r="F1097" s="13"/>
      <c r="G1097" s="23" t="s">
        <v>714</v>
      </c>
      <c r="H1097" s="23" t="s">
        <v>27</v>
      </c>
      <c r="I1097" s="23" t="s">
        <v>697</v>
      </c>
      <c r="J1097" s="14" t="s">
        <v>879</v>
      </c>
      <c r="K1097" s="15" t="s">
        <v>47</v>
      </c>
      <c r="L1097" s="88"/>
      <c r="M1097" s="14"/>
      <c r="N1097" s="14" t="s">
        <v>242</v>
      </c>
      <c r="O1097" s="14"/>
      <c r="P1097" s="15" t="s">
        <v>1139</v>
      </c>
      <c r="Q1097" s="16">
        <v>4490</v>
      </c>
      <c r="R1097" s="17">
        <v>56.4</v>
      </c>
      <c r="S1097" s="18">
        <v>2251.4354999999996</v>
      </c>
      <c r="T1097" s="19" t="s">
        <v>51</v>
      </c>
      <c r="U1097" s="20" t="s">
        <v>52</v>
      </c>
      <c r="V1097" s="25" t="s">
        <v>53</v>
      </c>
      <c r="W1097" s="21">
        <v>1</v>
      </c>
      <c r="X1097" s="22"/>
    </row>
    <row r="1098" spans="1:24" s="1" customFormat="1" ht="51.95" customHeight="1" x14ac:dyDescent="0.3">
      <c r="A1098" s="11" t="s">
        <v>784</v>
      </c>
      <c r="B1098" s="11" t="s">
        <v>1140</v>
      </c>
      <c r="C1098" s="12" t="s">
        <v>1141</v>
      </c>
      <c r="D1098" s="89"/>
      <c r="E1098" s="69" t="str">
        <f>HYPERLINK("https://www.google.ru/search?q=62GBA701-53&amp;newwindow=1&amp;tbm=isch","Еще фото")</f>
        <v>Еще фото</v>
      </c>
      <c r="F1098" s="13"/>
      <c r="G1098" s="11" t="s">
        <v>714</v>
      </c>
      <c r="H1098" s="11" t="s">
        <v>27</v>
      </c>
      <c r="I1098" s="14" t="s">
        <v>697</v>
      </c>
      <c r="J1098" s="14" t="s">
        <v>406</v>
      </c>
      <c r="K1098" s="15" t="s">
        <v>47</v>
      </c>
      <c r="L1098" s="86" t="s">
        <v>1142</v>
      </c>
      <c r="M1098" s="14"/>
      <c r="N1098" s="14" t="s">
        <v>275</v>
      </c>
      <c r="O1098" s="14"/>
      <c r="P1098" s="15" t="s">
        <v>1143</v>
      </c>
      <c r="Q1098" s="16">
        <v>4199</v>
      </c>
      <c r="R1098" s="17">
        <v>40</v>
      </c>
      <c r="S1098" s="18">
        <v>2897.31</v>
      </c>
      <c r="T1098" s="19" t="s">
        <v>51</v>
      </c>
      <c r="U1098" s="20" t="s">
        <v>64</v>
      </c>
      <c r="V1098" s="25" t="s">
        <v>65</v>
      </c>
      <c r="W1098" s="21">
        <v>1</v>
      </c>
      <c r="X1098" s="22"/>
    </row>
    <row r="1099" spans="1:24" s="1" customFormat="1" ht="60.95" customHeight="1" x14ac:dyDescent="0.3">
      <c r="A1099" s="23" t="s">
        <v>784</v>
      </c>
      <c r="B1099" s="23" t="s">
        <v>1140</v>
      </c>
      <c r="C1099" s="12" t="s">
        <v>1141</v>
      </c>
      <c r="D1099" s="90"/>
      <c r="E1099" s="69" t="str">
        <f>HYPERLINK("https://www.google.ru/search?q=62GBA701-53&amp;newwindow=1&amp;tbm=isch","Еще фото")</f>
        <v>Еще фото</v>
      </c>
      <c r="F1099" s="13"/>
      <c r="G1099" s="23" t="s">
        <v>714</v>
      </c>
      <c r="H1099" s="23" t="s">
        <v>27</v>
      </c>
      <c r="I1099" s="23" t="s">
        <v>697</v>
      </c>
      <c r="J1099" s="14" t="s">
        <v>406</v>
      </c>
      <c r="K1099" s="15" t="s">
        <v>47</v>
      </c>
      <c r="L1099" s="88"/>
      <c r="M1099" s="14"/>
      <c r="N1099" s="14" t="s">
        <v>275</v>
      </c>
      <c r="O1099" s="14"/>
      <c r="P1099" s="15" t="s">
        <v>1143</v>
      </c>
      <c r="Q1099" s="16">
        <v>4199</v>
      </c>
      <c r="R1099" s="17">
        <v>40</v>
      </c>
      <c r="S1099" s="18">
        <v>2897.31</v>
      </c>
      <c r="T1099" s="19" t="s">
        <v>51</v>
      </c>
      <c r="U1099" s="20" t="s">
        <v>66</v>
      </c>
      <c r="V1099" s="21">
        <v>44</v>
      </c>
      <c r="W1099" s="21">
        <v>2</v>
      </c>
      <c r="X1099" s="22"/>
    </row>
    <row r="1100" spans="1:24" s="1" customFormat="1" ht="108" customHeight="1" x14ac:dyDescent="0.3">
      <c r="A1100" s="11" t="s">
        <v>1144</v>
      </c>
      <c r="B1100" s="11" t="s">
        <v>1145</v>
      </c>
      <c r="C1100" s="12" t="s">
        <v>1146</v>
      </c>
      <c r="D1100" s="24"/>
      <c r="E1100" s="69" t="str">
        <f>HYPERLINK("https://www.google.ru/search?q=NF0A7ZYS3X4&amp;newwindow=1&amp;tbm=isch","Еще фото")</f>
        <v>Еще фото</v>
      </c>
      <c r="F1100" s="13"/>
      <c r="G1100" s="11" t="s">
        <v>28</v>
      </c>
      <c r="H1100" s="11" t="s">
        <v>27</v>
      </c>
      <c r="I1100" s="14" t="s">
        <v>28</v>
      </c>
      <c r="J1100" s="14" t="s">
        <v>29</v>
      </c>
      <c r="K1100" s="15" t="s">
        <v>55</v>
      </c>
      <c r="L1100" s="14" t="s">
        <v>1147</v>
      </c>
      <c r="M1100" s="14"/>
      <c r="N1100" s="14" t="s">
        <v>326</v>
      </c>
      <c r="O1100" s="14"/>
      <c r="P1100" s="15" t="s">
        <v>1148</v>
      </c>
      <c r="Q1100" s="16">
        <v>23699</v>
      </c>
      <c r="R1100" s="17">
        <v>46.41</v>
      </c>
      <c r="S1100" s="18">
        <v>14604.988499999999</v>
      </c>
      <c r="T1100" s="19" t="s">
        <v>328</v>
      </c>
      <c r="U1100" s="20" t="s">
        <v>66</v>
      </c>
      <c r="V1100" s="25" t="s">
        <v>53</v>
      </c>
      <c r="W1100" s="21">
        <v>1</v>
      </c>
      <c r="X1100" s="22"/>
    </row>
    <row r="1101" spans="1:24" s="1" customFormat="1" ht="35.1" customHeight="1" x14ac:dyDescent="0.3">
      <c r="A1101" s="11" t="s">
        <v>1144</v>
      </c>
      <c r="B1101" s="11" t="s">
        <v>1149</v>
      </c>
      <c r="C1101" s="12" t="s">
        <v>1150</v>
      </c>
      <c r="D1101" s="83"/>
      <c r="E1101" s="69" t="str">
        <f>HYPERLINK("https://www.google.ru/search?q=NF0A5A84JK3&amp;newwindow=1&amp;tbm=isch","Еще фото")</f>
        <v>Еще фото</v>
      </c>
      <c r="F1101" s="13"/>
      <c r="G1101" s="11" t="s">
        <v>307</v>
      </c>
      <c r="H1101" s="11" t="s">
        <v>27</v>
      </c>
      <c r="I1101" s="14" t="s">
        <v>308</v>
      </c>
      <c r="J1101" s="14" t="s">
        <v>29</v>
      </c>
      <c r="K1101" s="15" t="s">
        <v>55</v>
      </c>
      <c r="L1101" s="86" t="s">
        <v>1151</v>
      </c>
      <c r="M1101" s="14"/>
      <c r="N1101" s="14" t="s">
        <v>49</v>
      </c>
      <c r="O1101" s="14"/>
      <c r="P1101" s="15" t="s">
        <v>108</v>
      </c>
      <c r="Q1101" s="16">
        <v>53399</v>
      </c>
      <c r="R1101" s="17">
        <v>78.92</v>
      </c>
      <c r="S1101" s="18">
        <v>12946.4355</v>
      </c>
      <c r="T1101" s="19" t="s">
        <v>328</v>
      </c>
      <c r="U1101" s="20" t="s">
        <v>66</v>
      </c>
      <c r="V1101" s="25" t="s">
        <v>53</v>
      </c>
      <c r="W1101" s="21">
        <v>34</v>
      </c>
      <c r="X1101" s="22"/>
    </row>
    <row r="1102" spans="1:24" s="1" customFormat="1" ht="35.1" customHeight="1" x14ac:dyDescent="0.3">
      <c r="A1102" s="23" t="s">
        <v>1144</v>
      </c>
      <c r="B1102" s="23" t="s">
        <v>1149</v>
      </c>
      <c r="C1102" s="12" t="s">
        <v>1150</v>
      </c>
      <c r="D1102" s="84"/>
      <c r="E1102" s="69" t="str">
        <f>HYPERLINK("https://www.google.ru/search?q=NF0A5A84JK3&amp;newwindow=1&amp;tbm=isch","Еще фото")</f>
        <v>Еще фото</v>
      </c>
      <c r="F1102" s="13"/>
      <c r="G1102" s="23" t="s">
        <v>307</v>
      </c>
      <c r="H1102" s="23" t="s">
        <v>27</v>
      </c>
      <c r="I1102" s="23" t="s">
        <v>308</v>
      </c>
      <c r="J1102" s="14" t="s">
        <v>29</v>
      </c>
      <c r="K1102" s="15" t="s">
        <v>55</v>
      </c>
      <c r="L1102" s="87"/>
      <c r="M1102" s="14"/>
      <c r="N1102" s="14" t="s">
        <v>49</v>
      </c>
      <c r="O1102" s="14"/>
      <c r="P1102" s="15" t="s">
        <v>108</v>
      </c>
      <c r="Q1102" s="16">
        <v>53399</v>
      </c>
      <c r="R1102" s="17">
        <v>78.92</v>
      </c>
      <c r="S1102" s="18">
        <v>12946.4355</v>
      </c>
      <c r="T1102" s="19" t="s">
        <v>328</v>
      </c>
      <c r="U1102" s="20" t="s">
        <v>58</v>
      </c>
      <c r="V1102" s="25" t="s">
        <v>59</v>
      </c>
      <c r="W1102" s="21">
        <v>65</v>
      </c>
      <c r="X1102" s="22"/>
    </row>
    <row r="1103" spans="1:24" s="1" customFormat="1" ht="36.950000000000003" customHeight="1" x14ac:dyDescent="0.3">
      <c r="A1103" s="23" t="s">
        <v>1144</v>
      </c>
      <c r="B1103" s="23" t="s">
        <v>1149</v>
      </c>
      <c r="C1103" s="12" t="s">
        <v>1150</v>
      </c>
      <c r="D1103" s="85"/>
      <c r="E1103" s="69" t="str">
        <f>HYPERLINK("https://www.google.ru/search?q=NF0A5A84JK3&amp;newwindow=1&amp;tbm=isch","Еще фото")</f>
        <v>Еще фото</v>
      </c>
      <c r="F1103" s="13"/>
      <c r="G1103" s="23" t="s">
        <v>307</v>
      </c>
      <c r="H1103" s="23" t="s">
        <v>27</v>
      </c>
      <c r="I1103" s="23" t="s">
        <v>308</v>
      </c>
      <c r="J1103" s="14" t="s">
        <v>29</v>
      </c>
      <c r="K1103" s="15" t="s">
        <v>55</v>
      </c>
      <c r="L1103" s="88"/>
      <c r="M1103" s="14"/>
      <c r="N1103" s="14" t="s">
        <v>49</v>
      </c>
      <c r="O1103" s="14"/>
      <c r="P1103" s="15" t="s">
        <v>108</v>
      </c>
      <c r="Q1103" s="16">
        <v>53399</v>
      </c>
      <c r="R1103" s="17">
        <v>78.92</v>
      </c>
      <c r="S1103" s="18">
        <v>12946.4355</v>
      </c>
      <c r="T1103" s="19" t="s">
        <v>328</v>
      </c>
      <c r="U1103" s="20" t="s">
        <v>52</v>
      </c>
      <c r="V1103" s="25" t="s">
        <v>60</v>
      </c>
      <c r="W1103" s="21">
        <v>35</v>
      </c>
      <c r="X1103" s="22"/>
    </row>
    <row r="1104" spans="1:24" s="1" customFormat="1" ht="108" customHeight="1" x14ac:dyDescent="0.3">
      <c r="A1104" s="11" t="s">
        <v>1144</v>
      </c>
      <c r="B1104" s="11" t="s">
        <v>1152</v>
      </c>
      <c r="C1104" s="12" t="s">
        <v>1153</v>
      </c>
      <c r="D1104" s="24"/>
      <c r="E1104" s="69" t="str">
        <f>HYPERLINK("https://www.google.ru/search?q=NF0A3C8D78M&amp;newwindow=1&amp;tbm=isch","Еще фото")</f>
        <v>Еще фото</v>
      </c>
      <c r="F1104" s="13"/>
      <c r="G1104" s="11" t="s">
        <v>307</v>
      </c>
      <c r="H1104" s="11" t="s">
        <v>27</v>
      </c>
      <c r="I1104" s="14" t="s">
        <v>308</v>
      </c>
      <c r="J1104" s="14" t="s">
        <v>29</v>
      </c>
      <c r="K1104" s="15" t="s">
        <v>55</v>
      </c>
      <c r="L1104" s="14" t="s">
        <v>1154</v>
      </c>
      <c r="M1104" s="14"/>
      <c r="N1104" s="14" t="s">
        <v>313</v>
      </c>
      <c r="O1104" s="14"/>
      <c r="P1104" s="15" t="s">
        <v>1155</v>
      </c>
      <c r="Q1104" s="16">
        <v>54999</v>
      </c>
      <c r="R1104" s="17">
        <v>46</v>
      </c>
      <c r="S1104" s="18">
        <v>34154.378999999994</v>
      </c>
      <c r="T1104" s="19" t="s">
        <v>328</v>
      </c>
      <c r="U1104" s="20" t="s">
        <v>58</v>
      </c>
      <c r="V1104" s="25" t="s">
        <v>59</v>
      </c>
      <c r="W1104" s="21">
        <v>2</v>
      </c>
      <c r="X1104" s="22"/>
    </row>
    <row r="1105" spans="1:24" s="1" customFormat="1" ht="21" customHeight="1" x14ac:dyDescent="0.3">
      <c r="A1105" s="11" t="s">
        <v>1144</v>
      </c>
      <c r="B1105" s="11" t="s">
        <v>1156</v>
      </c>
      <c r="C1105" s="27" t="s">
        <v>1157</v>
      </c>
      <c r="D1105" s="83"/>
      <c r="E1105" s="69" t="str">
        <f>HYPERLINK("https://www.google.ru/search?q=NF0A3C8DDCO&amp;newwindow=1&amp;tbm=isch","Еще фото")</f>
        <v>Еще фото</v>
      </c>
      <c r="F1105" s="13"/>
      <c r="G1105" s="11" t="s">
        <v>307</v>
      </c>
      <c r="H1105" s="11" t="s">
        <v>27</v>
      </c>
      <c r="I1105" s="14" t="s">
        <v>308</v>
      </c>
      <c r="J1105" s="14" t="s">
        <v>29</v>
      </c>
      <c r="K1105" s="15" t="s">
        <v>55</v>
      </c>
      <c r="L1105" s="86"/>
      <c r="M1105" s="14"/>
      <c r="N1105" s="14" t="s">
        <v>49</v>
      </c>
      <c r="O1105" s="14"/>
      <c r="P1105" s="15" t="s">
        <v>1158</v>
      </c>
      <c r="Q1105" s="16">
        <v>49299</v>
      </c>
      <c r="R1105" s="17">
        <v>46</v>
      </c>
      <c r="S1105" s="18">
        <v>30614.678999999996</v>
      </c>
      <c r="T1105" s="19" t="s">
        <v>328</v>
      </c>
      <c r="U1105" s="20" t="s">
        <v>64</v>
      </c>
      <c r="V1105" s="25" t="s">
        <v>68</v>
      </c>
      <c r="W1105" s="21">
        <v>2</v>
      </c>
      <c r="X1105" s="22"/>
    </row>
    <row r="1106" spans="1:24" s="1" customFormat="1" ht="21" customHeight="1" x14ac:dyDescent="0.3">
      <c r="A1106" s="23" t="s">
        <v>1144</v>
      </c>
      <c r="B1106" s="23" t="s">
        <v>1156</v>
      </c>
      <c r="C1106" s="28" t="s">
        <v>1157</v>
      </c>
      <c r="D1106" s="84"/>
      <c r="E1106" s="69" t="str">
        <f>HYPERLINK("https://www.google.ru/search?q=NF0A3C8DDCO&amp;newwindow=1&amp;tbm=isch","Еще фото")</f>
        <v>Еще фото</v>
      </c>
      <c r="F1106" s="13"/>
      <c r="G1106" s="23" t="s">
        <v>307</v>
      </c>
      <c r="H1106" s="23" t="s">
        <v>27</v>
      </c>
      <c r="I1106" s="23" t="s">
        <v>308</v>
      </c>
      <c r="J1106" s="14" t="s">
        <v>29</v>
      </c>
      <c r="K1106" s="15" t="s">
        <v>55</v>
      </c>
      <c r="L1106" s="87"/>
      <c r="M1106" s="14"/>
      <c r="N1106" s="14" t="s">
        <v>49</v>
      </c>
      <c r="O1106" s="14"/>
      <c r="P1106" s="15" t="s">
        <v>1158</v>
      </c>
      <c r="Q1106" s="16">
        <v>49299</v>
      </c>
      <c r="R1106" s="17">
        <v>46</v>
      </c>
      <c r="S1106" s="18">
        <v>30614.678999999996</v>
      </c>
      <c r="T1106" s="19" t="s">
        <v>328</v>
      </c>
      <c r="U1106" s="20" t="s">
        <v>66</v>
      </c>
      <c r="V1106" s="25" t="s">
        <v>53</v>
      </c>
      <c r="W1106" s="21">
        <v>4</v>
      </c>
      <c r="X1106" s="22"/>
    </row>
    <row r="1107" spans="1:24" s="1" customFormat="1" ht="21" customHeight="1" x14ac:dyDescent="0.3">
      <c r="A1107" s="23" t="s">
        <v>1144</v>
      </c>
      <c r="B1107" s="23" t="s">
        <v>1156</v>
      </c>
      <c r="C1107" s="28" t="s">
        <v>1157</v>
      </c>
      <c r="D1107" s="84"/>
      <c r="E1107" s="69" t="str">
        <f>HYPERLINK("https://www.google.ru/search?q=NF0A3C8DDCO&amp;newwindow=1&amp;tbm=isch","Еще фото")</f>
        <v>Еще фото</v>
      </c>
      <c r="F1107" s="13"/>
      <c r="G1107" s="23" t="s">
        <v>307</v>
      </c>
      <c r="H1107" s="23" t="s">
        <v>27</v>
      </c>
      <c r="I1107" s="23" t="s">
        <v>308</v>
      </c>
      <c r="J1107" s="14" t="s">
        <v>29</v>
      </c>
      <c r="K1107" s="15" t="s">
        <v>55</v>
      </c>
      <c r="L1107" s="87"/>
      <c r="M1107" s="14"/>
      <c r="N1107" s="14" t="s">
        <v>49</v>
      </c>
      <c r="O1107" s="14"/>
      <c r="P1107" s="15" t="s">
        <v>1158</v>
      </c>
      <c r="Q1107" s="16">
        <v>49299</v>
      </c>
      <c r="R1107" s="17">
        <v>46</v>
      </c>
      <c r="S1107" s="18">
        <v>30614.678999999996</v>
      </c>
      <c r="T1107" s="19" t="s">
        <v>328</v>
      </c>
      <c r="U1107" s="20" t="s">
        <v>58</v>
      </c>
      <c r="V1107" s="25" t="s">
        <v>59</v>
      </c>
      <c r="W1107" s="21">
        <v>5</v>
      </c>
      <c r="X1107" s="22"/>
    </row>
    <row r="1108" spans="1:24" s="1" customFormat="1" ht="21" customHeight="1" x14ac:dyDescent="0.3">
      <c r="A1108" s="23" t="s">
        <v>1144</v>
      </c>
      <c r="B1108" s="23" t="s">
        <v>1156</v>
      </c>
      <c r="C1108" s="28" t="s">
        <v>1157</v>
      </c>
      <c r="D1108" s="84"/>
      <c r="E1108" s="69" t="str">
        <f>HYPERLINK("https://www.google.ru/search?q=NF0A3C8DDCO&amp;newwindow=1&amp;tbm=isch","Еще фото")</f>
        <v>Еще фото</v>
      </c>
      <c r="F1108" s="13"/>
      <c r="G1108" s="23" t="s">
        <v>307</v>
      </c>
      <c r="H1108" s="23" t="s">
        <v>27</v>
      </c>
      <c r="I1108" s="23" t="s">
        <v>308</v>
      </c>
      <c r="J1108" s="14" t="s">
        <v>29</v>
      </c>
      <c r="K1108" s="15" t="s">
        <v>55</v>
      </c>
      <c r="L1108" s="87"/>
      <c r="M1108" s="14"/>
      <c r="N1108" s="14" t="s">
        <v>49</v>
      </c>
      <c r="O1108" s="14"/>
      <c r="P1108" s="15" t="s">
        <v>1158</v>
      </c>
      <c r="Q1108" s="16">
        <v>49299</v>
      </c>
      <c r="R1108" s="17">
        <v>46</v>
      </c>
      <c r="S1108" s="18">
        <v>30614.678999999996</v>
      </c>
      <c r="T1108" s="19" t="s">
        <v>328</v>
      </c>
      <c r="U1108" s="20" t="s">
        <v>52</v>
      </c>
      <c r="V1108" s="25" t="s">
        <v>60</v>
      </c>
      <c r="W1108" s="21">
        <v>3</v>
      </c>
      <c r="X1108" s="22"/>
    </row>
    <row r="1109" spans="1:24" s="1" customFormat="1" ht="32.1" customHeight="1" x14ac:dyDescent="0.3">
      <c r="A1109" s="23" t="s">
        <v>1144</v>
      </c>
      <c r="B1109" s="23" t="s">
        <v>1156</v>
      </c>
      <c r="C1109" s="28" t="s">
        <v>1157</v>
      </c>
      <c r="D1109" s="85"/>
      <c r="E1109" s="69" t="str">
        <f>HYPERLINK("https://www.google.ru/search?q=NF0A3C8DDCO&amp;newwindow=1&amp;tbm=isch","Еще фото")</f>
        <v>Еще фото</v>
      </c>
      <c r="F1109" s="13"/>
      <c r="G1109" s="23" t="s">
        <v>307</v>
      </c>
      <c r="H1109" s="23" t="s">
        <v>27</v>
      </c>
      <c r="I1109" s="23" t="s">
        <v>308</v>
      </c>
      <c r="J1109" s="14" t="s">
        <v>29</v>
      </c>
      <c r="K1109" s="15" t="s">
        <v>55</v>
      </c>
      <c r="L1109" s="88"/>
      <c r="M1109" s="14"/>
      <c r="N1109" s="14" t="s">
        <v>49</v>
      </c>
      <c r="O1109" s="14"/>
      <c r="P1109" s="15" t="s">
        <v>1158</v>
      </c>
      <c r="Q1109" s="16">
        <v>49299</v>
      </c>
      <c r="R1109" s="17">
        <v>46</v>
      </c>
      <c r="S1109" s="18">
        <v>30614.678999999996</v>
      </c>
      <c r="T1109" s="19" t="s">
        <v>328</v>
      </c>
      <c r="U1109" s="20" t="s">
        <v>596</v>
      </c>
      <c r="V1109" s="25" t="s">
        <v>1159</v>
      </c>
      <c r="W1109" s="21">
        <v>1</v>
      </c>
      <c r="X1109" s="22"/>
    </row>
    <row r="1110" spans="1:24" s="1" customFormat="1" ht="21" customHeight="1" x14ac:dyDescent="0.3">
      <c r="A1110" s="11" t="s">
        <v>1144</v>
      </c>
      <c r="B1110" s="11" t="s">
        <v>1160</v>
      </c>
      <c r="C1110" s="27" t="s">
        <v>1161</v>
      </c>
      <c r="D1110" s="83"/>
      <c r="E1110" s="69" t="str">
        <f>HYPERLINK("https://www.google.ru/search?q=NF0A3C8DGO8&amp;newwindow=1&amp;tbm=isch","Еще фото")</f>
        <v>Еще фото</v>
      </c>
      <c r="F1110" s="13"/>
      <c r="G1110" s="11" t="s">
        <v>307</v>
      </c>
      <c r="H1110" s="11" t="s">
        <v>27</v>
      </c>
      <c r="I1110" s="14" t="s">
        <v>308</v>
      </c>
      <c r="J1110" s="14" t="s">
        <v>29</v>
      </c>
      <c r="K1110" s="15" t="s">
        <v>55</v>
      </c>
      <c r="L1110" s="86"/>
      <c r="M1110" s="14"/>
      <c r="N1110" s="14" t="s">
        <v>313</v>
      </c>
      <c r="O1110" s="14"/>
      <c r="P1110" s="15" t="s">
        <v>1158</v>
      </c>
      <c r="Q1110" s="16">
        <v>49299</v>
      </c>
      <c r="R1110" s="17">
        <v>46</v>
      </c>
      <c r="S1110" s="18">
        <v>30614.678999999996</v>
      </c>
      <c r="T1110" s="19" t="s">
        <v>328</v>
      </c>
      <c r="U1110" s="20" t="s">
        <v>64</v>
      </c>
      <c r="V1110" s="25" t="s">
        <v>68</v>
      </c>
      <c r="W1110" s="21">
        <v>3</v>
      </c>
      <c r="X1110" s="22"/>
    </row>
    <row r="1111" spans="1:24" s="1" customFormat="1" ht="21" customHeight="1" x14ac:dyDescent="0.3">
      <c r="A1111" s="23" t="s">
        <v>1144</v>
      </c>
      <c r="B1111" s="23" t="s">
        <v>1160</v>
      </c>
      <c r="C1111" s="28" t="s">
        <v>1161</v>
      </c>
      <c r="D1111" s="84"/>
      <c r="E1111" s="69" t="str">
        <f>HYPERLINK("https://www.google.ru/search?q=NF0A3C8DGO8&amp;newwindow=1&amp;tbm=isch","Еще фото")</f>
        <v>Еще фото</v>
      </c>
      <c r="F1111" s="13"/>
      <c r="G1111" s="23" t="s">
        <v>307</v>
      </c>
      <c r="H1111" s="23" t="s">
        <v>27</v>
      </c>
      <c r="I1111" s="23" t="s">
        <v>308</v>
      </c>
      <c r="J1111" s="14" t="s">
        <v>29</v>
      </c>
      <c r="K1111" s="15" t="s">
        <v>55</v>
      </c>
      <c r="L1111" s="87"/>
      <c r="M1111" s="14"/>
      <c r="N1111" s="14" t="s">
        <v>313</v>
      </c>
      <c r="O1111" s="14"/>
      <c r="P1111" s="15" t="s">
        <v>1158</v>
      </c>
      <c r="Q1111" s="16">
        <v>49299</v>
      </c>
      <c r="R1111" s="17">
        <v>46</v>
      </c>
      <c r="S1111" s="18">
        <v>30614.678999999996</v>
      </c>
      <c r="T1111" s="19" t="s">
        <v>328</v>
      </c>
      <c r="U1111" s="20" t="s">
        <v>66</v>
      </c>
      <c r="V1111" s="25" t="s">
        <v>53</v>
      </c>
      <c r="W1111" s="21">
        <v>7</v>
      </c>
      <c r="X1111" s="22"/>
    </row>
    <row r="1112" spans="1:24" s="1" customFormat="1" ht="21" customHeight="1" x14ac:dyDescent="0.3">
      <c r="A1112" s="23" t="s">
        <v>1144</v>
      </c>
      <c r="B1112" s="23" t="s">
        <v>1160</v>
      </c>
      <c r="C1112" s="28" t="s">
        <v>1161</v>
      </c>
      <c r="D1112" s="84"/>
      <c r="E1112" s="69" t="str">
        <f>HYPERLINK("https://www.google.ru/search?q=NF0A3C8DGO8&amp;newwindow=1&amp;tbm=isch","Еще фото")</f>
        <v>Еще фото</v>
      </c>
      <c r="F1112" s="13"/>
      <c r="G1112" s="23" t="s">
        <v>307</v>
      </c>
      <c r="H1112" s="23" t="s">
        <v>27</v>
      </c>
      <c r="I1112" s="23" t="s">
        <v>308</v>
      </c>
      <c r="J1112" s="14" t="s">
        <v>29</v>
      </c>
      <c r="K1112" s="15" t="s">
        <v>55</v>
      </c>
      <c r="L1112" s="87"/>
      <c r="M1112" s="14"/>
      <c r="N1112" s="14" t="s">
        <v>313</v>
      </c>
      <c r="O1112" s="14"/>
      <c r="P1112" s="15" t="s">
        <v>1158</v>
      </c>
      <c r="Q1112" s="16">
        <v>49299</v>
      </c>
      <c r="R1112" s="17">
        <v>46</v>
      </c>
      <c r="S1112" s="18">
        <v>30614.678999999996</v>
      </c>
      <c r="T1112" s="19" t="s">
        <v>328</v>
      </c>
      <c r="U1112" s="20" t="s">
        <v>58</v>
      </c>
      <c r="V1112" s="25" t="s">
        <v>59</v>
      </c>
      <c r="W1112" s="21">
        <v>8</v>
      </c>
      <c r="X1112" s="22"/>
    </row>
    <row r="1113" spans="1:24" s="1" customFormat="1" ht="21" customHeight="1" x14ac:dyDescent="0.3">
      <c r="A1113" s="23" t="s">
        <v>1144</v>
      </c>
      <c r="B1113" s="23" t="s">
        <v>1160</v>
      </c>
      <c r="C1113" s="28" t="s">
        <v>1161</v>
      </c>
      <c r="D1113" s="84"/>
      <c r="E1113" s="69" t="str">
        <f>HYPERLINK("https://www.google.ru/search?q=NF0A3C8DGO8&amp;newwindow=1&amp;tbm=isch","Еще фото")</f>
        <v>Еще фото</v>
      </c>
      <c r="F1113" s="13"/>
      <c r="G1113" s="23" t="s">
        <v>307</v>
      </c>
      <c r="H1113" s="23" t="s">
        <v>27</v>
      </c>
      <c r="I1113" s="23" t="s">
        <v>308</v>
      </c>
      <c r="J1113" s="14" t="s">
        <v>29</v>
      </c>
      <c r="K1113" s="15" t="s">
        <v>55</v>
      </c>
      <c r="L1113" s="87"/>
      <c r="M1113" s="14"/>
      <c r="N1113" s="14" t="s">
        <v>313</v>
      </c>
      <c r="O1113" s="14"/>
      <c r="P1113" s="15" t="s">
        <v>1158</v>
      </c>
      <c r="Q1113" s="16">
        <v>49299</v>
      </c>
      <c r="R1113" s="17">
        <v>46</v>
      </c>
      <c r="S1113" s="18">
        <v>30614.678999999996</v>
      </c>
      <c r="T1113" s="19" t="s">
        <v>328</v>
      </c>
      <c r="U1113" s="20" t="s">
        <v>52</v>
      </c>
      <c r="V1113" s="25" t="s">
        <v>60</v>
      </c>
      <c r="W1113" s="21">
        <v>4</v>
      </c>
      <c r="X1113" s="22"/>
    </row>
    <row r="1114" spans="1:24" s="1" customFormat="1" ht="32.1" customHeight="1" x14ac:dyDescent="0.3">
      <c r="A1114" s="23" t="s">
        <v>1144</v>
      </c>
      <c r="B1114" s="23" t="s">
        <v>1160</v>
      </c>
      <c r="C1114" s="28" t="s">
        <v>1161</v>
      </c>
      <c r="D1114" s="85"/>
      <c r="E1114" s="69" t="str">
        <f>HYPERLINK("https://www.google.ru/search?q=NF0A3C8DGO8&amp;newwindow=1&amp;tbm=isch","Еще фото")</f>
        <v>Еще фото</v>
      </c>
      <c r="F1114" s="13"/>
      <c r="G1114" s="23" t="s">
        <v>307</v>
      </c>
      <c r="H1114" s="23" t="s">
        <v>27</v>
      </c>
      <c r="I1114" s="23" t="s">
        <v>308</v>
      </c>
      <c r="J1114" s="14" t="s">
        <v>29</v>
      </c>
      <c r="K1114" s="15" t="s">
        <v>55</v>
      </c>
      <c r="L1114" s="88"/>
      <c r="M1114" s="14"/>
      <c r="N1114" s="14" t="s">
        <v>313</v>
      </c>
      <c r="O1114" s="14"/>
      <c r="P1114" s="15" t="s">
        <v>1158</v>
      </c>
      <c r="Q1114" s="16">
        <v>49299</v>
      </c>
      <c r="R1114" s="17">
        <v>46</v>
      </c>
      <c r="S1114" s="18">
        <v>30614.678999999996</v>
      </c>
      <c r="T1114" s="19" t="s">
        <v>328</v>
      </c>
      <c r="U1114" s="20" t="s">
        <v>596</v>
      </c>
      <c r="V1114" s="25" t="s">
        <v>1159</v>
      </c>
      <c r="W1114" s="21">
        <v>2</v>
      </c>
      <c r="X1114" s="22"/>
    </row>
    <row r="1115" spans="1:24" s="1" customFormat="1" ht="108" customHeight="1" x14ac:dyDescent="0.3">
      <c r="A1115" s="11" t="s">
        <v>1144</v>
      </c>
      <c r="B1115" s="11" t="s">
        <v>1162</v>
      </c>
      <c r="C1115" s="12" t="s">
        <v>1163</v>
      </c>
      <c r="D1115" s="24"/>
      <c r="E1115" s="69" t="str">
        <f>HYPERLINK("https://www.google.ru/search?q=NF0A3C8DGOE&amp;newwindow=1&amp;tbm=isch","Еще фото")</f>
        <v>Еще фото</v>
      </c>
      <c r="F1115" s="13"/>
      <c r="G1115" s="11" t="s">
        <v>307</v>
      </c>
      <c r="H1115" s="11" t="s">
        <v>27</v>
      </c>
      <c r="I1115" s="14" t="s">
        <v>308</v>
      </c>
      <c r="J1115" s="14" t="s">
        <v>1164</v>
      </c>
      <c r="K1115" s="15" t="s">
        <v>55</v>
      </c>
      <c r="L1115" s="14" t="s">
        <v>1154</v>
      </c>
      <c r="M1115" s="14"/>
      <c r="N1115" s="14" t="s">
        <v>49</v>
      </c>
      <c r="O1115" s="14"/>
      <c r="P1115" s="15" t="s">
        <v>1165</v>
      </c>
      <c r="Q1115" s="16">
        <v>53099</v>
      </c>
      <c r="R1115" s="17">
        <v>46</v>
      </c>
      <c r="S1115" s="18">
        <v>32974.478999999999</v>
      </c>
      <c r="T1115" s="19" t="s">
        <v>328</v>
      </c>
      <c r="U1115" s="20" t="s">
        <v>66</v>
      </c>
      <c r="V1115" s="25" t="s">
        <v>53</v>
      </c>
      <c r="W1115" s="21">
        <v>1</v>
      </c>
      <c r="X1115" s="22"/>
    </row>
    <row r="1116" spans="1:24" s="1" customFormat="1" ht="21" customHeight="1" x14ac:dyDescent="0.3">
      <c r="A1116" s="11" t="s">
        <v>1144</v>
      </c>
      <c r="B1116" s="11" t="s">
        <v>1166</v>
      </c>
      <c r="C1116" s="27" t="s">
        <v>1167</v>
      </c>
      <c r="D1116" s="83"/>
      <c r="E1116" s="69" t="str">
        <f>HYPERLINK("https://www.google.ru/search?q=NF0A3XEO1KI&amp;newwindow=1&amp;tbm=isch","Еще фото")</f>
        <v>Еще фото</v>
      </c>
      <c r="F1116" s="13"/>
      <c r="G1116" s="11" t="s">
        <v>307</v>
      </c>
      <c r="H1116" s="11" t="s">
        <v>27</v>
      </c>
      <c r="I1116" s="14" t="s">
        <v>308</v>
      </c>
      <c r="J1116" s="14" t="s">
        <v>1164</v>
      </c>
      <c r="K1116" s="15" t="s">
        <v>47</v>
      </c>
      <c r="L1116" s="86"/>
      <c r="M1116" s="14"/>
      <c r="N1116" s="14" t="s">
        <v>242</v>
      </c>
      <c r="O1116" s="14"/>
      <c r="P1116" s="15" t="s">
        <v>1155</v>
      </c>
      <c r="Q1116" s="16">
        <v>53099</v>
      </c>
      <c r="R1116" s="17">
        <v>46</v>
      </c>
      <c r="S1116" s="18">
        <v>32974.478999999999</v>
      </c>
      <c r="T1116" s="19" t="s">
        <v>328</v>
      </c>
      <c r="U1116" s="20" t="s">
        <v>354</v>
      </c>
      <c r="V1116" s="25" t="s">
        <v>355</v>
      </c>
      <c r="W1116" s="21">
        <v>2</v>
      </c>
      <c r="X1116" s="22"/>
    </row>
    <row r="1117" spans="1:24" s="1" customFormat="1" ht="21" customHeight="1" x14ac:dyDescent="0.3">
      <c r="A1117" s="23" t="s">
        <v>1144</v>
      </c>
      <c r="B1117" s="23" t="s">
        <v>1166</v>
      </c>
      <c r="C1117" s="28" t="s">
        <v>1167</v>
      </c>
      <c r="D1117" s="84"/>
      <c r="E1117" s="69" t="str">
        <f>HYPERLINK("https://www.google.ru/search?q=NF0A3XEO1KI&amp;newwindow=1&amp;tbm=isch","Еще фото")</f>
        <v>Еще фото</v>
      </c>
      <c r="F1117" s="13"/>
      <c r="G1117" s="23" t="s">
        <v>307</v>
      </c>
      <c r="H1117" s="23" t="s">
        <v>27</v>
      </c>
      <c r="I1117" s="23" t="s">
        <v>308</v>
      </c>
      <c r="J1117" s="14" t="s">
        <v>1164</v>
      </c>
      <c r="K1117" s="15" t="s">
        <v>47</v>
      </c>
      <c r="L1117" s="87"/>
      <c r="M1117" s="14"/>
      <c r="N1117" s="14" t="s">
        <v>242</v>
      </c>
      <c r="O1117" s="14"/>
      <c r="P1117" s="15" t="s">
        <v>1155</v>
      </c>
      <c r="Q1117" s="16">
        <v>53099</v>
      </c>
      <c r="R1117" s="17">
        <v>46</v>
      </c>
      <c r="S1117" s="18">
        <v>32974.478999999999</v>
      </c>
      <c r="T1117" s="19" t="s">
        <v>328</v>
      </c>
      <c r="U1117" s="20" t="s">
        <v>64</v>
      </c>
      <c r="V1117" s="25" t="s">
        <v>65</v>
      </c>
      <c r="W1117" s="21">
        <v>5</v>
      </c>
      <c r="X1117" s="22"/>
    </row>
    <row r="1118" spans="1:24" s="1" customFormat="1" ht="21" customHeight="1" x14ac:dyDescent="0.3">
      <c r="A1118" s="23" t="s">
        <v>1144</v>
      </c>
      <c r="B1118" s="23" t="s">
        <v>1166</v>
      </c>
      <c r="C1118" s="28" t="s">
        <v>1167</v>
      </c>
      <c r="D1118" s="84"/>
      <c r="E1118" s="69" t="str">
        <f>HYPERLINK("https://www.google.ru/search?q=NF0A3XEO1KI&amp;newwindow=1&amp;tbm=isch","Еще фото")</f>
        <v>Еще фото</v>
      </c>
      <c r="F1118" s="13"/>
      <c r="G1118" s="23" t="s">
        <v>307</v>
      </c>
      <c r="H1118" s="23" t="s">
        <v>27</v>
      </c>
      <c r="I1118" s="23" t="s">
        <v>308</v>
      </c>
      <c r="J1118" s="14" t="s">
        <v>1164</v>
      </c>
      <c r="K1118" s="15" t="s">
        <v>47</v>
      </c>
      <c r="L1118" s="87"/>
      <c r="M1118" s="14"/>
      <c r="N1118" s="14" t="s">
        <v>242</v>
      </c>
      <c r="O1118" s="14"/>
      <c r="P1118" s="15" t="s">
        <v>1155</v>
      </c>
      <c r="Q1118" s="16">
        <v>53099</v>
      </c>
      <c r="R1118" s="17">
        <v>46</v>
      </c>
      <c r="S1118" s="18">
        <v>32974.478999999999</v>
      </c>
      <c r="T1118" s="19" t="s">
        <v>328</v>
      </c>
      <c r="U1118" s="20" t="s">
        <v>66</v>
      </c>
      <c r="V1118" s="25" t="s">
        <v>67</v>
      </c>
      <c r="W1118" s="21">
        <v>1</v>
      </c>
      <c r="X1118" s="22"/>
    </row>
    <row r="1119" spans="1:24" s="1" customFormat="1" ht="21" customHeight="1" x14ac:dyDescent="0.3">
      <c r="A1119" s="23" t="s">
        <v>1144</v>
      </c>
      <c r="B1119" s="23" t="s">
        <v>1166</v>
      </c>
      <c r="C1119" s="28" t="s">
        <v>1167</v>
      </c>
      <c r="D1119" s="84"/>
      <c r="E1119" s="69" t="str">
        <f>HYPERLINK("https://www.google.ru/search?q=NF0A3XEO1KI&amp;newwindow=1&amp;tbm=isch","Еще фото")</f>
        <v>Еще фото</v>
      </c>
      <c r="F1119" s="13"/>
      <c r="G1119" s="23" t="s">
        <v>307</v>
      </c>
      <c r="H1119" s="23" t="s">
        <v>27</v>
      </c>
      <c r="I1119" s="23" t="s">
        <v>308</v>
      </c>
      <c r="J1119" s="14" t="s">
        <v>1164</v>
      </c>
      <c r="K1119" s="15" t="s">
        <v>47</v>
      </c>
      <c r="L1119" s="87"/>
      <c r="M1119" s="14"/>
      <c r="N1119" s="14" t="s">
        <v>242</v>
      </c>
      <c r="O1119" s="14"/>
      <c r="P1119" s="15" t="s">
        <v>1155</v>
      </c>
      <c r="Q1119" s="16">
        <v>53099</v>
      </c>
      <c r="R1119" s="17">
        <v>46</v>
      </c>
      <c r="S1119" s="18">
        <v>32974.478999999999</v>
      </c>
      <c r="T1119" s="19" t="s">
        <v>328</v>
      </c>
      <c r="U1119" s="20" t="s">
        <v>58</v>
      </c>
      <c r="V1119" s="25" t="s">
        <v>68</v>
      </c>
      <c r="W1119" s="21">
        <v>4</v>
      </c>
      <c r="X1119" s="22"/>
    </row>
    <row r="1120" spans="1:24" s="1" customFormat="1" ht="32.1" customHeight="1" x14ac:dyDescent="0.3">
      <c r="A1120" s="23" t="s">
        <v>1144</v>
      </c>
      <c r="B1120" s="23" t="s">
        <v>1166</v>
      </c>
      <c r="C1120" s="28" t="s">
        <v>1167</v>
      </c>
      <c r="D1120" s="85"/>
      <c r="E1120" s="69" t="str">
        <f>HYPERLINK("https://www.google.ru/search?q=NF0A3XEO1KI&amp;newwindow=1&amp;tbm=isch","Еще фото")</f>
        <v>Еще фото</v>
      </c>
      <c r="F1120" s="13"/>
      <c r="G1120" s="23" t="s">
        <v>307</v>
      </c>
      <c r="H1120" s="23" t="s">
        <v>27</v>
      </c>
      <c r="I1120" s="23" t="s">
        <v>308</v>
      </c>
      <c r="J1120" s="14" t="s">
        <v>1164</v>
      </c>
      <c r="K1120" s="15" t="s">
        <v>47</v>
      </c>
      <c r="L1120" s="88"/>
      <c r="M1120" s="14"/>
      <c r="N1120" s="14" t="s">
        <v>242</v>
      </c>
      <c r="O1120" s="14"/>
      <c r="P1120" s="15" t="s">
        <v>1155</v>
      </c>
      <c r="Q1120" s="16">
        <v>53099</v>
      </c>
      <c r="R1120" s="17">
        <v>46</v>
      </c>
      <c r="S1120" s="18">
        <v>32974.478999999999</v>
      </c>
      <c r="T1120" s="19" t="s">
        <v>328</v>
      </c>
      <c r="U1120" s="20" t="s">
        <v>52</v>
      </c>
      <c r="V1120" s="25" t="s">
        <v>53</v>
      </c>
      <c r="W1120" s="21">
        <v>1</v>
      </c>
      <c r="X1120" s="22"/>
    </row>
    <row r="1121" spans="1:24" s="1" customFormat="1" ht="26.1" customHeight="1" x14ac:dyDescent="0.3">
      <c r="A1121" s="11" t="s">
        <v>1144</v>
      </c>
      <c r="B1121" s="11" t="s">
        <v>1168</v>
      </c>
      <c r="C1121" s="12" t="s">
        <v>1169</v>
      </c>
      <c r="D1121" s="83"/>
      <c r="E1121" s="69" t="str">
        <f>HYPERLINK("https://www.google.ru/search?q=NF0A3XEOGM3&amp;newwindow=1&amp;tbm=isch","Еще фото")</f>
        <v>Еще фото</v>
      </c>
      <c r="F1121" s="13"/>
      <c r="G1121" s="11" t="s">
        <v>307</v>
      </c>
      <c r="H1121" s="11" t="s">
        <v>27</v>
      </c>
      <c r="I1121" s="14" t="s">
        <v>308</v>
      </c>
      <c r="J1121" s="14" t="s">
        <v>29</v>
      </c>
      <c r="K1121" s="15" t="s">
        <v>47</v>
      </c>
      <c r="L1121" s="86"/>
      <c r="M1121" s="14"/>
      <c r="N1121" s="14" t="s">
        <v>242</v>
      </c>
      <c r="O1121" s="14"/>
      <c r="P1121" s="15" t="s">
        <v>1158</v>
      </c>
      <c r="Q1121" s="16">
        <v>49299</v>
      </c>
      <c r="R1121" s="17">
        <v>46</v>
      </c>
      <c r="S1121" s="18">
        <v>30614.678999999996</v>
      </c>
      <c r="T1121" s="19" t="s">
        <v>328</v>
      </c>
      <c r="U1121" s="20" t="s">
        <v>354</v>
      </c>
      <c r="V1121" s="25" t="s">
        <v>355</v>
      </c>
      <c r="W1121" s="21">
        <v>3</v>
      </c>
      <c r="X1121" s="22"/>
    </row>
    <row r="1122" spans="1:24" s="1" customFormat="1" ht="26.1" customHeight="1" x14ac:dyDescent="0.3">
      <c r="A1122" s="23" t="s">
        <v>1144</v>
      </c>
      <c r="B1122" s="23" t="s">
        <v>1168</v>
      </c>
      <c r="C1122" s="12" t="s">
        <v>1169</v>
      </c>
      <c r="D1122" s="84"/>
      <c r="E1122" s="69" t="str">
        <f>HYPERLINK("https://www.google.ru/search?q=NF0A3XEOGM3&amp;newwindow=1&amp;tbm=isch","Еще фото")</f>
        <v>Еще фото</v>
      </c>
      <c r="F1122" s="13"/>
      <c r="G1122" s="23" t="s">
        <v>307</v>
      </c>
      <c r="H1122" s="23" t="s">
        <v>27</v>
      </c>
      <c r="I1122" s="23" t="s">
        <v>308</v>
      </c>
      <c r="J1122" s="14" t="s">
        <v>29</v>
      </c>
      <c r="K1122" s="15" t="s">
        <v>47</v>
      </c>
      <c r="L1122" s="87"/>
      <c r="M1122" s="14"/>
      <c r="N1122" s="14" t="s">
        <v>242</v>
      </c>
      <c r="O1122" s="14"/>
      <c r="P1122" s="15" t="s">
        <v>1158</v>
      </c>
      <c r="Q1122" s="16">
        <v>49299</v>
      </c>
      <c r="R1122" s="17">
        <v>46</v>
      </c>
      <c r="S1122" s="18">
        <v>30614.678999999996</v>
      </c>
      <c r="T1122" s="19" t="s">
        <v>328</v>
      </c>
      <c r="U1122" s="20" t="s">
        <v>64</v>
      </c>
      <c r="V1122" s="25" t="s">
        <v>65</v>
      </c>
      <c r="W1122" s="21">
        <v>5</v>
      </c>
      <c r="X1122" s="22"/>
    </row>
    <row r="1123" spans="1:24" s="1" customFormat="1" ht="26.1" customHeight="1" x14ac:dyDescent="0.3">
      <c r="A1123" s="23" t="s">
        <v>1144</v>
      </c>
      <c r="B1123" s="23" t="s">
        <v>1168</v>
      </c>
      <c r="C1123" s="12" t="s">
        <v>1169</v>
      </c>
      <c r="D1123" s="84"/>
      <c r="E1123" s="69" t="str">
        <f>HYPERLINK("https://www.google.ru/search?q=NF0A3XEOGM3&amp;newwindow=1&amp;tbm=isch","Еще фото")</f>
        <v>Еще фото</v>
      </c>
      <c r="F1123" s="13"/>
      <c r="G1123" s="23" t="s">
        <v>307</v>
      </c>
      <c r="H1123" s="23" t="s">
        <v>27</v>
      </c>
      <c r="I1123" s="23" t="s">
        <v>308</v>
      </c>
      <c r="J1123" s="14" t="s">
        <v>29</v>
      </c>
      <c r="K1123" s="15" t="s">
        <v>47</v>
      </c>
      <c r="L1123" s="87"/>
      <c r="M1123" s="14"/>
      <c r="N1123" s="14" t="s">
        <v>242</v>
      </c>
      <c r="O1123" s="14"/>
      <c r="P1123" s="15" t="s">
        <v>1158</v>
      </c>
      <c r="Q1123" s="16">
        <v>49299</v>
      </c>
      <c r="R1123" s="17">
        <v>46</v>
      </c>
      <c r="S1123" s="18">
        <v>30614.678999999996</v>
      </c>
      <c r="T1123" s="19" t="s">
        <v>328</v>
      </c>
      <c r="U1123" s="20" t="s">
        <v>66</v>
      </c>
      <c r="V1123" s="25" t="s">
        <v>67</v>
      </c>
      <c r="W1123" s="21">
        <v>5</v>
      </c>
      <c r="X1123" s="22"/>
    </row>
    <row r="1124" spans="1:24" s="1" customFormat="1" ht="26.1" customHeight="1" x14ac:dyDescent="0.3">
      <c r="A1124" s="23" t="s">
        <v>1144</v>
      </c>
      <c r="B1124" s="23" t="s">
        <v>1168</v>
      </c>
      <c r="C1124" s="12" t="s">
        <v>1169</v>
      </c>
      <c r="D1124" s="85"/>
      <c r="E1124" s="69" t="str">
        <f>HYPERLINK("https://www.google.ru/search?q=NF0A3XEOGM3&amp;newwindow=1&amp;tbm=isch","Еще фото")</f>
        <v>Еще фото</v>
      </c>
      <c r="F1124" s="13"/>
      <c r="G1124" s="23" t="s">
        <v>307</v>
      </c>
      <c r="H1124" s="23" t="s">
        <v>27</v>
      </c>
      <c r="I1124" s="23" t="s">
        <v>308</v>
      </c>
      <c r="J1124" s="14" t="s">
        <v>29</v>
      </c>
      <c r="K1124" s="15" t="s">
        <v>47</v>
      </c>
      <c r="L1124" s="88"/>
      <c r="M1124" s="14"/>
      <c r="N1124" s="14" t="s">
        <v>242</v>
      </c>
      <c r="O1124" s="14"/>
      <c r="P1124" s="15" t="s">
        <v>1158</v>
      </c>
      <c r="Q1124" s="16">
        <v>49299</v>
      </c>
      <c r="R1124" s="17">
        <v>46</v>
      </c>
      <c r="S1124" s="18">
        <v>30614.678999999996</v>
      </c>
      <c r="T1124" s="19" t="s">
        <v>328</v>
      </c>
      <c r="U1124" s="20" t="s">
        <v>58</v>
      </c>
      <c r="V1124" s="25" t="s">
        <v>68</v>
      </c>
      <c r="W1124" s="21">
        <v>4</v>
      </c>
      <c r="X1124" s="22"/>
    </row>
    <row r="1125" spans="1:24" s="1" customFormat="1" ht="35.1" customHeight="1" x14ac:dyDescent="0.3">
      <c r="A1125" s="11" t="s">
        <v>1144</v>
      </c>
      <c r="B1125" s="11" t="s">
        <v>1170</v>
      </c>
      <c r="C1125" s="12" t="s">
        <v>1171</v>
      </c>
      <c r="D1125" s="83"/>
      <c r="E1125" s="69" t="str">
        <f>HYPERLINK("https://www.google.ru/search?q=NF0A5GD9KX7&amp;newwindow=1&amp;tbm=isch","Еще фото")</f>
        <v>Еще фото</v>
      </c>
      <c r="F1125" s="13"/>
      <c r="G1125" s="11" t="s">
        <v>307</v>
      </c>
      <c r="H1125" s="11" t="s">
        <v>27</v>
      </c>
      <c r="I1125" s="14" t="s">
        <v>308</v>
      </c>
      <c r="J1125" s="14" t="s">
        <v>29</v>
      </c>
      <c r="K1125" s="15" t="s">
        <v>55</v>
      </c>
      <c r="L1125" s="86"/>
      <c r="M1125" s="14"/>
      <c r="N1125" s="14" t="s">
        <v>49</v>
      </c>
      <c r="O1125" s="14"/>
      <c r="P1125" s="15" t="s">
        <v>1155</v>
      </c>
      <c r="Q1125" s="16">
        <v>56699</v>
      </c>
      <c r="R1125" s="17">
        <v>46</v>
      </c>
      <c r="S1125" s="18">
        <v>35210.078999999998</v>
      </c>
      <c r="T1125" s="19" t="s">
        <v>328</v>
      </c>
      <c r="U1125" s="20" t="s">
        <v>64</v>
      </c>
      <c r="V1125" s="25" t="s">
        <v>68</v>
      </c>
      <c r="W1125" s="21">
        <v>1</v>
      </c>
      <c r="X1125" s="22"/>
    </row>
    <row r="1126" spans="1:24" s="1" customFormat="1" ht="35.1" customHeight="1" x14ac:dyDescent="0.3">
      <c r="A1126" s="23" t="s">
        <v>1144</v>
      </c>
      <c r="B1126" s="23" t="s">
        <v>1170</v>
      </c>
      <c r="C1126" s="12" t="s">
        <v>1171</v>
      </c>
      <c r="D1126" s="84"/>
      <c r="E1126" s="69" t="str">
        <f>HYPERLINK("https://www.google.ru/search?q=NF0A5GD9KX7&amp;newwindow=1&amp;tbm=isch","Еще фото")</f>
        <v>Еще фото</v>
      </c>
      <c r="F1126" s="13"/>
      <c r="G1126" s="23" t="s">
        <v>307</v>
      </c>
      <c r="H1126" s="23" t="s">
        <v>27</v>
      </c>
      <c r="I1126" s="23" t="s">
        <v>308</v>
      </c>
      <c r="J1126" s="14" t="s">
        <v>29</v>
      </c>
      <c r="K1126" s="15" t="s">
        <v>55</v>
      </c>
      <c r="L1126" s="87"/>
      <c r="M1126" s="14"/>
      <c r="N1126" s="14" t="s">
        <v>49</v>
      </c>
      <c r="O1126" s="14"/>
      <c r="P1126" s="15" t="s">
        <v>1155</v>
      </c>
      <c r="Q1126" s="16">
        <v>56699</v>
      </c>
      <c r="R1126" s="17">
        <v>46</v>
      </c>
      <c r="S1126" s="18">
        <v>35210.078999999998</v>
      </c>
      <c r="T1126" s="19" t="s">
        <v>328</v>
      </c>
      <c r="U1126" s="20" t="s">
        <v>52</v>
      </c>
      <c r="V1126" s="25" t="s">
        <v>60</v>
      </c>
      <c r="W1126" s="21">
        <v>2</v>
      </c>
      <c r="X1126" s="22"/>
    </row>
    <row r="1127" spans="1:24" s="1" customFormat="1" ht="36.950000000000003" customHeight="1" x14ac:dyDescent="0.3">
      <c r="A1127" s="23" t="s">
        <v>1144</v>
      </c>
      <c r="B1127" s="23" t="s">
        <v>1170</v>
      </c>
      <c r="C1127" s="12" t="s">
        <v>1171</v>
      </c>
      <c r="D1127" s="85"/>
      <c r="E1127" s="69" t="str">
        <f>HYPERLINK("https://www.google.ru/search?q=NF0A5GD9KX7&amp;newwindow=1&amp;tbm=isch","Еще фото")</f>
        <v>Еще фото</v>
      </c>
      <c r="F1127" s="13"/>
      <c r="G1127" s="23" t="s">
        <v>307</v>
      </c>
      <c r="H1127" s="23" t="s">
        <v>27</v>
      </c>
      <c r="I1127" s="23" t="s">
        <v>308</v>
      </c>
      <c r="J1127" s="14" t="s">
        <v>29</v>
      </c>
      <c r="K1127" s="15" t="s">
        <v>55</v>
      </c>
      <c r="L1127" s="88"/>
      <c r="M1127" s="14"/>
      <c r="N1127" s="14" t="s">
        <v>49</v>
      </c>
      <c r="O1127" s="14"/>
      <c r="P1127" s="15" t="s">
        <v>1155</v>
      </c>
      <c r="Q1127" s="16">
        <v>56699</v>
      </c>
      <c r="R1127" s="17">
        <v>46</v>
      </c>
      <c r="S1127" s="18">
        <v>35210.078999999998</v>
      </c>
      <c r="T1127" s="19" t="s">
        <v>328</v>
      </c>
      <c r="U1127" s="20" t="s">
        <v>596</v>
      </c>
      <c r="V1127" s="25" t="s">
        <v>1159</v>
      </c>
      <c r="W1127" s="21">
        <v>1</v>
      </c>
      <c r="X1127" s="22"/>
    </row>
    <row r="1128" spans="1:24" s="1" customFormat="1" ht="51.95" customHeight="1" x14ac:dyDescent="0.3">
      <c r="A1128" s="11" t="s">
        <v>1144</v>
      </c>
      <c r="B1128" s="11" t="s">
        <v>1172</v>
      </c>
      <c r="C1128" s="12" t="s">
        <v>1173</v>
      </c>
      <c r="D1128" s="89"/>
      <c r="E1128" s="69" t="str">
        <f>HYPERLINK("https://www.google.ru/search?q=NF0A5GIE0UZ&amp;newwindow=1&amp;tbm=isch","Еще фото")</f>
        <v>Еще фото</v>
      </c>
      <c r="F1128" s="13"/>
      <c r="G1128" s="11" t="s">
        <v>307</v>
      </c>
      <c r="H1128" s="11" t="s">
        <v>27</v>
      </c>
      <c r="I1128" s="14" t="s">
        <v>308</v>
      </c>
      <c r="J1128" s="14" t="s">
        <v>29</v>
      </c>
      <c r="K1128" s="15" t="s">
        <v>55</v>
      </c>
      <c r="L1128" s="86"/>
      <c r="M1128" s="14"/>
      <c r="N1128" s="14" t="s">
        <v>41</v>
      </c>
      <c r="O1128" s="14"/>
      <c r="P1128" s="15" t="s">
        <v>1158</v>
      </c>
      <c r="Q1128" s="16">
        <v>36799</v>
      </c>
      <c r="R1128" s="17">
        <v>46</v>
      </c>
      <c r="S1128" s="18">
        <v>22852.178999999996</v>
      </c>
      <c r="T1128" s="19" t="s">
        <v>328</v>
      </c>
      <c r="U1128" s="20" t="s">
        <v>64</v>
      </c>
      <c r="V1128" s="25" t="s">
        <v>68</v>
      </c>
      <c r="W1128" s="21">
        <v>1</v>
      </c>
      <c r="X1128" s="22"/>
    </row>
    <row r="1129" spans="1:24" s="1" customFormat="1" ht="60.95" customHeight="1" x14ac:dyDescent="0.3">
      <c r="A1129" s="23" t="s">
        <v>1144</v>
      </c>
      <c r="B1129" s="23" t="s">
        <v>1172</v>
      </c>
      <c r="C1129" s="12" t="s">
        <v>1173</v>
      </c>
      <c r="D1129" s="90"/>
      <c r="E1129" s="69" t="str">
        <f>HYPERLINK("https://www.google.ru/search?q=NF0A5GIE0UZ&amp;newwindow=1&amp;tbm=isch","Еще фото")</f>
        <v>Еще фото</v>
      </c>
      <c r="F1129" s="13"/>
      <c r="G1129" s="23" t="s">
        <v>307</v>
      </c>
      <c r="H1129" s="23" t="s">
        <v>27</v>
      </c>
      <c r="I1129" s="23" t="s">
        <v>308</v>
      </c>
      <c r="J1129" s="14" t="s">
        <v>29</v>
      </c>
      <c r="K1129" s="15" t="s">
        <v>55</v>
      </c>
      <c r="L1129" s="88"/>
      <c r="M1129" s="14"/>
      <c r="N1129" s="14" t="s">
        <v>41</v>
      </c>
      <c r="O1129" s="14"/>
      <c r="P1129" s="15" t="s">
        <v>1158</v>
      </c>
      <c r="Q1129" s="16">
        <v>36799</v>
      </c>
      <c r="R1129" s="17">
        <v>46</v>
      </c>
      <c r="S1129" s="18">
        <v>22852.178999999996</v>
      </c>
      <c r="T1129" s="19" t="s">
        <v>328</v>
      </c>
      <c r="U1129" s="20" t="s">
        <v>52</v>
      </c>
      <c r="V1129" s="25" t="s">
        <v>60</v>
      </c>
      <c r="W1129" s="21">
        <v>1</v>
      </c>
      <c r="X1129" s="22"/>
    </row>
    <row r="1130" spans="1:24" s="1" customFormat="1" ht="108" customHeight="1" x14ac:dyDescent="0.3">
      <c r="A1130" s="11" t="s">
        <v>1144</v>
      </c>
      <c r="B1130" s="11" t="s">
        <v>1174</v>
      </c>
      <c r="C1130" s="12" t="s">
        <v>1175</v>
      </c>
      <c r="D1130" s="24"/>
      <c r="E1130" s="69" t="str">
        <f>HYPERLINK("https://www.google.ru/search?q=NF0A5GJFKX7&amp;newwindow=1&amp;tbm=isch","Еще фото")</f>
        <v>Еще фото</v>
      </c>
      <c r="F1130" s="13"/>
      <c r="G1130" s="11" t="s">
        <v>307</v>
      </c>
      <c r="H1130" s="11" t="s">
        <v>27</v>
      </c>
      <c r="I1130" s="14" t="s">
        <v>308</v>
      </c>
      <c r="J1130" s="14" t="s">
        <v>29</v>
      </c>
      <c r="K1130" s="15" t="s">
        <v>55</v>
      </c>
      <c r="L1130" s="14"/>
      <c r="M1130" s="14"/>
      <c r="N1130" s="14" t="s">
        <v>49</v>
      </c>
      <c r="O1130" s="14"/>
      <c r="P1130" s="15" t="s">
        <v>1155</v>
      </c>
      <c r="Q1130" s="16">
        <v>69099</v>
      </c>
      <c r="R1130" s="17">
        <v>46</v>
      </c>
      <c r="S1130" s="18">
        <v>42910.478999999992</v>
      </c>
      <c r="T1130" s="19" t="s">
        <v>328</v>
      </c>
      <c r="U1130" s="20" t="s">
        <v>66</v>
      </c>
      <c r="V1130" s="25" t="s">
        <v>53</v>
      </c>
      <c r="W1130" s="21">
        <v>1</v>
      </c>
      <c r="X1130" s="22"/>
    </row>
    <row r="1131" spans="1:24" s="1" customFormat="1" ht="108" customHeight="1" x14ac:dyDescent="0.3">
      <c r="A1131" s="11" t="s">
        <v>1144</v>
      </c>
      <c r="B1131" s="11" t="s">
        <v>1176</v>
      </c>
      <c r="C1131" s="12" t="s">
        <v>1177</v>
      </c>
      <c r="D1131" s="24"/>
      <c r="E1131" s="69" t="str">
        <f>HYPERLINK("https://www.google.ru/search?q=NF0A7ZYPTV8&amp;newwindow=1&amp;tbm=isch","Еще фото")</f>
        <v>Еще фото</v>
      </c>
      <c r="F1131" s="13"/>
      <c r="G1131" s="11" t="s">
        <v>307</v>
      </c>
      <c r="H1131" s="11" t="s">
        <v>27</v>
      </c>
      <c r="I1131" s="14" t="s">
        <v>308</v>
      </c>
      <c r="J1131" s="14" t="s">
        <v>29</v>
      </c>
      <c r="K1131" s="15" t="s">
        <v>55</v>
      </c>
      <c r="L1131" s="14" t="s">
        <v>1178</v>
      </c>
      <c r="M1131" s="14"/>
      <c r="N1131" s="14" t="s">
        <v>70</v>
      </c>
      <c r="O1131" s="14"/>
      <c r="P1131" s="15" t="s">
        <v>1179</v>
      </c>
      <c r="Q1131" s="16">
        <v>52999</v>
      </c>
      <c r="R1131" s="17">
        <v>46</v>
      </c>
      <c r="S1131" s="18">
        <v>32912.378999999994</v>
      </c>
      <c r="T1131" s="19" t="s">
        <v>328</v>
      </c>
      <c r="U1131" s="20" t="s">
        <v>58</v>
      </c>
      <c r="V1131" s="25" t="s">
        <v>59</v>
      </c>
      <c r="W1131" s="21">
        <v>1</v>
      </c>
      <c r="X1131" s="22"/>
    </row>
    <row r="1132" spans="1:24" s="1" customFormat="1" ht="21" customHeight="1" x14ac:dyDescent="0.3">
      <c r="A1132" s="11" t="s">
        <v>1144</v>
      </c>
      <c r="B1132" s="11" t="s">
        <v>1180</v>
      </c>
      <c r="C1132" s="27" t="s">
        <v>1181</v>
      </c>
      <c r="D1132" s="83"/>
      <c r="E1132" s="69" t="str">
        <f>HYPERLINK("https://www.google.ru/search?q=NF0A84I121L&amp;newwindow=1&amp;tbm=isch","Еще фото")</f>
        <v>Еще фото</v>
      </c>
      <c r="F1132" s="13"/>
      <c r="G1132" s="11" t="s">
        <v>307</v>
      </c>
      <c r="H1132" s="11" t="s">
        <v>27</v>
      </c>
      <c r="I1132" s="14" t="s">
        <v>308</v>
      </c>
      <c r="J1132" s="14" t="s">
        <v>29</v>
      </c>
      <c r="K1132" s="15" t="s">
        <v>55</v>
      </c>
      <c r="L1132" s="86"/>
      <c r="M1132" s="14"/>
      <c r="N1132" s="14" t="s">
        <v>242</v>
      </c>
      <c r="O1132" s="14"/>
      <c r="P1132" s="15" t="s">
        <v>797</v>
      </c>
      <c r="Q1132" s="16">
        <v>31199</v>
      </c>
      <c r="R1132" s="17">
        <v>46</v>
      </c>
      <c r="S1132" s="18">
        <v>19374.578999999998</v>
      </c>
      <c r="T1132" s="19" t="s">
        <v>328</v>
      </c>
      <c r="U1132" s="20" t="s">
        <v>64</v>
      </c>
      <c r="V1132" s="25" t="s">
        <v>68</v>
      </c>
      <c r="W1132" s="21">
        <v>1</v>
      </c>
      <c r="X1132" s="22"/>
    </row>
    <row r="1133" spans="1:24" s="1" customFormat="1" ht="21" customHeight="1" x14ac:dyDescent="0.3">
      <c r="A1133" s="23" t="s">
        <v>1144</v>
      </c>
      <c r="B1133" s="23" t="s">
        <v>1180</v>
      </c>
      <c r="C1133" s="28" t="s">
        <v>1181</v>
      </c>
      <c r="D1133" s="84"/>
      <c r="E1133" s="69" t="str">
        <f>HYPERLINK("https://www.google.ru/search?q=NF0A84I121L&amp;newwindow=1&amp;tbm=isch","Еще фото")</f>
        <v>Еще фото</v>
      </c>
      <c r="F1133" s="13"/>
      <c r="G1133" s="23" t="s">
        <v>307</v>
      </c>
      <c r="H1133" s="23" t="s">
        <v>27</v>
      </c>
      <c r="I1133" s="23" t="s">
        <v>308</v>
      </c>
      <c r="J1133" s="14" t="s">
        <v>29</v>
      </c>
      <c r="K1133" s="15" t="s">
        <v>55</v>
      </c>
      <c r="L1133" s="87"/>
      <c r="M1133" s="14"/>
      <c r="N1133" s="14" t="s">
        <v>242</v>
      </c>
      <c r="O1133" s="14"/>
      <c r="P1133" s="15" t="s">
        <v>797</v>
      </c>
      <c r="Q1133" s="16">
        <v>31199</v>
      </c>
      <c r="R1133" s="17">
        <v>46</v>
      </c>
      <c r="S1133" s="18">
        <v>19374.578999999998</v>
      </c>
      <c r="T1133" s="19" t="s">
        <v>328</v>
      </c>
      <c r="U1133" s="20" t="s">
        <v>66</v>
      </c>
      <c r="V1133" s="25" t="s">
        <v>53</v>
      </c>
      <c r="W1133" s="21">
        <v>3</v>
      </c>
      <c r="X1133" s="22"/>
    </row>
    <row r="1134" spans="1:24" s="1" customFormat="1" ht="21" customHeight="1" x14ac:dyDescent="0.3">
      <c r="A1134" s="23" t="s">
        <v>1144</v>
      </c>
      <c r="B1134" s="23" t="s">
        <v>1180</v>
      </c>
      <c r="C1134" s="28" t="s">
        <v>1181</v>
      </c>
      <c r="D1134" s="84"/>
      <c r="E1134" s="69" t="str">
        <f>HYPERLINK("https://www.google.ru/search?q=NF0A84I121L&amp;newwindow=1&amp;tbm=isch","Еще фото")</f>
        <v>Еще фото</v>
      </c>
      <c r="F1134" s="13"/>
      <c r="G1134" s="23" t="s">
        <v>307</v>
      </c>
      <c r="H1134" s="23" t="s">
        <v>27</v>
      </c>
      <c r="I1134" s="23" t="s">
        <v>308</v>
      </c>
      <c r="J1134" s="14" t="s">
        <v>29</v>
      </c>
      <c r="K1134" s="15" t="s">
        <v>55</v>
      </c>
      <c r="L1134" s="87"/>
      <c r="M1134" s="14"/>
      <c r="N1134" s="14" t="s">
        <v>242</v>
      </c>
      <c r="O1134" s="14"/>
      <c r="P1134" s="15" t="s">
        <v>797</v>
      </c>
      <c r="Q1134" s="16">
        <v>31199</v>
      </c>
      <c r="R1134" s="17">
        <v>46</v>
      </c>
      <c r="S1134" s="18">
        <v>19374.578999999998</v>
      </c>
      <c r="T1134" s="19" t="s">
        <v>328</v>
      </c>
      <c r="U1134" s="20" t="s">
        <v>58</v>
      </c>
      <c r="V1134" s="25" t="s">
        <v>59</v>
      </c>
      <c r="W1134" s="21">
        <v>6</v>
      </c>
      <c r="X1134" s="22"/>
    </row>
    <row r="1135" spans="1:24" s="1" customFormat="1" ht="21" customHeight="1" x14ac:dyDescent="0.3">
      <c r="A1135" s="23" t="s">
        <v>1144</v>
      </c>
      <c r="B1135" s="23" t="s">
        <v>1180</v>
      </c>
      <c r="C1135" s="28" t="s">
        <v>1181</v>
      </c>
      <c r="D1135" s="84"/>
      <c r="E1135" s="69" t="str">
        <f>HYPERLINK("https://www.google.ru/search?q=NF0A84I121L&amp;newwindow=1&amp;tbm=isch","Еще фото")</f>
        <v>Еще фото</v>
      </c>
      <c r="F1135" s="13"/>
      <c r="G1135" s="23" t="s">
        <v>307</v>
      </c>
      <c r="H1135" s="23" t="s">
        <v>27</v>
      </c>
      <c r="I1135" s="23" t="s">
        <v>308</v>
      </c>
      <c r="J1135" s="14" t="s">
        <v>29</v>
      </c>
      <c r="K1135" s="15" t="s">
        <v>55</v>
      </c>
      <c r="L1135" s="87"/>
      <c r="M1135" s="14"/>
      <c r="N1135" s="14" t="s">
        <v>242</v>
      </c>
      <c r="O1135" s="14"/>
      <c r="P1135" s="15" t="s">
        <v>797</v>
      </c>
      <c r="Q1135" s="16">
        <v>31199</v>
      </c>
      <c r="R1135" s="17">
        <v>46</v>
      </c>
      <c r="S1135" s="18">
        <v>19374.578999999998</v>
      </c>
      <c r="T1135" s="19" t="s">
        <v>328</v>
      </c>
      <c r="U1135" s="20" t="s">
        <v>52</v>
      </c>
      <c r="V1135" s="25" t="s">
        <v>60</v>
      </c>
      <c r="W1135" s="21">
        <v>4</v>
      </c>
      <c r="X1135" s="22"/>
    </row>
    <row r="1136" spans="1:24" s="1" customFormat="1" ht="32.1" customHeight="1" x14ac:dyDescent="0.3">
      <c r="A1136" s="23" t="s">
        <v>1144</v>
      </c>
      <c r="B1136" s="23" t="s">
        <v>1180</v>
      </c>
      <c r="C1136" s="28" t="s">
        <v>1181</v>
      </c>
      <c r="D1136" s="85"/>
      <c r="E1136" s="69" t="str">
        <f>HYPERLINK("https://www.google.ru/search?q=NF0A84I121L&amp;newwindow=1&amp;tbm=isch","Еще фото")</f>
        <v>Еще фото</v>
      </c>
      <c r="F1136" s="13"/>
      <c r="G1136" s="23" t="s">
        <v>307</v>
      </c>
      <c r="H1136" s="23" t="s">
        <v>27</v>
      </c>
      <c r="I1136" s="23" t="s">
        <v>308</v>
      </c>
      <c r="J1136" s="14" t="s">
        <v>29</v>
      </c>
      <c r="K1136" s="15" t="s">
        <v>55</v>
      </c>
      <c r="L1136" s="88"/>
      <c r="M1136" s="14"/>
      <c r="N1136" s="14" t="s">
        <v>242</v>
      </c>
      <c r="O1136" s="14"/>
      <c r="P1136" s="15" t="s">
        <v>797</v>
      </c>
      <c r="Q1136" s="16">
        <v>31199</v>
      </c>
      <c r="R1136" s="17">
        <v>46</v>
      </c>
      <c r="S1136" s="18">
        <v>19374.578999999998</v>
      </c>
      <c r="T1136" s="19" t="s">
        <v>328</v>
      </c>
      <c r="U1136" s="20" t="s">
        <v>596</v>
      </c>
      <c r="V1136" s="25" t="s">
        <v>1159</v>
      </c>
      <c r="W1136" s="21">
        <v>1</v>
      </c>
      <c r="X1136" s="22"/>
    </row>
    <row r="1137" spans="1:24" s="1" customFormat="1" ht="51.95" customHeight="1" x14ac:dyDescent="0.3">
      <c r="A1137" s="11" t="s">
        <v>1144</v>
      </c>
      <c r="B1137" s="11" t="s">
        <v>1182</v>
      </c>
      <c r="C1137" s="12" t="s">
        <v>1183</v>
      </c>
      <c r="D1137" s="89"/>
      <c r="E1137" s="69" t="str">
        <f>HYPERLINK("https://www.google.ru/search?q=NF0A84I14H0&amp;newwindow=1&amp;tbm=isch","Еще фото")</f>
        <v>Еще фото</v>
      </c>
      <c r="F1137" s="13"/>
      <c r="G1137" s="11" t="s">
        <v>307</v>
      </c>
      <c r="H1137" s="11" t="s">
        <v>27</v>
      </c>
      <c r="I1137" s="14" t="s">
        <v>308</v>
      </c>
      <c r="J1137" s="14" t="s">
        <v>29</v>
      </c>
      <c r="K1137" s="15" t="s">
        <v>55</v>
      </c>
      <c r="L1137" s="86"/>
      <c r="M1137" s="14"/>
      <c r="N1137" s="14" t="s">
        <v>49</v>
      </c>
      <c r="O1137" s="14"/>
      <c r="P1137" s="15" t="s">
        <v>797</v>
      </c>
      <c r="Q1137" s="16">
        <v>31199</v>
      </c>
      <c r="R1137" s="17">
        <v>46</v>
      </c>
      <c r="S1137" s="18">
        <v>19374.578999999998</v>
      </c>
      <c r="T1137" s="19" t="s">
        <v>328</v>
      </c>
      <c r="U1137" s="20" t="s">
        <v>66</v>
      </c>
      <c r="V1137" s="25" t="s">
        <v>53</v>
      </c>
      <c r="W1137" s="21">
        <v>5</v>
      </c>
      <c r="X1137" s="22"/>
    </row>
    <row r="1138" spans="1:24" s="1" customFormat="1" ht="60.95" customHeight="1" x14ac:dyDescent="0.3">
      <c r="A1138" s="23" t="s">
        <v>1144</v>
      </c>
      <c r="B1138" s="23" t="s">
        <v>1182</v>
      </c>
      <c r="C1138" s="12" t="s">
        <v>1183</v>
      </c>
      <c r="D1138" s="90"/>
      <c r="E1138" s="69" t="str">
        <f>HYPERLINK("https://www.google.ru/search?q=NF0A84I14H0&amp;newwindow=1&amp;tbm=isch","Еще фото")</f>
        <v>Еще фото</v>
      </c>
      <c r="F1138" s="13"/>
      <c r="G1138" s="23" t="s">
        <v>307</v>
      </c>
      <c r="H1138" s="23" t="s">
        <v>27</v>
      </c>
      <c r="I1138" s="23" t="s">
        <v>308</v>
      </c>
      <c r="J1138" s="14" t="s">
        <v>29</v>
      </c>
      <c r="K1138" s="15" t="s">
        <v>55</v>
      </c>
      <c r="L1138" s="88"/>
      <c r="M1138" s="14"/>
      <c r="N1138" s="14" t="s">
        <v>49</v>
      </c>
      <c r="O1138" s="14"/>
      <c r="P1138" s="15" t="s">
        <v>797</v>
      </c>
      <c r="Q1138" s="16">
        <v>31199</v>
      </c>
      <c r="R1138" s="17">
        <v>46</v>
      </c>
      <c r="S1138" s="18">
        <v>19374.578999999998</v>
      </c>
      <c r="T1138" s="19" t="s">
        <v>328</v>
      </c>
      <c r="U1138" s="20" t="s">
        <v>596</v>
      </c>
      <c r="V1138" s="25" t="s">
        <v>1159</v>
      </c>
      <c r="W1138" s="21">
        <v>1</v>
      </c>
      <c r="X1138" s="22"/>
    </row>
    <row r="1139" spans="1:24" s="1" customFormat="1" ht="21" customHeight="1" x14ac:dyDescent="0.3">
      <c r="A1139" s="11" t="s">
        <v>1144</v>
      </c>
      <c r="B1139" s="11" t="s">
        <v>1184</v>
      </c>
      <c r="C1139" s="27" t="s">
        <v>1185</v>
      </c>
      <c r="D1139" s="83"/>
      <c r="E1139" s="69" t="str">
        <f>HYPERLINK("https://www.google.ru/search?q=NF0A8805JK3&amp;newwindow=1&amp;tbm=isch","Еще фото")</f>
        <v>Еще фото</v>
      </c>
      <c r="F1139" s="13"/>
      <c r="G1139" s="11" t="s">
        <v>307</v>
      </c>
      <c r="H1139" s="11" t="s">
        <v>27</v>
      </c>
      <c r="I1139" s="14" t="s">
        <v>308</v>
      </c>
      <c r="J1139" s="14" t="s">
        <v>29</v>
      </c>
      <c r="K1139" s="15" t="s">
        <v>47</v>
      </c>
      <c r="L1139" s="86"/>
      <c r="M1139" s="14"/>
      <c r="N1139" s="14" t="s">
        <v>49</v>
      </c>
      <c r="O1139" s="14"/>
      <c r="P1139" s="15" t="s">
        <v>1155</v>
      </c>
      <c r="Q1139" s="16">
        <v>53399</v>
      </c>
      <c r="R1139" s="17">
        <v>46</v>
      </c>
      <c r="S1139" s="18">
        <v>33160.778999999995</v>
      </c>
      <c r="T1139" s="19" t="s">
        <v>328</v>
      </c>
      <c r="U1139" s="20" t="s">
        <v>354</v>
      </c>
      <c r="V1139" s="25" t="s">
        <v>355</v>
      </c>
      <c r="W1139" s="21">
        <v>2</v>
      </c>
      <c r="X1139" s="22"/>
    </row>
    <row r="1140" spans="1:24" s="1" customFormat="1" ht="21" customHeight="1" x14ac:dyDescent="0.3">
      <c r="A1140" s="23" t="s">
        <v>1144</v>
      </c>
      <c r="B1140" s="23" t="s">
        <v>1184</v>
      </c>
      <c r="C1140" s="28" t="s">
        <v>1185</v>
      </c>
      <c r="D1140" s="84"/>
      <c r="E1140" s="69" t="str">
        <f>HYPERLINK("https://www.google.ru/search?q=NF0A8805JK3&amp;newwindow=1&amp;tbm=isch","Еще фото")</f>
        <v>Еще фото</v>
      </c>
      <c r="F1140" s="13"/>
      <c r="G1140" s="23" t="s">
        <v>307</v>
      </c>
      <c r="H1140" s="23" t="s">
        <v>27</v>
      </c>
      <c r="I1140" s="23" t="s">
        <v>308</v>
      </c>
      <c r="J1140" s="14" t="s">
        <v>29</v>
      </c>
      <c r="K1140" s="15" t="s">
        <v>47</v>
      </c>
      <c r="L1140" s="87"/>
      <c r="M1140" s="14"/>
      <c r="N1140" s="14" t="s">
        <v>49</v>
      </c>
      <c r="O1140" s="14"/>
      <c r="P1140" s="15" t="s">
        <v>1155</v>
      </c>
      <c r="Q1140" s="16">
        <v>53399</v>
      </c>
      <c r="R1140" s="17">
        <v>46</v>
      </c>
      <c r="S1140" s="18">
        <v>33160.778999999995</v>
      </c>
      <c r="T1140" s="19" t="s">
        <v>328</v>
      </c>
      <c r="U1140" s="20" t="s">
        <v>64</v>
      </c>
      <c r="V1140" s="25" t="s">
        <v>65</v>
      </c>
      <c r="W1140" s="21">
        <v>3</v>
      </c>
      <c r="X1140" s="22"/>
    </row>
    <row r="1141" spans="1:24" s="1" customFormat="1" ht="21" customHeight="1" x14ac:dyDescent="0.3">
      <c r="A1141" s="23" t="s">
        <v>1144</v>
      </c>
      <c r="B1141" s="23" t="s">
        <v>1184</v>
      </c>
      <c r="C1141" s="28" t="s">
        <v>1185</v>
      </c>
      <c r="D1141" s="84"/>
      <c r="E1141" s="69" t="str">
        <f>HYPERLINK("https://www.google.ru/search?q=NF0A8805JK3&amp;newwindow=1&amp;tbm=isch","Еще фото")</f>
        <v>Еще фото</v>
      </c>
      <c r="F1141" s="13"/>
      <c r="G1141" s="23" t="s">
        <v>307</v>
      </c>
      <c r="H1141" s="23" t="s">
        <v>27</v>
      </c>
      <c r="I1141" s="23" t="s">
        <v>308</v>
      </c>
      <c r="J1141" s="14" t="s">
        <v>29</v>
      </c>
      <c r="K1141" s="15" t="s">
        <v>47</v>
      </c>
      <c r="L1141" s="87"/>
      <c r="M1141" s="14"/>
      <c r="N1141" s="14" t="s">
        <v>49</v>
      </c>
      <c r="O1141" s="14"/>
      <c r="P1141" s="15" t="s">
        <v>1155</v>
      </c>
      <c r="Q1141" s="16">
        <v>53399</v>
      </c>
      <c r="R1141" s="17">
        <v>46</v>
      </c>
      <c r="S1141" s="18">
        <v>33160.778999999995</v>
      </c>
      <c r="T1141" s="19" t="s">
        <v>328</v>
      </c>
      <c r="U1141" s="20" t="s">
        <v>66</v>
      </c>
      <c r="V1141" s="25" t="s">
        <v>67</v>
      </c>
      <c r="W1141" s="21">
        <v>2</v>
      </c>
      <c r="X1141" s="22"/>
    </row>
    <row r="1142" spans="1:24" s="1" customFormat="1" ht="21" customHeight="1" x14ac:dyDescent="0.3">
      <c r="A1142" s="23" t="s">
        <v>1144</v>
      </c>
      <c r="B1142" s="23" t="s">
        <v>1184</v>
      </c>
      <c r="C1142" s="28" t="s">
        <v>1185</v>
      </c>
      <c r="D1142" s="84"/>
      <c r="E1142" s="69" t="str">
        <f>HYPERLINK("https://www.google.ru/search?q=NF0A8805JK3&amp;newwindow=1&amp;tbm=isch","Еще фото")</f>
        <v>Еще фото</v>
      </c>
      <c r="F1142" s="13"/>
      <c r="G1142" s="23" t="s">
        <v>307</v>
      </c>
      <c r="H1142" s="23" t="s">
        <v>27</v>
      </c>
      <c r="I1142" s="23" t="s">
        <v>308</v>
      </c>
      <c r="J1142" s="14" t="s">
        <v>29</v>
      </c>
      <c r="K1142" s="15" t="s">
        <v>47</v>
      </c>
      <c r="L1142" s="87"/>
      <c r="M1142" s="14"/>
      <c r="N1142" s="14" t="s">
        <v>49</v>
      </c>
      <c r="O1142" s="14"/>
      <c r="P1142" s="15" t="s">
        <v>1155</v>
      </c>
      <c r="Q1142" s="16">
        <v>53399</v>
      </c>
      <c r="R1142" s="17">
        <v>46</v>
      </c>
      <c r="S1142" s="18">
        <v>33160.778999999995</v>
      </c>
      <c r="T1142" s="19" t="s">
        <v>328</v>
      </c>
      <c r="U1142" s="20" t="s">
        <v>58</v>
      </c>
      <c r="V1142" s="25" t="s">
        <v>68</v>
      </c>
      <c r="W1142" s="21">
        <v>2</v>
      </c>
      <c r="X1142" s="22"/>
    </row>
    <row r="1143" spans="1:24" s="1" customFormat="1" ht="32.1" customHeight="1" x14ac:dyDescent="0.3">
      <c r="A1143" s="23" t="s">
        <v>1144</v>
      </c>
      <c r="B1143" s="23" t="s">
        <v>1184</v>
      </c>
      <c r="C1143" s="28" t="s">
        <v>1185</v>
      </c>
      <c r="D1143" s="85"/>
      <c r="E1143" s="69" t="str">
        <f>HYPERLINK("https://www.google.ru/search?q=NF0A8805JK3&amp;newwindow=1&amp;tbm=isch","Еще фото")</f>
        <v>Еще фото</v>
      </c>
      <c r="F1143" s="13"/>
      <c r="G1143" s="23" t="s">
        <v>307</v>
      </c>
      <c r="H1143" s="23" t="s">
        <v>27</v>
      </c>
      <c r="I1143" s="23" t="s">
        <v>308</v>
      </c>
      <c r="J1143" s="14" t="s">
        <v>29</v>
      </c>
      <c r="K1143" s="15" t="s">
        <v>47</v>
      </c>
      <c r="L1143" s="88"/>
      <c r="M1143" s="14"/>
      <c r="N1143" s="14" t="s">
        <v>49</v>
      </c>
      <c r="O1143" s="14"/>
      <c r="P1143" s="15" t="s">
        <v>1155</v>
      </c>
      <c r="Q1143" s="16">
        <v>53399</v>
      </c>
      <c r="R1143" s="17">
        <v>46</v>
      </c>
      <c r="S1143" s="18">
        <v>33160.778999999995</v>
      </c>
      <c r="T1143" s="19" t="s">
        <v>328</v>
      </c>
      <c r="U1143" s="20" t="s">
        <v>52</v>
      </c>
      <c r="V1143" s="25" t="s">
        <v>53</v>
      </c>
      <c r="W1143" s="21">
        <v>1</v>
      </c>
      <c r="X1143" s="22"/>
    </row>
    <row r="1144" spans="1:24" s="1" customFormat="1" ht="108" customHeight="1" x14ac:dyDescent="0.3">
      <c r="A1144" s="11" t="s">
        <v>1144</v>
      </c>
      <c r="B1144" s="11" t="s">
        <v>1186</v>
      </c>
      <c r="C1144" s="12" t="s">
        <v>1187</v>
      </c>
      <c r="D1144" s="24"/>
      <c r="E1144" s="69" t="str">
        <f>HYPERLINK("https://www.google.ru/search?q=NF0A88XH5HO&amp;newwindow=1&amp;tbm=isch","Еще фото")</f>
        <v>Еще фото</v>
      </c>
      <c r="F1144" s="13"/>
      <c r="G1144" s="11" t="s">
        <v>574</v>
      </c>
      <c r="H1144" s="11" t="s">
        <v>27</v>
      </c>
      <c r="I1144" s="14" t="s">
        <v>308</v>
      </c>
      <c r="J1144" s="14" t="s">
        <v>1164</v>
      </c>
      <c r="K1144" s="15" t="s">
        <v>55</v>
      </c>
      <c r="L1144" s="14" t="s">
        <v>1188</v>
      </c>
      <c r="M1144" s="14"/>
      <c r="N1144" s="14" t="s">
        <v>242</v>
      </c>
      <c r="O1144" s="14"/>
      <c r="P1144" s="15" t="s">
        <v>108</v>
      </c>
      <c r="Q1144" s="16">
        <v>29799</v>
      </c>
      <c r="R1144" s="17">
        <v>46</v>
      </c>
      <c r="S1144" s="18">
        <v>18505.178999999996</v>
      </c>
      <c r="T1144" s="19" t="s">
        <v>328</v>
      </c>
      <c r="U1144" s="20" t="s">
        <v>52</v>
      </c>
      <c r="V1144" s="25" t="s">
        <v>60</v>
      </c>
      <c r="W1144" s="21">
        <v>1</v>
      </c>
      <c r="X1144" s="22"/>
    </row>
    <row r="1145" spans="1:24" s="1" customFormat="1" ht="21" customHeight="1" x14ac:dyDescent="0.3">
      <c r="A1145" s="11" t="s">
        <v>1144</v>
      </c>
      <c r="B1145" s="11" t="s">
        <v>1189</v>
      </c>
      <c r="C1145" s="27" t="s">
        <v>1190</v>
      </c>
      <c r="D1145" s="83"/>
      <c r="E1145" s="69" t="str">
        <f>HYPERLINK("https://www.google.ru/search?q=NF0A8E74JK3&amp;newwindow=1&amp;tbm=isch","Еще фото")</f>
        <v>Еще фото</v>
      </c>
      <c r="F1145" s="13"/>
      <c r="G1145" s="11" t="s">
        <v>307</v>
      </c>
      <c r="H1145" s="11" t="s">
        <v>27</v>
      </c>
      <c r="I1145" s="14" t="s">
        <v>308</v>
      </c>
      <c r="J1145" s="14" t="s">
        <v>29</v>
      </c>
      <c r="K1145" s="15" t="s">
        <v>47</v>
      </c>
      <c r="L1145" s="86"/>
      <c r="M1145" s="14"/>
      <c r="N1145" s="14" t="s">
        <v>49</v>
      </c>
      <c r="O1145" s="14"/>
      <c r="P1145" s="15" t="s">
        <v>1158</v>
      </c>
      <c r="Q1145" s="16">
        <v>40899</v>
      </c>
      <c r="R1145" s="17">
        <v>46</v>
      </c>
      <c r="S1145" s="18">
        <v>25398.278999999999</v>
      </c>
      <c r="T1145" s="19" t="s">
        <v>328</v>
      </c>
      <c r="U1145" s="20" t="s">
        <v>354</v>
      </c>
      <c r="V1145" s="25" t="s">
        <v>355</v>
      </c>
      <c r="W1145" s="21">
        <v>1</v>
      </c>
      <c r="X1145" s="22"/>
    </row>
    <row r="1146" spans="1:24" s="1" customFormat="1" ht="21" customHeight="1" x14ac:dyDescent="0.3">
      <c r="A1146" s="23" t="s">
        <v>1144</v>
      </c>
      <c r="B1146" s="23" t="s">
        <v>1189</v>
      </c>
      <c r="C1146" s="28" t="s">
        <v>1190</v>
      </c>
      <c r="D1146" s="84"/>
      <c r="E1146" s="69" t="str">
        <f>HYPERLINK("https://www.google.ru/search?q=NF0A8E74JK3&amp;newwindow=1&amp;tbm=isch","Еще фото")</f>
        <v>Еще фото</v>
      </c>
      <c r="F1146" s="13"/>
      <c r="G1146" s="23" t="s">
        <v>307</v>
      </c>
      <c r="H1146" s="23" t="s">
        <v>27</v>
      </c>
      <c r="I1146" s="23" t="s">
        <v>308</v>
      </c>
      <c r="J1146" s="14" t="s">
        <v>29</v>
      </c>
      <c r="K1146" s="15" t="s">
        <v>47</v>
      </c>
      <c r="L1146" s="87"/>
      <c r="M1146" s="14"/>
      <c r="N1146" s="14" t="s">
        <v>49</v>
      </c>
      <c r="O1146" s="14"/>
      <c r="P1146" s="15" t="s">
        <v>1158</v>
      </c>
      <c r="Q1146" s="16">
        <v>40899</v>
      </c>
      <c r="R1146" s="17">
        <v>46</v>
      </c>
      <c r="S1146" s="18">
        <v>25398.278999999999</v>
      </c>
      <c r="T1146" s="19" t="s">
        <v>328</v>
      </c>
      <c r="U1146" s="20" t="s">
        <v>64</v>
      </c>
      <c r="V1146" s="25" t="s">
        <v>65</v>
      </c>
      <c r="W1146" s="21">
        <v>3</v>
      </c>
      <c r="X1146" s="22"/>
    </row>
    <row r="1147" spans="1:24" s="1" customFormat="1" ht="21" customHeight="1" x14ac:dyDescent="0.3">
      <c r="A1147" s="23" t="s">
        <v>1144</v>
      </c>
      <c r="B1147" s="23" t="s">
        <v>1189</v>
      </c>
      <c r="C1147" s="28" t="s">
        <v>1190</v>
      </c>
      <c r="D1147" s="84"/>
      <c r="E1147" s="69" t="str">
        <f>HYPERLINK("https://www.google.ru/search?q=NF0A8E74JK3&amp;newwindow=1&amp;tbm=isch","Еще фото")</f>
        <v>Еще фото</v>
      </c>
      <c r="F1147" s="13"/>
      <c r="G1147" s="23" t="s">
        <v>307</v>
      </c>
      <c r="H1147" s="23" t="s">
        <v>27</v>
      </c>
      <c r="I1147" s="23" t="s">
        <v>308</v>
      </c>
      <c r="J1147" s="14" t="s">
        <v>29</v>
      </c>
      <c r="K1147" s="15" t="s">
        <v>47</v>
      </c>
      <c r="L1147" s="87"/>
      <c r="M1147" s="14"/>
      <c r="N1147" s="14" t="s">
        <v>49</v>
      </c>
      <c r="O1147" s="14"/>
      <c r="P1147" s="15" t="s">
        <v>1158</v>
      </c>
      <c r="Q1147" s="16">
        <v>40899</v>
      </c>
      <c r="R1147" s="17">
        <v>46</v>
      </c>
      <c r="S1147" s="18">
        <v>25398.278999999999</v>
      </c>
      <c r="T1147" s="19" t="s">
        <v>328</v>
      </c>
      <c r="U1147" s="20" t="s">
        <v>66</v>
      </c>
      <c r="V1147" s="25" t="s">
        <v>67</v>
      </c>
      <c r="W1147" s="21">
        <v>1</v>
      </c>
      <c r="X1147" s="22"/>
    </row>
    <row r="1148" spans="1:24" s="1" customFormat="1" ht="21" customHeight="1" x14ac:dyDescent="0.3">
      <c r="A1148" s="23" t="s">
        <v>1144</v>
      </c>
      <c r="B1148" s="23" t="s">
        <v>1189</v>
      </c>
      <c r="C1148" s="28" t="s">
        <v>1190</v>
      </c>
      <c r="D1148" s="84"/>
      <c r="E1148" s="69" t="str">
        <f>HYPERLINK("https://www.google.ru/search?q=NF0A8E74JK3&amp;newwindow=1&amp;tbm=isch","Еще фото")</f>
        <v>Еще фото</v>
      </c>
      <c r="F1148" s="13"/>
      <c r="G1148" s="23" t="s">
        <v>307</v>
      </c>
      <c r="H1148" s="23" t="s">
        <v>27</v>
      </c>
      <c r="I1148" s="23" t="s">
        <v>308</v>
      </c>
      <c r="J1148" s="14" t="s">
        <v>29</v>
      </c>
      <c r="K1148" s="15" t="s">
        <v>47</v>
      </c>
      <c r="L1148" s="87"/>
      <c r="M1148" s="14"/>
      <c r="N1148" s="14" t="s">
        <v>49</v>
      </c>
      <c r="O1148" s="14"/>
      <c r="P1148" s="15" t="s">
        <v>1158</v>
      </c>
      <c r="Q1148" s="16">
        <v>40899</v>
      </c>
      <c r="R1148" s="17">
        <v>46</v>
      </c>
      <c r="S1148" s="18">
        <v>25398.278999999999</v>
      </c>
      <c r="T1148" s="19" t="s">
        <v>328</v>
      </c>
      <c r="U1148" s="20" t="s">
        <v>58</v>
      </c>
      <c r="V1148" s="25" t="s">
        <v>68</v>
      </c>
      <c r="W1148" s="21">
        <v>2</v>
      </c>
      <c r="X1148" s="22"/>
    </row>
    <row r="1149" spans="1:24" s="1" customFormat="1" ht="32.1" customHeight="1" x14ac:dyDescent="0.3">
      <c r="A1149" s="23" t="s">
        <v>1144</v>
      </c>
      <c r="B1149" s="23" t="s">
        <v>1189</v>
      </c>
      <c r="C1149" s="28" t="s">
        <v>1190</v>
      </c>
      <c r="D1149" s="85"/>
      <c r="E1149" s="69" t="str">
        <f>HYPERLINK("https://www.google.ru/search?q=NF0A8E74JK3&amp;newwindow=1&amp;tbm=isch","Еще фото")</f>
        <v>Еще фото</v>
      </c>
      <c r="F1149" s="13"/>
      <c r="G1149" s="23" t="s">
        <v>307</v>
      </c>
      <c r="H1149" s="23" t="s">
        <v>27</v>
      </c>
      <c r="I1149" s="23" t="s">
        <v>308</v>
      </c>
      <c r="J1149" s="14" t="s">
        <v>29</v>
      </c>
      <c r="K1149" s="15" t="s">
        <v>47</v>
      </c>
      <c r="L1149" s="88"/>
      <c r="M1149" s="14"/>
      <c r="N1149" s="14" t="s">
        <v>49</v>
      </c>
      <c r="O1149" s="14"/>
      <c r="P1149" s="15" t="s">
        <v>1158</v>
      </c>
      <c r="Q1149" s="16">
        <v>40899</v>
      </c>
      <c r="R1149" s="17">
        <v>46</v>
      </c>
      <c r="S1149" s="18">
        <v>25398.278999999999</v>
      </c>
      <c r="T1149" s="19" t="s">
        <v>328</v>
      </c>
      <c r="U1149" s="20" t="s">
        <v>52</v>
      </c>
      <c r="V1149" s="25" t="s">
        <v>53</v>
      </c>
      <c r="W1149" s="21">
        <v>1</v>
      </c>
      <c r="X1149" s="22"/>
    </row>
    <row r="1150" spans="1:24" s="1" customFormat="1" ht="51.95" customHeight="1" x14ac:dyDescent="0.3">
      <c r="A1150" s="11" t="s">
        <v>1144</v>
      </c>
      <c r="B1150" s="11" t="s">
        <v>1191</v>
      </c>
      <c r="C1150" s="12" t="s">
        <v>1192</v>
      </c>
      <c r="D1150" s="89"/>
      <c r="E1150" s="69" t="str">
        <f>HYPERLINK("https://www.google.ru/search?q=T0A84IWQLI&amp;newwindow=1&amp;tbm=isch","Еще фото")</f>
        <v>Еще фото</v>
      </c>
      <c r="F1150" s="13"/>
      <c r="G1150" s="11" t="s">
        <v>307</v>
      </c>
      <c r="H1150" s="11" t="s">
        <v>27</v>
      </c>
      <c r="I1150" s="14" t="s">
        <v>308</v>
      </c>
      <c r="J1150" s="14" t="s">
        <v>1164</v>
      </c>
      <c r="K1150" s="15" t="s">
        <v>47</v>
      </c>
      <c r="L1150" s="86" t="s">
        <v>1193</v>
      </c>
      <c r="M1150" s="14"/>
      <c r="N1150" s="14" t="s">
        <v>89</v>
      </c>
      <c r="O1150" s="14"/>
      <c r="P1150" s="15" t="s">
        <v>108</v>
      </c>
      <c r="Q1150" s="16">
        <v>41599</v>
      </c>
      <c r="R1150" s="17">
        <v>46</v>
      </c>
      <c r="S1150" s="18">
        <v>25832.978999999996</v>
      </c>
      <c r="T1150" s="19" t="s">
        <v>328</v>
      </c>
      <c r="U1150" s="20" t="s">
        <v>354</v>
      </c>
      <c r="V1150" s="25" t="s">
        <v>355</v>
      </c>
      <c r="W1150" s="21">
        <v>1</v>
      </c>
      <c r="X1150" s="22"/>
    </row>
    <row r="1151" spans="1:24" s="1" customFormat="1" ht="60.95" customHeight="1" x14ac:dyDescent="0.3">
      <c r="A1151" s="23" t="s">
        <v>1144</v>
      </c>
      <c r="B1151" s="23" t="s">
        <v>1191</v>
      </c>
      <c r="C1151" s="12" t="s">
        <v>1192</v>
      </c>
      <c r="D1151" s="90"/>
      <c r="E1151" s="69" t="str">
        <f>HYPERLINK("https://www.google.ru/search?q=T0A84IWQLI&amp;newwindow=1&amp;tbm=isch","Еще фото")</f>
        <v>Еще фото</v>
      </c>
      <c r="F1151" s="13"/>
      <c r="G1151" s="23" t="s">
        <v>307</v>
      </c>
      <c r="H1151" s="23" t="s">
        <v>27</v>
      </c>
      <c r="I1151" s="23" t="s">
        <v>308</v>
      </c>
      <c r="J1151" s="14" t="s">
        <v>1164</v>
      </c>
      <c r="K1151" s="15" t="s">
        <v>47</v>
      </c>
      <c r="L1151" s="88"/>
      <c r="M1151" s="14"/>
      <c r="N1151" s="14" t="s">
        <v>89</v>
      </c>
      <c r="O1151" s="14"/>
      <c r="P1151" s="15" t="s">
        <v>108</v>
      </c>
      <c r="Q1151" s="16">
        <v>41599</v>
      </c>
      <c r="R1151" s="17">
        <v>46</v>
      </c>
      <c r="S1151" s="18">
        <v>25832.978999999996</v>
      </c>
      <c r="T1151" s="19" t="s">
        <v>328</v>
      </c>
      <c r="U1151" s="20" t="s">
        <v>52</v>
      </c>
      <c r="V1151" s="25" t="s">
        <v>53</v>
      </c>
      <c r="W1151" s="21">
        <v>1</v>
      </c>
      <c r="X1151" s="22"/>
    </row>
    <row r="1152" spans="1:24" s="1" customFormat="1" ht="35.1" customHeight="1" x14ac:dyDescent="0.3">
      <c r="A1152" s="11" t="s">
        <v>1144</v>
      </c>
      <c r="B1152" s="11" t="s">
        <v>1194</v>
      </c>
      <c r="C1152" s="12" t="s">
        <v>1195</v>
      </c>
      <c r="D1152" s="83"/>
      <c r="E1152" s="69" t="str">
        <f>HYPERLINK("https://www.google.ru/search?q=NF0A8D8WW9O&amp;newwindow=1&amp;tbm=isch","Еще фото")</f>
        <v>Еще фото</v>
      </c>
      <c r="F1152" s="13"/>
      <c r="G1152" s="11" t="s">
        <v>150</v>
      </c>
      <c r="H1152" s="11" t="s">
        <v>151</v>
      </c>
      <c r="I1152" s="14" t="s">
        <v>395</v>
      </c>
      <c r="J1152" s="14" t="s">
        <v>1164</v>
      </c>
      <c r="K1152" s="15" t="s">
        <v>55</v>
      </c>
      <c r="L1152" s="86"/>
      <c r="M1152" s="14"/>
      <c r="N1152" s="14" t="s">
        <v>49</v>
      </c>
      <c r="O1152" s="14"/>
      <c r="P1152" s="15" t="s">
        <v>1196</v>
      </c>
      <c r="Q1152" s="16">
        <v>22199</v>
      </c>
      <c r="R1152" s="17">
        <v>46.39</v>
      </c>
      <c r="S1152" s="18">
        <v>13684.988499999999</v>
      </c>
      <c r="T1152" s="19" t="s">
        <v>117</v>
      </c>
      <c r="U1152" s="20" t="s">
        <v>735</v>
      </c>
      <c r="V1152" s="21">
        <v>42</v>
      </c>
      <c r="W1152" s="21">
        <v>1</v>
      </c>
      <c r="X1152" s="22"/>
    </row>
    <row r="1153" spans="1:24" s="1" customFormat="1" ht="35.1" customHeight="1" x14ac:dyDescent="0.3">
      <c r="A1153" s="23" t="s">
        <v>1144</v>
      </c>
      <c r="B1153" s="23" t="s">
        <v>1194</v>
      </c>
      <c r="C1153" s="12" t="s">
        <v>1195</v>
      </c>
      <c r="D1153" s="84"/>
      <c r="E1153" s="69" t="str">
        <f>HYPERLINK("https://www.google.ru/search?q=NF0A8D8WW9O&amp;newwindow=1&amp;tbm=isch","Еще фото")</f>
        <v>Еще фото</v>
      </c>
      <c r="F1153" s="13"/>
      <c r="G1153" s="23" t="s">
        <v>150</v>
      </c>
      <c r="H1153" s="23" t="s">
        <v>151</v>
      </c>
      <c r="I1153" s="23" t="s">
        <v>395</v>
      </c>
      <c r="J1153" s="14" t="s">
        <v>1164</v>
      </c>
      <c r="K1153" s="15" t="s">
        <v>55</v>
      </c>
      <c r="L1153" s="87"/>
      <c r="M1153" s="14"/>
      <c r="N1153" s="14" t="s">
        <v>49</v>
      </c>
      <c r="O1153" s="14"/>
      <c r="P1153" s="15" t="s">
        <v>1196</v>
      </c>
      <c r="Q1153" s="16">
        <v>22199</v>
      </c>
      <c r="R1153" s="17">
        <v>46.39</v>
      </c>
      <c r="S1153" s="18">
        <v>13684.988499999999</v>
      </c>
      <c r="T1153" s="19" t="s">
        <v>117</v>
      </c>
      <c r="U1153" s="20" t="s">
        <v>758</v>
      </c>
      <c r="V1153" s="30">
        <v>42.5</v>
      </c>
      <c r="W1153" s="21">
        <v>1</v>
      </c>
      <c r="X1153" s="22"/>
    </row>
    <row r="1154" spans="1:24" s="1" customFormat="1" ht="36.950000000000003" customHeight="1" x14ac:dyDescent="0.3">
      <c r="A1154" s="23" t="s">
        <v>1144</v>
      </c>
      <c r="B1154" s="23" t="s">
        <v>1194</v>
      </c>
      <c r="C1154" s="12" t="s">
        <v>1195</v>
      </c>
      <c r="D1154" s="85"/>
      <c r="E1154" s="69" t="str">
        <f>HYPERLINK("https://www.google.ru/search?q=NF0A8D8WW9O&amp;newwindow=1&amp;tbm=isch","Еще фото")</f>
        <v>Еще фото</v>
      </c>
      <c r="F1154" s="13"/>
      <c r="G1154" s="23" t="s">
        <v>150</v>
      </c>
      <c r="H1154" s="23" t="s">
        <v>151</v>
      </c>
      <c r="I1154" s="23" t="s">
        <v>395</v>
      </c>
      <c r="J1154" s="14" t="s">
        <v>1164</v>
      </c>
      <c r="K1154" s="15" t="s">
        <v>55</v>
      </c>
      <c r="L1154" s="88"/>
      <c r="M1154" s="14"/>
      <c r="N1154" s="14" t="s">
        <v>49</v>
      </c>
      <c r="O1154" s="14"/>
      <c r="P1154" s="15" t="s">
        <v>1196</v>
      </c>
      <c r="Q1154" s="16">
        <v>22199</v>
      </c>
      <c r="R1154" s="17">
        <v>46.39</v>
      </c>
      <c r="S1154" s="18">
        <v>13684.988499999999</v>
      </c>
      <c r="T1154" s="19" t="s">
        <v>117</v>
      </c>
      <c r="U1154" s="20" t="s">
        <v>750</v>
      </c>
      <c r="V1154" s="21">
        <v>43</v>
      </c>
      <c r="W1154" s="21">
        <v>1</v>
      </c>
      <c r="X1154" s="22"/>
    </row>
    <row r="1155" spans="1:24" s="1" customFormat="1" ht="108" customHeight="1" x14ac:dyDescent="0.3">
      <c r="A1155" s="11" t="s">
        <v>1144</v>
      </c>
      <c r="B1155" s="11" t="s">
        <v>1197</v>
      </c>
      <c r="C1155" s="12" t="s">
        <v>1198</v>
      </c>
      <c r="D1155" s="24"/>
      <c r="E1155" s="69" t="str">
        <f>HYPERLINK("https://www.google.ru/search?q=T0A7W4Z79K&amp;newwindow=1&amp;tbm=isch","Еще фото")</f>
        <v>Еще фото</v>
      </c>
      <c r="F1155" s="13"/>
      <c r="G1155" s="11" t="s">
        <v>394</v>
      </c>
      <c r="H1155" s="11" t="s">
        <v>151</v>
      </c>
      <c r="I1155" s="14" t="s">
        <v>395</v>
      </c>
      <c r="J1155" s="14" t="s">
        <v>1164</v>
      </c>
      <c r="K1155" s="15" t="s">
        <v>55</v>
      </c>
      <c r="L1155" s="14" t="s">
        <v>1199</v>
      </c>
      <c r="M1155" s="14"/>
      <c r="N1155" s="14" t="s">
        <v>242</v>
      </c>
      <c r="O1155" s="14"/>
      <c r="P1155" s="15" t="s">
        <v>1200</v>
      </c>
      <c r="Q1155" s="16">
        <v>31999</v>
      </c>
      <c r="R1155" s="17">
        <v>46.25</v>
      </c>
      <c r="S1155" s="18">
        <v>19779.988499999999</v>
      </c>
      <c r="T1155" s="19" t="s">
        <v>117</v>
      </c>
      <c r="U1155" s="20" t="s">
        <v>1201</v>
      </c>
      <c r="V1155" s="30">
        <v>45.5</v>
      </c>
      <c r="W1155" s="21">
        <v>1</v>
      </c>
      <c r="X1155" s="22"/>
    </row>
    <row r="1156" spans="1:24" s="1" customFormat="1" ht="26.1" customHeight="1" x14ac:dyDescent="0.3">
      <c r="A1156" s="11" t="s">
        <v>1144</v>
      </c>
      <c r="B1156" s="11" t="s">
        <v>1202</v>
      </c>
      <c r="C1156" s="12" t="s">
        <v>1203</v>
      </c>
      <c r="D1156" s="83"/>
      <c r="E1156" s="69" t="str">
        <f>HYPERLINK("https://www.google.ru/search?q=NF0A5LW3YW2&amp;newwindow=1&amp;tbm=isch","Еще фото")</f>
        <v>Еще фото</v>
      </c>
      <c r="F1156" s="13"/>
      <c r="G1156" s="11" t="s">
        <v>150</v>
      </c>
      <c r="H1156" s="11" t="s">
        <v>151</v>
      </c>
      <c r="I1156" s="14" t="s">
        <v>395</v>
      </c>
      <c r="J1156" s="14" t="s">
        <v>1164</v>
      </c>
      <c r="K1156" s="15" t="s">
        <v>55</v>
      </c>
      <c r="L1156" s="86" t="s">
        <v>1204</v>
      </c>
      <c r="M1156" s="14"/>
      <c r="N1156" s="14" t="s">
        <v>154</v>
      </c>
      <c r="O1156" s="14"/>
      <c r="P1156" s="15" t="s">
        <v>1196</v>
      </c>
      <c r="Q1156" s="16">
        <v>22199</v>
      </c>
      <c r="R1156" s="17">
        <v>46</v>
      </c>
      <c r="S1156" s="18">
        <v>13785.578999999998</v>
      </c>
      <c r="T1156" s="19" t="s">
        <v>117</v>
      </c>
      <c r="U1156" s="20" t="s">
        <v>735</v>
      </c>
      <c r="V1156" s="21">
        <v>42</v>
      </c>
      <c r="W1156" s="21">
        <v>1</v>
      </c>
      <c r="X1156" s="22"/>
    </row>
    <row r="1157" spans="1:24" s="1" customFormat="1" ht="26.1" customHeight="1" x14ac:dyDescent="0.3">
      <c r="A1157" s="23" t="s">
        <v>1144</v>
      </c>
      <c r="B1157" s="23" t="s">
        <v>1202</v>
      </c>
      <c r="C1157" s="12" t="s">
        <v>1203</v>
      </c>
      <c r="D1157" s="84"/>
      <c r="E1157" s="69" t="str">
        <f>HYPERLINK("https://www.google.ru/search?q=NF0A5LW3YW2&amp;newwindow=1&amp;tbm=isch","Еще фото")</f>
        <v>Еще фото</v>
      </c>
      <c r="F1157" s="13"/>
      <c r="G1157" s="23" t="s">
        <v>150</v>
      </c>
      <c r="H1157" s="23" t="s">
        <v>151</v>
      </c>
      <c r="I1157" s="23" t="s">
        <v>395</v>
      </c>
      <c r="J1157" s="14" t="s">
        <v>1164</v>
      </c>
      <c r="K1157" s="15" t="s">
        <v>55</v>
      </c>
      <c r="L1157" s="87"/>
      <c r="M1157" s="14"/>
      <c r="N1157" s="14" t="s">
        <v>154</v>
      </c>
      <c r="O1157" s="14"/>
      <c r="P1157" s="15" t="s">
        <v>1196</v>
      </c>
      <c r="Q1157" s="16">
        <v>22199</v>
      </c>
      <c r="R1157" s="17">
        <v>46</v>
      </c>
      <c r="S1157" s="18">
        <v>13785.578999999998</v>
      </c>
      <c r="T1157" s="19" t="s">
        <v>117</v>
      </c>
      <c r="U1157" s="20" t="s">
        <v>758</v>
      </c>
      <c r="V1157" s="30">
        <v>42.5</v>
      </c>
      <c r="W1157" s="21">
        <v>2</v>
      </c>
      <c r="X1157" s="22"/>
    </row>
    <row r="1158" spans="1:24" s="1" customFormat="1" ht="26.1" customHeight="1" x14ac:dyDescent="0.3">
      <c r="A1158" s="23" t="s">
        <v>1144</v>
      </c>
      <c r="B1158" s="23" t="s">
        <v>1202</v>
      </c>
      <c r="C1158" s="12" t="s">
        <v>1203</v>
      </c>
      <c r="D1158" s="84"/>
      <c r="E1158" s="69" t="str">
        <f>HYPERLINK("https://www.google.ru/search?q=NF0A5LW3YW2&amp;newwindow=1&amp;tbm=isch","Еще фото")</f>
        <v>Еще фото</v>
      </c>
      <c r="F1158" s="13"/>
      <c r="G1158" s="23" t="s">
        <v>150</v>
      </c>
      <c r="H1158" s="23" t="s">
        <v>151</v>
      </c>
      <c r="I1158" s="23" t="s">
        <v>395</v>
      </c>
      <c r="J1158" s="14" t="s">
        <v>1164</v>
      </c>
      <c r="K1158" s="15" t="s">
        <v>55</v>
      </c>
      <c r="L1158" s="87"/>
      <c r="M1158" s="14"/>
      <c r="N1158" s="14" t="s">
        <v>154</v>
      </c>
      <c r="O1158" s="14"/>
      <c r="P1158" s="15" t="s">
        <v>1196</v>
      </c>
      <c r="Q1158" s="16">
        <v>22199</v>
      </c>
      <c r="R1158" s="17">
        <v>46</v>
      </c>
      <c r="S1158" s="18">
        <v>13785.578999999998</v>
      </c>
      <c r="T1158" s="19" t="s">
        <v>117</v>
      </c>
      <c r="U1158" s="20" t="s">
        <v>759</v>
      </c>
      <c r="V1158" s="21">
        <v>44</v>
      </c>
      <c r="W1158" s="21">
        <v>7</v>
      </c>
      <c r="X1158" s="22"/>
    </row>
    <row r="1159" spans="1:24" s="1" customFormat="1" ht="26.1" customHeight="1" x14ac:dyDescent="0.3">
      <c r="A1159" s="23" t="s">
        <v>1144</v>
      </c>
      <c r="B1159" s="23" t="s">
        <v>1202</v>
      </c>
      <c r="C1159" s="12" t="s">
        <v>1203</v>
      </c>
      <c r="D1159" s="85"/>
      <c r="E1159" s="69" t="str">
        <f>HYPERLINK("https://www.google.ru/search?q=NF0A5LW3YW2&amp;newwindow=1&amp;tbm=isch","Еще фото")</f>
        <v>Еще фото</v>
      </c>
      <c r="F1159" s="13"/>
      <c r="G1159" s="23" t="s">
        <v>150</v>
      </c>
      <c r="H1159" s="23" t="s">
        <v>151</v>
      </c>
      <c r="I1159" s="23" t="s">
        <v>395</v>
      </c>
      <c r="J1159" s="14" t="s">
        <v>1164</v>
      </c>
      <c r="K1159" s="15" t="s">
        <v>55</v>
      </c>
      <c r="L1159" s="88"/>
      <c r="M1159" s="14"/>
      <c r="N1159" s="14" t="s">
        <v>154</v>
      </c>
      <c r="O1159" s="14"/>
      <c r="P1159" s="15" t="s">
        <v>1196</v>
      </c>
      <c r="Q1159" s="16">
        <v>22199</v>
      </c>
      <c r="R1159" s="17">
        <v>46</v>
      </c>
      <c r="S1159" s="18">
        <v>13785.578999999998</v>
      </c>
      <c r="T1159" s="19" t="s">
        <v>117</v>
      </c>
      <c r="U1159" s="20" t="s">
        <v>43</v>
      </c>
      <c r="V1159" s="30">
        <v>44.5</v>
      </c>
      <c r="W1159" s="21">
        <v>3</v>
      </c>
      <c r="X1159" s="22"/>
    </row>
    <row r="1160" spans="1:24" s="1" customFormat="1" ht="21" customHeight="1" x14ac:dyDescent="0.3">
      <c r="A1160" s="11" t="s">
        <v>1144</v>
      </c>
      <c r="B1160" s="11" t="s">
        <v>1205</v>
      </c>
      <c r="C1160" s="27" t="s">
        <v>1206</v>
      </c>
      <c r="D1160" s="83"/>
      <c r="E1160" s="69" t="str">
        <f>HYPERLINK("https://www.google.ru/search?q=NF0A7W4GU6V&amp;newwindow=1&amp;tbm=isch","Еще фото")</f>
        <v>Еще фото</v>
      </c>
      <c r="F1160" s="13"/>
      <c r="G1160" s="11" t="s">
        <v>150</v>
      </c>
      <c r="H1160" s="11" t="s">
        <v>151</v>
      </c>
      <c r="I1160" s="14" t="s">
        <v>395</v>
      </c>
      <c r="J1160" s="14" t="s">
        <v>1164</v>
      </c>
      <c r="K1160" s="15" t="s">
        <v>55</v>
      </c>
      <c r="L1160" s="86"/>
      <c r="M1160" s="14"/>
      <c r="N1160" s="14" t="s">
        <v>154</v>
      </c>
      <c r="O1160" s="14"/>
      <c r="P1160" s="15" t="s">
        <v>1207</v>
      </c>
      <c r="Q1160" s="16">
        <v>18999</v>
      </c>
      <c r="R1160" s="17">
        <v>46</v>
      </c>
      <c r="S1160" s="18">
        <v>11798.378999999997</v>
      </c>
      <c r="T1160" s="19" t="s">
        <v>117</v>
      </c>
      <c r="U1160" s="20" t="s">
        <v>735</v>
      </c>
      <c r="V1160" s="21">
        <v>42</v>
      </c>
      <c r="W1160" s="21">
        <v>1</v>
      </c>
      <c r="X1160" s="22"/>
    </row>
    <row r="1161" spans="1:24" s="1" customFormat="1" ht="21" customHeight="1" x14ac:dyDescent="0.3">
      <c r="A1161" s="23" t="s">
        <v>1144</v>
      </c>
      <c r="B1161" s="23" t="s">
        <v>1205</v>
      </c>
      <c r="C1161" s="28" t="s">
        <v>1206</v>
      </c>
      <c r="D1161" s="84"/>
      <c r="E1161" s="69" t="str">
        <f>HYPERLINK("https://www.google.ru/search?q=NF0A7W4GU6V&amp;newwindow=1&amp;tbm=isch","Еще фото")</f>
        <v>Еще фото</v>
      </c>
      <c r="F1161" s="13"/>
      <c r="G1161" s="23" t="s">
        <v>150</v>
      </c>
      <c r="H1161" s="23" t="s">
        <v>151</v>
      </c>
      <c r="I1161" s="23" t="s">
        <v>395</v>
      </c>
      <c r="J1161" s="14" t="s">
        <v>1164</v>
      </c>
      <c r="K1161" s="15" t="s">
        <v>55</v>
      </c>
      <c r="L1161" s="87"/>
      <c r="M1161" s="14"/>
      <c r="N1161" s="14" t="s">
        <v>154</v>
      </c>
      <c r="O1161" s="14"/>
      <c r="P1161" s="15" t="s">
        <v>1207</v>
      </c>
      <c r="Q1161" s="16">
        <v>18999</v>
      </c>
      <c r="R1161" s="17">
        <v>46</v>
      </c>
      <c r="S1161" s="18">
        <v>11798.378999999997</v>
      </c>
      <c r="T1161" s="19" t="s">
        <v>117</v>
      </c>
      <c r="U1161" s="20" t="s">
        <v>758</v>
      </c>
      <c r="V1161" s="30">
        <v>42.5</v>
      </c>
      <c r="W1161" s="21">
        <v>4</v>
      </c>
      <c r="X1161" s="22"/>
    </row>
    <row r="1162" spans="1:24" s="1" customFormat="1" ht="21" customHeight="1" x14ac:dyDescent="0.3">
      <c r="A1162" s="23" t="s">
        <v>1144</v>
      </c>
      <c r="B1162" s="23" t="s">
        <v>1205</v>
      </c>
      <c r="C1162" s="28" t="s">
        <v>1206</v>
      </c>
      <c r="D1162" s="84"/>
      <c r="E1162" s="69" t="str">
        <f>HYPERLINK("https://www.google.ru/search?q=NF0A7W4GU6V&amp;newwindow=1&amp;tbm=isch","Еще фото")</f>
        <v>Еще фото</v>
      </c>
      <c r="F1162" s="13"/>
      <c r="G1162" s="23" t="s">
        <v>150</v>
      </c>
      <c r="H1162" s="23" t="s">
        <v>151</v>
      </c>
      <c r="I1162" s="23" t="s">
        <v>395</v>
      </c>
      <c r="J1162" s="14" t="s">
        <v>1164</v>
      </c>
      <c r="K1162" s="15" t="s">
        <v>55</v>
      </c>
      <c r="L1162" s="87"/>
      <c r="M1162" s="14"/>
      <c r="N1162" s="14" t="s">
        <v>154</v>
      </c>
      <c r="O1162" s="14"/>
      <c r="P1162" s="15" t="s">
        <v>1207</v>
      </c>
      <c r="Q1162" s="16">
        <v>18999</v>
      </c>
      <c r="R1162" s="17">
        <v>46</v>
      </c>
      <c r="S1162" s="18">
        <v>11798.378999999997</v>
      </c>
      <c r="T1162" s="19" t="s">
        <v>117</v>
      </c>
      <c r="U1162" s="20" t="s">
        <v>750</v>
      </c>
      <c r="V1162" s="21">
        <v>43</v>
      </c>
      <c r="W1162" s="21">
        <v>6</v>
      </c>
      <c r="X1162" s="22"/>
    </row>
    <row r="1163" spans="1:24" s="1" customFormat="1" ht="21" customHeight="1" x14ac:dyDescent="0.3">
      <c r="A1163" s="23" t="s">
        <v>1144</v>
      </c>
      <c r="B1163" s="23" t="s">
        <v>1205</v>
      </c>
      <c r="C1163" s="28" t="s">
        <v>1206</v>
      </c>
      <c r="D1163" s="84"/>
      <c r="E1163" s="69" t="str">
        <f>HYPERLINK("https://www.google.ru/search?q=NF0A7W4GU6V&amp;newwindow=1&amp;tbm=isch","Еще фото")</f>
        <v>Еще фото</v>
      </c>
      <c r="F1163" s="13"/>
      <c r="G1163" s="23" t="s">
        <v>150</v>
      </c>
      <c r="H1163" s="23" t="s">
        <v>151</v>
      </c>
      <c r="I1163" s="23" t="s">
        <v>395</v>
      </c>
      <c r="J1163" s="14" t="s">
        <v>1164</v>
      </c>
      <c r="K1163" s="15" t="s">
        <v>55</v>
      </c>
      <c r="L1163" s="87"/>
      <c r="M1163" s="14"/>
      <c r="N1163" s="14" t="s">
        <v>154</v>
      </c>
      <c r="O1163" s="14"/>
      <c r="P1163" s="15" t="s">
        <v>1207</v>
      </c>
      <c r="Q1163" s="16">
        <v>18999</v>
      </c>
      <c r="R1163" s="17">
        <v>46</v>
      </c>
      <c r="S1163" s="18">
        <v>11798.378999999997</v>
      </c>
      <c r="T1163" s="19" t="s">
        <v>117</v>
      </c>
      <c r="U1163" s="20" t="s">
        <v>759</v>
      </c>
      <c r="V1163" s="21">
        <v>44</v>
      </c>
      <c r="W1163" s="21">
        <v>7</v>
      </c>
      <c r="X1163" s="22"/>
    </row>
    <row r="1164" spans="1:24" s="1" customFormat="1" ht="32.1" customHeight="1" x14ac:dyDescent="0.3">
      <c r="A1164" s="23" t="s">
        <v>1144</v>
      </c>
      <c r="B1164" s="23" t="s">
        <v>1205</v>
      </c>
      <c r="C1164" s="28" t="s">
        <v>1206</v>
      </c>
      <c r="D1164" s="85"/>
      <c r="E1164" s="69" t="str">
        <f>HYPERLINK("https://www.google.ru/search?q=NF0A7W4GU6V&amp;newwindow=1&amp;tbm=isch","Еще фото")</f>
        <v>Еще фото</v>
      </c>
      <c r="F1164" s="13"/>
      <c r="G1164" s="23" t="s">
        <v>150</v>
      </c>
      <c r="H1164" s="23" t="s">
        <v>151</v>
      </c>
      <c r="I1164" s="23" t="s">
        <v>395</v>
      </c>
      <c r="J1164" s="14" t="s">
        <v>1164</v>
      </c>
      <c r="K1164" s="15" t="s">
        <v>55</v>
      </c>
      <c r="L1164" s="88"/>
      <c r="M1164" s="14"/>
      <c r="N1164" s="14" t="s">
        <v>154</v>
      </c>
      <c r="O1164" s="14"/>
      <c r="P1164" s="15" t="s">
        <v>1207</v>
      </c>
      <c r="Q1164" s="16">
        <v>18999</v>
      </c>
      <c r="R1164" s="17">
        <v>46</v>
      </c>
      <c r="S1164" s="18">
        <v>11798.378999999997</v>
      </c>
      <c r="T1164" s="19" t="s">
        <v>117</v>
      </c>
      <c r="U1164" s="20" t="s">
        <v>43</v>
      </c>
      <c r="V1164" s="30">
        <v>44.5</v>
      </c>
      <c r="W1164" s="21">
        <v>3</v>
      </c>
      <c r="X1164" s="22"/>
    </row>
    <row r="1165" spans="1:24" s="1" customFormat="1" ht="108" customHeight="1" x14ac:dyDescent="0.3">
      <c r="A1165" s="11" t="s">
        <v>1144</v>
      </c>
      <c r="B1165" s="11" t="s">
        <v>1208</v>
      </c>
      <c r="C1165" s="12" t="s">
        <v>1209</v>
      </c>
      <c r="D1165" s="24"/>
      <c r="E1165" s="69" t="str">
        <f>HYPERLINK("https://www.google.ru/search?q=T0A888MJK3&amp;newwindow=1&amp;tbm=isch","Еще фото")</f>
        <v>Еще фото</v>
      </c>
      <c r="F1165" s="13"/>
      <c r="G1165" s="11" t="s">
        <v>1210</v>
      </c>
      <c r="H1165" s="11" t="s">
        <v>112</v>
      </c>
      <c r="I1165" s="14" t="s">
        <v>1210</v>
      </c>
      <c r="J1165" s="14" t="s">
        <v>1164</v>
      </c>
      <c r="K1165" s="15" t="s">
        <v>114</v>
      </c>
      <c r="L1165" s="14" t="s">
        <v>1211</v>
      </c>
      <c r="M1165" s="14"/>
      <c r="N1165" s="14" t="s">
        <v>49</v>
      </c>
      <c r="O1165" s="14"/>
      <c r="P1165" s="15" t="s">
        <v>1212</v>
      </c>
      <c r="Q1165" s="16">
        <v>8399</v>
      </c>
      <c r="R1165" s="17">
        <v>46</v>
      </c>
      <c r="S1165" s="18">
        <v>5215.7789999999995</v>
      </c>
      <c r="T1165" s="19" t="s">
        <v>328</v>
      </c>
      <c r="U1165" s="20" t="s">
        <v>58</v>
      </c>
      <c r="V1165" s="25" t="s">
        <v>1213</v>
      </c>
      <c r="W1165" s="21">
        <v>1</v>
      </c>
      <c r="X1165" s="22"/>
    </row>
    <row r="1166" spans="1:24" s="1" customFormat="1" ht="108" customHeight="1" x14ac:dyDescent="0.3">
      <c r="A1166" s="11" t="s">
        <v>1144</v>
      </c>
      <c r="B1166" s="11" t="s">
        <v>1214</v>
      </c>
      <c r="C1166" s="12" t="s">
        <v>1215</v>
      </c>
      <c r="D1166" s="24"/>
      <c r="E1166" s="69" t="str">
        <f>HYPERLINK("https://www.google.ru/search?q=NF0A8D9FKX7&amp;newwindow=1&amp;tbm=isch","Еще фото")</f>
        <v>Еще фото</v>
      </c>
      <c r="F1166" s="13"/>
      <c r="G1166" s="11" t="s">
        <v>150</v>
      </c>
      <c r="H1166" s="11" t="s">
        <v>151</v>
      </c>
      <c r="I1166" s="14" t="s">
        <v>424</v>
      </c>
      <c r="J1166" s="14" t="s">
        <v>29</v>
      </c>
      <c r="K1166" s="15" t="s">
        <v>55</v>
      </c>
      <c r="L1166" s="14"/>
      <c r="M1166" s="14"/>
      <c r="N1166" s="14" t="s">
        <v>49</v>
      </c>
      <c r="O1166" s="14"/>
      <c r="P1166" s="15" t="s">
        <v>1216</v>
      </c>
      <c r="Q1166" s="16">
        <v>24499</v>
      </c>
      <c r="R1166" s="17">
        <v>46.12</v>
      </c>
      <c r="S1166" s="18">
        <v>15179.988499999999</v>
      </c>
      <c r="T1166" s="19" t="s">
        <v>117</v>
      </c>
      <c r="U1166" s="20" t="s">
        <v>43</v>
      </c>
      <c r="V1166" s="30">
        <v>44.5</v>
      </c>
      <c r="W1166" s="21">
        <v>1</v>
      </c>
      <c r="X1166" s="22"/>
    </row>
    <row r="1167" spans="1:24" s="1" customFormat="1" ht="26.1" customHeight="1" x14ac:dyDescent="0.3">
      <c r="A1167" s="11" t="s">
        <v>1144</v>
      </c>
      <c r="B1167" s="11" t="s">
        <v>1217</v>
      </c>
      <c r="C1167" s="12" t="s">
        <v>1218</v>
      </c>
      <c r="D1167" s="83"/>
      <c r="E1167" s="69" t="str">
        <f>HYPERLINK("https://www.google.ru/search?q=NF0A8A9M8O1&amp;newwindow=1&amp;tbm=isch","Еще фото")</f>
        <v>Еще фото</v>
      </c>
      <c r="F1167" s="13"/>
      <c r="G1167" s="11" t="s">
        <v>150</v>
      </c>
      <c r="H1167" s="11" t="s">
        <v>151</v>
      </c>
      <c r="I1167" s="14" t="s">
        <v>424</v>
      </c>
      <c r="J1167" s="14" t="s">
        <v>29</v>
      </c>
      <c r="K1167" s="15" t="s">
        <v>55</v>
      </c>
      <c r="L1167" s="86"/>
      <c r="M1167" s="14"/>
      <c r="N1167" s="14" t="s">
        <v>154</v>
      </c>
      <c r="O1167" s="14"/>
      <c r="P1167" s="15" t="s">
        <v>1196</v>
      </c>
      <c r="Q1167" s="16">
        <v>24499</v>
      </c>
      <c r="R1167" s="17">
        <v>46</v>
      </c>
      <c r="S1167" s="18">
        <v>15213.878999999997</v>
      </c>
      <c r="T1167" s="19" t="s">
        <v>117</v>
      </c>
      <c r="U1167" s="20" t="s">
        <v>735</v>
      </c>
      <c r="V1167" s="21">
        <v>42</v>
      </c>
      <c r="W1167" s="21">
        <v>1</v>
      </c>
      <c r="X1167" s="22"/>
    </row>
    <row r="1168" spans="1:24" s="1" customFormat="1" ht="26.1" customHeight="1" x14ac:dyDescent="0.3">
      <c r="A1168" s="23" t="s">
        <v>1144</v>
      </c>
      <c r="B1168" s="23" t="s">
        <v>1217</v>
      </c>
      <c r="C1168" s="12" t="s">
        <v>1218</v>
      </c>
      <c r="D1168" s="84"/>
      <c r="E1168" s="69" t="str">
        <f>HYPERLINK("https://www.google.ru/search?q=NF0A8A9M8O1&amp;newwindow=1&amp;tbm=isch","Еще фото")</f>
        <v>Еще фото</v>
      </c>
      <c r="F1168" s="13"/>
      <c r="G1168" s="23" t="s">
        <v>150</v>
      </c>
      <c r="H1168" s="23" t="s">
        <v>151</v>
      </c>
      <c r="I1168" s="23" t="s">
        <v>424</v>
      </c>
      <c r="J1168" s="14" t="s">
        <v>29</v>
      </c>
      <c r="K1168" s="15" t="s">
        <v>55</v>
      </c>
      <c r="L1168" s="87"/>
      <c r="M1168" s="14"/>
      <c r="N1168" s="14" t="s">
        <v>154</v>
      </c>
      <c r="O1168" s="14"/>
      <c r="P1168" s="15" t="s">
        <v>1196</v>
      </c>
      <c r="Q1168" s="16">
        <v>24499</v>
      </c>
      <c r="R1168" s="17">
        <v>46</v>
      </c>
      <c r="S1168" s="18">
        <v>15213.878999999997</v>
      </c>
      <c r="T1168" s="19" t="s">
        <v>117</v>
      </c>
      <c r="U1168" s="20" t="s">
        <v>750</v>
      </c>
      <c r="V1168" s="21">
        <v>43</v>
      </c>
      <c r="W1168" s="21">
        <v>3</v>
      </c>
      <c r="X1168" s="22"/>
    </row>
    <row r="1169" spans="1:24" s="1" customFormat="1" ht="26.1" customHeight="1" x14ac:dyDescent="0.3">
      <c r="A1169" s="23" t="s">
        <v>1144</v>
      </c>
      <c r="B1169" s="23" t="s">
        <v>1217</v>
      </c>
      <c r="C1169" s="12" t="s">
        <v>1218</v>
      </c>
      <c r="D1169" s="84"/>
      <c r="E1169" s="69" t="str">
        <f>HYPERLINK("https://www.google.ru/search?q=NF0A8A9M8O1&amp;newwindow=1&amp;tbm=isch","Еще фото")</f>
        <v>Еще фото</v>
      </c>
      <c r="F1169" s="13"/>
      <c r="G1169" s="23" t="s">
        <v>150</v>
      </c>
      <c r="H1169" s="23" t="s">
        <v>151</v>
      </c>
      <c r="I1169" s="23" t="s">
        <v>424</v>
      </c>
      <c r="J1169" s="14" t="s">
        <v>29</v>
      </c>
      <c r="K1169" s="15" t="s">
        <v>55</v>
      </c>
      <c r="L1169" s="87"/>
      <c r="M1169" s="14"/>
      <c r="N1169" s="14" t="s">
        <v>154</v>
      </c>
      <c r="O1169" s="14"/>
      <c r="P1169" s="15" t="s">
        <v>1196</v>
      </c>
      <c r="Q1169" s="16">
        <v>24499</v>
      </c>
      <c r="R1169" s="17">
        <v>46</v>
      </c>
      <c r="S1169" s="18">
        <v>15213.878999999997</v>
      </c>
      <c r="T1169" s="19" t="s">
        <v>117</v>
      </c>
      <c r="U1169" s="20" t="s">
        <v>759</v>
      </c>
      <c r="V1169" s="21">
        <v>44</v>
      </c>
      <c r="W1169" s="21">
        <v>4</v>
      </c>
      <c r="X1169" s="22"/>
    </row>
    <row r="1170" spans="1:24" s="1" customFormat="1" ht="26.1" customHeight="1" x14ac:dyDescent="0.3">
      <c r="A1170" s="23" t="s">
        <v>1144</v>
      </c>
      <c r="B1170" s="23" t="s">
        <v>1217</v>
      </c>
      <c r="C1170" s="12" t="s">
        <v>1218</v>
      </c>
      <c r="D1170" s="85"/>
      <c r="E1170" s="69" t="str">
        <f>HYPERLINK("https://www.google.ru/search?q=NF0A8A9M8O1&amp;newwindow=1&amp;tbm=isch","Еще фото")</f>
        <v>Еще фото</v>
      </c>
      <c r="F1170" s="13"/>
      <c r="G1170" s="23" t="s">
        <v>150</v>
      </c>
      <c r="H1170" s="23" t="s">
        <v>151</v>
      </c>
      <c r="I1170" s="23" t="s">
        <v>424</v>
      </c>
      <c r="J1170" s="14" t="s">
        <v>29</v>
      </c>
      <c r="K1170" s="15" t="s">
        <v>55</v>
      </c>
      <c r="L1170" s="88"/>
      <c r="M1170" s="14"/>
      <c r="N1170" s="14" t="s">
        <v>154</v>
      </c>
      <c r="O1170" s="14"/>
      <c r="P1170" s="15" t="s">
        <v>1196</v>
      </c>
      <c r="Q1170" s="16">
        <v>24499</v>
      </c>
      <c r="R1170" s="17">
        <v>46</v>
      </c>
      <c r="S1170" s="18">
        <v>15213.878999999997</v>
      </c>
      <c r="T1170" s="19" t="s">
        <v>117</v>
      </c>
      <c r="U1170" s="20" t="s">
        <v>43</v>
      </c>
      <c r="V1170" s="30">
        <v>44.5</v>
      </c>
      <c r="W1170" s="21">
        <v>2</v>
      </c>
      <c r="X1170" s="22"/>
    </row>
    <row r="1171" spans="1:24" s="1" customFormat="1" ht="17.100000000000001" customHeight="1" x14ac:dyDescent="0.3">
      <c r="A1171" s="11" t="s">
        <v>1144</v>
      </c>
      <c r="B1171" s="11" t="s">
        <v>1217</v>
      </c>
      <c r="C1171" s="12" t="s">
        <v>1219</v>
      </c>
      <c r="D1171" s="83"/>
      <c r="E1171" s="69" t="str">
        <f t="shared" ref="E1171:E1176" si="66">HYPERLINK("https://www.google.ru/search?q=NF0A8A9MKX7&amp;newwindow=1&amp;tbm=isch","Еще фото")</f>
        <v>Еще фото</v>
      </c>
      <c r="F1171" s="13"/>
      <c r="G1171" s="11" t="s">
        <v>150</v>
      </c>
      <c r="H1171" s="11" t="s">
        <v>151</v>
      </c>
      <c r="I1171" s="14" t="s">
        <v>424</v>
      </c>
      <c r="J1171" s="14" t="s">
        <v>29</v>
      </c>
      <c r="K1171" s="15" t="s">
        <v>55</v>
      </c>
      <c r="L1171" s="86"/>
      <c r="M1171" s="14"/>
      <c r="N1171" s="14" t="s">
        <v>49</v>
      </c>
      <c r="O1171" s="14"/>
      <c r="P1171" s="15" t="s">
        <v>1196</v>
      </c>
      <c r="Q1171" s="16">
        <v>24499</v>
      </c>
      <c r="R1171" s="17">
        <v>46</v>
      </c>
      <c r="S1171" s="18">
        <v>15213.878999999997</v>
      </c>
      <c r="T1171" s="19" t="s">
        <v>117</v>
      </c>
      <c r="U1171" s="20" t="s">
        <v>735</v>
      </c>
      <c r="V1171" s="21">
        <v>42</v>
      </c>
      <c r="W1171" s="21">
        <v>1</v>
      </c>
      <c r="X1171" s="22"/>
    </row>
    <row r="1172" spans="1:24" s="1" customFormat="1" ht="17.100000000000001" customHeight="1" x14ac:dyDescent="0.3">
      <c r="A1172" s="23" t="s">
        <v>1144</v>
      </c>
      <c r="B1172" s="23" t="s">
        <v>1217</v>
      </c>
      <c r="C1172" s="12" t="s">
        <v>1219</v>
      </c>
      <c r="D1172" s="84"/>
      <c r="E1172" s="69" t="str">
        <f t="shared" si="66"/>
        <v>Еще фото</v>
      </c>
      <c r="F1172" s="13"/>
      <c r="G1172" s="23" t="s">
        <v>150</v>
      </c>
      <c r="H1172" s="23" t="s">
        <v>151</v>
      </c>
      <c r="I1172" s="23" t="s">
        <v>424</v>
      </c>
      <c r="J1172" s="14" t="s">
        <v>29</v>
      </c>
      <c r="K1172" s="15" t="s">
        <v>55</v>
      </c>
      <c r="L1172" s="87"/>
      <c r="M1172" s="14"/>
      <c r="N1172" s="14" t="s">
        <v>49</v>
      </c>
      <c r="O1172" s="14"/>
      <c r="P1172" s="15" t="s">
        <v>1196</v>
      </c>
      <c r="Q1172" s="16">
        <v>24499</v>
      </c>
      <c r="R1172" s="17">
        <v>46</v>
      </c>
      <c r="S1172" s="18">
        <v>15213.878999999997</v>
      </c>
      <c r="T1172" s="19" t="s">
        <v>117</v>
      </c>
      <c r="U1172" s="20" t="s">
        <v>758</v>
      </c>
      <c r="V1172" s="30">
        <v>42.5</v>
      </c>
      <c r="W1172" s="21">
        <v>3</v>
      </c>
      <c r="X1172" s="22"/>
    </row>
    <row r="1173" spans="1:24" s="1" customFormat="1" ht="17.100000000000001" customHeight="1" x14ac:dyDescent="0.3">
      <c r="A1173" s="23" t="s">
        <v>1144</v>
      </c>
      <c r="B1173" s="23" t="s">
        <v>1217</v>
      </c>
      <c r="C1173" s="12" t="s">
        <v>1219</v>
      </c>
      <c r="D1173" s="84"/>
      <c r="E1173" s="69" t="str">
        <f t="shared" si="66"/>
        <v>Еще фото</v>
      </c>
      <c r="F1173" s="13"/>
      <c r="G1173" s="23" t="s">
        <v>150</v>
      </c>
      <c r="H1173" s="23" t="s">
        <v>151</v>
      </c>
      <c r="I1173" s="23" t="s">
        <v>424</v>
      </c>
      <c r="J1173" s="14" t="s">
        <v>29</v>
      </c>
      <c r="K1173" s="15" t="s">
        <v>55</v>
      </c>
      <c r="L1173" s="87"/>
      <c r="M1173" s="14"/>
      <c r="N1173" s="14" t="s">
        <v>49</v>
      </c>
      <c r="O1173" s="14"/>
      <c r="P1173" s="15" t="s">
        <v>1196</v>
      </c>
      <c r="Q1173" s="16">
        <v>24499</v>
      </c>
      <c r="R1173" s="17">
        <v>46</v>
      </c>
      <c r="S1173" s="18">
        <v>15213.878999999997</v>
      </c>
      <c r="T1173" s="19" t="s">
        <v>117</v>
      </c>
      <c r="U1173" s="20" t="s">
        <v>750</v>
      </c>
      <c r="V1173" s="21">
        <v>43</v>
      </c>
      <c r="W1173" s="21">
        <v>4</v>
      </c>
      <c r="X1173" s="22"/>
    </row>
    <row r="1174" spans="1:24" s="1" customFormat="1" ht="17.100000000000001" customHeight="1" x14ac:dyDescent="0.3">
      <c r="A1174" s="23" t="s">
        <v>1144</v>
      </c>
      <c r="B1174" s="23" t="s">
        <v>1217</v>
      </c>
      <c r="C1174" s="12" t="s">
        <v>1219</v>
      </c>
      <c r="D1174" s="84"/>
      <c r="E1174" s="69" t="str">
        <f t="shared" si="66"/>
        <v>Еще фото</v>
      </c>
      <c r="F1174" s="13"/>
      <c r="G1174" s="23" t="s">
        <v>150</v>
      </c>
      <c r="H1174" s="23" t="s">
        <v>151</v>
      </c>
      <c r="I1174" s="23" t="s">
        <v>424</v>
      </c>
      <c r="J1174" s="14" t="s">
        <v>29</v>
      </c>
      <c r="K1174" s="15" t="s">
        <v>55</v>
      </c>
      <c r="L1174" s="87"/>
      <c r="M1174" s="14"/>
      <c r="N1174" s="14" t="s">
        <v>49</v>
      </c>
      <c r="O1174" s="14"/>
      <c r="P1174" s="15" t="s">
        <v>1196</v>
      </c>
      <c r="Q1174" s="16">
        <v>24499</v>
      </c>
      <c r="R1174" s="17">
        <v>46</v>
      </c>
      <c r="S1174" s="18">
        <v>15213.878999999997</v>
      </c>
      <c r="T1174" s="19" t="s">
        <v>117</v>
      </c>
      <c r="U1174" s="20" t="s">
        <v>759</v>
      </c>
      <c r="V1174" s="21">
        <v>44</v>
      </c>
      <c r="W1174" s="21">
        <v>6</v>
      </c>
      <c r="X1174" s="22"/>
    </row>
    <row r="1175" spans="1:24" s="1" customFormat="1" ht="17.100000000000001" customHeight="1" x14ac:dyDescent="0.3">
      <c r="A1175" s="23" t="s">
        <v>1144</v>
      </c>
      <c r="B1175" s="23" t="s">
        <v>1217</v>
      </c>
      <c r="C1175" s="12" t="s">
        <v>1219</v>
      </c>
      <c r="D1175" s="84"/>
      <c r="E1175" s="69" t="str">
        <f t="shared" si="66"/>
        <v>Еще фото</v>
      </c>
      <c r="F1175" s="13"/>
      <c r="G1175" s="23" t="s">
        <v>150</v>
      </c>
      <c r="H1175" s="23" t="s">
        <v>151</v>
      </c>
      <c r="I1175" s="23" t="s">
        <v>424</v>
      </c>
      <c r="J1175" s="14" t="s">
        <v>29</v>
      </c>
      <c r="K1175" s="15" t="s">
        <v>55</v>
      </c>
      <c r="L1175" s="87"/>
      <c r="M1175" s="14"/>
      <c r="N1175" s="14" t="s">
        <v>49</v>
      </c>
      <c r="O1175" s="14"/>
      <c r="P1175" s="15" t="s">
        <v>1196</v>
      </c>
      <c r="Q1175" s="16">
        <v>24499</v>
      </c>
      <c r="R1175" s="17">
        <v>46</v>
      </c>
      <c r="S1175" s="18">
        <v>15213.878999999997</v>
      </c>
      <c r="T1175" s="19" t="s">
        <v>117</v>
      </c>
      <c r="U1175" s="20" t="s">
        <v>43</v>
      </c>
      <c r="V1175" s="30">
        <v>44.5</v>
      </c>
      <c r="W1175" s="21">
        <v>1</v>
      </c>
      <c r="X1175" s="22"/>
    </row>
    <row r="1176" spans="1:24" s="1" customFormat="1" ht="21.95" customHeight="1" x14ac:dyDescent="0.3">
      <c r="A1176" s="23" t="s">
        <v>1144</v>
      </c>
      <c r="B1176" s="23" t="s">
        <v>1217</v>
      </c>
      <c r="C1176" s="12" t="s">
        <v>1219</v>
      </c>
      <c r="D1176" s="85"/>
      <c r="E1176" s="69" t="str">
        <f t="shared" si="66"/>
        <v>Еще фото</v>
      </c>
      <c r="F1176" s="13"/>
      <c r="G1176" s="23" t="s">
        <v>150</v>
      </c>
      <c r="H1176" s="23" t="s">
        <v>151</v>
      </c>
      <c r="I1176" s="23" t="s">
        <v>424</v>
      </c>
      <c r="J1176" s="14" t="s">
        <v>29</v>
      </c>
      <c r="K1176" s="15" t="s">
        <v>55</v>
      </c>
      <c r="L1176" s="88"/>
      <c r="M1176" s="14"/>
      <c r="N1176" s="14" t="s">
        <v>49</v>
      </c>
      <c r="O1176" s="14"/>
      <c r="P1176" s="15" t="s">
        <v>1196</v>
      </c>
      <c r="Q1176" s="16">
        <v>24499</v>
      </c>
      <c r="R1176" s="17">
        <v>46</v>
      </c>
      <c r="S1176" s="18">
        <v>15213.878999999997</v>
      </c>
      <c r="T1176" s="19" t="s">
        <v>117</v>
      </c>
      <c r="U1176" s="20" t="s">
        <v>1220</v>
      </c>
      <c r="V1176" s="21">
        <v>45</v>
      </c>
      <c r="W1176" s="21">
        <v>1</v>
      </c>
      <c r="X1176" s="22"/>
    </row>
    <row r="1177" spans="1:24" s="1" customFormat="1" ht="17.100000000000001" customHeight="1" x14ac:dyDescent="0.3">
      <c r="A1177" s="11" t="s">
        <v>1144</v>
      </c>
      <c r="B1177" s="11" t="s">
        <v>1194</v>
      </c>
      <c r="C1177" s="12" t="s">
        <v>1221</v>
      </c>
      <c r="D1177" s="83"/>
      <c r="E1177" s="69" t="str">
        <f t="shared" ref="E1177:E1182" si="67">HYPERLINK("https://www.google.ru/search?q=NF0A8D8WDUJ&amp;newwindow=1&amp;tbm=isch","Еще фото")</f>
        <v>Еще фото</v>
      </c>
      <c r="F1177" s="13"/>
      <c r="G1177" s="11" t="s">
        <v>150</v>
      </c>
      <c r="H1177" s="11" t="s">
        <v>151</v>
      </c>
      <c r="I1177" s="14" t="s">
        <v>424</v>
      </c>
      <c r="J1177" s="14" t="s">
        <v>29</v>
      </c>
      <c r="K1177" s="15" t="s">
        <v>55</v>
      </c>
      <c r="L1177" s="86"/>
      <c r="M1177" s="14"/>
      <c r="N1177" s="14" t="s">
        <v>154</v>
      </c>
      <c r="O1177" s="14"/>
      <c r="P1177" s="15" t="s">
        <v>1196</v>
      </c>
      <c r="Q1177" s="16">
        <v>21499</v>
      </c>
      <c r="R1177" s="17">
        <v>46</v>
      </c>
      <c r="S1177" s="18">
        <v>13350.878999999997</v>
      </c>
      <c r="T1177" s="19" t="s">
        <v>117</v>
      </c>
      <c r="U1177" s="20" t="s">
        <v>735</v>
      </c>
      <c r="V1177" s="21">
        <v>42</v>
      </c>
      <c r="W1177" s="21">
        <v>2</v>
      </c>
      <c r="X1177" s="22"/>
    </row>
    <row r="1178" spans="1:24" s="1" customFormat="1" ht="17.100000000000001" customHeight="1" x14ac:dyDescent="0.3">
      <c r="A1178" s="23" t="s">
        <v>1144</v>
      </c>
      <c r="B1178" s="23" t="s">
        <v>1194</v>
      </c>
      <c r="C1178" s="12" t="s">
        <v>1221</v>
      </c>
      <c r="D1178" s="84"/>
      <c r="E1178" s="69" t="str">
        <f t="shared" si="67"/>
        <v>Еще фото</v>
      </c>
      <c r="F1178" s="13"/>
      <c r="G1178" s="23" t="s">
        <v>150</v>
      </c>
      <c r="H1178" s="23" t="s">
        <v>151</v>
      </c>
      <c r="I1178" s="23" t="s">
        <v>424</v>
      </c>
      <c r="J1178" s="14" t="s">
        <v>29</v>
      </c>
      <c r="K1178" s="15" t="s">
        <v>55</v>
      </c>
      <c r="L1178" s="87"/>
      <c r="M1178" s="14"/>
      <c r="N1178" s="14" t="s">
        <v>154</v>
      </c>
      <c r="O1178" s="14"/>
      <c r="P1178" s="15" t="s">
        <v>1196</v>
      </c>
      <c r="Q1178" s="16">
        <v>21499</v>
      </c>
      <c r="R1178" s="17">
        <v>46</v>
      </c>
      <c r="S1178" s="18">
        <v>13350.878999999997</v>
      </c>
      <c r="T1178" s="19" t="s">
        <v>117</v>
      </c>
      <c r="U1178" s="20" t="s">
        <v>758</v>
      </c>
      <c r="V1178" s="30">
        <v>42.5</v>
      </c>
      <c r="W1178" s="21">
        <v>3</v>
      </c>
      <c r="X1178" s="22"/>
    </row>
    <row r="1179" spans="1:24" s="1" customFormat="1" ht="17.100000000000001" customHeight="1" x14ac:dyDescent="0.3">
      <c r="A1179" s="23" t="s">
        <v>1144</v>
      </c>
      <c r="B1179" s="23" t="s">
        <v>1194</v>
      </c>
      <c r="C1179" s="12" t="s">
        <v>1221</v>
      </c>
      <c r="D1179" s="84"/>
      <c r="E1179" s="69" t="str">
        <f t="shared" si="67"/>
        <v>Еще фото</v>
      </c>
      <c r="F1179" s="13"/>
      <c r="G1179" s="23" t="s">
        <v>150</v>
      </c>
      <c r="H1179" s="23" t="s">
        <v>151</v>
      </c>
      <c r="I1179" s="23" t="s">
        <v>424</v>
      </c>
      <c r="J1179" s="14" t="s">
        <v>29</v>
      </c>
      <c r="K1179" s="15" t="s">
        <v>55</v>
      </c>
      <c r="L1179" s="87"/>
      <c r="M1179" s="14"/>
      <c r="N1179" s="14" t="s">
        <v>154</v>
      </c>
      <c r="O1179" s="14"/>
      <c r="P1179" s="15" t="s">
        <v>1196</v>
      </c>
      <c r="Q1179" s="16">
        <v>21499</v>
      </c>
      <c r="R1179" s="17">
        <v>46</v>
      </c>
      <c r="S1179" s="18">
        <v>13350.878999999997</v>
      </c>
      <c r="T1179" s="19" t="s">
        <v>117</v>
      </c>
      <c r="U1179" s="20" t="s">
        <v>750</v>
      </c>
      <c r="V1179" s="21">
        <v>43</v>
      </c>
      <c r="W1179" s="21">
        <v>2</v>
      </c>
      <c r="X1179" s="22"/>
    </row>
    <row r="1180" spans="1:24" s="1" customFormat="1" ht="17.100000000000001" customHeight="1" x14ac:dyDescent="0.3">
      <c r="A1180" s="23" t="s">
        <v>1144</v>
      </c>
      <c r="B1180" s="23" t="s">
        <v>1194</v>
      </c>
      <c r="C1180" s="12" t="s">
        <v>1221</v>
      </c>
      <c r="D1180" s="84"/>
      <c r="E1180" s="69" t="str">
        <f t="shared" si="67"/>
        <v>Еще фото</v>
      </c>
      <c r="F1180" s="13"/>
      <c r="G1180" s="23" t="s">
        <v>150</v>
      </c>
      <c r="H1180" s="23" t="s">
        <v>151</v>
      </c>
      <c r="I1180" s="23" t="s">
        <v>424</v>
      </c>
      <c r="J1180" s="14" t="s">
        <v>29</v>
      </c>
      <c r="K1180" s="15" t="s">
        <v>55</v>
      </c>
      <c r="L1180" s="87"/>
      <c r="M1180" s="14"/>
      <c r="N1180" s="14" t="s">
        <v>154</v>
      </c>
      <c r="O1180" s="14"/>
      <c r="P1180" s="15" t="s">
        <v>1196</v>
      </c>
      <c r="Q1180" s="16">
        <v>21499</v>
      </c>
      <c r="R1180" s="17">
        <v>46</v>
      </c>
      <c r="S1180" s="18">
        <v>13350.878999999997</v>
      </c>
      <c r="T1180" s="19" t="s">
        <v>117</v>
      </c>
      <c r="U1180" s="20" t="s">
        <v>759</v>
      </c>
      <c r="V1180" s="21">
        <v>44</v>
      </c>
      <c r="W1180" s="21">
        <v>5</v>
      </c>
      <c r="X1180" s="22"/>
    </row>
    <row r="1181" spans="1:24" s="1" customFormat="1" ht="17.100000000000001" customHeight="1" x14ac:dyDescent="0.3">
      <c r="A1181" s="23" t="s">
        <v>1144</v>
      </c>
      <c r="B1181" s="23" t="s">
        <v>1194</v>
      </c>
      <c r="C1181" s="12" t="s">
        <v>1221</v>
      </c>
      <c r="D1181" s="84"/>
      <c r="E1181" s="69" t="str">
        <f t="shared" si="67"/>
        <v>Еще фото</v>
      </c>
      <c r="F1181" s="13"/>
      <c r="G1181" s="23" t="s">
        <v>150</v>
      </c>
      <c r="H1181" s="23" t="s">
        <v>151</v>
      </c>
      <c r="I1181" s="23" t="s">
        <v>424</v>
      </c>
      <c r="J1181" s="14" t="s">
        <v>29</v>
      </c>
      <c r="K1181" s="15" t="s">
        <v>55</v>
      </c>
      <c r="L1181" s="87"/>
      <c r="M1181" s="14"/>
      <c r="N1181" s="14" t="s">
        <v>154</v>
      </c>
      <c r="O1181" s="14"/>
      <c r="P1181" s="15" t="s">
        <v>1196</v>
      </c>
      <c r="Q1181" s="16">
        <v>21499</v>
      </c>
      <c r="R1181" s="17">
        <v>46</v>
      </c>
      <c r="S1181" s="18">
        <v>13350.878999999997</v>
      </c>
      <c r="T1181" s="19" t="s">
        <v>117</v>
      </c>
      <c r="U1181" s="20" t="s">
        <v>43</v>
      </c>
      <c r="V1181" s="30">
        <v>44.5</v>
      </c>
      <c r="W1181" s="21">
        <v>2</v>
      </c>
      <c r="X1181" s="22"/>
    </row>
    <row r="1182" spans="1:24" s="1" customFormat="1" ht="21.95" customHeight="1" x14ac:dyDescent="0.3">
      <c r="A1182" s="23" t="s">
        <v>1144</v>
      </c>
      <c r="B1182" s="23" t="s">
        <v>1194</v>
      </c>
      <c r="C1182" s="12" t="s">
        <v>1221</v>
      </c>
      <c r="D1182" s="85"/>
      <c r="E1182" s="69" t="str">
        <f t="shared" si="67"/>
        <v>Еще фото</v>
      </c>
      <c r="F1182" s="13"/>
      <c r="G1182" s="23" t="s">
        <v>150</v>
      </c>
      <c r="H1182" s="23" t="s">
        <v>151</v>
      </c>
      <c r="I1182" s="23" t="s">
        <v>424</v>
      </c>
      <c r="J1182" s="14" t="s">
        <v>29</v>
      </c>
      <c r="K1182" s="15" t="s">
        <v>55</v>
      </c>
      <c r="L1182" s="88"/>
      <c r="M1182" s="14"/>
      <c r="N1182" s="14" t="s">
        <v>154</v>
      </c>
      <c r="O1182" s="14"/>
      <c r="P1182" s="15" t="s">
        <v>1196</v>
      </c>
      <c r="Q1182" s="16">
        <v>21499</v>
      </c>
      <c r="R1182" s="17">
        <v>46</v>
      </c>
      <c r="S1182" s="18">
        <v>13350.878999999997</v>
      </c>
      <c r="T1182" s="19" t="s">
        <v>117</v>
      </c>
      <c r="U1182" s="20" t="s">
        <v>1220</v>
      </c>
      <c r="V1182" s="21">
        <v>45</v>
      </c>
      <c r="W1182" s="21">
        <v>1</v>
      </c>
      <c r="X1182" s="22"/>
    </row>
    <row r="1183" spans="1:24" s="1" customFormat="1" ht="35.1" customHeight="1" x14ac:dyDescent="0.3">
      <c r="A1183" s="11" t="s">
        <v>1144</v>
      </c>
      <c r="B1183" s="11" t="s">
        <v>1222</v>
      </c>
      <c r="C1183" s="12" t="s">
        <v>1223</v>
      </c>
      <c r="D1183" s="83"/>
      <c r="E1183" s="69" t="str">
        <f>HYPERLINK("https://www.google.ru/search?q=NF0A4T2RI85&amp;newwindow=1&amp;tbm=isch","Еще фото")</f>
        <v>Еще фото</v>
      </c>
      <c r="F1183" s="13"/>
      <c r="G1183" s="11" t="s">
        <v>1224</v>
      </c>
      <c r="H1183" s="11" t="s">
        <v>151</v>
      </c>
      <c r="I1183" s="14" t="s">
        <v>546</v>
      </c>
      <c r="J1183" s="14" t="s">
        <v>1164</v>
      </c>
      <c r="K1183" s="15" t="s">
        <v>55</v>
      </c>
      <c r="L1183" s="86" t="s">
        <v>1225</v>
      </c>
      <c r="M1183" s="14"/>
      <c r="N1183" s="14" t="s">
        <v>70</v>
      </c>
      <c r="O1183" s="14"/>
      <c r="P1183" s="15" t="s">
        <v>1011</v>
      </c>
      <c r="Q1183" s="16">
        <v>7299</v>
      </c>
      <c r="R1183" s="17">
        <v>69.48</v>
      </c>
      <c r="S1183" s="18">
        <v>2561.9354999999996</v>
      </c>
      <c r="T1183" s="19" t="s">
        <v>117</v>
      </c>
      <c r="U1183" s="20" t="s">
        <v>743</v>
      </c>
      <c r="V1183" s="21">
        <v>39</v>
      </c>
      <c r="W1183" s="21">
        <v>2</v>
      </c>
      <c r="X1183" s="22"/>
    </row>
    <row r="1184" spans="1:24" s="1" customFormat="1" ht="35.1" customHeight="1" x14ac:dyDescent="0.3">
      <c r="A1184" s="23" t="s">
        <v>1144</v>
      </c>
      <c r="B1184" s="23" t="s">
        <v>1222</v>
      </c>
      <c r="C1184" s="12" t="s">
        <v>1223</v>
      </c>
      <c r="D1184" s="84"/>
      <c r="E1184" s="69" t="str">
        <f>HYPERLINK("https://www.google.ru/search?q=NF0A4T2RI85&amp;newwindow=1&amp;tbm=isch","Еще фото")</f>
        <v>Еще фото</v>
      </c>
      <c r="F1184" s="13"/>
      <c r="G1184" s="23" t="s">
        <v>1224</v>
      </c>
      <c r="H1184" s="23" t="s">
        <v>151</v>
      </c>
      <c r="I1184" s="23" t="s">
        <v>546</v>
      </c>
      <c r="J1184" s="14" t="s">
        <v>1164</v>
      </c>
      <c r="K1184" s="15" t="s">
        <v>55</v>
      </c>
      <c r="L1184" s="87"/>
      <c r="M1184" s="14"/>
      <c r="N1184" s="14" t="s">
        <v>70</v>
      </c>
      <c r="O1184" s="14"/>
      <c r="P1184" s="15" t="s">
        <v>1011</v>
      </c>
      <c r="Q1184" s="16">
        <v>7299</v>
      </c>
      <c r="R1184" s="17">
        <v>69.48</v>
      </c>
      <c r="S1184" s="18">
        <v>2561.9354999999996</v>
      </c>
      <c r="T1184" s="19" t="s">
        <v>117</v>
      </c>
      <c r="U1184" s="20" t="s">
        <v>744</v>
      </c>
      <c r="V1184" s="30">
        <v>40.5</v>
      </c>
      <c r="W1184" s="21">
        <v>3</v>
      </c>
      <c r="X1184" s="22"/>
    </row>
    <row r="1185" spans="1:24" s="1" customFormat="1" ht="36.950000000000003" customHeight="1" x14ac:dyDescent="0.3">
      <c r="A1185" s="23" t="s">
        <v>1144</v>
      </c>
      <c r="B1185" s="23" t="s">
        <v>1222</v>
      </c>
      <c r="C1185" s="12" t="s">
        <v>1223</v>
      </c>
      <c r="D1185" s="85"/>
      <c r="E1185" s="69" t="str">
        <f>HYPERLINK("https://www.google.ru/search?q=NF0A4T2RI85&amp;newwindow=1&amp;tbm=isch","Еще фото")</f>
        <v>Еще фото</v>
      </c>
      <c r="F1185" s="13"/>
      <c r="G1185" s="23" t="s">
        <v>1224</v>
      </c>
      <c r="H1185" s="23" t="s">
        <v>151</v>
      </c>
      <c r="I1185" s="23" t="s">
        <v>546</v>
      </c>
      <c r="J1185" s="14" t="s">
        <v>1164</v>
      </c>
      <c r="K1185" s="15" t="s">
        <v>55</v>
      </c>
      <c r="L1185" s="88"/>
      <c r="M1185" s="14"/>
      <c r="N1185" s="14" t="s">
        <v>70</v>
      </c>
      <c r="O1185" s="14"/>
      <c r="P1185" s="15" t="s">
        <v>1011</v>
      </c>
      <c r="Q1185" s="16">
        <v>7299</v>
      </c>
      <c r="R1185" s="17">
        <v>69.48</v>
      </c>
      <c r="S1185" s="18">
        <v>2561.9354999999996</v>
      </c>
      <c r="T1185" s="19" t="s">
        <v>117</v>
      </c>
      <c r="U1185" s="20" t="s">
        <v>735</v>
      </c>
      <c r="V1185" s="21">
        <v>42</v>
      </c>
      <c r="W1185" s="21">
        <v>1</v>
      </c>
      <c r="X1185" s="22"/>
    </row>
    <row r="1186" spans="1:24" s="1" customFormat="1" ht="108" customHeight="1" x14ac:dyDescent="0.3">
      <c r="A1186" s="11" t="s">
        <v>1144</v>
      </c>
      <c r="B1186" s="11" t="s">
        <v>1222</v>
      </c>
      <c r="C1186" s="12" t="s">
        <v>1226</v>
      </c>
      <c r="D1186" s="24"/>
      <c r="E1186" s="69" t="str">
        <f>HYPERLINK("https://www.google.ru/search?q=NF0A8A90KX7&amp;newwindow=1&amp;tbm=isch","Еще фото")</f>
        <v>Еще фото</v>
      </c>
      <c r="F1186" s="13"/>
      <c r="G1186" s="11" t="s">
        <v>1224</v>
      </c>
      <c r="H1186" s="11" t="s">
        <v>151</v>
      </c>
      <c r="I1186" s="14" t="s">
        <v>546</v>
      </c>
      <c r="J1186" s="14" t="s">
        <v>1164</v>
      </c>
      <c r="K1186" s="15" t="s">
        <v>55</v>
      </c>
      <c r="L1186" s="14" t="s">
        <v>1227</v>
      </c>
      <c r="M1186" s="14"/>
      <c r="N1186" s="14" t="s">
        <v>49</v>
      </c>
      <c r="O1186" s="14"/>
      <c r="P1186" s="15" t="s">
        <v>1011</v>
      </c>
      <c r="Q1186" s="16">
        <v>8199</v>
      </c>
      <c r="R1186" s="17">
        <v>46.34</v>
      </c>
      <c r="S1186" s="18">
        <v>5059.9884999999995</v>
      </c>
      <c r="T1186" s="19" t="s">
        <v>117</v>
      </c>
      <c r="U1186" s="20" t="s">
        <v>743</v>
      </c>
      <c r="V1186" s="21">
        <v>39</v>
      </c>
      <c r="W1186" s="21">
        <v>1</v>
      </c>
      <c r="X1186" s="22"/>
    </row>
    <row r="1187" spans="1:24" s="1" customFormat="1" ht="35.1" customHeight="1" x14ac:dyDescent="0.3">
      <c r="A1187" s="11" t="s">
        <v>1144</v>
      </c>
      <c r="B1187" s="11" t="s">
        <v>1228</v>
      </c>
      <c r="C1187" s="12" t="s">
        <v>1229</v>
      </c>
      <c r="D1187" s="83"/>
      <c r="E1187" s="69" t="str">
        <f>HYPERLINK("https://www.google.ru/search?q=NF0A3C8D8R5&amp;newwindow=1&amp;tbm=isch","Еще фото")</f>
        <v>Еще фото</v>
      </c>
      <c r="F1187" s="13"/>
      <c r="G1187" s="11" t="s">
        <v>599</v>
      </c>
      <c r="H1187" s="11" t="s">
        <v>27</v>
      </c>
      <c r="I1187" s="14" t="s">
        <v>569</v>
      </c>
      <c r="J1187" s="14" t="s">
        <v>1164</v>
      </c>
      <c r="K1187" s="15" t="s">
        <v>55</v>
      </c>
      <c r="L1187" s="86" t="s">
        <v>1154</v>
      </c>
      <c r="M1187" s="14"/>
      <c r="N1187" s="14" t="s">
        <v>49</v>
      </c>
      <c r="O1187" s="14"/>
      <c r="P1187" s="15" t="s">
        <v>108</v>
      </c>
      <c r="Q1187" s="16">
        <v>55199</v>
      </c>
      <c r="R1187" s="17">
        <v>62.41</v>
      </c>
      <c r="S1187" s="18">
        <v>23859.9355</v>
      </c>
      <c r="T1187" s="19" t="s">
        <v>328</v>
      </c>
      <c r="U1187" s="20" t="s">
        <v>64</v>
      </c>
      <c r="V1187" s="25" t="s">
        <v>68</v>
      </c>
      <c r="W1187" s="21">
        <v>1</v>
      </c>
      <c r="X1187" s="22"/>
    </row>
    <row r="1188" spans="1:24" s="1" customFormat="1" ht="35.1" customHeight="1" x14ac:dyDescent="0.3">
      <c r="A1188" s="23" t="s">
        <v>1144</v>
      </c>
      <c r="B1188" s="23" t="s">
        <v>1228</v>
      </c>
      <c r="C1188" s="12" t="s">
        <v>1229</v>
      </c>
      <c r="D1188" s="84"/>
      <c r="E1188" s="69" t="str">
        <f>HYPERLINK("https://www.google.ru/search?q=NF0A3C8D8R5&amp;newwindow=1&amp;tbm=isch","Еще фото")</f>
        <v>Еще фото</v>
      </c>
      <c r="F1188" s="13"/>
      <c r="G1188" s="23" t="s">
        <v>599</v>
      </c>
      <c r="H1188" s="23" t="s">
        <v>27</v>
      </c>
      <c r="I1188" s="23" t="s">
        <v>569</v>
      </c>
      <c r="J1188" s="14" t="s">
        <v>1164</v>
      </c>
      <c r="K1188" s="15" t="s">
        <v>55</v>
      </c>
      <c r="L1188" s="87"/>
      <c r="M1188" s="14"/>
      <c r="N1188" s="14" t="s">
        <v>49</v>
      </c>
      <c r="O1188" s="14"/>
      <c r="P1188" s="15" t="s">
        <v>108</v>
      </c>
      <c r="Q1188" s="16">
        <v>55199</v>
      </c>
      <c r="R1188" s="17">
        <v>62.41</v>
      </c>
      <c r="S1188" s="18">
        <v>23859.9355</v>
      </c>
      <c r="T1188" s="19" t="s">
        <v>328</v>
      </c>
      <c r="U1188" s="20" t="s">
        <v>52</v>
      </c>
      <c r="V1188" s="25" t="s">
        <v>60</v>
      </c>
      <c r="W1188" s="21">
        <v>2</v>
      </c>
      <c r="X1188" s="22"/>
    </row>
    <row r="1189" spans="1:24" s="1" customFormat="1" ht="36.950000000000003" customHeight="1" x14ac:dyDescent="0.3">
      <c r="A1189" s="23" t="s">
        <v>1144</v>
      </c>
      <c r="B1189" s="23" t="s">
        <v>1228</v>
      </c>
      <c r="C1189" s="12" t="s">
        <v>1229</v>
      </c>
      <c r="D1189" s="85"/>
      <c r="E1189" s="69" t="str">
        <f>HYPERLINK("https://www.google.ru/search?q=NF0A3C8D8R5&amp;newwindow=1&amp;tbm=isch","Еще фото")</f>
        <v>Еще фото</v>
      </c>
      <c r="F1189" s="13"/>
      <c r="G1189" s="23" t="s">
        <v>599</v>
      </c>
      <c r="H1189" s="23" t="s">
        <v>27</v>
      </c>
      <c r="I1189" s="23" t="s">
        <v>569</v>
      </c>
      <c r="J1189" s="14" t="s">
        <v>1164</v>
      </c>
      <c r="K1189" s="15" t="s">
        <v>55</v>
      </c>
      <c r="L1189" s="88"/>
      <c r="M1189" s="14"/>
      <c r="N1189" s="14" t="s">
        <v>49</v>
      </c>
      <c r="O1189" s="14"/>
      <c r="P1189" s="15" t="s">
        <v>108</v>
      </c>
      <c r="Q1189" s="16">
        <v>55199</v>
      </c>
      <c r="R1189" s="17">
        <v>62.41</v>
      </c>
      <c r="S1189" s="18">
        <v>23859.9355</v>
      </c>
      <c r="T1189" s="19" t="s">
        <v>328</v>
      </c>
      <c r="U1189" s="20" t="s">
        <v>596</v>
      </c>
      <c r="V1189" s="25" t="s">
        <v>1159</v>
      </c>
      <c r="W1189" s="21">
        <v>1</v>
      </c>
      <c r="X1189" s="22"/>
    </row>
    <row r="1190" spans="1:24" s="1" customFormat="1" ht="108" customHeight="1" x14ac:dyDescent="0.3">
      <c r="A1190" s="11" t="s">
        <v>1144</v>
      </c>
      <c r="B1190" s="11" t="s">
        <v>1230</v>
      </c>
      <c r="C1190" s="12" t="s">
        <v>1231</v>
      </c>
      <c r="D1190" s="24"/>
      <c r="E1190" s="69" t="str">
        <f>HYPERLINK("https://www.google.ru/search?q=NF0A89ESDYX&amp;newwindow=1&amp;tbm=isch","Еще фото")</f>
        <v>Еще фото</v>
      </c>
      <c r="F1190" s="13"/>
      <c r="G1190" s="11" t="s">
        <v>574</v>
      </c>
      <c r="H1190" s="11" t="s">
        <v>27</v>
      </c>
      <c r="I1190" s="14" t="s">
        <v>569</v>
      </c>
      <c r="J1190" s="14" t="s">
        <v>29</v>
      </c>
      <c r="K1190" s="15" t="s">
        <v>55</v>
      </c>
      <c r="L1190" s="14"/>
      <c r="M1190" s="14"/>
      <c r="N1190" s="14" t="s">
        <v>41</v>
      </c>
      <c r="O1190" s="14"/>
      <c r="P1190" s="15" t="s">
        <v>1232</v>
      </c>
      <c r="Q1190" s="16">
        <v>10399</v>
      </c>
      <c r="R1190" s="17">
        <v>46.15</v>
      </c>
      <c r="S1190" s="18">
        <v>6439.9884999999995</v>
      </c>
      <c r="T1190" s="19" t="s">
        <v>328</v>
      </c>
      <c r="U1190" s="20" t="s">
        <v>64</v>
      </c>
      <c r="V1190" s="25" t="s">
        <v>68</v>
      </c>
      <c r="W1190" s="21">
        <v>2</v>
      </c>
      <c r="X1190" s="22"/>
    </row>
    <row r="1191" spans="1:24" s="1" customFormat="1" ht="108" customHeight="1" x14ac:dyDescent="0.3">
      <c r="A1191" s="11" t="s">
        <v>1233</v>
      </c>
      <c r="B1191" s="37">
        <v>619</v>
      </c>
      <c r="C1191" s="12" t="s">
        <v>1234</v>
      </c>
      <c r="D1191" s="24"/>
      <c r="E1191" s="69" t="str">
        <f>HYPERLINK("https://www.google.ru/search?q=619-1342A-676&amp;newwindow=1&amp;tbm=isch","Еще фото")</f>
        <v>Еще фото</v>
      </c>
      <c r="F1191" s="13"/>
      <c r="G1191" s="11" t="s">
        <v>28</v>
      </c>
      <c r="H1191" s="11" t="s">
        <v>27</v>
      </c>
      <c r="I1191" s="14" t="s">
        <v>28</v>
      </c>
      <c r="J1191" s="14" t="s">
        <v>138</v>
      </c>
      <c r="K1191" s="15" t="s">
        <v>55</v>
      </c>
      <c r="L1191" s="14" t="s">
        <v>1235</v>
      </c>
      <c r="M1191" s="14"/>
      <c r="N1191" s="14" t="s">
        <v>70</v>
      </c>
      <c r="O1191" s="14"/>
      <c r="P1191" s="15" t="s">
        <v>74</v>
      </c>
      <c r="Q1191" s="16">
        <v>8990</v>
      </c>
      <c r="R1191" s="17">
        <v>45</v>
      </c>
      <c r="S1191" s="18">
        <v>5686.1749999999993</v>
      </c>
      <c r="T1191" s="19" t="s">
        <v>1236</v>
      </c>
      <c r="U1191" s="20" t="s">
        <v>402</v>
      </c>
      <c r="V1191" s="21">
        <v>44</v>
      </c>
      <c r="W1191" s="21">
        <v>2</v>
      </c>
      <c r="X1191" s="22"/>
    </row>
    <row r="1192" spans="1:24" s="1" customFormat="1" ht="108" customHeight="1" x14ac:dyDescent="0.3">
      <c r="A1192" s="11" t="s">
        <v>1233</v>
      </c>
      <c r="B1192" s="37">
        <v>619</v>
      </c>
      <c r="C1192" s="12" t="s">
        <v>1237</v>
      </c>
      <c r="D1192" s="24"/>
      <c r="E1192" s="69" t="str">
        <f>HYPERLINK("https://www.google.ru/search?q=619-1342A-765&amp;newwindow=1&amp;tbm=isch","Еще фото")</f>
        <v>Еще фото</v>
      </c>
      <c r="F1192" s="13"/>
      <c r="G1192" s="11" t="s">
        <v>28</v>
      </c>
      <c r="H1192" s="11" t="s">
        <v>27</v>
      </c>
      <c r="I1192" s="14" t="s">
        <v>28</v>
      </c>
      <c r="J1192" s="14" t="s">
        <v>138</v>
      </c>
      <c r="K1192" s="15" t="s">
        <v>55</v>
      </c>
      <c r="L1192" s="14" t="s">
        <v>1235</v>
      </c>
      <c r="M1192" s="14"/>
      <c r="N1192" s="14" t="s">
        <v>242</v>
      </c>
      <c r="O1192" s="14"/>
      <c r="P1192" s="15" t="s">
        <v>74</v>
      </c>
      <c r="Q1192" s="16">
        <v>8990</v>
      </c>
      <c r="R1192" s="17">
        <v>45</v>
      </c>
      <c r="S1192" s="18">
        <v>5686.1749999999993</v>
      </c>
      <c r="T1192" s="19" t="s">
        <v>1236</v>
      </c>
      <c r="U1192" s="20" t="s">
        <v>402</v>
      </c>
      <c r="V1192" s="21">
        <v>44</v>
      </c>
      <c r="W1192" s="21">
        <v>2</v>
      </c>
      <c r="X1192" s="22"/>
    </row>
    <row r="1193" spans="1:24" s="1" customFormat="1" ht="108" customHeight="1" x14ac:dyDescent="0.3">
      <c r="A1193" s="11" t="s">
        <v>1233</v>
      </c>
      <c r="B1193" s="37">
        <v>624</v>
      </c>
      <c r="C1193" s="12" t="s">
        <v>1238</v>
      </c>
      <c r="D1193" s="24"/>
      <c r="E1193" s="69" t="str">
        <f>HYPERLINK("https://www.google.ru/search?q=624-0942A-676T&amp;newwindow=1&amp;tbm=isch","Еще фото")</f>
        <v>Еще фото</v>
      </c>
      <c r="F1193" s="13"/>
      <c r="G1193" s="11" t="s">
        <v>28</v>
      </c>
      <c r="H1193" s="11" t="s">
        <v>27</v>
      </c>
      <c r="I1193" s="14" t="s">
        <v>28</v>
      </c>
      <c r="J1193" s="14" t="s">
        <v>138</v>
      </c>
      <c r="K1193" s="15" t="s">
        <v>55</v>
      </c>
      <c r="L1193" s="14" t="s">
        <v>1239</v>
      </c>
      <c r="M1193" s="14"/>
      <c r="N1193" s="14" t="s">
        <v>70</v>
      </c>
      <c r="O1193" s="14"/>
      <c r="P1193" s="15" t="s">
        <v>1240</v>
      </c>
      <c r="Q1193" s="16">
        <v>8990</v>
      </c>
      <c r="R1193" s="17">
        <v>45</v>
      </c>
      <c r="S1193" s="18">
        <v>5686.1749999999993</v>
      </c>
      <c r="T1193" s="19" t="s">
        <v>1236</v>
      </c>
      <c r="U1193" s="20" t="s">
        <v>402</v>
      </c>
      <c r="V1193" s="21">
        <v>44</v>
      </c>
      <c r="W1193" s="21">
        <v>1</v>
      </c>
      <c r="X1193" s="22"/>
    </row>
    <row r="1194" spans="1:24" s="1" customFormat="1" ht="108" customHeight="1" x14ac:dyDescent="0.3">
      <c r="A1194" s="11" t="s">
        <v>1233</v>
      </c>
      <c r="B1194" s="37">
        <v>700</v>
      </c>
      <c r="C1194" s="12" t="s">
        <v>1241</v>
      </c>
      <c r="D1194" s="24"/>
      <c r="E1194" s="69" t="str">
        <f>HYPERLINK("https://www.google.ru/search?q=700-1342A-262&amp;newwindow=1&amp;tbm=isch","Еще фото")</f>
        <v>Еще фото</v>
      </c>
      <c r="F1194" s="13"/>
      <c r="G1194" s="11" t="s">
        <v>28</v>
      </c>
      <c r="H1194" s="11" t="s">
        <v>27</v>
      </c>
      <c r="I1194" s="14" t="s">
        <v>28</v>
      </c>
      <c r="J1194" s="14" t="s">
        <v>138</v>
      </c>
      <c r="K1194" s="15" t="s">
        <v>55</v>
      </c>
      <c r="L1194" s="14" t="s">
        <v>1242</v>
      </c>
      <c r="M1194" s="14"/>
      <c r="N1194" s="14" t="s">
        <v>1243</v>
      </c>
      <c r="O1194" s="14"/>
      <c r="P1194" s="15" t="s">
        <v>74</v>
      </c>
      <c r="Q1194" s="16">
        <v>8990</v>
      </c>
      <c r="R1194" s="17">
        <v>45</v>
      </c>
      <c r="S1194" s="18">
        <v>5686.1749999999993</v>
      </c>
      <c r="T1194" s="19" t="s">
        <v>1236</v>
      </c>
      <c r="U1194" s="20" t="s">
        <v>402</v>
      </c>
      <c r="V1194" s="21">
        <v>44</v>
      </c>
      <c r="W1194" s="21">
        <v>2</v>
      </c>
      <c r="X1194" s="22"/>
    </row>
    <row r="1195" spans="1:24" s="1" customFormat="1" ht="108" customHeight="1" x14ac:dyDescent="0.3">
      <c r="A1195" s="11" t="s">
        <v>1233</v>
      </c>
      <c r="B1195" s="37">
        <v>700</v>
      </c>
      <c r="C1195" s="12" t="s">
        <v>1244</v>
      </c>
      <c r="D1195" s="24"/>
      <c r="E1195" s="69" t="str">
        <f>HYPERLINK("https://www.google.ru/search?q=700-01021-500&amp;newwindow=1&amp;tbm=isch","Еще фото")</f>
        <v>Еще фото</v>
      </c>
      <c r="F1195" s="13"/>
      <c r="G1195" s="11" t="s">
        <v>137</v>
      </c>
      <c r="H1195" s="11" t="s">
        <v>27</v>
      </c>
      <c r="I1195" s="14" t="s">
        <v>137</v>
      </c>
      <c r="J1195" s="14" t="s">
        <v>138</v>
      </c>
      <c r="K1195" s="15" t="s">
        <v>55</v>
      </c>
      <c r="L1195" s="14" t="s">
        <v>1245</v>
      </c>
      <c r="M1195" s="14"/>
      <c r="N1195" s="14" t="s">
        <v>265</v>
      </c>
      <c r="O1195" s="14"/>
      <c r="P1195" s="15" t="s">
        <v>74</v>
      </c>
      <c r="Q1195" s="16">
        <v>8990</v>
      </c>
      <c r="R1195" s="17">
        <v>45</v>
      </c>
      <c r="S1195" s="18">
        <v>5686.1749999999993</v>
      </c>
      <c r="T1195" s="19" t="s">
        <v>1236</v>
      </c>
      <c r="U1195" s="20" t="s">
        <v>402</v>
      </c>
      <c r="V1195" s="21">
        <v>44</v>
      </c>
      <c r="W1195" s="21">
        <v>1</v>
      </c>
      <c r="X1195" s="22"/>
    </row>
    <row r="1196" spans="1:24" s="1" customFormat="1" ht="108" customHeight="1" x14ac:dyDescent="0.3">
      <c r="A1196" s="11" t="s">
        <v>1233</v>
      </c>
      <c r="B1196" s="37">
        <v>700</v>
      </c>
      <c r="C1196" s="12" t="s">
        <v>1246</v>
      </c>
      <c r="D1196" s="24"/>
      <c r="E1196" s="69" t="str">
        <f>HYPERLINK("https://www.google.ru/search?q=700-0921S-051&amp;newwindow=1&amp;tbm=isch","Еще фото")</f>
        <v>Еще фото</v>
      </c>
      <c r="F1196" s="13"/>
      <c r="G1196" s="11" t="s">
        <v>137</v>
      </c>
      <c r="H1196" s="11" t="s">
        <v>27</v>
      </c>
      <c r="I1196" s="14" t="s">
        <v>137</v>
      </c>
      <c r="J1196" s="14" t="s">
        <v>138</v>
      </c>
      <c r="K1196" s="15" t="s">
        <v>55</v>
      </c>
      <c r="L1196" s="14" t="s">
        <v>1247</v>
      </c>
      <c r="M1196" s="14"/>
      <c r="N1196" s="14" t="s">
        <v>265</v>
      </c>
      <c r="O1196" s="14"/>
      <c r="P1196" s="15" t="s">
        <v>141</v>
      </c>
      <c r="Q1196" s="16">
        <v>9990</v>
      </c>
      <c r="R1196" s="17">
        <v>45</v>
      </c>
      <c r="S1196" s="18">
        <v>6318.6749999999993</v>
      </c>
      <c r="T1196" s="19" t="s">
        <v>1236</v>
      </c>
      <c r="U1196" s="20" t="s">
        <v>402</v>
      </c>
      <c r="V1196" s="21">
        <v>44</v>
      </c>
      <c r="W1196" s="21">
        <v>2</v>
      </c>
      <c r="X1196" s="22"/>
    </row>
    <row r="1197" spans="1:24" s="1" customFormat="1" ht="108" customHeight="1" x14ac:dyDescent="0.3">
      <c r="A1197" s="11" t="s">
        <v>1233</v>
      </c>
      <c r="B1197" s="37">
        <v>710</v>
      </c>
      <c r="C1197" s="12" t="s">
        <v>1248</v>
      </c>
      <c r="D1197" s="24"/>
      <c r="E1197" s="69" t="str">
        <f>HYPERLINK("https://www.google.ru/search?q=710-0970A-501&amp;newwindow=1&amp;tbm=isch","Еще фото")</f>
        <v>Еще фото</v>
      </c>
      <c r="F1197" s="13"/>
      <c r="G1197" s="11" t="s">
        <v>137</v>
      </c>
      <c r="H1197" s="11" t="s">
        <v>27</v>
      </c>
      <c r="I1197" s="14" t="s">
        <v>137</v>
      </c>
      <c r="J1197" s="14" t="s">
        <v>138</v>
      </c>
      <c r="K1197" s="15" t="s">
        <v>55</v>
      </c>
      <c r="L1197" s="14" t="s">
        <v>1249</v>
      </c>
      <c r="M1197" s="14"/>
      <c r="N1197" s="14" t="s">
        <v>265</v>
      </c>
      <c r="O1197" s="14"/>
      <c r="P1197" s="15" t="s">
        <v>1250</v>
      </c>
      <c r="Q1197" s="16">
        <v>9990</v>
      </c>
      <c r="R1197" s="17">
        <v>45</v>
      </c>
      <c r="S1197" s="18">
        <v>6318.6749999999993</v>
      </c>
      <c r="T1197" s="19" t="s">
        <v>1236</v>
      </c>
      <c r="U1197" s="20" t="s">
        <v>402</v>
      </c>
      <c r="V1197" s="21">
        <v>44</v>
      </c>
      <c r="W1197" s="21">
        <v>4</v>
      </c>
      <c r="X1197" s="22"/>
    </row>
    <row r="1198" spans="1:24" s="1" customFormat="1" ht="108" customHeight="1" x14ac:dyDescent="0.3">
      <c r="A1198" s="11" t="s">
        <v>1233</v>
      </c>
      <c r="B1198" s="38">
        <v>717</v>
      </c>
      <c r="C1198" s="12" t="s">
        <v>1251</v>
      </c>
      <c r="D1198" s="24"/>
      <c r="E1198" s="69" t="str">
        <f>HYPERLINK("https://www.google.ru/search?q=717E-0970X-76H&amp;newwindow=1&amp;tbm=isch","Еще фото")</f>
        <v>Еще фото</v>
      </c>
      <c r="F1198" s="13"/>
      <c r="G1198" s="11" t="s">
        <v>137</v>
      </c>
      <c r="H1198" s="11" t="s">
        <v>27</v>
      </c>
      <c r="I1198" s="14" t="s">
        <v>137</v>
      </c>
      <c r="J1198" s="14" t="s">
        <v>138</v>
      </c>
      <c r="K1198" s="15" t="s">
        <v>55</v>
      </c>
      <c r="L1198" s="14" t="s">
        <v>1252</v>
      </c>
      <c r="M1198" s="14"/>
      <c r="N1198" s="14" t="s">
        <v>70</v>
      </c>
      <c r="O1198" s="14"/>
      <c r="P1198" s="15" t="s">
        <v>1250</v>
      </c>
      <c r="Q1198" s="16">
        <v>11990</v>
      </c>
      <c r="R1198" s="17">
        <v>45</v>
      </c>
      <c r="S1198" s="18">
        <v>7583.6749999999993</v>
      </c>
      <c r="T1198" s="19" t="s">
        <v>1236</v>
      </c>
      <c r="U1198" s="20" t="s">
        <v>1253</v>
      </c>
      <c r="V1198" s="21">
        <v>46</v>
      </c>
      <c r="W1198" s="21">
        <v>1</v>
      </c>
      <c r="X1198" s="22"/>
    </row>
    <row r="1199" spans="1:24" s="1" customFormat="1" ht="35.1" customHeight="1" x14ac:dyDescent="0.3">
      <c r="A1199" s="11" t="s">
        <v>1233</v>
      </c>
      <c r="B1199" s="39">
        <v>717</v>
      </c>
      <c r="C1199" s="12" t="s">
        <v>1254</v>
      </c>
      <c r="D1199" s="83"/>
      <c r="E1199" s="69" t="str">
        <f>HYPERLINK("https://www.google.ru/search?q=717R-0900A-512&amp;newwindow=1&amp;tbm=isch","Еще фото")</f>
        <v>Еще фото</v>
      </c>
      <c r="F1199" s="13"/>
      <c r="G1199" s="11" t="s">
        <v>137</v>
      </c>
      <c r="H1199" s="11" t="s">
        <v>27</v>
      </c>
      <c r="I1199" s="14" t="s">
        <v>137</v>
      </c>
      <c r="J1199" s="14" t="s">
        <v>138</v>
      </c>
      <c r="K1199" s="15" t="s">
        <v>55</v>
      </c>
      <c r="L1199" s="86" t="s">
        <v>1255</v>
      </c>
      <c r="M1199" s="14"/>
      <c r="N1199" s="14" t="s">
        <v>265</v>
      </c>
      <c r="O1199" s="14"/>
      <c r="P1199" s="15" t="s">
        <v>1256</v>
      </c>
      <c r="Q1199" s="16">
        <v>9990</v>
      </c>
      <c r="R1199" s="17">
        <v>45</v>
      </c>
      <c r="S1199" s="18">
        <v>6318.6749999999993</v>
      </c>
      <c r="T1199" s="19" t="s">
        <v>1236</v>
      </c>
      <c r="U1199" s="20" t="s">
        <v>402</v>
      </c>
      <c r="V1199" s="21">
        <v>44</v>
      </c>
      <c r="W1199" s="21">
        <v>1</v>
      </c>
      <c r="X1199" s="22"/>
    </row>
    <row r="1200" spans="1:24" s="1" customFormat="1" ht="35.1" customHeight="1" x14ac:dyDescent="0.3">
      <c r="A1200" s="23" t="s">
        <v>1233</v>
      </c>
      <c r="B1200" s="40">
        <v>717</v>
      </c>
      <c r="C1200" s="12" t="s">
        <v>1254</v>
      </c>
      <c r="D1200" s="84"/>
      <c r="E1200" s="69" t="str">
        <f>HYPERLINK("https://www.google.ru/search?q=717R-0900A-512&amp;newwindow=1&amp;tbm=isch","Еще фото")</f>
        <v>Еще фото</v>
      </c>
      <c r="F1200" s="13"/>
      <c r="G1200" s="23" t="s">
        <v>137</v>
      </c>
      <c r="H1200" s="23" t="s">
        <v>27</v>
      </c>
      <c r="I1200" s="23" t="s">
        <v>137</v>
      </c>
      <c r="J1200" s="14" t="s">
        <v>138</v>
      </c>
      <c r="K1200" s="15" t="s">
        <v>55</v>
      </c>
      <c r="L1200" s="87"/>
      <c r="M1200" s="14"/>
      <c r="N1200" s="14" t="s">
        <v>265</v>
      </c>
      <c r="O1200" s="14"/>
      <c r="P1200" s="15" t="s">
        <v>1256</v>
      </c>
      <c r="Q1200" s="16">
        <v>9990</v>
      </c>
      <c r="R1200" s="17">
        <v>45</v>
      </c>
      <c r="S1200" s="18">
        <v>6318.6749999999993</v>
      </c>
      <c r="T1200" s="19" t="s">
        <v>1236</v>
      </c>
      <c r="U1200" s="20" t="s">
        <v>1253</v>
      </c>
      <c r="V1200" s="21">
        <v>46</v>
      </c>
      <c r="W1200" s="21">
        <v>3</v>
      </c>
      <c r="X1200" s="22"/>
    </row>
    <row r="1201" spans="1:24" s="1" customFormat="1" ht="36.950000000000003" customHeight="1" x14ac:dyDescent="0.3">
      <c r="A1201" s="23" t="s">
        <v>1233</v>
      </c>
      <c r="B1201" s="40">
        <v>717</v>
      </c>
      <c r="C1201" s="12" t="s">
        <v>1254</v>
      </c>
      <c r="D1201" s="85"/>
      <c r="E1201" s="69" t="str">
        <f>HYPERLINK("https://www.google.ru/search?q=717R-0900A-512&amp;newwindow=1&amp;tbm=isch","Еще фото")</f>
        <v>Еще фото</v>
      </c>
      <c r="F1201" s="13"/>
      <c r="G1201" s="23" t="s">
        <v>137</v>
      </c>
      <c r="H1201" s="23" t="s">
        <v>27</v>
      </c>
      <c r="I1201" s="23" t="s">
        <v>137</v>
      </c>
      <c r="J1201" s="14" t="s">
        <v>138</v>
      </c>
      <c r="K1201" s="15" t="s">
        <v>55</v>
      </c>
      <c r="L1201" s="88"/>
      <c r="M1201" s="14"/>
      <c r="N1201" s="14" t="s">
        <v>265</v>
      </c>
      <c r="O1201" s="14"/>
      <c r="P1201" s="15" t="s">
        <v>1256</v>
      </c>
      <c r="Q1201" s="16">
        <v>9990</v>
      </c>
      <c r="R1201" s="17">
        <v>45</v>
      </c>
      <c r="S1201" s="18">
        <v>6318.6749999999993</v>
      </c>
      <c r="T1201" s="19" t="s">
        <v>1236</v>
      </c>
      <c r="U1201" s="20" t="s">
        <v>1257</v>
      </c>
      <c r="V1201" s="21">
        <v>48</v>
      </c>
      <c r="W1201" s="21">
        <v>3</v>
      </c>
      <c r="X1201" s="22"/>
    </row>
    <row r="1202" spans="1:24" s="1" customFormat="1" ht="51.95" customHeight="1" x14ac:dyDescent="0.3">
      <c r="A1202" s="11" t="s">
        <v>1233</v>
      </c>
      <c r="B1202" s="41">
        <v>752</v>
      </c>
      <c r="C1202" s="12" t="s">
        <v>1258</v>
      </c>
      <c r="D1202" s="89"/>
      <c r="E1202" s="69" t="str">
        <f>HYPERLINK("https://www.google.ru/search?q=752A-0987A-511&amp;newwindow=1&amp;tbm=isch","Еще фото")</f>
        <v>Еще фото</v>
      </c>
      <c r="F1202" s="13"/>
      <c r="G1202" s="11" t="s">
        <v>137</v>
      </c>
      <c r="H1202" s="11" t="s">
        <v>27</v>
      </c>
      <c r="I1202" s="14" t="s">
        <v>137</v>
      </c>
      <c r="J1202" s="14" t="s">
        <v>138</v>
      </c>
      <c r="K1202" s="15" t="s">
        <v>47</v>
      </c>
      <c r="L1202" s="86" t="s">
        <v>1259</v>
      </c>
      <c r="M1202" s="14"/>
      <c r="N1202" s="14" t="s">
        <v>265</v>
      </c>
      <c r="O1202" s="14"/>
      <c r="P1202" s="15" t="s">
        <v>1260</v>
      </c>
      <c r="Q1202" s="16">
        <v>8990</v>
      </c>
      <c r="R1202" s="17">
        <v>45</v>
      </c>
      <c r="S1202" s="18">
        <v>5686.1749999999993</v>
      </c>
      <c r="T1202" s="19" t="s">
        <v>1236</v>
      </c>
      <c r="U1202" s="20" t="s">
        <v>426</v>
      </c>
      <c r="V1202" s="21">
        <v>38</v>
      </c>
      <c r="W1202" s="21">
        <v>3</v>
      </c>
      <c r="X1202" s="22"/>
    </row>
    <row r="1203" spans="1:24" s="1" customFormat="1" ht="60.95" customHeight="1" x14ac:dyDescent="0.3">
      <c r="A1203" s="23" t="s">
        <v>1233</v>
      </c>
      <c r="B1203" s="42">
        <v>752</v>
      </c>
      <c r="C1203" s="12" t="s">
        <v>1258</v>
      </c>
      <c r="D1203" s="90"/>
      <c r="E1203" s="69" t="str">
        <f>HYPERLINK("https://www.google.ru/search?q=752A-0987A-511&amp;newwindow=1&amp;tbm=isch","Еще фото")</f>
        <v>Еще фото</v>
      </c>
      <c r="F1203" s="13"/>
      <c r="G1203" s="23" t="s">
        <v>137</v>
      </c>
      <c r="H1203" s="23" t="s">
        <v>27</v>
      </c>
      <c r="I1203" s="23" t="s">
        <v>137</v>
      </c>
      <c r="J1203" s="14" t="s">
        <v>138</v>
      </c>
      <c r="K1203" s="15" t="s">
        <v>47</v>
      </c>
      <c r="L1203" s="88"/>
      <c r="M1203" s="14"/>
      <c r="N1203" s="14" t="s">
        <v>265</v>
      </c>
      <c r="O1203" s="14"/>
      <c r="P1203" s="15" t="s">
        <v>1260</v>
      </c>
      <c r="Q1203" s="16">
        <v>8990</v>
      </c>
      <c r="R1203" s="17">
        <v>45</v>
      </c>
      <c r="S1203" s="18">
        <v>5686.1749999999993</v>
      </c>
      <c r="T1203" s="19" t="s">
        <v>1236</v>
      </c>
      <c r="U1203" s="20" t="s">
        <v>399</v>
      </c>
      <c r="V1203" s="21">
        <v>40</v>
      </c>
      <c r="W1203" s="21">
        <v>1</v>
      </c>
      <c r="X1203" s="22"/>
    </row>
    <row r="1204" spans="1:24" s="1" customFormat="1" ht="17.100000000000001" customHeight="1" x14ac:dyDescent="0.3">
      <c r="A1204" s="11" t="s">
        <v>1233</v>
      </c>
      <c r="B1204" s="43">
        <v>753</v>
      </c>
      <c r="C1204" s="12" t="s">
        <v>1261</v>
      </c>
      <c r="D1204" s="83"/>
      <c r="E1204" s="69" t="str">
        <f t="shared" ref="E1204:E1209" si="68">HYPERLINK("https://www.google.ru/search?q=753RS-0970A-560&amp;newwindow=1&amp;tbm=isch","Еще фото")</f>
        <v>Еще фото</v>
      </c>
      <c r="F1204" s="13"/>
      <c r="G1204" s="11" t="s">
        <v>137</v>
      </c>
      <c r="H1204" s="11" t="s">
        <v>27</v>
      </c>
      <c r="I1204" s="14" t="s">
        <v>137</v>
      </c>
      <c r="J1204" s="14" t="s">
        <v>138</v>
      </c>
      <c r="K1204" s="15" t="s">
        <v>47</v>
      </c>
      <c r="L1204" s="86" t="s">
        <v>1262</v>
      </c>
      <c r="M1204" s="14"/>
      <c r="N1204" s="14" t="s">
        <v>265</v>
      </c>
      <c r="O1204" s="14"/>
      <c r="P1204" s="15" t="s">
        <v>1250</v>
      </c>
      <c r="Q1204" s="16">
        <v>10990</v>
      </c>
      <c r="R1204" s="17">
        <v>45</v>
      </c>
      <c r="S1204" s="18">
        <v>6951.1749999999993</v>
      </c>
      <c r="T1204" s="19" t="s">
        <v>1236</v>
      </c>
      <c r="U1204" s="20" t="s">
        <v>426</v>
      </c>
      <c r="V1204" s="21">
        <v>38</v>
      </c>
      <c r="W1204" s="21">
        <v>3</v>
      </c>
      <c r="X1204" s="22"/>
    </row>
    <row r="1205" spans="1:24" s="1" customFormat="1" ht="17.100000000000001" customHeight="1" x14ac:dyDescent="0.3">
      <c r="A1205" s="23" t="s">
        <v>1233</v>
      </c>
      <c r="B1205" s="44">
        <v>753</v>
      </c>
      <c r="C1205" s="12" t="s">
        <v>1261</v>
      </c>
      <c r="D1205" s="84"/>
      <c r="E1205" s="69" t="str">
        <f t="shared" si="68"/>
        <v>Еще фото</v>
      </c>
      <c r="F1205" s="13"/>
      <c r="G1205" s="23" t="s">
        <v>137</v>
      </c>
      <c r="H1205" s="23" t="s">
        <v>27</v>
      </c>
      <c r="I1205" s="23" t="s">
        <v>137</v>
      </c>
      <c r="J1205" s="14" t="s">
        <v>138</v>
      </c>
      <c r="K1205" s="15" t="s">
        <v>47</v>
      </c>
      <c r="L1205" s="87"/>
      <c r="M1205" s="14"/>
      <c r="N1205" s="14" t="s">
        <v>265</v>
      </c>
      <c r="O1205" s="14"/>
      <c r="P1205" s="15" t="s">
        <v>1250</v>
      </c>
      <c r="Q1205" s="16">
        <v>10990</v>
      </c>
      <c r="R1205" s="17">
        <v>45</v>
      </c>
      <c r="S1205" s="18">
        <v>6951.1749999999993</v>
      </c>
      <c r="T1205" s="19" t="s">
        <v>1236</v>
      </c>
      <c r="U1205" s="20" t="s">
        <v>399</v>
      </c>
      <c r="V1205" s="21">
        <v>40</v>
      </c>
      <c r="W1205" s="21">
        <v>5</v>
      </c>
      <c r="X1205" s="22"/>
    </row>
    <row r="1206" spans="1:24" s="1" customFormat="1" ht="17.100000000000001" customHeight="1" x14ac:dyDescent="0.3">
      <c r="A1206" s="23" t="s">
        <v>1233</v>
      </c>
      <c r="B1206" s="44">
        <v>753</v>
      </c>
      <c r="C1206" s="12" t="s">
        <v>1261</v>
      </c>
      <c r="D1206" s="84"/>
      <c r="E1206" s="69" t="str">
        <f t="shared" si="68"/>
        <v>Еще фото</v>
      </c>
      <c r="F1206" s="13"/>
      <c r="G1206" s="23" t="s">
        <v>137</v>
      </c>
      <c r="H1206" s="23" t="s">
        <v>27</v>
      </c>
      <c r="I1206" s="23" t="s">
        <v>137</v>
      </c>
      <c r="J1206" s="14" t="s">
        <v>138</v>
      </c>
      <c r="K1206" s="15" t="s">
        <v>47</v>
      </c>
      <c r="L1206" s="87"/>
      <c r="M1206" s="14"/>
      <c r="N1206" s="14" t="s">
        <v>265</v>
      </c>
      <c r="O1206" s="14"/>
      <c r="P1206" s="15" t="s">
        <v>1250</v>
      </c>
      <c r="Q1206" s="16">
        <v>10990</v>
      </c>
      <c r="R1206" s="17">
        <v>45</v>
      </c>
      <c r="S1206" s="18">
        <v>6951.1749999999993</v>
      </c>
      <c r="T1206" s="19" t="s">
        <v>1236</v>
      </c>
      <c r="U1206" s="20" t="s">
        <v>457</v>
      </c>
      <c r="V1206" s="21">
        <v>42</v>
      </c>
      <c r="W1206" s="21">
        <v>2</v>
      </c>
      <c r="X1206" s="22"/>
    </row>
    <row r="1207" spans="1:24" s="1" customFormat="1" ht="17.100000000000001" customHeight="1" x14ac:dyDescent="0.3">
      <c r="A1207" s="23" t="s">
        <v>1233</v>
      </c>
      <c r="B1207" s="44">
        <v>753</v>
      </c>
      <c r="C1207" s="12" t="s">
        <v>1261</v>
      </c>
      <c r="D1207" s="84"/>
      <c r="E1207" s="69" t="str">
        <f t="shared" si="68"/>
        <v>Еще фото</v>
      </c>
      <c r="F1207" s="13"/>
      <c r="G1207" s="23" t="s">
        <v>137</v>
      </c>
      <c r="H1207" s="23" t="s">
        <v>27</v>
      </c>
      <c r="I1207" s="23" t="s">
        <v>137</v>
      </c>
      <c r="J1207" s="14" t="s">
        <v>138</v>
      </c>
      <c r="K1207" s="15" t="s">
        <v>47</v>
      </c>
      <c r="L1207" s="87"/>
      <c r="M1207" s="14"/>
      <c r="N1207" s="14" t="s">
        <v>265</v>
      </c>
      <c r="O1207" s="14"/>
      <c r="P1207" s="15" t="s">
        <v>1250</v>
      </c>
      <c r="Q1207" s="16">
        <v>10990</v>
      </c>
      <c r="R1207" s="17">
        <v>45</v>
      </c>
      <c r="S1207" s="18">
        <v>6951.1749999999993</v>
      </c>
      <c r="T1207" s="19" t="s">
        <v>1236</v>
      </c>
      <c r="U1207" s="20" t="s">
        <v>402</v>
      </c>
      <c r="V1207" s="21">
        <v>44</v>
      </c>
      <c r="W1207" s="21">
        <v>4</v>
      </c>
      <c r="X1207" s="22"/>
    </row>
    <row r="1208" spans="1:24" s="1" customFormat="1" ht="17.100000000000001" customHeight="1" x14ac:dyDescent="0.3">
      <c r="A1208" s="23" t="s">
        <v>1233</v>
      </c>
      <c r="B1208" s="44">
        <v>753</v>
      </c>
      <c r="C1208" s="12" t="s">
        <v>1261</v>
      </c>
      <c r="D1208" s="84"/>
      <c r="E1208" s="69" t="str">
        <f t="shared" si="68"/>
        <v>Еще фото</v>
      </c>
      <c r="F1208" s="13"/>
      <c r="G1208" s="23" t="s">
        <v>137</v>
      </c>
      <c r="H1208" s="23" t="s">
        <v>27</v>
      </c>
      <c r="I1208" s="23" t="s">
        <v>137</v>
      </c>
      <c r="J1208" s="14" t="s">
        <v>138</v>
      </c>
      <c r="K1208" s="15" t="s">
        <v>47</v>
      </c>
      <c r="L1208" s="87"/>
      <c r="M1208" s="14"/>
      <c r="N1208" s="14" t="s">
        <v>265</v>
      </c>
      <c r="O1208" s="14"/>
      <c r="P1208" s="15" t="s">
        <v>1250</v>
      </c>
      <c r="Q1208" s="16">
        <v>10990</v>
      </c>
      <c r="R1208" s="17">
        <v>45</v>
      </c>
      <c r="S1208" s="18">
        <v>6951.1749999999993</v>
      </c>
      <c r="T1208" s="19" t="s">
        <v>1236</v>
      </c>
      <c r="U1208" s="20" t="s">
        <v>1253</v>
      </c>
      <c r="V1208" s="21">
        <v>46</v>
      </c>
      <c r="W1208" s="21">
        <v>5</v>
      </c>
      <c r="X1208" s="22"/>
    </row>
    <row r="1209" spans="1:24" s="1" customFormat="1" ht="21.95" customHeight="1" x14ac:dyDescent="0.3">
      <c r="A1209" s="23" t="s">
        <v>1233</v>
      </c>
      <c r="B1209" s="44">
        <v>753</v>
      </c>
      <c r="C1209" s="12" t="s">
        <v>1261</v>
      </c>
      <c r="D1209" s="85"/>
      <c r="E1209" s="69" t="str">
        <f t="shared" si="68"/>
        <v>Еще фото</v>
      </c>
      <c r="F1209" s="13"/>
      <c r="G1209" s="23" t="s">
        <v>137</v>
      </c>
      <c r="H1209" s="23" t="s">
        <v>27</v>
      </c>
      <c r="I1209" s="23" t="s">
        <v>137</v>
      </c>
      <c r="J1209" s="14" t="s">
        <v>138</v>
      </c>
      <c r="K1209" s="15" t="s">
        <v>47</v>
      </c>
      <c r="L1209" s="88"/>
      <c r="M1209" s="14"/>
      <c r="N1209" s="14" t="s">
        <v>265</v>
      </c>
      <c r="O1209" s="14"/>
      <c r="P1209" s="15" t="s">
        <v>1250</v>
      </c>
      <c r="Q1209" s="16">
        <v>10990</v>
      </c>
      <c r="R1209" s="17">
        <v>45</v>
      </c>
      <c r="S1209" s="18">
        <v>6951.1749999999993</v>
      </c>
      <c r="T1209" s="19" t="s">
        <v>1236</v>
      </c>
      <c r="U1209" s="20" t="s">
        <v>1257</v>
      </c>
      <c r="V1209" s="21">
        <v>48</v>
      </c>
      <c r="W1209" s="21">
        <v>3</v>
      </c>
      <c r="X1209" s="22"/>
    </row>
    <row r="1210" spans="1:24" s="1" customFormat="1" ht="21" customHeight="1" x14ac:dyDescent="0.3">
      <c r="A1210" s="11" t="s">
        <v>1233</v>
      </c>
      <c r="B1210" s="45">
        <v>797</v>
      </c>
      <c r="C1210" s="27" t="s">
        <v>1263</v>
      </c>
      <c r="D1210" s="83"/>
      <c r="E1210" s="69" t="str">
        <f>HYPERLINK("https://www.google.ru/search?q=797L-810AL-510&amp;newwindow=1&amp;tbm=isch","Еще фото")</f>
        <v>Еще фото</v>
      </c>
      <c r="F1210" s="13"/>
      <c r="G1210" s="11" t="s">
        <v>137</v>
      </c>
      <c r="H1210" s="11" t="s">
        <v>27</v>
      </c>
      <c r="I1210" s="14" t="s">
        <v>137</v>
      </c>
      <c r="J1210" s="14" t="s">
        <v>138</v>
      </c>
      <c r="K1210" s="15" t="s">
        <v>47</v>
      </c>
      <c r="L1210" s="86" t="s">
        <v>1264</v>
      </c>
      <c r="M1210" s="14"/>
      <c r="N1210" s="14" t="s">
        <v>265</v>
      </c>
      <c r="O1210" s="14"/>
      <c r="P1210" s="15" t="s">
        <v>1250</v>
      </c>
      <c r="Q1210" s="16">
        <v>10990</v>
      </c>
      <c r="R1210" s="17">
        <v>45</v>
      </c>
      <c r="S1210" s="18">
        <v>6951.1749999999993</v>
      </c>
      <c r="T1210" s="19" t="s">
        <v>1236</v>
      </c>
      <c r="U1210" s="20" t="s">
        <v>354</v>
      </c>
      <c r="V1210" s="21">
        <v>40</v>
      </c>
      <c r="W1210" s="21">
        <v>5</v>
      </c>
      <c r="X1210" s="22"/>
    </row>
    <row r="1211" spans="1:24" s="1" customFormat="1" ht="21" customHeight="1" x14ac:dyDescent="0.3">
      <c r="A1211" s="23" t="s">
        <v>1233</v>
      </c>
      <c r="B1211" s="46">
        <v>797</v>
      </c>
      <c r="C1211" s="28" t="s">
        <v>1263</v>
      </c>
      <c r="D1211" s="84"/>
      <c r="E1211" s="69" t="str">
        <f>HYPERLINK("https://www.google.ru/search?q=797L-810AL-510&amp;newwindow=1&amp;tbm=isch","Еще фото")</f>
        <v>Еще фото</v>
      </c>
      <c r="F1211" s="13"/>
      <c r="G1211" s="23" t="s">
        <v>137</v>
      </c>
      <c r="H1211" s="23" t="s">
        <v>27</v>
      </c>
      <c r="I1211" s="23" t="s">
        <v>137</v>
      </c>
      <c r="J1211" s="14" t="s">
        <v>138</v>
      </c>
      <c r="K1211" s="15" t="s">
        <v>47</v>
      </c>
      <c r="L1211" s="87"/>
      <c r="M1211" s="14"/>
      <c r="N1211" s="14" t="s">
        <v>265</v>
      </c>
      <c r="O1211" s="14"/>
      <c r="P1211" s="15" t="s">
        <v>1250</v>
      </c>
      <c r="Q1211" s="16">
        <v>10990</v>
      </c>
      <c r="R1211" s="17">
        <v>45</v>
      </c>
      <c r="S1211" s="18">
        <v>6951.1749999999993</v>
      </c>
      <c r="T1211" s="19" t="s">
        <v>1236</v>
      </c>
      <c r="U1211" s="20" t="s">
        <v>64</v>
      </c>
      <c r="V1211" s="21">
        <v>42</v>
      </c>
      <c r="W1211" s="21">
        <v>5</v>
      </c>
      <c r="X1211" s="22"/>
    </row>
    <row r="1212" spans="1:24" s="1" customFormat="1" ht="21" customHeight="1" x14ac:dyDescent="0.3">
      <c r="A1212" s="23" t="s">
        <v>1233</v>
      </c>
      <c r="B1212" s="46">
        <v>797</v>
      </c>
      <c r="C1212" s="28" t="s">
        <v>1263</v>
      </c>
      <c r="D1212" s="84"/>
      <c r="E1212" s="69" t="str">
        <f>HYPERLINK("https://www.google.ru/search?q=797L-810AL-510&amp;newwindow=1&amp;tbm=isch","Еще фото")</f>
        <v>Еще фото</v>
      </c>
      <c r="F1212" s="13"/>
      <c r="G1212" s="23" t="s">
        <v>137</v>
      </c>
      <c r="H1212" s="23" t="s">
        <v>27</v>
      </c>
      <c r="I1212" s="23" t="s">
        <v>137</v>
      </c>
      <c r="J1212" s="14" t="s">
        <v>138</v>
      </c>
      <c r="K1212" s="15" t="s">
        <v>47</v>
      </c>
      <c r="L1212" s="87"/>
      <c r="M1212" s="14"/>
      <c r="N1212" s="14" t="s">
        <v>265</v>
      </c>
      <c r="O1212" s="14"/>
      <c r="P1212" s="15" t="s">
        <v>1250</v>
      </c>
      <c r="Q1212" s="16">
        <v>10990</v>
      </c>
      <c r="R1212" s="17">
        <v>45</v>
      </c>
      <c r="S1212" s="18">
        <v>6951.1749999999993</v>
      </c>
      <c r="T1212" s="19" t="s">
        <v>1236</v>
      </c>
      <c r="U1212" s="20" t="s">
        <v>66</v>
      </c>
      <c r="V1212" s="21">
        <v>44</v>
      </c>
      <c r="W1212" s="21">
        <v>3</v>
      </c>
      <c r="X1212" s="22"/>
    </row>
    <row r="1213" spans="1:24" s="1" customFormat="1" ht="21" customHeight="1" x14ac:dyDescent="0.3">
      <c r="A1213" s="23" t="s">
        <v>1233</v>
      </c>
      <c r="B1213" s="46">
        <v>797</v>
      </c>
      <c r="C1213" s="28" t="s">
        <v>1263</v>
      </c>
      <c r="D1213" s="84"/>
      <c r="E1213" s="69" t="str">
        <f>HYPERLINK("https://www.google.ru/search?q=797L-810AL-510&amp;newwindow=1&amp;tbm=isch","Еще фото")</f>
        <v>Еще фото</v>
      </c>
      <c r="F1213" s="13"/>
      <c r="G1213" s="23" t="s">
        <v>137</v>
      </c>
      <c r="H1213" s="23" t="s">
        <v>27</v>
      </c>
      <c r="I1213" s="23" t="s">
        <v>137</v>
      </c>
      <c r="J1213" s="14" t="s">
        <v>138</v>
      </c>
      <c r="K1213" s="15" t="s">
        <v>47</v>
      </c>
      <c r="L1213" s="87"/>
      <c r="M1213" s="14"/>
      <c r="N1213" s="14" t="s">
        <v>265</v>
      </c>
      <c r="O1213" s="14"/>
      <c r="P1213" s="15" t="s">
        <v>1250</v>
      </c>
      <c r="Q1213" s="16">
        <v>10990</v>
      </c>
      <c r="R1213" s="17">
        <v>45</v>
      </c>
      <c r="S1213" s="18">
        <v>6951.1749999999993</v>
      </c>
      <c r="T1213" s="19" t="s">
        <v>1236</v>
      </c>
      <c r="U1213" s="20" t="s">
        <v>52</v>
      </c>
      <c r="V1213" s="21">
        <v>48</v>
      </c>
      <c r="W1213" s="21">
        <v>2</v>
      </c>
      <c r="X1213" s="22"/>
    </row>
    <row r="1214" spans="1:24" s="1" customFormat="1" ht="32.1" customHeight="1" x14ac:dyDescent="0.3">
      <c r="A1214" s="23" t="s">
        <v>1233</v>
      </c>
      <c r="B1214" s="46">
        <v>797</v>
      </c>
      <c r="C1214" s="28" t="s">
        <v>1263</v>
      </c>
      <c r="D1214" s="85"/>
      <c r="E1214" s="69" t="str">
        <f>HYPERLINK("https://www.google.ru/search?q=797L-810AL-510&amp;newwindow=1&amp;tbm=isch","Еще фото")</f>
        <v>Еще фото</v>
      </c>
      <c r="F1214" s="13"/>
      <c r="G1214" s="23" t="s">
        <v>137</v>
      </c>
      <c r="H1214" s="23" t="s">
        <v>27</v>
      </c>
      <c r="I1214" s="23" t="s">
        <v>137</v>
      </c>
      <c r="J1214" s="14" t="s">
        <v>138</v>
      </c>
      <c r="K1214" s="15" t="s">
        <v>47</v>
      </c>
      <c r="L1214" s="88"/>
      <c r="M1214" s="14"/>
      <c r="N1214" s="14" t="s">
        <v>265</v>
      </c>
      <c r="O1214" s="14"/>
      <c r="P1214" s="15" t="s">
        <v>1250</v>
      </c>
      <c r="Q1214" s="16">
        <v>10990</v>
      </c>
      <c r="R1214" s="17">
        <v>45</v>
      </c>
      <c r="S1214" s="18">
        <v>6951.1749999999993</v>
      </c>
      <c r="T1214" s="19" t="s">
        <v>1236</v>
      </c>
      <c r="U1214" s="20" t="s">
        <v>596</v>
      </c>
      <c r="V1214" s="21">
        <v>50</v>
      </c>
      <c r="W1214" s="21">
        <v>5</v>
      </c>
      <c r="X1214" s="22"/>
    </row>
    <row r="1215" spans="1:24" s="1" customFormat="1" ht="108" customHeight="1" x14ac:dyDescent="0.3">
      <c r="A1215" s="11" t="s">
        <v>1233</v>
      </c>
      <c r="B1215" s="11" t="s">
        <v>1265</v>
      </c>
      <c r="C1215" s="12" t="s">
        <v>1266</v>
      </c>
      <c r="D1215" s="24"/>
      <c r="E1215" s="69" t="str">
        <f>HYPERLINK("https://www.google.ru/search?q=T707M-0900A-718&amp;newwindow=1&amp;tbm=isch","Еще фото")</f>
        <v>Еще фото</v>
      </c>
      <c r="F1215" s="13"/>
      <c r="G1215" s="11" t="s">
        <v>137</v>
      </c>
      <c r="H1215" s="11" t="s">
        <v>27</v>
      </c>
      <c r="I1215" s="14" t="s">
        <v>137</v>
      </c>
      <c r="J1215" s="14" t="s">
        <v>138</v>
      </c>
      <c r="K1215" s="15" t="s">
        <v>55</v>
      </c>
      <c r="L1215" s="14" t="s">
        <v>1267</v>
      </c>
      <c r="M1215" s="14"/>
      <c r="N1215" s="14" t="s">
        <v>70</v>
      </c>
      <c r="O1215" s="14"/>
      <c r="P1215" s="15" t="s">
        <v>1256</v>
      </c>
      <c r="Q1215" s="16">
        <v>9990</v>
      </c>
      <c r="R1215" s="17">
        <v>45</v>
      </c>
      <c r="S1215" s="18">
        <v>6318.6749999999993</v>
      </c>
      <c r="T1215" s="19" t="s">
        <v>1236</v>
      </c>
      <c r="U1215" s="20" t="s">
        <v>402</v>
      </c>
      <c r="V1215" s="21">
        <v>44</v>
      </c>
      <c r="W1215" s="21">
        <v>1</v>
      </c>
      <c r="X1215" s="22"/>
    </row>
    <row r="1216" spans="1:24" s="1" customFormat="1" ht="108" customHeight="1" x14ac:dyDescent="0.3">
      <c r="A1216" s="11" t="s">
        <v>1233</v>
      </c>
      <c r="B1216" s="37">
        <v>409</v>
      </c>
      <c r="C1216" s="12" t="s">
        <v>1268</v>
      </c>
      <c r="D1216" s="24"/>
      <c r="E1216" s="69" t="str">
        <f>HYPERLINK("https://www.google.ru/search?q=409-1412X-665&amp;newwindow=1&amp;tbm=isch","Еще фото")</f>
        <v>Еще фото</v>
      </c>
      <c r="F1216" s="13"/>
      <c r="G1216" s="11" t="s">
        <v>307</v>
      </c>
      <c r="H1216" s="11" t="s">
        <v>27</v>
      </c>
      <c r="I1216" s="14" t="s">
        <v>308</v>
      </c>
      <c r="J1216" s="14" t="s">
        <v>138</v>
      </c>
      <c r="K1216" s="15" t="s">
        <v>55</v>
      </c>
      <c r="L1216" s="14" t="s">
        <v>1269</v>
      </c>
      <c r="M1216" s="14"/>
      <c r="N1216" s="14" t="s">
        <v>70</v>
      </c>
      <c r="O1216" s="14"/>
      <c r="P1216" s="15" t="s">
        <v>359</v>
      </c>
      <c r="Q1216" s="16">
        <v>27990</v>
      </c>
      <c r="R1216" s="17">
        <v>45</v>
      </c>
      <c r="S1216" s="18">
        <v>17703.674999999999</v>
      </c>
      <c r="T1216" s="19" t="s">
        <v>1236</v>
      </c>
      <c r="U1216" s="20" t="s">
        <v>52</v>
      </c>
      <c r="V1216" s="21">
        <v>52</v>
      </c>
      <c r="W1216" s="21">
        <v>1</v>
      </c>
      <c r="X1216" s="22"/>
    </row>
    <row r="1217" spans="1:24" s="1" customFormat="1" ht="108" customHeight="1" x14ac:dyDescent="0.3">
      <c r="A1217" s="11" t="s">
        <v>1233</v>
      </c>
      <c r="B1217" s="37">
        <v>409</v>
      </c>
      <c r="C1217" s="12" t="s">
        <v>1270</v>
      </c>
      <c r="D1217" s="24"/>
      <c r="E1217" s="69" t="str">
        <f>HYPERLINK("https://www.google.ru/search?q=409-1412X-899&amp;newwindow=1&amp;tbm=isch","Еще фото")</f>
        <v>Еще фото</v>
      </c>
      <c r="F1217" s="13"/>
      <c r="G1217" s="11" t="s">
        <v>307</v>
      </c>
      <c r="H1217" s="11" t="s">
        <v>27</v>
      </c>
      <c r="I1217" s="14" t="s">
        <v>308</v>
      </c>
      <c r="J1217" s="14" t="s">
        <v>138</v>
      </c>
      <c r="K1217" s="15" t="s">
        <v>55</v>
      </c>
      <c r="L1217" s="14" t="s">
        <v>1269</v>
      </c>
      <c r="M1217" s="14"/>
      <c r="N1217" s="14" t="s">
        <v>49</v>
      </c>
      <c r="O1217" s="14"/>
      <c r="P1217" s="15" t="s">
        <v>359</v>
      </c>
      <c r="Q1217" s="16">
        <v>27990</v>
      </c>
      <c r="R1217" s="17">
        <v>45</v>
      </c>
      <c r="S1217" s="18">
        <v>17703.674999999999</v>
      </c>
      <c r="T1217" s="19" t="s">
        <v>1236</v>
      </c>
      <c r="U1217" s="20" t="s">
        <v>58</v>
      </c>
      <c r="V1217" s="21">
        <v>50</v>
      </c>
      <c r="W1217" s="21">
        <v>1</v>
      </c>
      <c r="X1217" s="22"/>
    </row>
    <row r="1218" spans="1:24" s="1" customFormat="1" ht="35.1" customHeight="1" x14ac:dyDescent="0.3">
      <c r="A1218" s="11" t="s">
        <v>1233</v>
      </c>
      <c r="B1218" s="41">
        <v>213</v>
      </c>
      <c r="C1218" s="12" t="s">
        <v>1271</v>
      </c>
      <c r="D1218" s="83"/>
      <c r="E1218" s="69" t="str">
        <f>HYPERLINK("https://www.google.ru/search?q=213A-1230A-03K&amp;newwindow=1&amp;tbm=isch","Еще фото")</f>
        <v>Еще фото</v>
      </c>
      <c r="F1218" s="13"/>
      <c r="G1218" s="11" t="s">
        <v>531</v>
      </c>
      <c r="H1218" s="11" t="s">
        <v>27</v>
      </c>
      <c r="I1218" s="14" t="s">
        <v>522</v>
      </c>
      <c r="J1218" s="14" t="s">
        <v>138</v>
      </c>
      <c r="K1218" s="15" t="s">
        <v>55</v>
      </c>
      <c r="L1218" s="86" t="s">
        <v>1272</v>
      </c>
      <c r="M1218" s="14"/>
      <c r="N1218" s="14" t="s">
        <v>89</v>
      </c>
      <c r="O1218" s="14"/>
      <c r="P1218" s="15" t="s">
        <v>74</v>
      </c>
      <c r="Q1218" s="16">
        <v>6990</v>
      </c>
      <c r="R1218" s="17">
        <v>45</v>
      </c>
      <c r="S1218" s="18">
        <v>4421.1749999999993</v>
      </c>
      <c r="T1218" s="19" t="s">
        <v>1236</v>
      </c>
      <c r="U1218" s="20" t="s">
        <v>58</v>
      </c>
      <c r="V1218" s="21">
        <v>50</v>
      </c>
      <c r="W1218" s="21">
        <v>1</v>
      </c>
      <c r="X1218" s="22"/>
    </row>
    <row r="1219" spans="1:24" s="1" customFormat="1" ht="35.1" customHeight="1" x14ac:dyDescent="0.3">
      <c r="A1219" s="23" t="s">
        <v>1233</v>
      </c>
      <c r="B1219" s="42">
        <v>213</v>
      </c>
      <c r="C1219" s="12" t="s">
        <v>1271</v>
      </c>
      <c r="D1219" s="84"/>
      <c r="E1219" s="69" t="str">
        <f>HYPERLINK("https://www.google.ru/search?q=213A-1230A-03K&amp;newwindow=1&amp;tbm=isch","Еще фото")</f>
        <v>Еще фото</v>
      </c>
      <c r="F1219" s="13"/>
      <c r="G1219" s="23" t="s">
        <v>531</v>
      </c>
      <c r="H1219" s="23" t="s">
        <v>27</v>
      </c>
      <c r="I1219" s="23" t="s">
        <v>522</v>
      </c>
      <c r="J1219" s="14" t="s">
        <v>138</v>
      </c>
      <c r="K1219" s="15" t="s">
        <v>55</v>
      </c>
      <c r="L1219" s="87"/>
      <c r="M1219" s="14"/>
      <c r="N1219" s="14" t="s">
        <v>89</v>
      </c>
      <c r="O1219" s="14"/>
      <c r="P1219" s="15" t="s">
        <v>74</v>
      </c>
      <c r="Q1219" s="16">
        <v>6990</v>
      </c>
      <c r="R1219" s="17">
        <v>45</v>
      </c>
      <c r="S1219" s="18">
        <v>4421.1749999999993</v>
      </c>
      <c r="T1219" s="19" t="s">
        <v>1236</v>
      </c>
      <c r="U1219" s="20" t="s">
        <v>52</v>
      </c>
      <c r="V1219" s="21">
        <v>52</v>
      </c>
      <c r="W1219" s="21">
        <v>1</v>
      </c>
      <c r="X1219" s="22"/>
    </row>
    <row r="1220" spans="1:24" s="1" customFormat="1" ht="36.950000000000003" customHeight="1" x14ac:dyDescent="0.3">
      <c r="A1220" s="23" t="s">
        <v>1233</v>
      </c>
      <c r="B1220" s="42">
        <v>213</v>
      </c>
      <c r="C1220" s="12" t="s">
        <v>1271</v>
      </c>
      <c r="D1220" s="85"/>
      <c r="E1220" s="69" t="str">
        <f>HYPERLINK("https://www.google.ru/search?q=213A-1230A-03K&amp;newwindow=1&amp;tbm=isch","Еще фото")</f>
        <v>Еще фото</v>
      </c>
      <c r="F1220" s="13"/>
      <c r="G1220" s="23" t="s">
        <v>531</v>
      </c>
      <c r="H1220" s="23" t="s">
        <v>27</v>
      </c>
      <c r="I1220" s="23" t="s">
        <v>522</v>
      </c>
      <c r="J1220" s="14" t="s">
        <v>138</v>
      </c>
      <c r="K1220" s="15" t="s">
        <v>55</v>
      </c>
      <c r="L1220" s="88"/>
      <c r="M1220" s="14"/>
      <c r="N1220" s="14" t="s">
        <v>89</v>
      </c>
      <c r="O1220" s="14"/>
      <c r="P1220" s="15" t="s">
        <v>74</v>
      </c>
      <c r="Q1220" s="16">
        <v>6990</v>
      </c>
      <c r="R1220" s="17">
        <v>45</v>
      </c>
      <c r="S1220" s="18">
        <v>4421.1749999999993</v>
      </c>
      <c r="T1220" s="19" t="s">
        <v>1236</v>
      </c>
      <c r="U1220" s="20" t="s">
        <v>596</v>
      </c>
      <c r="V1220" s="21">
        <v>54</v>
      </c>
      <c r="W1220" s="21">
        <v>1</v>
      </c>
      <c r="X1220" s="22"/>
    </row>
    <row r="1221" spans="1:24" s="1" customFormat="1" ht="35.1" customHeight="1" x14ac:dyDescent="0.3">
      <c r="A1221" s="11" t="s">
        <v>1233</v>
      </c>
      <c r="B1221" s="41">
        <v>213</v>
      </c>
      <c r="C1221" s="12" t="s">
        <v>1273</v>
      </c>
      <c r="D1221" s="83"/>
      <c r="E1221" s="69" t="str">
        <f>HYPERLINK("https://www.google.ru/search?q=213A-1230A-B79&amp;newwindow=1&amp;tbm=isch","Еще фото")</f>
        <v>Еще фото</v>
      </c>
      <c r="F1221" s="13"/>
      <c r="G1221" s="11" t="s">
        <v>531</v>
      </c>
      <c r="H1221" s="11" t="s">
        <v>27</v>
      </c>
      <c r="I1221" s="14" t="s">
        <v>522</v>
      </c>
      <c r="J1221" s="14" t="s">
        <v>138</v>
      </c>
      <c r="K1221" s="15" t="s">
        <v>55</v>
      </c>
      <c r="L1221" s="86" t="s">
        <v>1272</v>
      </c>
      <c r="M1221" s="14"/>
      <c r="N1221" s="14" t="s">
        <v>89</v>
      </c>
      <c r="O1221" s="14"/>
      <c r="P1221" s="15" t="s">
        <v>74</v>
      </c>
      <c r="Q1221" s="16">
        <v>6990</v>
      </c>
      <c r="R1221" s="17">
        <v>45</v>
      </c>
      <c r="S1221" s="18">
        <v>4421.1749999999993</v>
      </c>
      <c r="T1221" s="19" t="s">
        <v>1236</v>
      </c>
      <c r="U1221" s="20" t="s">
        <v>58</v>
      </c>
      <c r="V1221" s="21">
        <v>50</v>
      </c>
      <c r="W1221" s="21">
        <v>2</v>
      </c>
      <c r="X1221" s="22"/>
    </row>
    <row r="1222" spans="1:24" s="1" customFormat="1" ht="35.1" customHeight="1" x14ac:dyDescent="0.3">
      <c r="A1222" s="23" t="s">
        <v>1233</v>
      </c>
      <c r="B1222" s="42">
        <v>213</v>
      </c>
      <c r="C1222" s="12" t="s">
        <v>1273</v>
      </c>
      <c r="D1222" s="84"/>
      <c r="E1222" s="69" t="str">
        <f>HYPERLINK("https://www.google.ru/search?q=213A-1230A-B79&amp;newwindow=1&amp;tbm=isch","Еще фото")</f>
        <v>Еще фото</v>
      </c>
      <c r="F1222" s="13"/>
      <c r="G1222" s="23" t="s">
        <v>531</v>
      </c>
      <c r="H1222" s="23" t="s">
        <v>27</v>
      </c>
      <c r="I1222" s="23" t="s">
        <v>522</v>
      </c>
      <c r="J1222" s="14" t="s">
        <v>138</v>
      </c>
      <c r="K1222" s="15" t="s">
        <v>55</v>
      </c>
      <c r="L1222" s="87"/>
      <c r="M1222" s="14"/>
      <c r="N1222" s="14" t="s">
        <v>89</v>
      </c>
      <c r="O1222" s="14"/>
      <c r="P1222" s="15" t="s">
        <v>74</v>
      </c>
      <c r="Q1222" s="16">
        <v>6990</v>
      </c>
      <c r="R1222" s="17">
        <v>45</v>
      </c>
      <c r="S1222" s="18">
        <v>4421.1749999999993</v>
      </c>
      <c r="T1222" s="19" t="s">
        <v>1236</v>
      </c>
      <c r="U1222" s="20" t="s">
        <v>52</v>
      </c>
      <c r="V1222" s="21">
        <v>52</v>
      </c>
      <c r="W1222" s="21">
        <v>1</v>
      </c>
      <c r="X1222" s="22"/>
    </row>
    <row r="1223" spans="1:24" s="1" customFormat="1" ht="36.950000000000003" customHeight="1" x14ac:dyDescent="0.3">
      <c r="A1223" s="23" t="s">
        <v>1233</v>
      </c>
      <c r="B1223" s="42">
        <v>213</v>
      </c>
      <c r="C1223" s="12" t="s">
        <v>1273</v>
      </c>
      <c r="D1223" s="85"/>
      <c r="E1223" s="69" t="str">
        <f>HYPERLINK("https://www.google.ru/search?q=213A-1230A-B79&amp;newwindow=1&amp;tbm=isch","Еще фото")</f>
        <v>Еще фото</v>
      </c>
      <c r="F1223" s="13"/>
      <c r="G1223" s="23" t="s">
        <v>531</v>
      </c>
      <c r="H1223" s="23" t="s">
        <v>27</v>
      </c>
      <c r="I1223" s="23" t="s">
        <v>522</v>
      </c>
      <c r="J1223" s="14" t="s">
        <v>138</v>
      </c>
      <c r="K1223" s="15" t="s">
        <v>55</v>
      </c>
      <c r="L1223" s="88"/>
      <c r="M1223" s="14"/>
      <c r="N1223" s="14" t="s">
        <v>89</v>
      </c>
      <c r="O1223" s="14"/>
      <c r="P1223" s="15" t="s">
        <v>74</v>
      </c>
      <c r="Q1223" s="16">
        <v>6990</v>
      </c>
      <c r="R1223" s="17">
        <v>45</v>
      </c>
      <c r="S1223" s="18">
        <v>4421.1749999999993</v>
      </c>
      <c r="T1223" s="19" t="s">
        <v>1236</v>
      </c>
      <c r="U1223" s="20" t="s">
        <v>596</v>
      </c>
      <c r="V1223" s="21">
        <v>54</v>
      </c>
      <c r="W1223" s="21">
        <v>2</v>
      </c>
      <c r="X1223" s="22"/>
    </row>
    <row r="1224" spans="1:24" s="1" customFormat="1" ht="108" customHeight="1" x14ac:dyDescent="0.3">
      <c r="A1224" s="11" t="s">
        <v>1233</v>
      </c>
      <c r="B1224" s="47">
        <v>213</v>
      </c>
      <c r="C1224" s="12" t="s">
        <v>1274</v>
      </c>
      <c r="D1224" s="24"/>
      <c r="E1224" s="69" t="str">
        <f>HYPERLINK("https://www.google.ru/search?q=213C-1240A-669&amp;newwindow=1&amp;tbm=isch","Еще фото")</f>
        <v>Еще фото</v>
      </c>
      <c r="F1224" s="13"/>
      <c r="G1224" s="11" t="s">
        <v>531</v>
      </c>
      <c r="H1224" s="11" t="s">
        <v>27</v>
      </c>
      <c r="I1224" s="14" t="s">
        <v>522</v>
      </c>
      <c r="J1224" s="14" t="s">
        <v>138</v>
      </c>
      <c r="K1224" s="15" t="s">
        <v>55</v>
      </c>
      <c r="L1224" s="14" t="s">
        <v>1275</v>
      </c>
      <c r="M1224" s="14"/>
      <c r="N1224" s="14" t="s">
        <v>265</v>
      </c>
      <c r="O1224" s="14"/>
      <c r="P1224" s="15" t="s">
        <v>74</v>
      </c>
      <c r="Q1224" s="16">
        <v>6990</v>
      </c>
      <c r="R1224" s="17">
        <v>45</v>
      </c>
      <c r="S1224" s="18">
        <v>4421.1749999999993</v>
      </c>
      <c r="T1224" s="19" t="s">
        <v>1236</v>
      </c>
      <c r="U1224" s="20" t="s">
        <v>52</v>
      </c>
      <c r="V1224" s="21">
        <v>52</v>
      </c>
      <c r="W1224" s="21">
        <v>2</v>
      </c>
      <c r="X1224" s="22"/>
    </row>
    <row r="1225" spans="1:24" s="1" customFormat="1" ht="108" customHeight="1" x14ac:dyDescent="0.3">
      <c r="A1225" s="11" t="s">
        <v>1233</v>
      </c>
      <c r="B1225" s="48">
        <v>224</v>
      </c>
      <c r="C1225" s="12" t="s">
        <v>1276</v>
      </c>
      <c r="D1225" s="24"/>
      <c r="E1225" s="69" t="str">
        <f>HYPERLINK("https://www.google.ru/search?q=224S-1253X-K72&amp;newwindow=1&amp;tbm=isch","Еще фото")</f>
        <v>Еще фото</v>
      </c>
      <c r="F1225" s="13"/>
      <c r="G1225" s="11" t="s">
        <v>531</v>
      </c>
      <c r="H1225" s="11" t="s">
        <v>27</v>
      </c>
      <c r="I1225" s="14" t="s">
        <v>522</v>
      </c>
      <c r="J1225" s="14" t="s">
        <v>138</v>
      </c>
      <c r="K1225" s="15" t="s">
        <v>55</v>
      </c>
      <c r="L1225" s="14" t="s">
        <v>1277</v>
      </c>
      <c r="M1225" s="14"/>
      <c r="N1225" s="14" t="s">
        <v>265</v>
      </c>
      <c r="O1225" s="14"/>
      <c r="P1225" s="15" t="s">
        <v>1278</v>
      </c>
      <c r="Q1225" s="16">
        <v>9990</v>
      </c>
      <c r="R1225" s="17">
        <v>45</v>
      </c>
      <c r="S1225" s="18">
        <v>6318.6749999999993</v>
      </c>
      <c r="T1225" s="19" t="s">
        <v>1236</v>
      </c>
      <c r="U1225" s="20" t="s">
        <v>58</v>
      </c>
      <c r="V1225" s="21">
        <v>50</v>
      </c>
      <c r="W1225" s="21">
        <v>1</v>
      </c>
      <c r="X1225" s="22"/>
    </row>
    <row r="1226" spans="1:24" s="1" customFormat="1" ht="108" customHeight="1" x14ac:dyDescent="0.3">
      <c r="A1226" s="11" t="s">
        <v>1233</v>
      </c>
      <c r="B1226" s="37">
        <v>450</v>
      </c>
      <c r="C1226" s="12" t="s">
        <v>1279</v>
      </c>
      <c r="D1226" s="24"/>
      <c r="E1226" s="69" t="str">
        <f>HYPERLINK("https://www.google.ru/search?q=450-0970A-500&amp;newwindow=1&amp;tbm=isch","Еще фото")</f>
        <v>Еще фото</v>
      </c>
      <c r="F1226" s="13"/>
      <c r="G1226" s="11" t="s">
        <v>1280</v>
      </c>
      <c r="H1226" s="11" t="s">
        <v>27</v>
      </c>
      <c r="I1226" s="14" t="s">
        <v>569</v>
      </c>
      <c r="J1226" s="14" t="s">
        <v>138</v>
      </c>
      <c r="K1226" s="15" t="s">
        <v>55</v>
      </c>
      <c r="L1226" s="14" t="s">
        <v>1281</v>
      </c>
      <c r="M1226" s="14"/>
      <c r="N1226" s="14" t="s">
        <v>70</v>
      </c>
      <c r="O1226" s="14"/>
      <c r="P1226" s="15" t="s">
        <v>1250</v>
      </c>
      <c r="Q1226" s="16">
        <v>12990</v>
      </c>
      <c r="R1226" s="17">
        <v>45</v>
      </c>
      <c r="S1226" s="18">
        <v>8216.1749999999993</v>
      </c>
      <c r="T1226" s="19" t="s">
        <v>1236</v>
      </c>
      <c r="U1226" s="20" t="s">
        <v>64</v>
      </c>
      <c r="V1226" s="21">
        <v>46</v>
      </c>
      <c r="W1226" s="21">
        <v>2</v>
      </c>
      <c r="X1226" s="22"/>
    </row>
    <row r="1227" spans="1:24" s="1" customFormat="1" ht="108" customHeight="1" x14ac:dyDescent="0.3">
      <c r="A1227" s="11" t="s">
        <v>1233</v>
      </c>
      <c r="B1227" s="49">
        <v>805</v>
      </c>
      <c r="C1227" s="12" t="s">
        <v>1282</v>
      </c>
      <c r="D1227" s="24"/>
      <c r="E1227" s="69" t="str">
        <f>HYPERLINK("https://www.google.ru/search?q=805B-0051X-B52&amp;newwindow=1&amp;tbm=isch","Еще фото")</f>
        <v>Еще фото</v>
      </c>
      <c r="F1227" s="13"/>
      <c r="G1227" s="11" t="s">
        <v>574</v>
      </c>
      <c r="H1227" s="11" t="s">
        <v>27</v>
      </c>
      <c r="I1227" s="14" t="s">
        <v>569</v>
      </c>
      <c r="J1227" s="14" t="s">
        <v>138</v>
      </c>
      <c r="K1227" s="15" t="s">
        <v>55</v>
      </c>
      <c r="L1227" s="14" t="s">
        <v>1283</v>
      </c>
      <c r="M1227" s="14"/>
      <c r="N1227" s="14" t="s">
        <v>89</v>
      </c>
      <c r="O1227" s="14"/>
      <c r="P1227" s="15" t="s">
        <v>1284</v>
      </c>
      <c r="Q1227" s="16">
        <v>7990</v>
      </c>
      <c r="R1227" s="17">
        <v>45</v>
      </c>
      <c r="S1227" s="18">
        <v>5053.6749999999993</v>
      </c>
      <c r="T1227" s="19" t="s">
        <v>1236</v>
      </c>
      <c r="U1227" s="20" t="s">
        <v>66</v>
      </c>
      <c r="V1227" s="21">
        <v>48</v>
      </c>
      <c r="W1227" s="21">
        <v>1</v>
      </c>
      <c r="X1227" s="22"/>
    </row>
    <row r="1228" spans="1:24" s="1" customFormat="1" ht="51.95" customHeight="1" x14ac:dyDescent="0.3">
      <c r="A1228" s="11" t="s">
        <v>1233</v>
      </c>
      <c r="B1228" s="49">
        <v>846</v>
      </c>
      <c r="C1228" s="12" t="s">
        <v>1285</v>
      </c>
      <c r="D1228" s="89"/>
      <c r="E1228" s="69" t="str">
        <f>HYPERLINK("https://www.google.ru/search?q=846B-0253A-687&amp;newwindow=1&amp;tbm=isch","Еще фото")</f>
        <v>Еще фото</v>
      </c>
      <c r="F1228" s="13"/>
      <c r="G1228" s="11" t="s">
        <v>1286</v>
      </c>
      <c r="H1228" s="11" t="s">
        <v>27</v>
      </c>
      <c r="I1228" s="14" t="s">
        <v>569</v>
      </c>
      <c r="J1228" s="14" t="s">
        <v>138</v>
      </c>
      <c r="K1228" s="15" t="s">
        <v>55</v>
      </c>
      <c r="L1228" s="86" t="s">
        <v>1287</v>
      </c>
      <c r="M1228" s="14"/>
      <c r="N1228" s="14" t="s">
        <v>70</v>
      </c>
      <c r="O1228" s="14"/>
      <c r="P1228" s="15" t="s">
        <v>76</v>
      </c>
      <c r="Q1228" s="16">
        <v>7990</v>
      </c>
      <c r="R1228" s="17">
        <v>45</v>
      </c>
      <c r="S1228" s="18">
        <v>5053.6749999999993</v>
      </c>
      <c r="T1228" s="19" t="s">
        <v>1236</v>
      </c>
      <c r="U1228" s="20" t="s">
        <v>66</v>
      </c>
      <c r="V1228" s="21">
        <v>48</v>
      </c>
      <c r="W1228" s="21">
        <v>1</v>
      </c>
      <c r="X1228" s="22"/>
    </row>
    <row r="1229" spans="1:24" s="1" customFormat="1" ht="60.95" customHeight="1" x14ac:dyDescent="0.3">
      <c r="A1229" s="23" t="s">
        <v>1233</v>
      </c>
      <c r="B1229" s="50">
        <v>846</v>
      </c>
      <c r="C1229" s="12" t="s">
        <v>1285</v>
      </c>
      <c r="D1229" s="90"/>
      <c r="E1229" s="69" t="str">
        <f>HYPERLINK("https://www.google.ru/search?q=846B-0253A-687&amp;newwindow=1&amp;tbm=isch","Еще фото")</f>
        <v>Еще фото</v>
      </c>
      <c r="F1229" s="13"/>
      <c r="G1229" s="23" t="s">
        <v>1286</v>
      </c>
      <c r="H1229" s="23" t="s">
        <v>27</v>
      </c>
      <c r="I1229" s="23" t="s">
        <v>569</v>
      </c>
      <c r="J1229" s="14" t="s">
        <v>138</v>
      </c>
      <c r="K1229" s="15" t="s">
        <v>55</v>
      </c>
      <c r="L1229" s="88"/>
      <c r="M1229" s="14"/>
      <c r="N1229" s="14" t="s">
        <v>70</v>
      </c>
      <c r="O1229" s="14"/>
      <c r="P1229" s="15" t="s">
        <v>76</v>
      </c>
      <c r="Q1229" s="16">
        <v>7990</v>
      </c>
      <c r="R1229" s="17">
        <v>45</v>
      </c>
      <c r="S1229" s="18">
        <v>5053.6749999999993</v>
      </c>
      <c r="T1229" s="19" t="s">
        <v>1236</v>
      </c>
      <c r="U1229" s="20" t="s">
        <v>58</v>
      </c>
      <c r="V1229" s="21">
        <v>50</v>
      </c>
      <c r="W1229" s="21">
        <v>2</v>
      </c>
      <c r="X1229" s="22"/>
    </row>
    <row r="1230" spans="1:24" s="1" customFormat="1" ht="108" customHeight="1" x14ac:dyDescent="0.3">
      <c r="A1230" s="11" t="s">
        <v>1233</v>
      </c>
      <c r="B1230" s="51">
        <v>801</v>
      </c>
      <c r="C1230" s="12" t="s">
        <v>1288</v>
      </c>
      <c r="D1230" s="24"/>
      <c r="E1230" s="69" t="str">
        <f>HYPERLINK("https://www.google.ru/search?q=801M-0047A-35K&amp;newwindow=1&amp;tbm=isch","Еще фото")</f>
        <v>Еще фото</v>
      </c>
      <c r="F1230" s="13"/>
      <c r="G1230" s="11" t="s">
        <v>615</v>
      </c>
      <c r="H1230" s="11" t="s">
        <v>27</v>
      </c>
      <c r="I1230" s="14" t="s">
        <v>616</v>
      </c>
      <c r="J1230" s="14" t="s">
        <v>138</v>
      </c>
      <c r="K1230" s="15" t="s">
        <v>55</v>
      </c>
      <c r="L1230" s="14" t="s">
        <v>1289</v>
      </c>
      <c r="M1230" s="14"/>
      <c r="N1230" s="14" t="s">
        <v>70</v>
      </c>
      <c r="O1230" s="14"/>
      <c r="P1230" s="15" t="s">
        <v>74</v>
      </c>
      <c r="Q1230" s="16">
        <v>3490</v>
      </c>
      <c r="R1230" s="17">
        <v>45</v>
      </c>
      <c r="S1230" s="18">
        <v>2207.4249999999997</v>
      </c>
      <c r="T1230" s="19" t="s">
        <v>1236</v>
      </c>
      <c r="U1230" s="20" t="s">
        <v>58</v>
      </c>
      <c r="V1230" s="21">
        <v>50</v>
      </c>
      <c r="W1230" s="21">
        <v>2</v>
      </c>
      <c r="X1230" s="22"/>
    </row>
    <row r="1231" spans="1:24" s="1" customFormat="1" ht="51.95" customHeight="1" x14ac:dyDescent="0.3">
      <c r="A1231" s="11" t="s">
        <v>1233</v>
      </c>
      <c r="B1231" s="52">
        <v>801</v>
      </c>
      <c r="C1231" s="12" t="s">
        <v>1290</v>
      </c>
      <c r="D1231" s="89"/>
      <c r="E1231" s="69" t="str">
        <f>HYPERLINK("https://www.google.ru/search?q=801P-0047A-002&amp;newwindow=1&amp;tbm=isch","Еще фото")</f>
        <v>Еще фото</v>
      </c>
      <c r="F1231" s="13"/>
      <c r="G1231" s="11" t="s">
        <v>615</v>
      </c>
      <c r="H1231" s="11" t="s">
        <v>27</v>
      </c>
      <c r="I1231" s="14" t="s">
        <v>616</v>
      </c>
      <c r="J1231" s="14" t="s">
        <v>138</v>
      </c>
      <c r="K1231" s="15" t="s">
        <v>55</v>
      </c>
      <c r="L1231" s="86" t="s">
        <v>1291</v>
      </c>
      <c r="M1231" s="14"/>
      <c r="N1231" s="14" t="s">
        <v>89</v>
      </c>
      <c r="O1231" s="14"/>
      <c r="P1231" s="15" t="s">
        <v>76</v>
      </c>
      <c r="Q1231" s="16">
        <v>3490</v>
      </c>
      <c r="R1231" s="17">
        <v>45</v>
      </c>
      <c r="S1231" s="18">
        <v>2207.4249999999997</v>
      </c>
      <c r="T1231" s="19" t="s">
        <v>1236</v>
      </c>
      <c r="U1231" s="20" t="s">
        <v>64</v>
      </c>
      <c r="V1231" s="21">
        <v>46</v>
      </c>
      <c r="W1231" s="21">
        <v>2</v>
      </c>
      <c r="X1231" s="22"/>
    </row>
    <row r="1232" spans="1:24" s="1" customFormat="1" ht="60.95" customHeight="1" x14ac:dyDescent="0.3">
      <c r="A1232" s="23" t="s">
        <v>1233</v>
      </c>
      <c r="B1232" s="53">
        <v>801</v>
      </c>
      <c r="C1232" s="12" t="s">
        <v>1290</v>
      </c>
      <c r="D1232" s="90"/>
      <c r="E1232" s="69" t="str">
        <f>HYPERLINK("https://www.google.ru/search?q=801P-0047A-002&amp;newwindow=1&amp;tbm=isch","Еще фото")</f>
        <v>Еще фото</v>
      </c>
      <c r="F1232" s="13"/>
      <c r="G1232" s="23" t="s">
        <v>615</v>
      </c>
      <c r="H1232" s="23" t="s">
        <v>27</v>
      </c>
      <c r="I1232" s="23" t="s">
        <v>616</v>
      </c>
      <c r="J1232" s="14" t="s">
        <v>138</v>
      </c>
      <c r="K1232" s="15" t="s">
        <v>55</v>
      </c>
      <c r="L1232" s="88"/>
      <c r="M1232" s="14"/>
      <c r="N1232" s="14" t="s">
        <v>89</v>
      </c>
      <c r="O1232" s="14"/>
      <c r="P1232" s="15" t="s">
        <v>76</v>
      </c>
      <c r="Q1232" s="16">
        <v>3490</v>
      </c>
      <c r="R1232" s="17">
        <v>45</v>
      </c>
      <c r="S1232" s="18">
        <v>2207.4249999999997</v>
      </c>
      <c r="T1232" s="19" t="s">
        <v>1236</v>
      </c>
      <c r="U1232" s="20" t="s">
        <v>66</v>
      </c>
      <c r="V1232" s="21">
        <v>48</v>
      </c>
      <c r="W1232" s="21">
        <v>1</v>
      </c>
      <c r="X1232" s="22"/>
    </row>
    <row r="1233" spans="1:24" s="1" customFormat="1" ht="35.1" customHeight="1" x14ac:dyDescent="0.3">
      <c r="A1233" s="11" t="s">
        <v>1233</v>
      </c>
      <c r="B1233" s="54">
        <v>801</v>
      </c>
      <c r="C1233" s="12" t="s">
        <v>1292</v>
      </c>
      <c r="D1233" s="83"/>
      <c r="E1233" s="69" t="str">
        <f>HYPERLINK("https://www.google.ru/search?q=801U-0042A-687&amp;newwindow=1&amp;tbm=isch","Еще фото")</f>
        <v>Еще фото</v>
      </c>
      <c r="F1233" s="13"/>
      <c r="G1233" s="11" t="s">
        <v>615</v>
      </c>
      <c r="H1233" s="11" t="s">
        <v>27</v>
      </c>
      <c r="I1233" s="14" t="s">
        <v>616</v>
      </c>
      <c r="J1233" s="14" t="s">
        <v>138</v>
      </c>
      <c r="K1233" s="15" t="s">
        <v>55</v>
      </c>
      <c r="L1233" s="86" t="s">
        <v>1293</v>
      </c>
      <c r="M1233" s="14"/>
      <c r="N1233" s="14" t="s">
        <v>70</v>
      </c>
      <c r="O1233" s="14"/>
      <c r="P1233" s="15" t="s">
        <v>1294</v>
      </c>
      <c r="Q1233" s="16">
        <v>3490</v>
      </c>
      <c r="R1233" s="17">
        <v>45</v>
      </c>
      <c r="S1233" s="18">
        <v>2207.4249999999997</v>
      </c>
      <c r="T1233" s="19" t="s">
        <v>1236</v>
      </c>
      <c r="U1233" s="20" t="s">
        <v>66</v>
      </c>
      <c r="V1233" s="21">
        <v>48</v>
      </c>
      <c r="W1233" s="21">
        <v>3</v>
      </c>
      <c r="X1233" s="22"/>
    </row>
    <row r="1234" spans="1:24" s="1" customFormat="1" ht="35.1" customHeight="1" x14ac:dyDescent="0.3">
      <c r="A1234" s="23" t="s">
        <v>1233</v>
      </c>
      <c r="B1234" s="55">
        <v>801</v>
      </c>
      <c r="C1234" s="12" t="s">
        <v>1292</v>
      </c>
      <c r="D1234" s="84"/>
      <c r="E1234" s="69" t="str">
        <f>HYPERLINK("https://www.google.ru/search?q=801U-0042A-687&amp;newwindow=1&amp;tbm=isch","Еще фото")</f>
        <v>Еще фото</v>
      </c>
      <c r="F1234" s="13"/>
      <c r="G1234" s="23" t="s">
        <v>615</v>
      </c>
      <c r="H1234" s="23" t="s">
        <v>27</v>
      </c>
      <c r="I1234" s="23" t="s">
        <v>616</v>
      </c>
      <c r="J1234" s="14" t="s">
        <v>138</v>
      </c>
      <c r="K1234" s="15" t="s">
        <v>55</v>
      </c>
      <c r="L1234" s="87"/>
      <c r="M1234" s="14"/>
      <c r="N1234" s="14" t="s">
        <v>70</v>
      </c>
      <c r="O1234" s="14"/>
      <c r="P1234" s="15" t="s">
        <v>1294</v>
      </c>
      <c r="Q1234" s="16">
        <v>3490</v>
      </c>
      <c r="R1234" s="17">
        <v>45</v>
      </c>
      <c r="S1234" s="18">
        <v>2207.4249999999997</v>
      </c>
      <c r="T1234" s="19" t="s">
        <v>1236</v>
      </c>
      <c r="U1234" s="20" t="s">
        <v>58</v>
      </c>
      <c r="V1234" s="21">
        <v>50</v>
      </c>
      <c r="W1234" s="21">
        <v>2</v>
      </c>
      <c r="X1234" s="22"/>
    </row>
    <row r="1235" spans="1:24" s="1" customFormat="1" ht="36.950000000000003" customHeight="1" x14ac:dyDescent="0.3">
      <c r="A1235" s="23" t="s">
        <v>1233</v>
      </c>
      <c r="B1235" s="55">
        <v>801</v>
      </c>
      <c r="C1235" s="12" t="s">
        <v>1292</v>
      </c>
      <c r="D1235" s="85"/>
      <c r="E1235" s="69" t="str">
        <f>HYPERLINK("https://www.google.ru/search?q=801U-0042A-687&amp;newwindow=1&amp;tbm=isch","Еще фото")</f>
        <v>Еще фото</v>
      </c>
      <c r="F1235" s="13"/>
      <c r="G1235" s="23" t="s">
        <v>615</v>
      </c>
      <c r="H1235" s="23" t="s">
        <v>27</v>
      </c>
      <c r="I1235" s="23" t="s">
        <v>616</v>
      </c>
      <c r="J1235" s="14" t="s">
        <v>138</v>
      </c>
      <c r="K1235" s="15" t="s">
        <v>55</v>
      </c>
      <c r="L1235" s="88"/>
      <c r="M1235" s="14"/>
      <c r="N1235" s="14" t="s">
        <v>70</v>
      </c>
      <c r="O1235" s="14"/>
      <c r="P1235" s="15" t="s">
        <v>1294</v>
      </c>
      <c r="Q1235" s="16">
        <v>3490</v>
      </c>
      <c r="R1235" s="17">
        <v>45</v>
      </c>
      <c r="S1235" s="18">
        <v>2207.4249999999997</v>
      </c>
      <c r="T1235" s="19" t="s">
        <v>1236</v>
      </c>
      <c r="U1235" s="20" t="s">
        <v>52</v>
      </c>
      <c r="V1235" s="21">
        <v>52</v>
      </c>
      <c r="W1235" s="21">
        <v>3</v>
      </c>
      <c r="X1235" s="22"/>
    </row>
    <row r="1236" spans="1:24" s="1" customFormat="1" ht="35.1" customHeight="1" x14ac:dyDescent="0.3">
      <c r="A1236" s="11" t="s">
        <v>1233</v>
      </c>
      <c r="B1236" s="54">
        <v>801</v>
      </c>
      <c r="C1236" s="12" t="s">
        <v>1295</v>
      </c>
      <c r="D1236" s="83"/>
      <c r="E1236" s="69" t="str">
        <f>HYPERLINK("https://www.google.ru/search?q=801U-0042A-899&amp;newwindow=1&amp;tbm=isch","Еще фото")</f>
        <v>Еще фото</v>
      </c>
      <c r="F1236" s="13"/>
      <c r="G1236" s="11" t="s">
        <v>615</v>
      </c>
      <c r="H1236" s="11" t="s">
        <v>27</v>
      </c>
      <c r="I1236" s="14" t="s">
        <v>616</v>
      </c>
      <c r="J1236" s="14" t="s">
        <v>138</v>
      </c>
      <c r="K1236" s="15" t="s">
        <v>55</v>
      </c>
      <c r="L1236" s="86" t="s">
        <v>1293</v>
      </c>
      <c r="M1236" s="14"/>
      <c r="N1236" s="14" t="s">
        <v>49</v>
      </c>
      <c r="O1236" s="14"/>
      <c r="P1236" s="15" t="s">
        <v>1294</v>
      </c>
      <c r="Q1236" s="16">
        <v>3490</v>
      </c>
      <c r="R1236" s="17">
        <v>45</v>
      </c>
      <c r="S1236" s="18">
        <v>2207.4249999999997</v>
      </c>
      <c r="T1236" s="19" t="s">
        <v>1236</v>
      </c>
      <c r="U1236" s="20" t="s">
        <v>66</v>
      </c>
      <c r="V1236" s="21">
        <v>48</v>
      </c>
      <c r="W1236" s="21">
        <v>2</v>
      </c>
      <c r="X1236" s="22"/>
    </row>
    <row r="1237" spans="1:24" s="1" customFormat="1" ht="35.1" customHeight="1" x14ac:dyDescent="0.3">
      <c r="A1237" s="23" t="s">
        <v>1233</v>
      </c>
      <c r="B1237" s="55">
        <v>801</v>
      </c>
      <c r="C1237" s="12" t="s">
        <v>1295</v>
      </c>
      <c r="D1237" s="84"/>
      <c r="E1237" s="69" t="str">
        <f>HYPERLINK("https://www.google.ru/search?q=801U-0042A-899&amp;newwindow=1&amp;tbm=isch","Еще фото")</f>
        <v>Еще фото</v>
      </c>
      <c r="F1237" s="13"/>
      <c r="G1237" s="23" t="s">
        <v>615</v>
      </c>
      <c r="H1237" s="23" t="s">
        <v>27</v>
      </c>
      <c r="I1237" s="23" t="s">
        <v>616</v>
      </c>
      <c r="J1237" s="14" t="s">
        <v>138</v>
      </c>
      <c r="K1237" s="15" t="s">
        <v>55</v>
      </c>
      <c r="L1237" s="87"/>
      <c r="M1237" s="14"/>
      <c r="N1237" s="14" t="s">
        <v>49</v>
      </c>
      <c r="O1237" s="14"/>
      <c r="P1237" s="15" t="s">
        <v>1294</v>
      </c>
      <c r="Q1237" s="16">
        <v>3490</v>
      </c>
      <c r="R1237" s="17">
        <v>45</v>
      </c>
      <c r="S1237" s="18">
        <v>2207.4249999999997</v>
      </c>
      <c r="T1237" s="19" t="s">
        <v>1236</v>
      </c>
      <c r="U1237" s="20" t="s">
        <v>58</v>
      </c>
      <c r="V1237" s="21">
        <v>50</v>
      </c>
      <c r="W1237" s="21">
        <v>2</v>
      </c>
      <c r="X1237" s="22"/>
    </row>
    <row r="1238" spans="1:24" s="1" customFormat="1" ht="36.950000000000003" customHeight="1" x14ac:dyDescent="0.3">
      <c r="A1238" s="23" t="s">
        <v>1233</v>
      </c>
      <c r="B1238" s="55">
        <v>801</v>
      </c>
      <c r="C1238" s="12" t="s">
        <v>1295</v>
      </c>
      <c r="D1238" s="85"/>
      <c r="E1238" s="69" t="str">
        <f>HYPERLINK("https://www.google.ru/search?q=801U-0042A-899&amp;newwindow=1&amp;tbm=isch","Еще фото")</f>
        <v>Еще фото</v>
      </c>
      <c r="F1238" s="13"/>
      <c r="G1238" s="23" t="s">
        <v>615</v>
      </c>
      <c r="H1238" s="23" t="s">
        <v>27</v>
      </c>
      <c r="I1238" s="23" t="s">
        <v>616</v>
      </c>
      <c r="J1238" s="14" t="s">
        <v>138</v>
      </c>
      <c r="K1238" s="15" t="s">
        <v>55</v>
      </c>
      <c r="L1238" s="88"/>
      <c r="M1238" s="14"/>
      <c r="N1238" s="14" t="s">
        <v>49</v>
      </c>
      <c r="O1238" s="14"/>
      <c r="P1238" s="15" t="s">
        <v>1294</v>
      </c>
      <c r="Q1238" s="16">
        <v>3490</v>
      </c>
      <c r="R1238" s="17">
        <v>45</v>
      </c>
      <c r="S1238" s="18">
        <v>2207.4249999999997</v>
      </c>
      <c r="T1238" s="19" t="s">
        <v>1236</v>
      </c>
      <c r="U1238" s="20" t="s">
        <v>52</v>
      </c>
      <c r="V1238" s="21">
        <v>52</v>
      </c>
      <c r="W1238" s="21">
        <v>2</v>
      </c>
      <c r="X1238" s="22"/>
    </row>
    <row r="1239" spans="1:24" s="1" customFormat="1" ht="51.95" customHeight="1" x14ac:dyDescent="0.3">
      <c r="A1239" s="11" t="s">
        <v>1233</v>
      </c>
      <c r="B1239" s="37">
        <v>819</v>
      </c>
      <c r="C1239" s="12" t="s">
        <v>1296</v>
      </c>
      <c r="D1239" s="89"/>
      <c r="E1239" s="69" t="str">
        <f>HYPERLINK("https://www.google.ru/search?q=819-0075A-461&amp;newwindow=1&amp;tbm=isch","Еще фото")</f>
        <v>Еще фото</v>
      </c>
      <c r="F1239" s="13"/>
      <c r="G1239" s="11" t="s">
        <v>1297</v>
      </c>
      <c r="H1239" s="11" t="s">
        <v>27</v>
      </c>
      <c r="I1239" s="14" t="s">
        <v>616</v>
      </c>
      <c r="J1239" s="14" t="s">
        <v>138</v>
      </c>
      <c r="K1239" s="15" t="s">
        <v>55</v>
      </c>
      <c r="L1239" s="86" t="s">
        <v>1298</v>
      </c>
      <c r="M1239" s="14"/>
      <c r="N1239" s="14" t="s">
        <v>116</v>
      </c>
      <c r="O1239" s="14"/>
      <c r="P1239" s="15" t="s">
        <v>74</v>
      </c>
      <c r="Q1239" s="16">
        <v>3990</v>
      </c>
      <c r="R1239" s="17">
        <v>45</v>
      </c>
      <c r="S1239" s="18">
        <v>2523.6749999999997</v>
      </c>
      <c r="T1239" s="19" t="s">
        <v>1236</v>
      </c>
      <c r="U1239" s="20" t="s">
        <v>66</v>
      </c>
      <c r="V1239" s="21">
        <v>48</v>
      </c>
      <c r="W1239" s="21">
        <v>1</v>
      </c>
      <c r="X1239" s="22"/>
    </row>
    <row r="1240" spans="1:24" s="1" customFormat="1" ht="60.95" customHeight="1" x14ac:dyDescent="0.3">
      <c r="A1240" s="23" t="s">
        <v>1233</v>
      </c>
      <c r="B1240" s="56">
        <v>819</v>
      </c>
      <c r="C1240" s="12" t="s">
        <v>1296</v>
      </c>
      <c r="D1240" s="90"/>
      <c r="E1240" s="69" t="str">
        <f>HYPERLINK("https://www.google.ru/search?q=819-0075A-461&amp;newwindow=1&amp;tbm=isch","Еще фото")</f>
        <v>Еще фото</v>
      </c>
      <c r="F1240" s="13"/>
      <c r="G1240" s="23" t="s">
        <v>1297</v>
      </c>
      <c r="H1240" s="23" t="s">
        <v>27</v>
      </c>
      <c r="I1240" s="23" t="s">
        <v>616</v>
      </c>
      <c r="J1240" s="14" t="s">
        <v>138</v>
      </c>
      <c r="K1240" s="15" t="s">
        <v>55</v>
      </c>
      <c r="L1240" s="88"/>
      <c r="M1240" s="14"/>
      <c r="N1240" s="14" t="s">
        <v>116</v>
      </c>
      <c r="O1240" s="14"/>
      <c r="P1240" s="15" t="s">
        <v>74</v>
      </c>
      <c r="Q1240" s="16">
        <v>3990</v>
      </c>
      <c r="R1240" s="17">
        <v>45</v>
      </c>
      <c r="S1240" s="18">
        <v>2523.6749999999997</v>
      </c>
      <c r="T1240" s="19" t="s">
        <v>1236</v>
      </c>
      <c r="U1240" s="20" t="s">
        <v>596</v>
      </c>
      <c r="V1240" s="21">
        <v>54</v>
      </c>
      <c r="W1240" s="21">
        <v>1</v>
      </c>
      <c r="X1240" s="22"/>
    </row>
    <row r="1241" spans="1:24" s="1" customFormat="1" ht="108" customHeight="1" x14ac:dyDescent="0.3">
      <c r="A1241" s="11" t="s">
        <v>1233</v>
      </c>
      <c r="B1241" s="41">
        <v>819</v>
      </c>
      <c r="C1241" s="12" t="s">
        <v>1299</v>
      </c>
      <c r="D1241" s="24"/>
      <c r="E1241" s="69" t="str">
        <f>HYPERLINK("https://www.google.ru/search?q=819A-0075A-001&amp;newwindow=1&amp;tbm=isch","Еще фото")</f>
        <v>Еще фото</v>
      </c>
      <c r="F1241" s="13"/>
      <c r="G1241" s="11" t="s">
        <v>1297</v>
      </c>
      <c r="H1241" s="11" t="s">
        <v>27</v>
      </c>
      <c r="I1241" s="14" t="s">
        <v>616</v>
      </c>
      <c r="J1241" s="14" t="s">
        <v>138</v>
      </c>
      <c r="K1241" s="15" t="s">
        <v>55</v>
      </c>
      <c r="L1241" s="14" t="s">
        <v>1298</v>
      </c>
      <c r="M1241" s="14"/>
      <c r="N1241" s="14" t="s">
        <v>89</v>
      </c>
      <c r="O1241" s="14"/>
      <c r="P1241" s="15" t="s">
        <v>74</v>
      </c>
      <c r="Q1241" s="16">
        <v>3990</v>
      </c>
      <c r="R1241" s="17">
        <v>45</v>
      </c>
      <c r="S1241" s="18">
        <v>2523.6749999999997</v>
      </c>
      <c r="T1241" s="19" t="s">
        <v>1236</v>
      </c>
      <c r="U1241" s="20" t="s">
        <v>66</v>
      </c>
      <c r="V1241" s="21">
        <v>48</v>
      </c>
      <c r="W1241" s="21">
        <v>2</v>
      </c>
      <c r="X1241" s="22"/>
    </row>
    <row r="1242" spans="1:24" s="1" customFormat="1" ht="108" customHeight="1" x14ac:dyDescent="0.3">
      <c r="A1242" s="11" t="s">
        <v>1300</v>
      </c>
      <c r="B1242" s="11" t="s">
        <v>1301</v>
      </c>
      <c r="C1242" s="12" t="s">
        <v>1302</v>
      </c>
      <c r="D1242" s="24"/>
      <c r="E1242" s="69" t="str">
        <f>HYPERLINK("https://www.google.ru/search?q=EQYTJ03404-GEL0&amp;newwindow=1&amp;tbm=isch","Еще фото")</f>
        <v>Еще фото</v>
      </c>
      <c r="F1242" s="13"/>
      <c r="G1242" s="11" t="s">
        <v>1303</v>
      </c>
      <c r="H1242" s="11" t="s">
        <v>27</v>
      </c>
      <c r="I1242" s="14" t="s">
        <v>308</v>
      </c>
      <c r="J1242" s="14" t="s">
        <v>1304</v>
      </c>
      <c r="K1242" s="15" t="s">
        <v>55</v>
      </c>
      <c r="L1242" s="14" t="s">
        <v>1305</v>
      </c>
      <c r="M1242" s="14"/>
      <c r="N1242" s="14" t="s">
        <v>242</v>
      </c>
      <c r="O1242" s="14"/>
      <c r="P1242" s="57">
        <v>100</v>
      </c>
      <c r="Q1242" s="16">
        <v>27990</v>
      </c>
      <c r="R1242" s="17">
        <v>58.31</v>
      </c>
      <c r="S1242" s="18">
        <v>13417.9355</v>
      </c>
      <c r="T1242" s="19" t="s">
        <v>51</v>
      </c>
      <c r="U1242" s="20" t="s">
        <v>64</v>
      </c>
      <c r="V1242" s="21">
        <v>46</v>
      </c>
      <c r="W1242" s="21">
        <v>1</v>
      </c>
      <c r="X1242" s="22"/>
    </row>
    <row r="1243" spans="1:24" s="1" customFormat="1" ht="51.95" customHeight="1" x14ac:dyDescent="0.3">
      <c r="A1243" s="11" t="s">
        <v>1300</v>
      </c>
      <c r="B1243" s="11" t="s">
        <v>1306</v>
      </c>
      <c r="C1243" s="12" t="s">
        <v>1307</v>
      </c>
      <c r="D1243" s="89"/>
      <c r="E1243" s="69" t="str">
        <f>HYPERLINK("https://www.google.ru/search?q=EQYJK04092-GLW0&amp;newwindow=1&amp;tbm=isch","Еще фото")</f>
        <v>Еще фото</v>
      </c>
      <c r="F1243" s="13"/>
      <c r="G1243" s="11" t="s">
        <v>307</v>
      </c>
      <c r="H1243" s="11" t="s">
        <v>27</v>
      </c>
      <c r="I1243" s="14" t="s">
        <v>308</v>
      </c>
      <c r="J1243" s="14" t="s">
        <v>29</v>
      </c>
      <c r="K1243" s="15" t="s">
        <v>55</v>
      </c>
      <c r="L1243" s="86" t="s">
        <v>1308</v>
      </c>
      <c r="M1243" s="14"/>
      <c r="N1243" s="14" t="s">
        <v>32</v>
      </c>
      <c r="O1243" s="14"/>
      <c r="P1243" s="58">
        <v>100</v>
      </c>
      <c r="Q1243" s="16">
        <v>29990</v>
      </c>
      <c r="R1243" s="17">
        <v>51.62</v>
      </c>
      <c r="S1243" s="18">
        <v>16683.9355</v>
      </c>
      <c r="T1243" s="19" t="s">
        <v>51</v>
      </c>
      <c r="U1243" s="20" t="s">
        <v>58</v>
      </c>
      <c r="V1243" s="21">
        <v>50</v>
      </c>
      <c r="W1243" s="21">
        <v>1</v>
      </c>
      <c r="X1243" s="22"/>
    </row>
    <row r="1244" spans="1:24" s="1" customFormat="1" ht="60.95" customHeight="1" x14ac:dyDescent="0.3">
      <c r="A1244" s="23" t="s">
        <v>1300</v>
      </c>
      <c r="B1244" s="23" t="s">
        <v>1306</v>
      </c>
      <c r="C1244" s="12" t="s">
        <v>1307</v>
      </c>
      <c r="D1244" s="90"/>
      <c r="E1244" s="69" t="str">
        <f>HYPERLINK("https://www.google.ru/search?q=EQYJK04092-GLW0&amp;newwindow=1&amp;tbm=isch","Еще фото")</f>
        <v>Еще фото</v>
      </c>
      <c r="F1244" s="13"/>
      <c r="G1244" s="23" t="s">
        <v>307</v>
      </c>
      <c r="H1244" s="23" t="s">
        <v>27</v>
      </c>
      <c r="I1244" s="23" t="s">
        <v>308</v>
      </c>
      <c r="J1244" s="14" t="s">
        <v>29</v>
      </c>
      <c r="K1244" s="15" t="s">
        <v>55</v>
      </c>
      <c r="L1244" s="88"/>
      <c r="M1244" s="14"/>
      <c r="N1244" s="14" t="s">
        <v>32</v>
      </c>
      <c r="O1244" s="14"/>
      <c r="P1244" s="58">
        <v>100</v>
      </c>
      <c r="Q1244" s="16">
        <v>29990</v>
      </c>
      <c r="R1244" s="17">
        <v>51.62</v>
      </c>
      <c r="S1244" s="18">
        <v>16683.9355</v>
      </c>
      <c r="T1244" s="19" t="s">
        <v>51</v>
      </c>
      <c r="U1244" s="20" t="s">
        <v>52</v>
      </c>
      <c r="V1244" s="21">
        <v>52</v>
      </c>
      <c r="W1244" s="21">
        <v>1</v>
      </c>
      <c r="X1244" s="22"/>
    </row>
    <row r="1245" spans="1:24" s="1" customFormat="1" ht="108" customHeight="1" x14ac:dyDescent="0.3">
      <c r="A1245" s="11" t="s">
        <v>1300</v>
      </c>
      <c r="B1245" s="11" t="s">
        <v>1309</v>
      </c>
      <c r="C1245" s="12" t="s">
        <v>1310</v>
      </c>
      <c r="D1245" s="24"/>
      <c r="E1245" s="69" t="str">
        <f>HYPERLINK("https://www.google.ru/search?q=EQYTJ03457-KRP0&amp;newwindow=1&amp;tbm=isch","Еще фото")</f>
        <v>Еще фото</v>
      </c>
      <c r="F1245" s="13"/>
      <c r="G1245" s="11" t="s">
        <v>1303</v>
      </c>
      <c r="H1245" s="11" t="s">
        <v>27</v>
      </c>
      <c r="I1245" s="14" t="s">
        <v>308</v>
      </c>
      <c r="J1245" s="14" t="s">
        <v>1304</v>
      </c>
      <c r="K1245" s="15" t="s">
        <v>55</v>
      </c>
      <c r="L1245" s="14" t="s">
        <v>1311</v>
      </c>
      <c r="M1245" s="14"/>
      <c r="N1245" s="14" t="s">
        <v>41</v>
      </c>
      <c r="O1245" s="14"/>
      <c r="P1245" s="57">
        <v>100</v>
      </c>
      <c r="Q1245" s="16">
        <v>29990</v>
      </c>
      <c r="R1245" s="17">
        <v>48.32</v>
      </c>
      <c r="S1245" s="18">
        <v>17824.988499999999</v>
      </c>
      <c r="T1245" s="19" t="s">
        <v>51</v>
      </c>
      <c r="U1245" s="20" t="s">
        <v>64</v>
      </c>
      <c r="V1245" s="21">
        <v>46</v>
      </c>
      <c r="W1245" s="21">
        <v>1</v>
      </c>
      <c r="X1245" s="22"/>
    </row>
    <row r="1246" spans="1:24" s="1" customFormat="1" ht="108" customHeight="1" x14ac:dyDescent="0.3">
      <c r="A1246" s="11" t="s">
        <v>1300</v>
      </c>
      <c r="B1246" s="11" t="s">
        <v>1312</v>
      </c>
      <c r="C1246" s="12" t="s">
        <v>1313</v>
      </c>
      <c r="D1246" s="24"/>
      <c r="E1246" s="69" t="str">
        <f>HYPERLINK("https://www.google.ru/search?q=AQYL101309-XKBB&amp;newwindow=1&amp;tbm=isch","Еще фото")</f>
        <v>Еще фото</v>
      </c>
      <c r="F1246" s="13"/>
      <c r="G1246" s="11" t="s">
        <v>1314</v>
      </c>
      <c r="H1246" s="11" t="s">
        <v>151</v>
      </c>
      <c r="I1246" s="14" t="s">
        <v>546</v>
      </c>
      <c r="J1246" s="14" t="s">
        <v>29</v>
      </c>
      <c r="K1246" s="15" t="s">
        <v>55</v>
      </c>
      <c r="L1246" s="14" t="s">
        <v>1315</v>
      </c>
      <c r="M1246" s="14"/>
      <c r="N1246" s="14" t="s">
        <v>32</v>
      </c>
      <c r="O1246" s="14"/>
      <c r="P1246" s="15" t="s">
        <v>1316</v>
      </c>
      <c r="Q1246" s="16">
        <v>2990</v>
      </c>
      <c r="R1246" s="17">
        <v>49.83</v>
      </c>
      <c r="S1246" s="18">
        <v>1724.9884999999999</v>
      </c>
      <c r="T1246" s="19" t="s">
        <v>84</v>
      </c>
      <c r="U1246" s="20" t="s">
        <v>1317</v>
      </c>
      <c r="V1246" s="21">
        <v>39</v>
      </c>
      <c r="W1246" s="21">
        <v>1</v>
      </c>
      <c r="X1246" s="22"/>
    </row>
    <row r="1247" spans="1:24" s="1" customFormat="1" ht="108" customHeight="1" x14ac:dyDescent="0.3">
      <c r="A1247" s="11" t="s">
        <v>1318</v>
      </c>
      <c r="B1247" s="11" t="s">
        <v>1319</v>
      </c>
      <c r="C1247" s="12" t="s">
        <v>1320</v>
      </c>
      <c r="D1247" s="24"/>
      <c r="E1247" s="69" t="str">
        <f>HYPERLINK("https://www.google.ru/search?q=ERJTJ03482-BQY7&amp;newwindow=1&amp;tbm=isch","Еще фото")</f>
        <v>Еще фото</v>
      </c>
      <c r="F1247" s="13"/>
      <c r="G1247" s="11" t="s">
        <v>1303</v>
      </c>
      <c r="H1247" s="11" t="s">
        <v>27</v>
      </c>
      <c r="I1247" s="14" t="s">
        <v>308</v>
      </c>
      <c r="J1247" s="14" t="s">
        <v>1304</v>
      </c>
      <c r="K1247" s="15" t="s">
        <v>47</v>
      </c>
      <c r="L1247" s="14" t="s">
        <v>1321</v>
      </c>
      <c r="M1247" s="14"/>
      <c r="N1247" s="14" t="s">
        <v>70</v>
      </c>
      <c r="O1247" s="14"/>
      <c r="P1247" s="57">
        <v>100</v>
      </c>
      <c r="Q1247" s="16">
        <v>25990</v>
      </c>
      <c r="R1247" s="17">
        <v>70.88</v>
      </c>
      <c r="S1247" s="18">
        <v>8702.9354999999996</v>
      </c>
      <c r="T1247" s="19" t="s">
        <v>51</v>
      </c>
      <c r="U1247" s="20" t="s">
        <v>354</v>
      </c>
      <c r="V1247" s="21">
        <v>40</v>
      </c>
      <c r="W1247" s="21">
        <v>1</v>
      </c>
      <c r="X1247" s="22"/>
    </row>
    <row r="1248" spans="1:24" s="1" customFormat="1" ht="26.1" customHeight="1" x14ac:dyDescent="0.3">
      <c r="A1248" s="11" t="s">
        <v>1318</v>
      </c>
      <c r="B1248" s="11" t="s">
        <v>1322</v>
      </c>
      <c r="C1248" s="12" t="s">
        <v>1323</v>
      </c>
      <c r="D1248" s="83"/>
      <c r="E1248" s="69" t="str">
        <f>HYPERLINK("https://www.google.ru/search?q=ERJJK03594-KVJ0&amp;newwindow=1&amp;tbm=isch","Еще фото")</f>
        <v>Еще фото</v>
      </c>
      <c r="F1248" s="13"/>
      <c r="G1248" s="11" t="s">
        <v>307</v>
      </c>
      <c r="H1248" s="11" t="s">
        <v>27</v>
      </c>
      <c r="I1248" s="14" t="s">
        <v>308</v>
      </c>
      <c r="J1248" s="14" t="s">
        <v>29</v>
      </c>
      <c r="K1248" s="15" t="s">
        <v>47</v>
      </c>
      <c r="L1248" s="86" t="s">
        <v>1324</v>
      </c>
      <c r="M1248" s="14"/>
      <c r="N1248" s="14" t="s">
        <v>49</v>
      </c>
      <c r="O1248" s="14"/>
      <c r="P1248" s="57">
        <v>100</v>
      </c>
      <c r="Q1248" s="16">
        <v>39990</v>
      </c>
      <c r="R1248" s="17">
        <v>51.64</v>
      </c>
      <c r="S1248" s="18">
        <v>22238.4355</v>
      </c>
      <c r="T1248" s="19" t="s">
        <v>51</v>
      </c>
      <c r="U1248" s="20" t="s">
        <v>64</v>
      </c>
      <c r="V1248" s="21">
        <v>42</v>
      </c>
      <c r="W1248" s="21">
        <v>1</v>
      </c>
      <c r="X1248" s="22"/>
    </row>
    <row r="1249" spans="1:24" s="1" customFormat="1" ht="26.1" customHeight="1" x14ac:dyDescent="0.3">
      <c r="A1249" s="23" t="s">
        <v>1318</v>
      </c>
      <c r="B1249" s="23" t="s">
        <v>1322</v>
      </c>
      <c r="C1249" s="12" t="s">
        <v>1323</v>
      </c>
      <c r="D1249" s="84"/>
      <c r="E1249" s="69" t="str">
        <f>HYPERLINK("https://www.google.ru/search?q=ERJJK03594-KVJ0&amp;newwindow=1&amp;tbm=isch","Еще фото")</f>
        <v>Еще фото</v>
      </c>
      <c r="F1249" s="13"/>
      <c r="G1249" s="23" t="s">
        <v>307</v>
      </c>
      <c r="H1249" s="23" t="s">
        <v>27</v>
      </c>
      <c r="I1249" s="23" t="s">
        <v>308</v>
      </c>
      <c r="J1249" s="14" t="s">
        <v>29</v>
      </c>
      <c r="K1249" s="15" t="s">
        <v>47</v>
      </c>
      <c r="L1249" s="87"/>
      <c r="M1249" s="14"/>
      <c r="N1249" s="14" t="s">
        <v>49</v>
      </c>
      <c r="O1249" s="14"/>
      <c r="P1249" s="57">
        <v>100</v>
      </c>
      <c r="Q1249" s="16">
        <v>39990</v>
      </c>
      <c r="R1249" s="17">
        <v>51.64</v>
      </c>
      <c r="S1249" s="18">
        <v>22238.4355</v>
      </c>
      <c r="T1249" s="19" t="s">
        <v>51</v>
      </c>
      <c r="U1249" s="20" t="s">
        <v>66</v>
      </c>
      <c r="V1249" s="21">
        <v>44</v>
      </c>
      <c r="W1249" s="21">
        <v>1</v>
      </c>
      <c r="X1249" s="22"/>
    </row>
    <row r="1250" spans="1:24" s="1" customFormat="1" ht="26.1" customHeight="1" x14ac:dyDescent="0.3">
      <c r="A1250" s="23" t="s">
        <v>1318</v>
      </c>
      <c r="B1250" s="23" t="s">
        <v>1322</v>
      </c>
      <c r="C1250" s="12" t="s">
        <v>1323</v>
      </c>
      <c r="D1250" s="84"/>
      <c r="E1250" s="69" t="str">
        <f>HYPERLINK("https://www.google.ru/search?q=ERJJK03594-KVJ0&amp;newwindow=1&amp;tbm=isch","Еще фото")</f>
        <v>Еще фото</v>
      </c>
      <c r="F1250" s="13"/>
      <c r="G1250" s="23" t="s">
        <v>307</v>
      </c>
      <c r="H1250" s="23" t="s">
        <v>27</v>
      </c>
      <c r="I1250" s="23" t="s">
        <v>308</v>
      </c>
      <c r="J1250" s="14" t="s">
        <v>29</v>
      </c>
      <c r="K1250" s="15" t="s">
        <v>47</v>
      </c>
      <c r="L1250" s="87"/>
      <c r="M1250" s="14"/>
      <c r="N1250" s="14" t="s">
        <v>49</v>
      </c>
      <c r="O1250" s="14"/>
      <c r="P1250" s="57">
        <v>100</v>
      </c>
      <c r="Q1250" s="16">
        <v>39990</v>
      </c>
      <c r="R1250" s="17">
        <v>51.64</v>
      </c>
      <c r="S1250" s="18">
        <v>22238.4355</v>
      </c>
      <c r="T1250" s="19" t="s">
        <v>51</v>
      </c>
      <c r="U1250" s="20" t="s">
        <v>58</v>
      </c>
      <c r="V1250" s="21">
        <v>46</v>
      </c>
      <c r="W1250" s="21">
        <v>2</v>
      </c>
      <c r="X1250" s="22"/>
    </row>
    <row r="1251" spans="1:24" s="1" customFormat="1" ht="26.1" customHeight="1" x14ac:dyDescent="0.3">
      <c r="A1251" s="23" t="s">
        <v>1318</v>
      </c>
      <c r="B1251" s="23" t="s">
        <v>1322</v>
      </c>
      <c r="C1251" s="12" t="s">
        <v>1323</v>
      </c>
      <c r="D1251" s="85"/>
      <c r="E1251" s="69" t="str">
        <f>HYPERLINK("https://www.google.ru/search?q=ERJJK03594-KVJ0&amp;newwindow=1&amp;tbm=isch","Еще фото")</f>
        <v>Еще фото</v>
      </c>
      <c r="F1251" s="13"/>
      <c r="G1251" s="23" t="s">
        <v>307</v>
      </c>
      <c r="H1251" s="23" t="s">
        <v>27</v>
      </c>
      <c r="I1251" s="23" t="s">
        <v>308</v>
      </c>
      <c r="J1251" s="14" t="s">
        <v>29</v>
      </c>
      <c r="K1251" s="15" t="s">
        <v>47</v>
      </c>
      <c r="L1251" s="88"/>
      <c r="M1251" s="14"/>
      <c r="N1251" s="14" t="s">
        <v>49</v>
      </c>
      <c r="O1251" s="14"/>
      <c r="P1251" s="57">
        <v>100</v>
      </c>
      <c r="Q1251" s="16">
        <v>39990</v>
      </c>
      <c r="R1251" s="17">
        <v>51.64</v>
      </c>
      <c r="S1251" s="18">
        <v>22238.4355</v>
      </c>
      <c r="T1251" s="19" t="s">
        <v>51</v>
      </c>
      <c r="U1251" s="20" t="s">
        <v>52</v>
      </c>
      <c r="V1251" s="21">
        <v>48</v>
      </c>
      <c r="W1251" s="21">
        <v>2</v>
      </c>
      <c r="X1251" s="22"/>
    </row>
    <row r="1252" spans="1:24" s="1" customFormat="1" ht="108" customHeight="1" x14ac:dyDescent="0.3">
      <c r="A1252" s="11" t="s">
        <v>1318</v>
      </c>
      <c r="B1252" s="11" t="s">
        <v>1325</v>
      </c>
      <c r="C1252" s="12" t="s">
        <v>1326</v>
      </c>
      <c r="D1252" s="24"/>
      <c r="E1252" s="69" t="str">
        <f>HYPERLINK("https://www.google.ru/search?q=ERJTJ03488-BQY0&amp;newwindow=1&amp;tbm=isch","Еще фото")</f>
        <v>Еще фото</v>
      </c>
      <c r="F1252" s="13"/>
      <c r="G1252" s="11" t="s">
        <v>1303</v>
      </c>
      <c r="H1252" s="11" t="s">
        <v>27</v>
      </c>
      <c r="I1252" s="14" t="s">
        <v>308</v>
      </c>
      <c r="J1252" s="14" t="s">
        <v>1304</v>
      </c>
      <c r="K1252" s="15" t="s">
        <v>47</v>
      </c>
      <c r="L1252" s="14" t="s">
        <v>1327</v>
      </c>
      <c r="M1252" s="14"/>
      <c r="N1252" s="14" t="s">
        <v>70</v>
      </c>
      <c r="O1252" s="14"/>
      <c r="P1252" s="57">
        <v>100</v>
      </c>
      <c r="Q1252" s="16">
        <v>31990</v>
      </c>
      <c r="R1252" s="17">
        <v>48.11</v>
      </c>
      <c r="S1252" s="18">
        <v>19089.988499999999</v>
      </c>
      <c r="T1252" s="19" t="s">
        <v>51</v>
      </c>
      <c r="U1252" s="20" t="s">
        <v>354</v>
      </c>
      <c r="V1252" s="21">
        <v>40</v>
      </c>
      <c r="W1252" s="21">
        <v>1</v>
      </c>
      <c r="X1252" s="22"/>
    </row>
    <row r="1253" spans="1:24" s="1" customFormat="1" ht="108" customHeight="1" x14ac:dyDescent="0.3">
      <c r="A1253" s="11" t="s">
        <v>1318</v>
      </c>
      <c r="B1253" s="11" t="s">
        <v>1328</v>
      </c>
      <c r="C1253" s="12" t="s">
        <v>1329</v>
      </c>
      <c r="D1253" s="24"/>
      <c r="E1253" s="69" t="str">
        <f>HYPERLINK("https://www.google.ru/search?q=ERJTJ03482-KVJ4&amp;newwindow=1&amp;tbm=isch","Еще фото")</f>
        <v>Еще фото</v>
      </c>
      <c r="F1253" s="13"/>
      <c r="G1253" s="11" t="s">
        <v>1303</v>
      </c>
      <c r="H1253" s="11" t="s">
        <v>27</v>
      </c>
      <c r="I1253" s="14" t="s">
        <v>308</v>
      </c>
      <c r="J1253" s="14" t="s">
        <v>1304</v>
      </c>
      <c r="K1253" s="15" t="s">
        <v>47</v>
      </c>
      <c r="L1253" s="14" t="s">
        <v>1330</v>
      </c>
      <c r="M1253" s="14"/>
      <c r="N1253" s="14" t="s">
        <v>49</v>
      </c>
      <c r="O1253" s="14"/>
      <c r="P1253" s="57">
        <v>100</v>
      </c>
      <c r="Q1253" s="16">
        <v>25990</v>
      </c>
      <c r="R1253" s="17">
        <v>48.06</v>
      </c>
      <c r="S1253" s="18">
        <v>15524.988499999998</v>
      </c>
      <c r="T1253" s="19" t="s">
        <v>51</v>
      </c>
      <c r="U1253" s="20" t="s">
        <v>354</v>
      </c>
      <c r="V1253" s="21">
        <v>40</v>
      </c>
      <c r="W1253" s="21">
        <v>1</v>
      </c>
      <c r="X1253" s="22"/>
    </row>
    <row r="1254" spans="1:24" s="1" customFormat="1" ht="35.1" customHeight="1" x14ac:dyDescent="0.3">
      <c r="A1254" s="11" t="s">
        <v>1318</v>
      </c>
      <c r="B1254" s="11" t="s">
        <v>1331</v>
      </c>
      <c r="C1254" s="12" t="s">
        <v>1332</v>
      </c>
      <c r="D1254" s="83"/>
      <c r="E1254" s="69" t="str">
        <f>HYPERLINK("https://www.google.ru/search?q=ERJJK03598-BQY0&amp;newwindow=1&amp;tbm=isch","Еще фото")</f>
        <v>Еще фото</v>
      </c>
      <c r="F1254" s="13"/>
      <c r="G1254" s="11" t="s">
        <v>307</v>
      </c>
      <c r="H1254" s="11" t="s">
        <v>27</v>
      </c>
      <c r="I1254" s="14" t="s">
        <v>308</v>
      </c>
      <c r="J1254" s="14" t="s">
        <v>29</v>
      </c>
      <c r="K1254" s="15" t="s">
        <v>47</v>
      </c>
      <c r="L1254" s="86" t="s">
        <v>1333</v>
      </c>
      <c r="M1254" s="14"/>
      <c r="N1254" s="14" t="s">
        <v>70</v>
      </c>
      <c r="O1254" s="14"/>
      <c r="P1254" s="15" t="s">
        <v>1334</v>
      </c>
      <c r="Q1254" s="16">
        <v>22990</v>
      </c>
      <c r="R1254" s="17">
        <v>48</v>
      </c>
      <c r="S1254" s="18">
        <v>13748.019999999999</v>
      </c>
      <c r="T1254" s="19" t="s">
        <v>51</v>
      </c>
      <c r="U1254" s="20" t="s">
        <v>354</v>
      </c>
      <c r="V1254" s="21">
        <v>40</v>
      </c>
      <c r="W1254" s="21">
        <v>1</v>
      </c>
      <c r="X1254" s="22"/>
    </row>
    <row r="1255" spans="1:24" s="1" customFormat="1" ht="35.1" customHeight="1" x14ac:dyDescent="0.3">
      <c r="A1255" s="23" t="s">
        <v>1318</v>
      </c>
      <c r="B1255" s="23" t="s">
        <v>1331</v>
      </c>
      <c r="C1255" s="12" t="s">
        <v>1332</v>
      </c>
      <c r="D1255" s="84"/>
      <c r="E1255" s="69" t="str">
        <f>HYPERLINK("https://www.google.ru/search?q=ERJJK03598-BQY0&amp;newwindow=1&amp;tbm=isch","Еще фото")</f>
        <v>Еще фото</v>
      </c>
      <c r="F1255" s="13"/>
      <c r="G1255" s="23" t="s">
        <v>307</v>
      </c>
      <c r="H1255" s="23" t="s">
        <v>27</v>
      </c>
      <c r="I1255" s="23" t="s">
        <v>308</v>
      </c>
      <c r="J1255" s="14" t="s">
        <v>29</v>
      </c>
      <c r="K1255" s="15" t="s">
        <v>47</v>
      </c>
      <c r="L1255" s="87"/>
      <c r="M1255" s="14"/>
      <c r="N1255" s="14" t="s">
        <v>70</v>
      </c>
      <c r="O1255" s="14"/>
      <c r="P1255" s="15" t="s">
        <v>1334</v>
      </c>
      <c r="Q1255" s="16">
        <v>22990</v>
      </c>
      <c r="R1255" s="17">
        <v>48</v>
      </c>
      <c r="S1255" s="18">
        <v>13748.019999999999</v>
      </c>
      <c r="T1255" s="19" t="s">
        <v>51</v>
      </c>
      <c r="U1255" s="20" t="s">
        <v>58</v>
      </c>
      <c r="V1255" s="21">
        <v>46</v>
      </c>
      <c r="W1255" s="21">
        <v>1</v>
      </c>
      <c r="X1255" s="22"/>
    </row>
    <row r="1256" spans="1:24" s="1" customFormat="1" ht="36.950000000000003" customHeight="1" x14ac:dyDescent="0.3">
      <c r="A1256" s="23" t="s">
        <v>1318</v>
      </c>
      <c r="B1256" s="23" t="s">
        <v>1331</v>
      </c>
      <c r="C1256" s="12" t="s">
        <v>1332</v>
      </c>
      <c r="D1256" s="85"/>
      <c r="E1256" s="69" t="str">
        <f>HYPERLINK("https://www.google.ru/search?q=ERJJK03598-BQY0&amp;newwindow=1&amp;tbm=isch","Еще фото")</f>
        <v>Еще фото</v>
      </c>
      <c r="F1256" s="13"/>
      <c r="G1256" s="23" t="s">
        <v>307</v>
      </c>
      <c r="H1256" s="23" t="s">
        <v>27</v>
      </c>
      <c r="I1256" s="23" t="s">
        <v>308</v>
      </c>
      <c r="J1256" s="14" t="s">
        <v>29</v>
      </c>
      <c r="K1256" s="15" t="s">
        <v>47</v>
      </c>
      <c r="L1256" s="88"/>
      <c r="M1256" s="14"/>
      <c r="N1256" s="14" t="s">
        <v>70</v>
      </c>
      <c r="O1256" s="14"/>
      <c r="P1256" s="15" t="s">
        <v>1334</v>
      </c>
      <c r="Q1256" s="16">
        <v>22990</v>
      </c>
      <c r="R1256" s="17">
        <v>48</v>
      </c>
      <c r="S1256" s="18">
        <v>13748.019999999999</v>
      </c>
      <c r="T1256" s="19" t="s">
        <v>51</v>
      </c>
      <c r="U1256" s="20" t="s">
        <v>52</v>
      </c>
      <c r="V1256" s="21">
        <v>48</v>
      </c>
      <c r="W1256" s="21">
        <v>1</v>
      </c>
      <c r="X1256" s="22"/>
    </row>
    <row r="1257" spans="1:24" s="1" customFormat="1" ht="108" customHeight="1" x14ac:dyDescent="0.3">
      <c r="A1257" s="11" t="s">
        <v>1318</v>
      </c>
      <c r="B1257" s="11" t="s">
        <v>1335</v>
      </c>
      <c r="C1257" s="12" t="s">
        <v>1336</v>
      </c>
      <c r="D1257" s="24"/>
      <c r="E1257" s="69" t="str">
        <f>HYPERLINK("https://www.google.ru/search?q=ERLBP03064-MFA6&amp;newwindow=1&amp;tbm=isch","Еще фото")</f>
        <v>Еще фото</v>
      </c>
      <c r="F1257" s="13"/>
      <c r="G1257" s="11" t="s">
        <v>535</v>
      </c>
      <c r="H1257" s="11" t="s">
        <v>536</v>
      </c>
      <c r="I1257" s="14" t="s">
        <v>537</v>
      </c>
      <c r="J1257" s="14" t="s">
        <v>29</v>
      </c>
      <c r="K1257" s="15" t="s">
        <v>30</v>
      </c>
      <c r="L1257" s="14" t="s">
        <v>1337</v>
      </c>
      <c r="M1257" s="14"/>
      <c r="N1257" s="14" t="s">
        <v>32</v>
      </c>
      <c r="O1257" s="14"/>
      <c r="P1257" s="57">
        <v>100</v>
      </c>
      <c r="Q1257" s="16">
        <v>3390</v>
      </c>
      <c r="R1257" s="17">
        <v>70.27</v>
      </c>
      <c r="S1257" s="18">
        <v>1158.9354999999998</v>
      </c>
      <c r="T1257" s="19" t="s">
        <v>117</v>
      </c>
      <c r="U1257" s="20" t="s">
        <v>183</v>
      </c>
      <c r="V1257" s="25" t="s">
        <v>119</v>
      </c>
      <c r="W1257" s="21">
        <v>23</v>
      </c>
      <c r="X1257" s="22"/>
    </row>
    <row r="1258" spans="1:24" s="1" customFormat="1" ht="108" customHeight="1" x14ac:dyDescent="0.3">
      <c r="A1258" s="11" t="s">
        <v>1318</v>
      </c>
      <c r="B1258" s="11" t="s">
        <v>1338</v>
      </c>
      <c r="C1258" s="12" t="s">
        <v>1339</v>
      </c>
      <c r="D1258" s="24"/>
      <c r="E1258" s="69" t="str">
        <f>HYPERLINK("https://www.google.ru/search?q=ARJL100663-PCA&amp;newwindow=1&amp;tbm=isch","Еще фото")</f>
        <v>Еще фото</v>
      </c>
      <c r="F1258" s="13"/>
      <c r="G1258" s="11" t="s">
        <v>1314</v>
      </c>
      <c r="H1258" s="11" t="s">
        <v>151</v>
      </c>
      <c r="I1258" s="14" t="s">
        <v>546</v>
      </c>
      <c r="J1258" s="14" t="s">
        <v>29</v>
      </c>
      <c r="K1258" s="15" t="s">
        <v>47</v>
      </c>
      <c r="L1258" s="14" t="s">
        <v>1340</v>
      </c>
      <c r="M1258" s="14"/>
      <c r="N1258" s="14" t="s">
        <v>275</v>
      </c>
      <c r="O1258" s="14"/>
      <c r="P1258" s="15" t="s">
        <v>1316</v>
      </c>
      <c r="Q1258" s="16">
        <v>1999</v>
      </c>
      <c r="R1258" s="17">
        <v>49.98</v>
      </c>
      <c r="S1258" s="29">
        <v>1149.9884999999999</v>
      </c>
      <c r="T1258" s="19" t="s">
        <v>84</v>
      </c>
      <c r="U1258" s="20" t="s">
        <v>849</v>
      </c>
      <c r="V1258" s="21">
        <v>36</v>
      </c>
      <c r="W1258" s="21">
        <v>1</v>
      </c>
      <c r="X1258" s="22"/>
    </row>
    <row r="1259" spans="1:24" s="1" customFormat="1" ht="108" customHeight="1" x14ac:dyDescent="0.3">
      <c r="A1259" s="11" t="s">
        <v>1318</v>
      </c>
      <c r="B1259" s="11" t="s">
        <v>1338</v>
      </c>
      <c r="C1259" s="12" t="s">
        <v>1341</v>
      </c>
      <c r="D1259" s="24"/>
      <c r="E1259" s="69" t="str">
        <f>HYPERLINK("https://www.google.ru/search?q=ARJL100663-SAG&amp;newwindow=1&amp;tbm=isch","Еще фото")</f>
        <v>Еще фото</v>
      </c>
      <c r="F1259" s="13"/>
      <c r="G1259" s="11" t="s">
        <v>1314</v>
      </c>
      <c r="H1259" s="11" t="s">
        <v>151</v>
      </c>
      <c r="I1259" s="14" t="s">
        <v>546</v>
      </c>
      <c r="J1259" s="14" t="s">
        <v>29</v>
      </c>
      <c r="K1259" s="15" t="s">
        <v>47</v>
      </c>
      <c r="L1259" s="14" t="s">
        <v>1340</v>
      </c>
      <c r="M1259" s="14"/>
      <c r="N1259" s="14" t="s">
        <v>242</v>
      </c>
      <c r="O1259" s="14"/>
      <c r="P1259" s="15" t="s">
        <v>1316</v>
      </c>
      <c r="Q1259" s="16">
        <v>1999</v>
      </c>
      <c r="R1259" s="17">
        <v>49.98</v>
      </c>
      <c r="S1259" s="29">
        <v>1149.9884999999999</v>
      </c>
      <c r="T1259" s="19" t="s">
        <v>84</v>
      </c>
      <c r="U1259" s="20" t="s">
        <v>849</v>
      </c>
      <c r="V1259" s="21">
        <v>36</v>
      </c>
      <c r="W1259" s="21">
        <v>1</v>
      </c>
      <c r="X1259" s="22"/>
    </row>
    <row r="1260" spans="1:24" s="1" customFormat="1" ht="51.95" customHeight="1" x14ac:dyDescent="0.3">
      <c r="A1260" s="11" t="s">
        <v>1342</v>
      </c>
      <c r="B1260" s="11" t="s">
        <v>1343</v>
      </c>
      <c r="C1260" s="12" t="s">
        <v>1344</v>
      </c>
      <c r="D1260" s="89"/>
      <c r="E1260" s="69" t="str">
        <f>HYPERLINK("https://www.google.ru/search?q=ADJTJ03047-XWWP&amp;newwindow=1&amp;tbm=isch","Еще фото")</f>
        <v>Еще фото</v>
      </c>
      <c r="F1260" s="13"/>
      <c r="G1260" s="11" t="s">
        <v>1303</v>
      </c>
      <c r="H1260" s="11" t="s">
        <v>27</v>
      </c>
      <c r="I1260" s="14" t="s">
        <v>308</v>
      </c>
      <c r="J1260" s="14" t="s">
        <v>1304</v>
      </c>
      <c r="K1260" s="15" t="s">
        <v>47</v>
      </c>
      <c r="L1260" s="86" t="s">
        <v>1345</v>
      </c>
      <c r="M1260" s="14"/>
      <c r="N1260" s="14" t="s">
        <v>89</v>
      </c>
      <c r="O1260" s="14"/>
      <c r="P1260" s="57">
        <v>100</v>
      </c>
      <c r="Q1260" s="16">
        <v>29990</v>
      </c>
      <c r="R1260" s="17">
        <v>70.83</v>
      </c>
      <c r="S1260" s="18">
        <v>10059.9355</v>
      </c>
      <c r="T1260" s="19" t="s">
        <v>51</v>
      </c>
      <c r="U1260" s="20" t="s">
        <v>354</v>
      </c>
      <c r="V1260" s="21">
        <v>42</v>
      </c>
      <c r="W1260" s="21">
        <v>2</v>
      </c>
      <c r="X1260" s="22"/>
    </row>
    <row r="1261" spans="1:24" s="1" customFormat="1" ht="60.95" customHeight="1" x14ac:dyDescent="0.3">
      <c r="A1261" s="23" t="s">
        <v>1342</v>
      </c>
      <c r="B1261" s="23" t="s">
        <v>1343</v>
      </c>
      <c r="C1261" s="12" t="s">
        <v>1344</v>
      </c>
      <c r="D1261" s="90"/>
      <c r="E1261" s="69" t="str">
        <f>HYPERLINK("https://www.google.ru/search?q=ADJTJ03047-XWWP&amp;newwindow=1&amp;tbm=isch","Еще фото")</f>
        <v>Еще фото</v>
      </c>
      <c r="F1261" s="13"/>
      <c r="G1261" s="23" t="s">
        <v>1303</v>
      </c>
      <c r="H1261" s="23" t="s">
        <v>27</v>
      </c>
      <c r="I1261" s="23" t="s">
        <v>308</v>
      </c>
      <c r="J1261" s="14" t="s">
        <v>1304</v>
      </c>
      <c r="K1261" s="15" t="s">
        <v>47</v>
      </c>
      <c r="L1261" s="88"/>
      <c r="M1261" s="14"/>
      <c r="N1261" s="14" t="s">
        <v>89</v>
      </c>
      <c r="O1261" s="14"/>
      <c r="P1261" s="57">
        <v>100</v>
      </c>
      <c r="Q1261" s="16">
        <v>29990</v>
      </c>
      <c r="R1261" s="17">
        <v>70.83</v>
      </c>
      <c r="S1261" s="18">
        <v>10059.9355</v>
      </c>
      <c r="T1261" s="19" t="s">
        <v>51</v>
      </c>
      <c r="U1261" s="20" t="s">
        <v>66</v>
      </c>
      <c r="V1261" s="21">
        <v>46</v>
      </c>
      <c r="W1261" s="21">
        <v>2</v>
      </c>
      <c r="X1261" s="22"/>
    </row>
    <row r="1262" spans="1:24" s="1" customFormat="1" ht="108" customHeight="1" x14ac:dyDescent="0.3">
      <c r="A1262" s="11" t="s">
        <v>1342</v>
      </c>
      <c r="B1262" s="11" t="s">
        <v>1346</v>
      </c>
      <c r="C1262" s="12" t="s">
        <v>1347</v>
      </c>
      <c r="D1262" s="24"/>
      <c r="E1262" s="69" t="str">
        <f>HYPERLINK("https://www.google.ru/search?q=ADYWS03082-KVJ0&amp;newwindow=1&amp;tbm=isch","Еще фото")</f>
        <v>Еще фото</v>
      </c>
      <c r="F1262" s="13"/>
      <c r="G1262" s="11" t="s">
        <v>675</v>
      </c>
      <c r="H1262" s="11" t="s">
        <v>27</v>
      </c>
      <c r="I1262" s="14" t="s">
        <v>675</v>
      </c>
      <c r="J1262" s="14" t="s">
        <v>29</v>
      </c>
      <c r="K1262" s="15" t="s">
        <v>55</v>
      </c>
      <c r="L1262" s="14" t="s">
        <v>1348</v>
      </c>
      <c r="M1262" s="14"/>
      <c r="N1262" s="14" t="s">
        <v>49</v>
      </c>
      <c r="O1262" s="14"/>
      <c r="P1262" s="15" t="s">
        <v>108</v>
      </c>
      <c r="Q1262" s="16">
        <v>6399</v>
      </c>
      <c r="R1262" s="17">
        <v>48.43</v>
      </c>
      <c r="S1262" s="18">
        <v>3794.9884999999995</v>
      </c>
      <c r="T1262" s="19" t="s">
        <v>51</v>
      </c>
      <c r="U1262" s="20" t="s">
        <v>66</v>
      </c>
      <c r="V1262" s="21">
        <v>48</v>
      </c>
      <c r="W1262" s="21">
        <v>7</v>
      </c>
      <c r="X1262" s="22"/>
    </row>
    <row r="1263" spans="1:24" s="1" customFormat="1" ht="108" customHeight="1" x14ac:dyDescent="0.3">
      <c r="A1263" s="11" t="s">
        <v>1349</v>
      </c>
      <c r="B1263" s="11" t="s">
        <v>1350</v>
      </c>
      <c r="C1263" s="12" t="s">
        <v>1351</v>
      </c>
      <c r="D1263" s="24"/>
      <c r="E1263" s="69" t="str">
        <f>HYPERLINK("https://www.google.ru/search?q=S2100701&amp;newwindow=1&amp;tbm=isch","Еще фото")</f>
        <v>Еще фото</v>
      </c>
      <c r="F1263" s="13"/>
      <c r="G1263" s="11" t="s">
        <v>394</v>
      </c>
      <c r="H1263" s="11" t="s">
        <v>151</v>
      </c>
      <c r="I1263" s="14" t="s">
        <v>395</v>
      </c>
      <c r="J1263" s="14" t="s">
        <v>406</v>
      </c>
      <c r="K1263" s="15" t="s">
        <v>55</v>
      </c>
      <c r="L1263" s="14"/>
      <c r="M1263" s="14"/>
      <c r="N1263" s="14" t="s">
        <v>49</v>
      </c>
      <c r="O1263" s="14"/>
      <c r="P1263" s="15" t="s">
        <v>1216</v>
      </c>
      <c r="Q1263" s="16">
        <v>26999</v>
      </c>
      <c r="R1263" s="17">
        <v>45.18</v>
      </c>
      <c r="S1263" s="18">
        <v>17019.988499999999</v>
      </c>
      <c r="T1263" s="19" t="s">
        <v>84</v>
      </c>
      <c r="U1263" s="20" t="s">
        <v>436</v>
      </c>
      <c r="V1263" s="21">
        <v>42</v>
      </c>
      <c r="W1263" s="21">
        <v>1</v>
      </c>
      <c r="X1263" s="22"/>
    </row>
    <row r="1264" spans="1:24" s="1" customFormat="1" ht="108" customHeight="1" x14ac:dyDescent="0.3">
      <c r="A1264" s="11" t="s">
        <v>1349</v>
      </c>
      <c r="B1264" s="11" t="s">
        <v>1352</v>
      </c>
      <c r="C1264" s="12" t="s">
        <v>1353</v>
      </c>
      <c r="D1264" s="24"/>
      <c r="E1264" s="69" t="str">
        <f>HYPERLINK("https://www.google.ru/search?q=S7081239&amp;newwindow=1&amp;tbm=isch","Еще фото")</f>
        <v>Еще фото</v>
      </c>
      <c r="F1264" s="13"/>
      <c r="G1264" s="11" t="s">
        <v>394</v>
      </c>
      <c r="H1264" s="11" t="s">
        <v>151</v>
      </c>
      <c r="I1264" s="14" t="s">
        <v>424</v>
      </c>
      <c r="J1264" s="14" t="s">
        <v>29</v>
      </c>
      <c r="K1264" s="15" t="s">
        <v>114</v>
      </c>
      <c r="L1264" s="14"/>
      <c r="M1264" s="14"/>
      <c r="N1264" s="14" t="s">
        <v>1354</v>
      </c>
      <c r="O1264" s="14"/>
      <c r="P1264" s="15" t="s">
        <v>1216</v>
      </c>
      <c r="Q1264" s="16">
        <v>14599</v>
      </c>
      <c r="R1264" s="17">
        <v>45.2</v>
      </c>
      <c r="S1264" s="18">
        <v>9199.9884999999995</v>
      </c>
      <c r="T1264" s="19" t="s">
        <v>84</v>
      </c>
      <c r="U1264" s="20" t="s">
        <v>854</v>
      </c>
      <c r="V1264" s="21">
        <v>39</v>
      </c>
      <c r="W1264" s="21">
        <v>1</v>
      </c>
      <c r="X1264" s="22"/>
    </row>
    <row r="1265" spans="1:24" s="1" customFormat="1" ht="35.1" customHeight="1" x14ac:dyDescent="0.3">
      <c r="A1265" s="11" t="s">
        <v>1355</v>
      </c>
      <c r="B1265" s="11" t="s">
        <v>1356</v>
      </c>
      <c r="C1265" s="12" t="s">
        <v>1357</v>
      </c>
      <c r="D1265" s="83"/>
      <c r="E1265" s="69" t="str">
        <f>HYPERLINK("https://www.google.ru/search?q=814325-BK&amp;newwindow=1&amp;tbm=isch","Еще фото")</f>
        <v>Еще фото</v>
      </c>
      <c r="F1265" s="13"/>
      <c r="G1265" s="11" t="s">
        <v>1358</v>
      </c>
      <c r="H1265" s="11" t="s">
        <v>27</v>
      </c>
      <c r="I1265" s="14" t="s">
        <v>28</v>
      </c>
      <c r="J1265" s="14" t="s">
        <v>879</v>
      </c>
      <c r="K1265" s="15" t="s">
        <v>47</v>
      </c>
      <c r="L1265" s="86" t="s">
        <v>1359</v>
      </c>
      <c r="M1265" s="14"/>
      <c r="N1265" s="14" t="s">
        <v>49</v>
      </c>
      <c r="O1265" s="14"/>
      <c r="P1265" s="15" t="s">
        <v>1360</v>
      </c>
      <c r="Q1265" s="16">
        <v>8499</v>
      </c>
      <c r="R1265" s="17">
        <v>69.08</v>
      </c>
      <c r="S1265" s="18">
        <v>3021.9354999999996</v>
      </c>
      <c r="T1265" s="19" t="s">
        <v>328</v>
      </c>
      <c r="U1265" s="20" t="s">
        <v>354</v>
      </c>
      <c r="V1265" s="25" t="s">
        <v>65</v>
      </c>
      <c r="W1265" s="21">
        <v>4</v>
      </c>
      <c r="X1265" s="22"/>
    </row>
    <row r="1266" spans="1:24" s="1" customFormat="1" ht="35.1" customHeight="1" x14ac:dyDescent="0.3">
      <c r="A1266" s="23" t="s">
        <v>1355</v>
      </c>
      <c r="B1266" s="23" t="s">
        <v>1356</v>
      </c>
      <c r="C1266" s="12" t="s">
        <v>1357</v>
      </c>
      <c r="D1266" s="84"/>
      <c r="E1266" s="69" t="str">
        <f>HYPERLINK("https://www.google.ru/search?q=814325-BK&amp;newwindow=1&amp;tbm=isch","Еще фото")</f>
        <v>Еще фото</v>
      </c>
      <c r="F1266" s="13"/>
      <c r="G1266" s="23" t="s">
        <v>1358</v>
      </c>
      <c r="H1266" s="23" t="s">
        <v>27</v>
      </c>
      <c r="I1266" s="23" t="s">
        <v>28</v>
      </c>
      <c r="J1266" s="14" t="s">
        <v>879</v>
      </c>
      <c r="K1266" s="15" t="s">
        <v>47</v>
      </c>
      <c r="L1266" s="87"/>
      <c r="M1266" s="14"/>
      <c r="N1266" s="14" t="s">
        <v>49</v>
      </c>
      <c r="O1266" s="14"/>
      <c r="P1266" s="15" t="s">
        <v>1360</v>
      </c>
      <c r="Q1266" s="16">
        <v>8499</v>
      </c>
      <c r="R1266" s="17">
        <v>69.08</v>
      </c>
      <c r="S1266" s="18">
        <v>3021.9354999999996</v>
      </c>
      <c r="T1266" s="19" t="s">
        <v>328</v>
      </c>
      <c r="U1266" s="20" t="s">
        <v>64</v>
      </c>
      <c r="V1266" s="25" t="s">
        <v>67</v>
      </c>
      <c r="W1266" s="21">
        <v>7</v>
      </c>
      <c r="X1266" s="22"/>
    </row>
    <row r="1267" spans="1:24" s="1" customFormat="1" ht="36.950000000000003" customHeight="1" x14ac:dyDescent="0.3">
      <c r="A1267" s="23" t="s">
        <v>1355</v>
      </c>
      <c r="B1267" s="23" t="s">
        <v>1356</v>
      </c>
      <c r="C1267" s="12" t="s">
        <v>1357</v>
      </c>
      <c r="D1267" s="85"/>
      <c r="E1267" s="69" t="str">
        <f>HYPERLINK("https://www.google.ru/search?q=814325-BK&amp;newwindow=1&amp;tbm=isch","Еще фото")</f>
        <v>Еще фото</v>
      </c>
      <c r="F1267" s="13"/>
      <c r="G1267" s="23" t="s">
        <v>1358</v>
      </c>
      <c r="H1267" s="23" t="s">
        <v>27</v>
      </c>
      <c r="I1267" s="23" t="s">
        <v>28</v>
      </c>
      <c r="J1267" s="14" t="s">
        <v>879</v>
      </c>
      <c r="K1267" s="15" t="s">
        <v>47</v>
      </c>
      <c r="L1267" s="88"/>
      <c r="M1267" s="14"/>
      <c r="N1267" s="14" t="s">
        <v>49</v>
      </c>
      <c r="O1267" s="14"/>
      <c r="P1267" s="15" t="s">
        <v>1360</v>
      </c>
      <c r="Q1267" s="16">
        <v>8499</v>
      </c>
      <c r="R1267" s="17">
        <v>69.08</v>
      </c>
      <c r="S1267" s="18">
        <v>3021.9354999999996</v>
      </c>
      <c r="T1267" s="19" t="s">
        <v>328</v>
      </c>
      <c r="U1267" s="20" t="s">
        <v>66</v>
      </c>
      <c r="V1267" s="25" t="s">
        <v>68</v>
      </c>
      <c r="W1267" s="21">
        <v>5</v>
      </c>
      <c r="X1267" s="22"/>
    </row>
    <row r="1268" spans="1:24" s="1" customFormat="1" ht="35.1" customHeight="1" x14ac:dyDescent="0.3">
      <c r="A1268" s="11" t="s">
        <v>1355</v>
      </c>
      <c r="B1268" s="11" t="s">
        <v>1356</v>
      </c>
      <c r="C1268" s="12" t="s">
        <v>1361</v>
      </c>
      <c r="D1268" s="83"/>
      <c r="E1268" s="69" t="str">
        <f>HYPERLINK("https://www.google.ru/search?q=814325-NV&amp;newwindow=1&amp;tbm=isch","Еще фото")</f>
        <v>Еще фото</v>
      </c>
      <c r="F1268" s="13"/>
      <c r="G1268" s="11" t="s">
        <v>1358</v>
      </c>
      <c r="H1268" s="11" t="s">
        <v>27</v>
      </c>
      <c r="I1268" s="14" t="s">
        <v>28</v>
      </c>
      <c r="J1268" s="14" t="s">
        <v>879</v>
      </c>
      <c r="K1268" s="15" t="s">
        <v>47</v>
      </c>
      <c r="L1268" s="86" t="s">
        <v>1359</v>
      </c>
      <c r="M1268" s="14"/>
      <c r="N1268" s="14" t="s">
        <v>70</v>
      </c>
      <c r="O1268" s="14"/>
      <c r="P1268" s="15" t="s">
        <v>1360</v>
      </c>
      <c r="Q1268" s="16">
        <v>8499</v>
      </c>
      <c r="R1268" s="17">
        <v>69.08</v>
      </c>
      <c r="S1268" s="18">
        <v>3021.9354999999996</v>
      </c>
      <c r="T1268" s="19" t="s">
        <v>328</v>
      </c>
      <c r="U1268" s="20" t="s">
        <v>354</v>
      </c>
      <c r="V1268" s="25" t="s">
        <v>65</v>
      </c>
      <c r="W1268" s="21">
        <v>2</v>
      </c>
      <c r="X1268" s="22"/>
    </row>
    <row r="1269" spans="1:24" s="1" customFormat="1" ht="35.1" customHeight="1" x14ac:dyDescent="0.3">
      <c r="A1269" s="23" t="s">
        <v>1355</v>
      </c>
      <c r="B1269" s="23" t="s">
        <v>1356</v>
      </c>
      <c r="C1269" s="12" t="s">
        <v>1361</v>
      </c>
      <c r="D1269" s="84"/>
      <c r="E1269" s="69" t="str">
        <f>HYPERLINK("https://www.google.ru/search?q=814325-NV&amp;newwindow=1&amp;tbm=isch","Еще фото")</f>
        <v>Еще фото</v>
      </c>
      <c r="F1269" s="13"/>
      <c r="G1269" s="23" t="s">
        <v>1358</v>
      </c>
      <c r="H1269" s="23" t="s">
        <v>27</v>
      </c>
      <c r="I1269" s="23" t="s">
        <v>28</v>
      </c>
      <c r="J1269" s="14" t="s">
        <v>879</v>
      </c>
      <c r="K1269" s="15" t="s">
        <v>47</v>
      </c>
      <c r="L1269" s="87"/>
      <c r="M1269" s="14"/>
      <c r="N1269" s="14" t="s">
        <v>70</v>
      </c>
      <c r="O1269" s="14"/>
      <c r="P1269" s="15" t="s">
        <v>1360</v>
      </c>
      <c r="Q1269" s="16">
        <v>8499</v>
      </c>
      <c r="R1269" s="17">
        <v>69.08</v>
      </c>
      <c r="S1269" s="18">
        <v>3021.9354999999996</v>
      </c>
      <c r="T1269" s="19" t="s">
        <v>328</v>
      </c>
      <c r="U1269" s="20" t="s">
        <v>64</v>
      </c>
      <c r="V1269" s="25" t="s">
        <v>67</v>
      </c>
      <c r="W1269" s="21">
        <v>4</v>
      </c>
      <c r="X1269" s="22"/>
    </row>
    <row r="1270" spans="1:24" s="1" customFormat="1" ht="36.950000000000003" customHeight="1" x14ac:dyDescent="0.3">
      <c r="A1270" s="23" t="s">
        <v>1355</v>
      </c>
      <c r="B1270" s="23" t="s">
        <v>1356</v>
      </c>
      <c r="C1270" s="12" t="s">
        <v>1361</v>
      </c>
      <c r="D1270" s="85"/>
      <c r="E1270" s="69" t="str">
        <f>HYPERLINK("https://www.google.ru/search?q=814325-NV&amp;newwindow=1&amp;tbm=isch","Еще фото")</f>
        <v>Еще фото</v>
      </c>
      <c r="F1270" s="13"/>
      <c r="G1270" s="23" t="s">
        <v>1358</v>
      </c>
      <c r="H1270" s="23" t="s">
        <v>27</v>
      </c>
      <c r="I1270" s="23" t="s">
        <v>28</v>
      </c>
      <c r="J1270" s="14" t="s">
        <v>879</v>
      </c>
      <c r="K1270" s="15" t="s">
        <v>47</v>
      </c>
      <c r="L1270" s="88"/>
      <c r="M1270" s="14"/>
      <c r="N1270" s="14" t="s">
        <v>70</v>
      </c>
      <c r="O1270" s="14"/>
      <c r="P1270" s="15" t="s">
        <v>1360</v>
      </c>
      <c r="Q1270" s="16">
        <v>8499</v>
      </c>
      <c r="R1270" s="17">
        <v>69.08</v>
      </c>
      <c r="S1270" s="18">
        <v>3021.9354999999996</v>
      </c>
      <c r="T1270" s="19" t="s">
        <v>328</v>
      </c>
      <c r="U1270" s="20" t="s">
        <v>66</v>
      </c>
      <c r="V1270" s="25" t="s">
        <v>68</v>
      </c>
      <c r="W1270" s="21">
        <v>1</v>
      </c>
      <c r="X1270" s="22"/>
    </row>
    <row r="1271" spans="1:24" s="1" customFormat="1" ht="108" customHeight="1" x14ac:dyDescent="0.3">
      <c r="A1271" s="11" t="s">
        <v>1355</v>
      </c>
      <c r="B1271" s="11" t="s">
        <v>1362</v>
      </c>
      <c r="C1271" s="12" t="s">
        <v>1363</v>
      </c>
      <c r="D1271" s="24"/>
      <c r="E1271" s="69" t="str">
        <f>HYPERLINK("https://www.google.ru/search?q=811329-AN&amp;newwindow=1&amp;tbm=isch","Еще фото")</f>
        <v>Еще фото</v>
      </c>
      <c r="F1271" s="13"/>
      <c r="G1271" s="11" t="s">
        <v>28</v>
      </c>
      <c r="H1271" s="11" t="s">
        <v>27</v>
      </c>
      <c r="I1271" s="14" t="s">
        <v>28</v>
      </c>
      <c r="J1271" s="14" t="s">
        <v>879</v>
      </c>
      <c r="K1271" s="15" t="s">
        <v>55</v>
      </c>
      <c r="L1271" s="14" t="s">
        <v>1364</v>
      </c>
      <c r="M1271" s="14"/>
      <c r="N1271" s="14" t="s">
        <v>41</v>
      </c>
      <c r="O1271" s="14"/>
      <c r="P1271" s="15" t="s">
        <v>108</v>
      </c>
      <c r="Q1271" s="16">
        <v>6399</v>
      </c>
      <c r="R1271" s="17">
        <v>45.3</v>
      </c>
      <c r="S1271" s="18">
        <v>4024.9884999999995</v>
      </c>
      <c r="T1271" s="19" t="s">
        <v>328</v>
      </c>
      <c r="U1271" s="20" t="s">
        <v>64</v>
      </c>
      <c r="V1271" s="25" t="s">
        <v>65</v>
      </c>
      <c r="W1271" s="21">
        <v>3</v>
      </c>
      <c r="X1271" s="22"/>
    </row>
    <row r="1272" spans="1:24" s="1" customFormat="1" ht="108" customHeight="1" x14ac:dyDescent="0.3">
      <c r="A1272" s="11" t="s">
        <v>1355</v>
      </c>
      <c r="B1272" s="11" t="s">
        <v>515</v>
      </c>
      <c r="C1272" s="12" t="s">
        <v>1365</v>
      </c>
      <c r="D1272" s="24"/>
      <c r="E1272" s="69" t="str">
        <f>HYPERLINK("https://www.google.ru/search?q=285080-NV&amp;newwindow=1&amp;tbm=isch","Еще фото")</f>
        <v>Еще фото</v>
      </c>
      <c r="F1272" s="13" t="s">
        <v>507</v>
      </c>
      <c r="G1272" s="11" t="s">
        <v>517</v>
      </c>
      <c r="H1272" s="11" t="s">
        <v>112</v>
      </c>
      <c r="I1272" s="14" t="s">
        <v>113</v>
      </c>
      <c r="J1272" s="14" t="s">
        <v>879</v>
      </c>
      <c r="K1272" s="15" t="s">
        <v>114</v>
      </c>
      <c r="L1272" s="14" t="s">
        <v>1366</v>
      </c>
      <c r="M1272" s="14"/>
      <c r="N1272" s="14" t="s">
        <v>70</v>
      </c>
      <c r="O1272" s="14"/>
      <c r="P1272" s="15" t="s">
        <v>1367</v>
      </c>
      <c r="Q1272" s="59">
        <v>799</v>
      </c>
      <c r="R1272" s="17">
        <v>45.21</v>
      </c>
      <c r="S1272" s="29">
        <v>503.43549999999993</v>
      </c>
      <c r="T1272" s="19" t="s">
        <v>117</v>
      </c>
      <c r="U1272" s="20" t="s">
        <v>788</v>
      </c>
      <c r="V1272" s="25" t="s">
        <v>119</v>
      </c>
      <c r="W1272" s="21">
        <v>300</v>
      </c>
      <c r="X1272" s="22"/>
    </row>
    <row r="1273" spans="1:24" s="1" customFormat="1" ht="108" customHeight="1" x14ac:dyDescent="0.3">
      <c r="A1273" s="11" t="s">
        <v>1355</v>
      </c>
      <c r="B1273" s="11" t="s">
        <v>1368</v>
      </c>
      <c r="C1273" s="12" t="s">
        <v>1369</v>
      </c>
      <c r="D1273" s="24"/>
      <c r="E1273" s="69" t="str">
        <f>HYPERLINK("https://www.google.ru/search?q=287184-BLLI&amp;newwindow=1&amp;tbm=isch","Еще фото")</f>
        <v>Еще фото</v>
      </c>
      <c r="F1273" s="13"/>
      <c r="G1273" s="11" t="s">
        <v>181</v>
      </c>
      <c r="H1273" s="11" t="s">
        <v>112</v>
      </c>
      <c r="I1273" s="14" t="s">
        <v>182</v>
      </c>
      <c r="J1273" s="14" t="s">
        <v>879</v>
      </c>
      <c r="K1273" s="15" t="s">
        <v>114</v>
      </c>
      <c r="L1273" s="14" t="s">
        <v>1370</v>
      </c>
      <c r="M1273" s="14"/>
      <c r="N1273" s="14" t="s">
        <v>265</v>
      </c>
      <c r="O1273" s="14"/>
      <c r="P1273" s="15" t="s">
        <v>1371</v>
      </c>
      <c r="Q1273" s="16">
        <v>2999</v>
      </c>
      <c r="R1273" s="17">
        <v>68.400000000000006</v>
      </c>
      <c r="S1273" s="29">
        <v>1089.9354999999998</v>
      </c>
      <c r="T1273" s="19" t="s">
        <v>117</v>
      </c>
      <c r="U1273" s="20" t="s">
        <v>788</v>
      </c>
      <c r="V1273" s="25" t="s">
        <v>119</v>
      </c>
      <c r="W1273" s="21">
        <v>21</v>
      </c>
      <c r="X1273" s="22"/>
    </row>
    <row r="1274" spans="1:24" s="1" customFormat="1" ht="108" customHeight="1" x14ac:dyDescent="0.3">
      <c r="A1274" s="11" t="s">
        <v>1355</v>
      </c>
      <c r="B1274" s="11" t="s">
        <v>1372</v>
      </c>
      <c r="C1274" s="12" t="s">
        <v>1373</v>
      </c>
      <c r="D1274" s="24"/>
      <c r="E1274" s="69" t="str">
        <f>HYPERLINK("https://www.google.ru/search?q=287194-TQLB&amp;newwindow=1&amp;tbm=isch","Еще фото")</f>
        <v>Еще фото</v>
      </c>
      <c r="F1274" s="13"/>
      <c r="G1274" s="11" t="s">
        <v>181</v>
      </c>
      <c r="H1274" s="11" t="s">
        <v>112</v>
      </c>
      <c r="I1274" s="14" t="s">
        <v>182</v>
      </c>
      <c r="J1274" s="14" t="s">
        <v>879</v>
      </c>
      <c r="K1274" s="15" t="s">
        <v>114</v>
      </c>
      <c r="L1274" s="14" t="s">
        <v>1374</v>
      </c>
      <c r="M1274" s="14"/>
      <c r="N1274" s="14" t="s">
        <v>265</v>
      </c>
      <c r="O1274" s="14"/>
      <c r="P1274" s="15" t="s">
        <v>1371</v>
      </c>
      <c r="Q1274" s="16">
        <v>2999</v>
      </c>
      <c r="R1274" s="17">
        <v>68.400000000000006</v>
      </c>
      <c r="S1274" s="29">
        <v>1089.9354999999998</v>
      </c>
      <c r="T1274" s="19" t="s">
        <v>117</v>
      </c>
      <c r="U1274" s="20" t="s">
        <v>788</v>
      </c>
      <c r="V1274" s="25" t="s">
        <v>119</v>
      </c>
      <c r="W1274" s="21">
        <v>21</v>
      </c>
      <c r="X1274" s="22"/>
    </row>
    <row r="1275" spans="1:24" s="1" customFormat="1" ht="108" customHeight="1" x14ac:dyDescent="0.3">
      <c r="A1275" s="11" t="s">
        <v>1355</v>
      </c>
      <c r="B1275" s="11" t="s">
        <v>1368</v>
      </c>
      <c r="C1275" s="12" t="s">
        <v>1375</v>
      </c>
      <c r="D1275" s="24"/>
      <c r="E1275" s="69" t="str">
        <f>HYPERLINK("https://www.google.ru/search?q=287033-TQOR&amp;newwindow=1&amp;tbm=isch","Еще фото")</f>
        <v>Еще фото</v>
      </c>
      <c r="F1275" s="13"/>
      <c r="G1275" s="11" t="s">
        <v>181</v>
      </c>
      <c r="H1275" s="11" t="s">
        <v>112</v>
      </c>
      <c r="I1275" s="14" t="s">
        <v>182</v>
      </c>
      <c r="J1275" s="14" t="s">
        <v>879</v>
      </c>
      <c r="K1275" s="15" t="s">
        <v>30</v>
      </c>
      <c r="L1275" s="14" t="s">
        <v>1376</v>
      </c>
      <c r="M1275" s="14"/>
      <c r="N1275" s="14" t="s">
        <v>70</v>
      </c>
      <c r="O1275" s="14"/>
      <c r="P1275" s="15" t="s">
        <v>108</v>
      </c>
      <c r="Q1275" s="16">
        <v>2490</v>
      </c>
      <c r="R1275" s="17">
        <v>45.07</v>
      </c>
      <c r="S1275" s="18">
        <v>1572.9354999999998</v>
      </c>
      <c r="T1275" s="19" t="s">
        <v>117</v>
      </c>
      <c r="U1275" s="20" t="s">
        <v>788</v>
      </c>
      <c r="V1275" s="25" t="s">
        <v>119</v>
      </c>
      <c r="W1275" s="21">
        <v>7</v>
      </c>
      <c r="X1275" s="22"/>
    </row>
    <row r="1276" spans="1:24" s="1" customFormat="1" ht="108" customHeight="1" x14ac:dyDescent="0.3">
      <c r="A1276" s="11" t="s">
        <v>1355</v>
      </c>
      <c r="B1276" s="11" t="s">
        <v>1377</v>
      </c>
      <c r="C1276" s="12" t="s">
        <v>1378</v>
      </c>
      <c r="D1276" s="24"/>
      <c r="E1276" s="69" t="str">
        <f>HYPERLINK("https://www.google.ru/search?q=575034&amp;newwindow=1&amp;tbm=isch","Еще фото")</f>
        <v>Еще фото</v>
      </c>
      <c r="F1276" s="13" t="s">
        <v>507</v>
      </c>
      <c r="G1276" s="11" t="s">
        <v>815</v>
      </c>
      <c r="H1276" s="11" t="s">
        <v>814</v>
      </c>
      <c r="I1276" s="14" t="s">
        <v>815</v>
      </c>
      <c r="J1276" s="14" t="s">
        <v>879</v>
      </c>
      <c r="K1276" s="15" t="s">
        <v>114</v>
      </c>
      <c r="L1276" s="14"/>
      <c r="M1276" s="14"/>
      <c r="N1276" s="14" t="s">
        <v>313</v>
      </c>
      <c r="O1276" s="14"/>
      <c r="P1276" s="15" t="s">
        <v>1379</v>
      </c>
      <c r="Q1276" s="16">
        <v>1239</v>
      </c>
      <c r="R1276" s="17">
        <v>51.75</v>
      </c>
      <c r="S1276" s="29">
        <v>687.43549999999993</v>
      </c>
      <c r="T1276" s="19" t="s">
        <v>117</v>
      </c>
      <c r="U1276" s="20" t="s">
        <v>788</v>
      </c>
      <c r="V1276" s="25" t="s">
        <v>119</v>
      </c>
      <c r="W1276" s="60">
        <v>2022</v>
      </c>
      <c r="X1276" s="22"/>
    </row>
    <row r="1277" spans="1:24" s="1" customFormat="1" ht="108" customHeight="1" x14ac:dyDescent="0.3">
      <c r="A1277" s="11" t="s">
        <v>1355</v>
      </c>
      <c r="B1277" s="11" t="s">
        <v>1380</v>
      </c>
      <c r="C1277" s="12" t="s">
        <v>1381</v>
      </c>
      <c r="D1277" s="24"/>
      <c r="E1277" s="69" t="str">
        <f>HYPERLINK("https://www.google.ru/search?q=575383&amp;newwindow=1&amp;tbm=isch","Еще фото")</f>
        <v>Еще фото</v>
      </c>
      <c r="F1277" s="13"/>
      <c r="G1277" s="11" t="s">
        <v>815</v>
      </c>
      <c r="H1277" s="11" t="s">
        <v>814</v>
      </c>
      <c r="I1277" s="14" t="s">
        <v>815</v>
      </c>
      <c r="J1277" s="14" t="s">
        <v>879</v>
      </c>
      <c r="K1277" s="15" t="s">
        <v>114</v>
      </c>
      <c r="L1277" s="14" t="s">
        <v>1382</v>
      </c>
      <c r="M1277" s="14"/>
      <c r="N1277" s="14" t="s">
        <v>313</v>
      </c>
      <c r="O1277" s="14"/>
      <c r="P1277" s="15" t="s">
        <v>1379</v>
      </c>
      <c r="Q1277" s="16">
        <v>1099</v>
      </c>
      <c r="R1277" s="17">
        <v>45.61</v>
      </c>
      <c r="S1277" s="29">
        <v>687.43549999999993</v>
      </c>
      <c r="T1277" s="19" t="s">
        <v>117</v>
      </c>
      <c r="U1277" s="20" t="s">
        <v>788</v>
      </c>
      <c r="V1277" s="25" t="s">
        <v>119</v>
      </c>
      <c r="W1277" s="21">
        <v>826</v>
      </c>
      <c r="X1277" s="22"/>
    </row>
    <row r="1278" spans="1:24" s="1" customFormat="1" ht="108" customHeight="1" x14ac:dyDescent="0.3">
      <c r="A1278" s="11" t="s">
        <v>1355</v>
      </c>
      <c r="B1278" s="11" t="s">
        <v>1383</v>
      </c>
      <c r="C1278" s="12" t="s">
        <v>1384</v>
      </c>
      <c r="D1278" s="24"/>
      <c r="E1278" s="69" t="str">
        <f>HYPERLINK("https://www.google.ru/search?q=540303&amp;newwindow=1&amp;tbm=isch","Еще фото")</f>
        <v>Еще фото</v>
      </c>
      <c r="F1278" s="13" t="s">
        <v>507</v>
      </c>
      <c r="G1278" s="11" t="s">
        <v>815</v>
      </c>
      <c r="H1278" s="11" t="s">
        <v>814</v>
      </c>
      <c r="I1278" s="14" t="s">
        <v>815</v>
      </c>
      <c r="J1278" s="14" t="s">
        <v>879</v>
      </c>
      <c r="K1278" s="15" t="s">
        <v>114</v>
      </c>
      <c r="L1278" s="14"/>
      <c r="M1278" s="14"/>
      <c r="N1278" s="14" t="s">
        <v>313</v>
      </c>
      <c r="O1278" s="14"/>
      <c r="P1278" s="15" t="s">
        <v>1379</v>
      </c>
      <c r="Q1278" s="16">
        <v>1299</v>
      </c>
      <c r="R1278" s="17">
        <v>45.51</v>
      </c>
      <c r="S1278" s="29">
        <v>813.93549999999993</v>
      </c>
      <c r="T1278" s="19" t="s">
        <v>117</v>
      </c>
      <c r="U1278" s="20" t="s">
        <v>788</v>
      </c>
      <c r="V1278" s="25" t="s">
        <v>119</v>
      </c>
      <c r="W1278" s="21">
        <v>607</v>
      </c>
      <c r="X1278" s="22"/>
    </row>
    <row r="1279" spans="1:24" s="1" customFormat="1" ht="108" customHeight="1" x14ac:dyDescent="0.3">
      <c r="A1279" s="11" t="s">
        <v>1355</v>
      </c>
      <c r="B1279" s="11" t="s">
        <v>1385</v>
      </c>
      <c r="C1279" s="12" t="s">
        <v>1386</v>
      </c>
      <c r="D1279" s="24"/>
      <c r="E1279" s="69" t="str">
        <f>HYPERLINK("https://www.google.ru/search?q=570703&amp;newwindow=1&amp;tbm=isch","Еще фото")</f>
        <v>Еще фото</v>
      </c>
      <c r="F1279" s="13" t="s">
        <v>507</v>
      </c>
      <c r="G1279" s="11" t="s">
        <v>815</v>
      </c>
      <c r="H1279" s="11" t="s">
        <v>814</v>
      </c>
      <c r="I1279" s="14" t="s">
        <v>815</v>
      </c>
      <c r="J1279" s="14" t="s">
        <v>879</v>
      </c>
      <c r="K1279" s="15" t="s">
        <v>114</v>
      </c>
      <c r="L1279" s="14"/>
      <c r="M1279" s="14"/>
      <c r="N1279" s="14" t="s">
        <v>313</v>
      </c>
      <c r="O1279" s="14"/>
      <c r="P1279" s="15" t="s">
        <v>1379</v>
      </c>
      <c r="Q1279" s="16">
        <v>1199</v>
      </c>
      <c r="R1279" s="17">
        <v>45.14</v>
      </c>
      <c r="S1279" s="29">
        <v>756.43549999999993</v>
      </c>
      <c r="T1279" s="19" t="s">
        <v>117</v>
      </c>
      <c r="U1279" s="20" t="s">
        <v>788</v>
      </c>
      <c r="V1279" s="25" t="s">
        <v>119</v>
      </c>
      <c r="W1279" s="21">
        <v>498</v>
      </c>
      <c r="X1279" s="22"/>
    </row>
    <row r="1280" spans="1:24" s="1" customFormat="1" ht="108" customHeight="1" x14ac:dyDescent="0.3">
      <c r="A1280" s="11" t="s">
        <v>1355</v>
      </c>
      <c r="B1280" s="11" t="s">
        <v>1387</v>
      </c>
      <c r="C1280" s="12" t="s">
        <v>1388</v>
      </c>
      <c r="D1280" s="24"/>
      <c r="E1280" s="69" t="str">
        <f>HYPERLINK("https://www.google.ru/search?q=570704&amp;newwindow=1&amp;tbm=isch","Еще фото")</f>
        <v>Еще фото</v>
      </c>
      <c r="F1280" s="13"/>
      <c r="G1280" s="11" t="s">
        <v>815</v>
      </c>
      <c r="H1280" s="11" t="s">
        <v>814</v>
      </c>
      <c r="I1280" s="14" t="s">
        <v>815</v>
      </c>
      <c r="J1280" s="14" t="s">
        <v>879</v>
      </c>
      <c r="K1280" s="15" t="s">
        <v>114</v>
      </c>
      <c r="L1280" s="14"/>
      <c r="M1280" s="14"/>
      <c r="N1280" s="14" t="s">
        <v>313</v>
      </c>
      <c r="O1280" s="14"/>
      <c r="P1280" s="15" t="s">
        <v>1379</v>
      </c>
      <c r="Q1280" s="16">
        <v>1599</v>
      </c>
      <c r="R1280" s="17">
        <v>30</v>
      </c>
      <c r="S1280" s="18">
        <v>1287.1949999999999</v>
      </c>
      <c r="T1280" s="19" t="s">
        <v>117</v>
      </c>
      <c r="U1280" s="20" t="s">
        <v>788</v>
      </c>
      <c r="V1280" s="25" t="s">
        <v>119</v>
      </c>
      <c r="W1280" s="21">
        <v>303</v>
      </c>
      <c r="X1280" s="22"/>
    </row>
    <row r="1281" spans="1:24" s="1" customFormat="1" ht="108" customHeight="1" x14ac:dyDescent="0.3">
      <c r="A1281" s="11" t="s">
        <v>1355</v>
      </c>
      <c r="B1281" s="11" t="s">
        <v>1389</v>
      </c>
      <c r="C1281" s="12" t="s">
        <v>1390</v>
      </c>
      <c r="D1281" s="24"/>
      <c r="E1281" s="69" t="str">
        <f>HYPERLINK("https://www.google.ru/search?q=570823&amp;newwindow=1&amp;tbm=isch","Еще фото")</f>
        <v>Еще фото</v>
      </c>
      <c r="F1281" s="13"/>
      <c r="G1281" s="11" t="s">
        <v>815</v>
      </c>
      <c r="H1281" s="11" t="s">
        <v>814</v>
      </c>
      <c r="I1281" s="14" t="s">
        <v>815</v>
      </c>
      <c r="J1281" s="14" t="s">
        <v>879</v>
      </c>
      <c r="K1281" s="15" t="s">
        <v>114</v>
      </c>
      <c r="L1281" s="14"/>
      <c r="M1281" s="14"/>
      <c r="N1281" s="14" t="s">
        <v>313</v>
      </c>
      <c r="O1281" s="14"/>
      <c r="P1281" s="15" t="s">
        <v>1379</v>
      </c>
      <c r="Q1281" s="16">
        <v>1199</v>
      </c>
      <c r="R1281" s="17">
        <v>30</v>
      </c>
      <c r="S1281" s="29">
        <v>965.19499999999982</v>
      </c>
      <c r="T1281" s="19" t="s">
        <v>117</v>
      </c>
      <c r="U1281" s="20" t="s">
        <v>788</v>
      </c>
      <c r="V1281" s="25" t="s">
        <v>119</v>
      </c>
      <c r="W1281" s="21">
        <v>120</v>
      </c>
      <c r="X1281" s="22"/>
    </row>
    <row r="1282" spans="1:24" s="1" customFormat="1" ht="108" customHeight="1" x14ac:dyDescent="0.3">
      <c r="A1282" s="11" t="s">
        <v>1355</v>
      </c>
      <c r="B1282" s="11" t="s">
        <v>1391</v>
      </c>
      <c r="C1282" s="12" t="s">
        <v>1392</v>
      </c>
      <c r="D1282" s="24"/>
      <c r="E1282" s="69" t="str">
        <f>HYPERLINK("https://www.google.ru/search?q=570824&amp;newwindow=1&amp;tbm=isch","Еще фото")</f>
        <v>Еще фото</v>
      </c>
      <c r="F1282" s="13" t="s">
        <v>507</v>
      </c>
      <c r="G1282" s="11" t="s">
        <v>815</v>
      </c>
      <c r="H1282" s="11" t="s">
        <v>814</v>
      </c>
      <c r="I1282" s="14" t="s">
        <v>815</v>
      </c>
      <c r="J1282" s="14" t="s">
        <v>879</v>
      </c>
      <c r="K1282" s="15" t="s">
        <v>114</v>
      </c>
      <c r="L1282" s="14"/>
      <c r="M1282" s="14"/>
      <c r="N1282" s="14" t="s">
        <v>313</v>
      </c>
      <c r="O1282" s="14"/>
      <c r="P1282" s="15" t="s">
        <v>1379</v>
      </c>
      <c r="Q1282" s="16">
        <v>1599</v>
      </c>
      <c r="R1282" s="17">
        <v>30</v>
      </c>
      <c r="S1282" s="18">
        <v>1287.1949999999999</v>
      </c>
      <c r="T1282" s="19" t="s">
        <v>117</v>
      </c>
      <c r="U1282" s="20" t="s">
        <v>788</v>
      </c>
      <c r="V1282" s="25" t="s">
        <v>119</v>
      </c>
      <c r="W1282" s="21">
        <v>239</v>
      </c>
      <c r="X1282" s="22"/>
    </row>
    <row r="1283" spans="1:24" s="1" customFormat="1" ht="108" customHeight="1" x14ac:dyDescent="0.3">
      <c r="A1283" s="11" t="s">
        <v>1355</v>
      </c>
      <c r="B1283" s="11" t="s">
        <v>1393</v>
      </c>
      <c r="C1283" s="12" t="s">
        <v>1394</v>
      </c>
      <c r="D1283" s="24"/>
      <c r="E1283" s="69" t="str">
        <f>HYPERLINK("https://www.google.ru/search?q=571603&amp;newwindow=1&amp;tbm=isch","Еще фото")</f>
        <v>Еще фото</v>
      </c>
      <c r="F1283" s="13" t="s">
        <v>507</v>
      </c>
      <c r="G1283" s="11" t="s">
        <v>815</v>
      </c>
      <c r="H1283" s="11" t="s">
        <v>814</v>
      </c>
      <c r="I1283" s="14" t="s">
        <v>815</v>
      </c>
      <c r="J1283" s="14" t="s">
        <v>879</v>
      </c>
      <c r="K1283" s="15" t="s">
        <v>114</v>
      </c>
      <c r="L1283" s="14"/>
      <c r="M1283" s="14"/>
      <c r="N1283" s="14" t="s">
        <v>1395</v>
      </c>
      <c r="O1283" s="14"/>
      <c r="P1283" s="15" t="s">
        <v>1379</v>
      </c>
      <c r="Q1283" s="59">
        <v>999</v>
      </c>
      <c r="R1283" s="17">
        <v>30</v>
      </c>
      <c r="S1283" s="29">
        <v>804.19499999999994</v>
      </c>
      <c r="T1283" s="19" t="s">
        <v>117</v>
      </c>
      <c r="U1283" s="20" t="s">
        <v>788</v>
      </c>
      <c r="V1283" s="25" t="s">
        <v>119</v>
      </c>
      <c r="W1283" s="21">
        <v>699</v>
      </c>
      <c r="X1283" s="22"/>
    </row>
    <row r="1284" spans="1:24" s="1" customFormat="1" ht="108" customHeight="1" x14ac:dyDescent="0.3">
      <c r="A1284" s="11" t="s">
        <v>1355</v>
      </c>
      <c r="B1284" s="11" t="s">
        <v>1396</v>
      </c>
      <c r="C1284" s="12" t="s">
        <v>1397</v>
      </c>
      <c r="D1284" s="24"/>
      <c r="E1284" s="69" t="str">
        <f>HYPERLINK("https://www.google.ru/search?q=571604&amp;newwindow=1&amp;tbm=isch","Еще фото")</f>
        <v>Еще фото</v>
      </c>
      <c r="F1284" s="13" t="s">
        <v>507</v>
      </c>
      <c r="G1284" s="11" t="s">
        <v>815</v>
      </c>
      <c r="H1284" s="11" t="s">
        <v>814</v>
      </c>
      <c r="I1284" s="14" t="s">
        <v>815</v>
      </c>
      <c r="J1284" s="14" t="s">
        <v>879</v>
      </c>
      <c r="K1284" s="15" t="s">
        <v>114</v>
      </c>
      <c r="L1284" s="14"/>
      <c r="M1284" s="14"/>
      <c r="N1284" s="14" t="s">
        <v>242</v>
      </c>
      <c r="O1284" s="14"/>
      <c r="P1284" s="15" t="s">
        <v>1379</v>
      </c>
      <c r="Q1284" s="16">
        <v>1399</v>
      </c>
      <c r="R1284" s="17">
        <v>30</v>
      </c>
      <c r="S1284" s="29">
        <v>1126.1949999999999</v>
      </c>
      <c r="T1284" s="19" t="s">
        <v>117</v>
      </c>
      <c r="U1284" s="20" t="s">
        <v>788</v>
      </c>
      <c r="V1284" s="25" t="s">
        <v>119</v>
      </c>
      <c r="W1284" s="21">
        <v>10</v>
      </c>
      <c r="X1284" s="22"/>
    </row>
    <row r="1285" spans="1:24" s="1" customFormat="1" ht="108" customHeight="1" x14ac:dyDescent="0.3">
      <c r="A1285" s="11" t="s">
        <v>1355</v>
      </c>
      <c r="B1285" s="11" t="s">
        <v>1398</v>
      </c>
      <c r="C1285" s="12" t="s">
        <v>1399</v>
      </c>
      <c r="D1285" s="24"/>
      <c r="E1285" s="69" t="str">
        <f>HYPERLINK("https://www.google.ru/search?q=578270&amp;newwindow=1&amp;tbm=isch","Еще фото")</f>
        <v>Еще фото</v>
      </c>
      <c r="F1285" s="13"/>
      <c r="G1285" s="11" t="s">
        <v>1400</v>
      </c>
      <c r="H1285" s="11" t="s">
        <v>814</v>
      </c>
      <c r="I1285" s="14" t="s">
        <v>815</v>
      </c>
      <c r="J1285" s="14" t="s">
        <v>879</v>
      </c>
      <c r="K1285" s="15" t="s">
        <v>30</v>
      </c>
      <c r="L1285" s="14"/>
      <c r="M1285" s="14"/>
      <c r="N1285" s="14" t="s">
        <v>242</v>
      </c>
      <c r="O1285" s="14"/>
      <c r="P1285" s="15" t="s">
        <v>1379</v>
      </c>
      <c r="Q1285" s="16">
        <v>19600</v>
      </c>
      <c r="R1285" s="17">
        <v>30</v>
      </c>
      <c r="S1285" s="18">
        <v>15777.999999999998</v>
      </c>
      <c r="T1285" s="19" t="s">
        <v>117</v>
      </c>
      <c r="U1285" s="20" t="s">
        <v>788</v>
      </c>
      <c r="V1285" s="25" t="s">
        <v>119</v>
      </c>
      <c r="W1285" s="21">
        <v>3</v>
      </c>
      <c r="X1285" s="22"/>
    </row>
    <row r="1286" spans="1:24" s="1" customFormat="1" ht="108" customHeight="1" x14ac:dyDescent="0.3">
      <c r="A1286" s="11" t="s">
        <v>1355</v>
      </c>
      <c r="B1286" s="11" t="s">
        <v>1401</v>
      </c>
      <c r="C1286" s="12" t="s">
        <v>1402</v>
      </c>
      <c r="D1286" s="24"/>
      <c r="E1286" s="69" t="str">
        <f>HYPERLINK("https://www.google.ru/search?q=578413&amp;newwindow=1&amp;tbm=isch","Еще фото")</f>
        <v>Еще фото</v>
      </c>
      <c r="F1286" s="13" t="s">
        <v>507</v>
      </c>
      <c r="G1286" s="11" t="s">
        <v>815</v>
      </c>
      <c r="H1286" s="11" t="s">
        <v>814</v>
      </c>
      <c r="I1286" s="14" t="s">
        <v>815</v>
      </c>
      <c r="J1286" s="14" t="s">
        <v>879</v>
      </c>
      <c r="K1286" s="15" t="s">
        <v>30</v>
      </c>
      <c r="L1286" s="14"/>
      <c r="M1286" s="14"/>
      <c r="N1286" s="14" t="s">
        <v>313</v>
      </c>
      <c r="O1286" s="14"/>
      <c r="P1286" s="15" t="s">
        <v>1403</v>
      </c>
      <c r="Q1286" s="59">
        <v>899</v>
      </c>
      <c r="R1286" s="17">
        <v>30</v>
      </c>
      <c r="S1286" s="29">
        <v>723.69499999999994</v>
      </c>
      <c r="T1286" s="19" t="s">
        <v>117</v>
      </c>
      <c r="U1286" s="20" t="s">
        <v>788</v>
      </c>
      <c r="V1286" s="25" t="s">
        <v>119</v>
      </c>
      <c r="W1286" s="21">
        <v>499</v>
      </c>
      <c r="X1286" s="22"/>
    </row>
    <row r="1287" spans="1:24" s="1" customFormat="1" ht="108" customHeight="1" x14ac:dyDescent="0.3">
      <c r="A1287" s="11" t="s">
        <v>1355</v>
      </c>
      <c r="B1287" s="11" t="s">
        <v>1404</v>
      </c>
      <c r="C1287" s="12" t="s">
        <v>1405</v>
      </c>
      <c r="D1287" s="24"/>
      <c r="E1287" s="69" t="str">
        <f>HYPERLINK("https://www.google.ru/search?q=578420&amp;newwindow=1&amp;tbm=isch","Еще фото")</f>
        <v>Еще фото</v>
      </c>
      <c r="F1287" s="13"/>
      <c r="G1287" s="11" t="s">
        <v>815</v>
      </c>
      <c r="H1287" s="11" t="s">
        <v>814</v>
      </c>
      <c r="I1287" s="14" t="s">
        <v>815</v>
      </c>
      <c r="J1287" s="14" t="s">
        <v>879</v>
      </c>
      <c r="K1287" s="15" t="s">
        <v>30</v>
      </c>
      <c r="L1287" s="14" t="s">
        <v>1406</v>
      </c>
      <c r="M1287" s="14"/>
      <c r="N1287" s="14" t="s">
        <v>242</v>
      </c>
      <c r="O1287" s="14"/>
      <c r="P1287" s="15" t="s">
        <v>1403</v>
      </c>
      <c r="Q1287" s="16">
        <v>19490</v>
      </c>
      <c r="R1287" s="17">
        <v>30</v>
      </c>
      <c r="S1287" s="18">
        <v>15689.449999999999</v>
      </c>
      <c r="T1287" s="19" t="s">
        <v>117</v>
      </c>
      <c r="U1287" s="20" t="s">
        <v>788</v>
      </c>
      <c r="V1287" s="25" t="s">
        <v>119</v>
      </c>
      <c r="W1287" s="21">
        <v>1</v>
      </c>
      <c r="X1287" s="22"/>
    </row>
    <row r="1288" spans="1:24" s="1" customFormat="1" ht="108" customHeight="1" x14ac:dyDescent="0.3">
      <c r="A1288" s="11" t="s">
        <v>1355</v>
      </c>
      <c r="B1288" s="11" t="s">
        <v>1407</v>
      </c>
      <c r="C1288" s="12" t="s">
        <v>1408</v>
      </c>
      <c r="D1288" s="24"/>
      <c r="E1288" s="69" t="str">
        <f>HYPERLINK("https://www.google.ru/search?q=578423&amp;newwindow=1&amp;tbm=isch","Еще фото")</f>
        <v>Еще фото</v>
      </c>
      <c r="F1288" s="31" t="s">
        <v>738</v>
      </c>
      <c r="G1288" s="11" t="s">
        <v>815</v>
      </c>
      <c r="H1288" s="11" t="s">
        <v>814</v>
      </c>
      <c r="I1288" s="14" t="s">
        <v>815</v>
      </c>
      <c r="J1288" s="14" t="s">
        <v>879</v>
      </c>
      <c r="K1288" s="15" t="s">
        <v>30</v>
      </c>
      <c r="L1288" s="14"/>
      <c r="M1288" s="14"/>
      <c r="N1288" s="14" t="s">
        <v>313</v>
      </c>
      <c r="O1288" s="14"/>
      <c r="P1288" s="15" t="s">
        <v>1379</v>
      </c>
      <c r="Q1288" s="59">
        <v>899</v>
      </c>
      <c r="R1288" s="17">
        <v>30</v>
      </c>
      <c r="S1288" s="29">
        <v>723.69499999999994</v>
      </c>
      <c r="T1288" s="19" t="s">
        <v>117</v>
      </c>
      <c r="U1288" s="20" t="s">
        <v>788</v>
      </c>
      <c r="V1288" s="25" t="s">
        <v>119</v>
      </c>
      <c r="W1288" s="21">
        <v>60</v>
      </c>
      <c r="X1288" s="22"/>
    </row>
    <row r="1289" spans="1:24" s="1" customFormat="1" ht="108" customHeight="1" x14ac:dyDescent="0.3">
      <c r="A1289" s="11" t="s">
        <v>1355</v>
      </c>
      <c r="B1289" s="11" t="s">
        <v>1409</v>
      </c>
      <c r="C1289" s="12" t="s">
        <v>1410</v>
      </c>
      <c r="D1289" s="24"/>
      <c r="E1289" s="69" t="str">
        <f>HYPERLINK("https://www.google.ru/search?q=816131-WH&amp;newwindow=1&amp;tbm=isch","Еще фото")</f>
        <v>Еще фото</v>
      </c>
      <c r="F1289" s="13"/>
      <c r="G1289" s="11" t="s">
        <v>824</v>
      </c>
      <c r="H1289" s="11" t="s">
        <v>112</v>
      </c>
      <c r="I1289" s="14" t="s">
        <v>825</v>
      </c>
      <c r="J1289" s="14" t="s">
        <v>879</v>
      </c>
      <c r="K1289" s="15" t="s">
        <v>30</v>
      </c>
      <c r="L1289" s="14" t="s">
        <v>1411</v>
      </c>
      <c r="M1289" s="14"/>
      <c r="N1289" s="14" t="s">
        <v>89</v>
      </c>
      <c r="O1289" s="14"/>
      <c r="P1289" s="15" t="s">
        <v>1412</v>
      </c>
      <c r="Q1289" s="16">
        <v>1499</v>
      </c>
      <c r="R1289" s="17">
        <v>58.12</v>
      </c>
      <c r="S1289" s="29">
        <v>721.93549999999993</v>
      </c>
      <c r="T1289" s="19" t="s">
        <v>328</v>
      </c>
      <c r="U1289" s="20" t="s">
        <v>1413</v>
      </c>
      <c r="V1289" s="25" t="s">
        <v>1413</v>
      </c>
      <c r="W1289" s="21">
        <v>2</v>
      </c>
      <c r="X1289" s="22"/>
    </row>
    <row r="1290" spans="1:24" s="1" customFormat="1" ht="51.95" customHeight="1" x14ac:dyDescent="0.3">
      <c r="A1290" s="11" t="s">
        <v>1355</v>
      </c>
      <c r="B1290" s="11" t="s">
        <v>1414</v>
      </c>
      <c r="C1290" s="12" t="s">
        <v>1415</v>
      </c>
      <c r="D1290" s="89"/>
      <c r="E1290" s="69" t="str">
        <f>HYPERLINK("https://www.google.ru/search?q=816955-BK&amp;newwindow=1&amp;tbm=isch","Еще фото")</f>
        <v>Еще фото</v>
      </c>
      <c r="F1290" s="13"/>
      <c r="G1290" s="11" t="s">
        <v>824</v>
      </c>
      <c r="H1290" s="11" t="s">
        <v>112</v>
      </c>
      <c r="I1290" s="14" t="s">
        <v>825</v>
      </c>
      <c r="J1290" s="14" t="s">
        <v>879</v>
      </c>
      <c r="K1290" s="15" t="s">
        <v>30</v>
      </c>
      <c r="L1290" s="86" t="s">
        <v>1416</v>
      </c>
      <c r="M1290" s="14"/>
      <c r="N1290" s="14" t="s">
        <v>49</v>
      </c>
      <c r="O1290" s="14"/>
      <c r="P1290" s="15" t="s">
        <v>1417</v>
      </c>
      <c r="Q1290" s="16">
        <v>1299</v>
      </c>
      <c r="R1290" s="17">
        <v>49.36</v>
      </c>
      <c r="S1290" s="29">
        <v>756.43549999999993</v>
      </c>
      <c r="T1290" s="19" t="s">
        <v>328</v>
      </c>
      <c r="U1290" s="20" t="s">
        <v>1418</v>
      </c>
      <c r="V1290" s="25" t="s">
        <v>1418</v>
      </c>
      <c r="W1290" s="21">
        <v>1</v>
      </c>
      <c r="X1290" s="22"/>
    </row>
    <row r="1291" spans="1:24" s="1" customFormat="1" ht="60.95" customHeight="1" x14ac:dyDescent="0.3">
      <c r="A1291" s="23" t="s">
        <v>1355</v>
      </c>
      <c r="B1291" s="23" t="s">
        <v>1414</v>
      </c>
      <c r="C1291" s="12" t="s">
        <v>1415</v>
      </c>
      <c r="D1291" s="90"/>
      <c r="E1291" s="69" t="str">
        <f>HYPERLINK("https://www.google.ru/search?q=816955-BK&amp;newwindow=1&amp;tbm=isch","Еще фото")</f>
        <v>Еще фото</v>
      </c>
      <c r="F1291" s="13"/>
      <c r="G1291" s="23" t="s">
        <v>824</v>
      </c>
      <c r="H1291" s="23" t="s">
        <v>112</v>
      </c>
      <c r="I1291" s="23" t="s">
        <v>825</v>
      </c>
      <c r="J1291" s="14" t="s">
        <v>879</v>
      </c>
      <c r="K1291" s="15" t="s">
        <v>30</v>
      </c>
      <c r="L1291" s="88"/>
      <c r="M1291" s="14"/>
      <c r="N1291" s="14" t="s">
        <v>49</v>
      </c>
      <c r="O1291" s="14"/>
      <c r="P1291" s="15" t="s">
        <v>1417</v>
      </c>
      <c r="Q1291" s="16">
        <v>1299</v>
      </c>
      <c r="R1291" s="17">
        <v>49.36</v>
      </c>
      <c r="S1291" s="29">
        <v>756.43549999999993</v>
      </c>
      <c r="T1291" s="19" t="s">
        <v>328</v>
      </c>
      <c r="U1291" s="20" t="s">
        <v>1419</v>
      </c>
      <c r="V1291" s="25" t="s">
        <v>1419</v>
      </c>
      <c r="W1291" s="21">
        <v>11</v>
      </c>
      <c r="X1291" s="22"/>
    </row>
    <row r="1292" spans="1:24" s="1" customFormat="1" ht="108" customHeight="1" x14ac:dyDescent="0.3">
      <c r="A1292" s="11" t="s">
        <v>1355</v>
      </c>
      <c r="B1292" s="11" t="s">
        <v>1420</v>
      </c>
      <c r="C1292" s="12" t="s">
        <v>1421</v>
      </c>
      <c r="D1292" s="24"/>
      <c r="E1292" s="69" t="str">
        <f>HYPERLINK("https://www.google.ru/search?q=811954-BK&amp;newwindow=1&amp;tbm=isch","Еще фото")</f>
        <v>Еще фото</v>
      </c>
      <c r="F1292" s="13"/>
      <c r="G1292" s="11" t="s">
        <v>824</v>
      </c>
      <c r="H1292" s="11" t="s">
        <v>112</v>
      </c>
      <c r="I1292" s="14" t="s">
        <v>825</v>
      </c>
      <c r="J1292" s="14" t="s">
        <v>879</v>
      </c>
      <c r="K1292" s="15" t="s">
        <v>114</v>
      </c>
      <c r="L1292" s="14" t="s">
        <v>1422</v>
      </c>
      <c r="M1292" s="14"/>
      <c r="N1292" s="14" t="s">
        <v>49</v>
      </c>
      <c r="O1292" s="14"/>
      <c r="P1292" s="15" t="s">
        <v>1423</v>
      </c>
      <c r="Q1292" s="16">
        <v>1799</v>
      </c>
      <c r="R1292" s="17">
        <v>45.09</v>
      </c>
      <c r="S1292" s="29">
        <v>1135.9354999999998</v>
      </c>
      <c r="T1292" s="19" t="s">
        <v>328</v>
      </c>
      <c r="U1292" s="20" t="s">
        <v>1424</v>
      </c>
      <c r="V1292" s="25" t="s">
        <v>1424</v>
      </c>
      <c r="W1292" s="21">
        <v>6</v>
      </c>
      <c r="X1292" s="22"/>
    </row>
    <row r="1293" spans="1:24" s="1" customFormat="1" ht="108" customHeight="1" x14ac:dyDescent="0.3">
      <c r="A1293" s="11" t="s">
        <v>1355</v>
      </c>
      <c r="B1293" s="11" t="s">
        <v>1425</v>
      </c>
      <c r="C1293" s="12" t="s">
        <v>1426</v>
      </c>
      <c r="D1293" s="24"/>
      <c r="E1293" s="69" t="str">
        <f>HYPERLINK("https://www.google.ru/search?q=811934-BK&amp;newwindow=1&amp;tbm=isch","Еще фото")</f>
        <v>Еще фото</v>
      </c>
      <c r="F1293" s="13"/>
      <c r="G1293" s="11" t="s">
        <v>824</v>
      </c>
      <c r="H1293" s="11" t="s">
        <v>112</v>
      </c>
      <c r="I1293" s="14" t="s">
        <v>825</v>
      </c>
      <c r="J1293" s="14" t="s">
        <v>879</v>
      </c>
      <c r="K1293" s="15" t="s">
        <v>114</v>
      </c>
      <c r="L1293" s="14" t="s">
        <v>1422</v>
      </c>
      <c r="M1293" s="14"/>
      <c r="N1293" s="14" t="s">
        <v>49</v>
      </c>
      <c r="O1293" s="14"/>
      <c r="P1293" s="15" t="s">
        <v>1427</v>
      </c>
      <c r="Q1293" s="16">
        <v>1499</v>
      </c>
      <c r="R1293" s="17">
        <v>30</v>
      </c>
      <c r="S1293" s="18">
        <v>1206.6949999999999</v>
      </c>
      <c r="T1293" s="19" t="s">
        <v>328</v>
      </c>
      <c r="U1293" s="20" t="s">
        <v>1424</v>
      </c>
      <c r="V1293" s="25" t="s">
        <v>1424</v>
      </c>
      <c r="W1293" s="21">
        <v>1</v>
      </c>
      <c r="X1293" s="22"/>
    </row>
    <row r="1294" spans="1:24" s="1" customFormat="1" ht="108" customHeight="1" x14ac:dyDescent="0.3">
      <c r="A1294" s="11" t="s">
        <v>1355</v>
      </c>
      <c r="B1294" s="11" t="s">
        <v>1414</v>
      </c>
      <c r="C1294" s="12" t="s">
        <v>1428</v>
      </c>
      <c r="D1294" s="24"/>
      <c r="E1294" s="69" t="str">
        <f>HYPERLINK("https://www.google.ru/search?q=816955-WH&amp;newwindow=1&amp;tbm=isch","Еще фото")</f>
        <v>Еще фото</v>
      </c>
      <c r="F1294" s="13"/>
      <c r="G1294" s="11" t="s">
        <v>824</v>
      </c>
      <c r="H1294" s="11" t="s">
        <v>112</v>
      </c>
      <c r="I1294" s="14" t="s">
        <v>825</v>
      </c>
      <c r="J1294" s="14" t="s">
        <v>879</v>
      </c>
      <c r="K1294" s="15" t="s">
        <v>30</v>
      </c>
      <c r="L1294" s="14" t="s">
        <v>1416</v>
      </c>
      <c r="M1294" s="14"/>
      <c r="N1294" s="14" t="s">
        <v>89</v>
      </c>
      <c r="O1294" s="14"/>
      <c r="P1294" s="15" t="s">
        <v>1417</v>
      </c>
      <c r="Q1294" s="16">
        <v>1299</v>
      </c>
      <c r="R1294" s="17">
        <v>30</v>
      </c>
      <c r="S1294" s="29">
        <v>1045.6949999999999</v>
      </c>
      <c r="T1294" s="19" t="s">
        <v>328</v>
      </c>
      <c r="U1294" s="20" t="s">
        <v>1418</v>
      </c>
      <c r="V1294" s="25" t="s">
        <v>1418</v>
      </c>
      <c r="W1294" s="21">
        <v>3</v>
      </c>
      <c r="X1294" s="22"/>
    </row>
    <row r="1295" spans="1:24" s="1" customFormat="1" ht="108" customHeight="1" x14ac:dyDescent="0.3">
      <c r="A1295" s="11" t="s">
        <v>1355</v>
      </c>
      <c r="B1295" s="11" t="s">
        <v>1429</v>
      </c>
      <c r="C1295" s="12" t="s">
        <v>1430</v>
      </c>
      <c r="D1295" s="24"/>
      <c r="E1295" s="69" t="str">
        <f>HYPERLINK("https://www.google.ru/search?q=285621-YW&amp;newwindow=1&amp;tbm=isch","Еще фото")</f>
        <v>Еще фото</v>
      </c>
      <c r="F1295" s="13"/>
      <c r="G1295" s="11" t="s">
        <v>1431</v>
      </c>
      <c r="H1295" s="11" t="s">
        <v>814</v>
      </c>
      <c r="I1295" s="14" t="s">
        <v>1432</v>
      </c>
      <c r="J1295" s="14" t="s">
        <v>879</v>
      </c>
      <c r="K1295" s="15" t="s">
        <v>114</v>
      </c>
      <c r="L1295" s="14" t="s">
        <v>1433</v>
      </c>
      <c r="M1295" s="14"/>
      <c r="N1295" s="14" t="s">
        <v>313</v>
      </c>
      <c r="O1295" s="14"/>
      <c r="P1295" s="15" t="s">
        <v>193</v>
      </c>
      <c r="Q1295" s="59">
        <v>999</v>
      </c>
      <c r="R1295" s="17">
        <v>45.17</v>
      </c>
      <c r="S1295" s="29">
        <v>629.93549999999993</v>
      </c>
      <c r="T1295" s="19" t="s">
        <v>117</v>
      </c>
      <c r="U1295" s="20" t="s">
        <v>1434</v>
      </c>
      <c r="V1295" s="25" t="s">
        <v>119</v>
      </c>
      <c r="W1295" s="21">
        <v>144</v>
      </c>
      <c r="X1295" s="22"/>
    </row>
    <row r="1296" spans="1:24" s="1" customFormat="1" ht="108" customHeight="1" x14ac:dyDescent="0.3">
      <c r="A1296" s="11" t="s">
        <v>1355</v>
      </c>
      <c r="B1296" s="11" t="s">
        <v>1435</v>
      </c>
      <c r="C1296" s="12" t="s">
        <v>1436</v>
      </c>
      <c r="D1296" s="24"/>
      <c r="E1296" s="69" t="str">
        <f>HYPERLINK("https://www.google.ru/search?q=274526-BKWH&amp;newwindow=1&amp;tbm=isch","Еще фото")</f>
        <v>Еще фото</v>
      </c>
      <c r="F1296" s="13"/>
      <c r="G1296" s="11" t="s">
        <v>394</v>
      </c>
      <c r="H1296" s="11" t="s">
        <v>151</v>
      </c>
      <c r="I1296" s="14" t="s">
        <v>395</v>
      </c>
      <c r="J1296" s="14" t="s">
        <v>879</v>
      </c>
      <c r="K1296" s="15" t="s">
        <v>47</v>
      </c>
      <c r="L1296" s="14" t="s">
        <v>1437</v>
      </c>
      <c r="M1296" s="14"/>
      <c r="N1296" s="14" t="s">
        <v>748</v>
      </c>
      <c r="O1296" s="14"/>
      <c r="P1296" s="15" t="s">
        <v>1438</v>
      </c>
      <c r="Q1296" s="16">
        <v>9999</v>
      </c>
      <c r="R1296" s="17">
        <v>45.99</v>
      </c>
      <c r="S1296" s="18">
        <v>6209.9884999999995</v>
      </c>
      <c r="T1296" s="19" t="s">
        <v>846</v>
      </c>
      <c r="U1296" s="20" t="s">
        <v>848</v>
      </c>
      <c r="V1296" s="30">
        <v>37.5</v>
      </c>
      <c r="W1296" s="21">
        <v>1</v>
      </c>
      <c r="X1296" s="22"/>
    </row>
    <row r="1297" spans="1:24" s="1" customFormat="1" ht="108" customHeight="1" x14ac:dyDescent="0.3">
      <c r="A1297" s="11" t="s">
        <v>1355</v>
      </c>
      <c r="B1297" s="11" t="s">
        <v>1439</v>
      </c>
      <c r="C1297" s="12" t="s">
        <v>1440</v>
      </c>
      <c r="D1297" s="24"/>
      <c r="E1297" s="69" t="str">
        <f>HYPERLINK("https://www.google.ru/search?q=273405-DBRD&amp;newwindow=1&amp;tbm=isch","Еще фото")</f>
        <v>Еще фото</v>
      </c>
      <c r="F1297" s="13"/>
      <c r="G1297" s="11" t="s">
        <v>394</v>
      </c>
      <c r="H1297" s="11" t="s">
        <v>151</v>
      </c>
      <c r="I1297" s="14" t="s">
        <v>395</v>
      </c>
      <c r="J1297" s="14" t="s">
        <v>879</v>
      </c>
      <c r="K1297" s="15" t="s">
        <v>55</v>
      </c>
      <c r="L1297" s="14" t="s">
        <v>1441</v>
      </c>
      <c r="M1297" s="14"/>
      <c r="N1297" s="14" t="s">
        <v>70</v>
      </c>
      <c r="O1297" s="14"/>
      <c r="P1297" s="15" t="s">
        <v>1011</v>
      </c>
      <c r="Q1297" s="16">
        <v>11999</v>
      </c>
      <c r="R1297" s="17">
        <v>45.83</v>
      </c>
      <c r="S1297" s="18">
        <v>7474.9884999999995</v>
      </c>
      <c r="T1297" s="19" t="s">
        <v>846</v>
      </c>
      <c r="U1297" s="20" t="s">
        <v>162</v>
      </c>
      <c r="V1297" s="21">
        <v>42</v>
      </c>
      <c r="W1297" s="21">
        <v>2</v>
      </c>
      <c r="X1297" s="22"/>
    </row>
    <row r="1298" spans="1:24" s="1" customFormat="1" ht="108" customHeight="1" x14ac:dyDescent="0.3">
      <c r="A1298" s="11" t="s">
        <v>1355</v>
      </c>
      <c r="B1298" s="11" t="s">
        <v>1442</v>
      </c>
      <c r="C1298" s="12" t="s">
        <v>1443</v>
      </c>
      <c r="D1298" s="24"/>
      <c r="E1298" s="69" t="str">
        <f>HYPERLINK("https://www.google.ru/search?q=273415-DBRD&amp;newwindow=1&amp;tbm=isch","Еще фото")</f>
        <v>Еще фото</v>
      </c>
      <c r="F1298" s="13"/>
      <c r="G1298" s="11" t="s">
        <v>394</v>
      </c>
      <c r="H1298" s="11" t="s">
        <v>151</v>
      </c>
      <c r="I1298" s="14" t="s">
        <v>395</v>
      </c>
      <c r="J1298" s="14" t="s">
        <v>879</v>
      </c>
      <c r="K1298" s="15" t="s">
        <v>55</v>
      </c>
      <c r="L1298" s="14" t="s">
        <v>1444</v>
      </c>
      <c r="M1298" s="14"/>
      <c r="N1298" s="14" t="s">
        <v>49</v>
      </c>
      <c r="O1298" s="14"/>
      <c r="P1298" s="15" t="s">
        <v>1011</v>
      </c>
      <c r="Q1298" s="16">
        <v>11999</v>
      </c>
      <c r="R1298" s="17">
        <v>45.83</v>
      </c>
      <c r="S1298" s="18">
        <v>7474.9884999999995</v>
      </c>
      <c r="T1298" s="19" t="s">
        <v>846</v>
      </c>
      <c r="U1298" s="20" t="s">
        <v>157</v>
      </c>
      <c r="V1298" s="21">
        <v>41</v>
      </c>
      <c r="W1298" s="21">
        <v>1</v>
      </c>
      <c r="X1298" s="22"/>
    </row>
    <row r="1299" spans="1:24" s="1" customFormat="1" ht="108" customHeight="1" x14ac:dyDescent="0.3">
      <c r="A1299" s="11" t="s">
        <v>1355</v>
      </c>
      <c r="B1299" s="11" t="s">
        <v>1439</v>
      </c>
      <c r="C1299" s="12" t="s">
        <v>1445</v>
      </c>
      <c r="D1299" s="24"/>
      <c r="E1299" s="69" t="str">
        <f>HYPERLINK("https://www.google.ru/search?q=273445-WHBK&amp;newwindow=1&amp;tbm=isch","Еще фото")</f>
        <v>Еще фото</v>
      </c>
      <c r="F1299" s="13"/>
      <c r="G1299" s="11" t="s">
        <v>394</v>
      </c>
      <c r="H1299" s="11" t="s">
        <v>151</v>
      </c>
      <c r="I1299" s="14" t="s">
        <v>395</v>
      </c>
      <c r="J1299" s="14" t="s">
        <v>879</v>
      </c>
      <c r="K1299" s="15" t="s">
        <v>55</v>
      </c>
      <c r="L1299" s="14" t="s">
        <v>1441</v>
      </c>
      <c r="M1299" s="14"/>
      <c r="N1299" s="14" t="s">
        <v>767</v>
      </c>
      <c r="O1299" s="14"/>
      <c r="P1299" s="15" t="s">
        <v>1011</v>
      </c>
      <c r="Q1299" s="16">
        <v>11999</v>
      </c>
      <c r="R1299" s="17">
        <v>45.83</v>
      </c>
      <c r="S1299" s="18">
        <v>7474.9884999999995</v>
      </c>
      <c r="T1299" s="19" t="s">
        <v>846</v>
      </c>
      <c r="U1299" s="20" t="s">
        <v>435</v>
      </c>
      <c r="V1299" s="30">
        <v>41.5</v>
      </c>
      <c r="W1299" s="21">
        <v>1</v>
      </c>
      <c r="X1299" s="22"/>
    </row>
    <row r="1300" spans="1:24" s="1" customFormat="1" ht="108" customHeight="1" x14ac:dyDescent="0.3">
      <c r="A1300" s="11" t="s">
        <v>1355</v>
      </c>
      <c r="B1300" s="11" t="s">
        <v>1446</v>
      </c>
      <c r="C1300" s="12" t="s">
        <v>1447</v>
      </c>
      <c r="D1300" s="24"/>
      <c r="E1300" s="69" t="str">
        <f>HYPERLINK("https://www.google.ru/search?q=273143-FGLN&amp;newwindow=1&amp;tbm=isch","Еще фото")</f>
        <v>Еще фото</v>
      </c>
      <c r="F1300" s="13"/>
      <c r="G1300" s="11" t="s">
        <v>394</v>
      </c>
      <c r="H1300" s="11" t="s">
        <v>151</v>
      </c>
      <c r="I1300" s="14" t="s">
        <v>395</v>
      </c>
      <c r="J1300" s="14" t="s">
        <v>879</v>
      </c>
      <c r="K1300" s="15" t="s">
        <v>55</v>
      </c>
      <c r="L1300" s="14" t="s">
        <v>1448</v>
      </c>
      <c r="M1300" s="14"/>
      <c r="N1300" s="14" t="s">
        <v>1076</v>
      </c>
      <c r="O1300" s="14"/>
      <c r="P1300" s="15" t="s">
        <v>108</v>
      </c>
      <c r="Q1300" s="16">
        <v>13999</v>
      </c>
      <c r="R1300" s="17">
        <v>45.71</v>
      </c>
      <c r="S1300" s="18">
        <v>8739.9884999999995</v>
      </c>
      <c r="T1300" s="19" t="s">
        <v>846</v>
      </c>
      <c r="U1300" s="20" t="s">
        <v>156</v>
      </c>
      <c r="V1300" s="21">
        <v>40</v>
      </c>
      <c r="W1300" s="21">
        <v>1</v>
      </c>
      <c r="X1300" s="22"/>
    </row>
    <row r="1301" spans="1:24" s="1" customFormat="1" ht="108" customHeight="1" x14ac:dyDescent="0.3">
      <c r="A1301" s="11" t="s">
        <v>1355</v>
      </c>
      <c r="B1301" s="11" t="s">
        <v>1449</v>
      </c>
      <c r="C1301" s="12" t="s">
        <v>1450</v>
      </c>
      <c r="D1301" s="24"/>
      <c r="E1301" s="69" t="str">
        <f>HYPERLINK("https://www.google.ru/search?q=273324-BBWH&amp;newwindow=1&amp;tbm=isch","Еще фото")</f>
        <v>Еще фото</v>
      </c>
      <c r="F1301" s="13"/>
      <c r="G1301" s="11" t="s">
        <v>394</v>
      </c>
      <c r="H1301" s="11" t="s">
        <v>151</v>
      </c>
      <c r="I1301" s="14" t="s">
        <v>395</v>
      </c>
      <c r="J1301" s="14" t="s">
        <v>879</v>
      </c>
      <c r="K1301" s="15" t="s">
        <v>55</v>
      </c>
      <c r="L1301" s="14" t="s">
        <v>1451</v>
      </c>
      <c r="M1301" s="14"/>
      <c r="N1301" s="14" t="s">
        <v>49</v>
      </c>
      <c r="O1301" s="14"/>
      <c r="P1301" s="15" t="s">
        <v>1438</v>
      </c>
      <c r="Q1301" s="16">
        <v>12699</v>
      </c>
      <c r="R1301" s="17">
        <v>45.67</v>
      </c>
      <c r="S1301" s="18">
        <v>7934.9884999999995</v>
      </c>
      <c r="T1301" s="19" t="s">
        <v>846</v>
      </c>
      <c r="U1301" s="20" t="s">
        <v>907</v>
      </c>
      <c r="V1301" s="21">
        <v>44</v>
      </c>
      <c r="W1301" s="21">
        <v>1</v>
      </c>
      <c r="X1301" s="22"/>
    </row>
    <row r="1302" spans="1:24" s="1" customFormat="1" ht="108" customHeight="1" x14ac:dyDescent="0.3">
      <c r="A1302" s="11" t="s">
        <v>1355</v>
      </c>
      <c r="B1302" s="11" t="s">
        <v>1452</v>
      </c>
      <c r="C1302" s="12" t="s">
        <v>1453</v>
      </c>
      <c r="D1302" s="24"/>
      <c r="E1302" s="69" t="str">
        <f>HYPERLINK("https://www.google.ru/search?q=274114-DBLB&amp;newwindow=1&amp;tbm=isch","Еще фото")</f>
        <v>Еще фото</v>
      </c>
      <c r="F1302" s="13"/>
      <c r="G1302" s="11" t="s">
        <v>394</v>
      </c>
      <c r="H1302" s="11" t="s">
        <v>151</v>
      </c>
      <c r="I1302" s="14" t="s">
        <v>395</v>
      </c>
      <c r="J1302" s="14" t="s">
        <v>879</v>
      </c>
      <c r="K1302" s="15" t="s">
        <v>47</v>
      </c>
      <c r="L1302" s="14" t="s">
        <v>1454</v>
      </c>
      <c r="M1302" s="14"/>
      <c r="N1302" s="14" t="s">
        <v>70</v>
      </c>
      <c r="O1302" s="14"/>
      <c r="P1302" s="15" t="s">
        <v>1438</v>
      </c>
      <c r="Q1302" s="16">
        <v>14499</v>
      </c>
      <c r="R1302" s="17">
        <v>45.51</v>
      </c>
      <c r="S1302" s="18">
        <v>9084.9884999999995</v>
      </c>
      <c r="T1302" s="19" t="s">
        <v>846</v>
      </c>
      <c r="U1302" s="20" t="s">
        <v>847</v>
      </c>
      <c r="V1302" s="30">
        <v>36.5</v>
      </c>
      <c r="W1302" s="21">
        <v>1</v>
      </c>
      <c r="X1302" s="22"/>
    </row>
    <row r="1303" spans="1:24" s="1" customFormat="1" ht="108" customHeight="1" x14ac:dyDescent="0.3">
      <c r="A1303" s="11" t="s">
        <v>1355</v>
      </c>
      <c r="B1303" s="11" t="s">
        <v>1455</v>
      </c>
      <c r="C1303" s="12" t="s">
        <v>1456</v>
      </c>
      <c r="D1303" s="24"/>
      <c r="E1303" s="69" t="str">
        <f>HYPERLINK("https://www.google.ru/search?q=273325-NVLI&amp;newwindow=1&amp;tbm=isch","Еще фото")</f>
        <v>Еще фото</v>
      </c>
      <c r="F1303" s="13"/>
      <c r="G1303" s="11" t="s">
        <v>394</v>
      </c>
      <c r="H1303" s="11" t="s">
        <v>151</v>
      </c>
      <c r="I1303" s="14" t="s">
        <v>395</v>
      </c>
      <c r="J1303" s="14" t="s">
        <v>879</v>
      </c>
      <c r="K1303" s="15" t="s">
        <v>55</v>
      </c>
      <c r="L1303" s="14" t="s">
        <v>1457</v>
      </c>
      <c r="M1303" s="14"/>
      <c r="N1303" s="14" t="s">
        <v>1076</v>
      </c>
      <c r="O1303" s="14"/>
      <c r="P1303" s="15" t="s">
        <v>1011</v>
      </c>
      <c r="Q1303" s="16">
        <v>13199</v>
      </c>
      <c r="R1303" s="17">
        <v>45.45</v>
      </c>
      <c r="S1303" s="18">
        <v>8279.9884999999995</v>
      </c>
      <c r="T1303" s="19" t="s">
        <v>846</v>
      </c>
      <c r="U1303" s="20" t="s">
        <v>500</v>
      </c>
      <c r="V1303" s="21">
        <v>39</v>
      </c>
      <c r="W1303" s="21">
        <v>1</v>
      </c>
      <c r="X1303" s="22"/>
    </row>
    <row r="1304" spans="1:24" s="1" customFormat="1" ht="108" customHeight="1" x14ac:dyDescent="0.3">
      <c r="A1304" s="11" t="s">
        <v>1355</v>
      </c>
      <c r="B1304" s="11" t="s">
        <v>1458</v>
      </c>
      <c r="C1304" s="12" t="s">
        <v>1459</v>
      </c>
      <c r="D1304" s="24"/>
      <c r="E1304" s="69" t="str">
        <f>HYPERLINK("https://www.google.ru/search?q=273145-LINV&amp;newwindow=1&amp;tbm=isch","Еще фото")</f>
        <v>Еще фото</v>
      </c>
      <c r="F1304" s="13"/>
      <c r="G1304" s="11" t="s">
        <v>394</v>
      </c>
      <c r="H1304" s="11" t="s">
        <v>151</v>
      </c>
      <c r="I1304" s="14" t="s">
        <v>395</v>
      </c>
      <c r="J1304" s="14" t="s">
        <v>879</v>
      </c>
      <c r="K1304" s="15" t="s">
        <v>55</v>
      </c>
      <c r="L1304" s="14" t="s">
        <v>1460</v>
      </c>
      <c r="M1304" s="14"/>
      <c r="N1304" s="14" t="s">
        <v>887</v>
      </c>
      <c r="O1304" s="14"/>
      <c r="P1304" s="15" t="s">
        <v>1011</v>
      </c>
      <c r="Q1304" s="16">
        <v>15899</v>
      </c>
      <c r="R1304" s="17">
        <v>45.28</v>
      </c>
      <c r="S1304" s="18">
        <v>10004.988499999999</v>
      </c>
      <c r="T1304" s="19" t="s">
        <v>846</v>
      </c>
      <c r="U1304" s="20" t="s">
        <v>156</v>
      </c>
      <c r="V1304" s="21">
        <v>40</v>
      </c>
      <c r="W1304" s="21">
        <v>2</v>
      </c>
      <c r="X1304" s="22"/>
    </row>
    <row r="1305" spans="1:24" s="1" customFormat="1" ht="108" customHeight="1" x14ac:dyDescent="0.3">
      <c r="A1305" s="11" t="s">
        <v>1355</v>
      </c>
      <c r="B1305" s="11" t="s">
        <v>1461</v>
      </c>
      <c r="C1305" s="12" t="s">
        <v>1462</v>
      </c>
      <c r="D1305" s="24"/>
      <c r="E1305" s="69" t="str">
        <f>HYPERLINK("https://www.google.ru/search?q=274205-BKPL&amp;newwindow=1&amp;tbm=isch","Еще фото")</f>
        <v>Еще фото</v>
      </c>
      <c r="F1305" s="13"/>
      <c r="G1305" s="11" t="s">
        <v>394</v>
      </c>
      <c r="H1305" s="11" t="s">
        <v>151</v>
      </c>
      <c r="I1305" s="14" t="s">
        <v>395</v>
      </c>
      <c r="J1305" s="14" t="s">
        <v>879</v>
      </c>
      <c r="K1305" s="15" t="s">
        <v>47</v>
      </c>
      <c r="L1305" s="14" t="s">
        <v>1463</v>
      </c>
      <c r="M1305" s="14"/>
      <c r="N1305" s="14" t="s">
        <v>1464</v>
      </c>
      <c r="O1305" s="14"/>
      <c r="P1305" s="15" t="s">
        <v>1011</v>
      </c>
      <c r="Q1305" s="16">
        <v>15899</v>
      </c>
      <c r="R1305" s="17">
        <v>45.28</v>
      </c>
      <c r="S1305" s="18">
        <v>10004.988499999999</v>
      </c>
      <c r="T1305" s="19" t="s">
        <v>846</v>
      </c>
      <c r="U1305" s="20" t="s">
        <v>849</v>
      </c>
      <c r="V1305" s="21">
        <v>38</v>
      </c>
      <c r="W1305" s="21">
        <v>1</v>
      </c>
      <c r="X1305" s="22"/>
    </row>
    <row r="1306" spans="1:24" s="1" customFormat="1" ht="17.100000000000001" customHeight="1" x14ac:dyDescent="0.3">
      <c r="A1306" s="11" t="s">
        <v>1355</v>
      </c>
      <c r="B1306" s="11" t="s">
        <v>1465</v>
      </c>
      <c r="C1306" s="12" t="s">
        <v>1466</v>
      </c>
      <c r="D1306" s="83"/>
      <c r="E1306" s="69" t="str">
        <f t="shared" ref="E1306:E1311" si="69">HYPERLINK("https://www.google.ru/search?q=273066-NVDB&amp;newwindow=1&amp;tbm=isch","Еще фото")</f>
        <v>Еще фото</v>
      </c>
      <c r="F1306" s="31" t="s">
        <v>738</v>
      </c>
      <c r="G1306" s="11" t="s">
        <v>394</v>
      </c>
      <c r="H1306" s="11" t="s">
        <v>151</v>
      </c>
      <c r="I1306" s="14" t="s">
        <v>395</v>
      </c>
      <c r="J1306" s="14" t="s">
        <v>879</v>
      </c>
      <c r="K1306" s="15" t="s">
        <v>55</v>
      </c>
      <c r="L1306" s="86"/>
      <c r="M1306" s="14"/>
      <c r="N1306" s="14" t="s">
        <v>70</v>
      </c>
      <c r="O1306" s="14"/>
      <c r="P1306" s="15" t="s">
        <v>1011</v>
      </c>
      <c r="Q1306" s="16">
        <v>17999</v>
      </c>
      <c r="R1306" s="17">
        <v>30</v>
      </c>
      <c r="S1306" s="18">
        <v>14489.194999999998</v>
      </c>
      <c r="T1306" s="19" t="s">
        <v>846</v>
      </c>
      <c r="U1306" s="20" t="s">
        <v>854</v>
      </c>
      <c r="V1306" s="30">
        <v>39.5</v>
      </c>
      <c r="W1306" s="21">
        <v>2</v>
      </c>
      <c r="X1306" s="22"/>
    </row>
    <row r="1307" spans="1:24" s="1" customFormat="1" ht="17.100000000000001" customHeight="1" x14ac:dyDescent="0.3">
      <c r="A1307" s="23" t="s">
        <v>1355</v>
      </c>
      <c r="B1307" s="23" t="s">
        <v>1465</v>
      </c>
      <c r="C1307" s="12" t="s">
        <v>1466</v>
      </c>
      <c r="D1307" s="84"/>
      <c r="E1307" s="69" t="str">
        <f t="shared" si="69"/>
        <v>Еще фото</v>
      </c>
      <c r="F1307" s="31" t="s">
        <v>738</v>
      </c>
      <c r="G1307" s="23" t="s">
        <v>394</v>
      </c>
      <c r="H1307" s="23" t="s">
        <v>151</v>
      </c>
      <c r="I1307" s="23" t="s">
        <v>395</v>
      </c>
      <c r="J1307" s="14" t="s">
        <v>879</v>
      </c>
      <c r="K1307" s="15" t="s">
        <v>55</v>
      </c>
      <c r="L1307" s="87"/>
      <c r="M1307" s="14"/>
      <c r="N1307" s="14" t="s">
        <v>70</v>
      </c>
      <c r="O1307" s="14"/>
      <c r="P1307" s="15" t="s">
        <v>1011</v>
      </c>
      <c r="Q1307" s="16">
        <v>17999</v>
      </c>
      <c r="R1307" s="17">
        <v>30</v>
      </c>
      <c r="S1307" s="18">
        <v>14489.194999999998</v>
      </c>
      <c r="T1307" s="19" t="s">
        <v>846</v>
      </c>
      <c r="U1307" s="20" t="s">
        <v>156</v>
      </c>
      <c r="V1307" s="21">
        <v>40</v>
      </c>
      <c r="W1307" s="21">
        <v>1</v>
      </c>
      <c r="X1307" s="22"/>
    </row>
    <row r="1308" spans="1:24" s="1" customFormat="1" ht="17.100000000000001" customHeight="1" x14ac:dyDescent="0.3">
      <c r="A1308" s="23" t="s">
        <v>1355</v>
      </c>
      <c r="B1308" s="23" t="s">
        <v>1465</v>
      </c>
      <c r="C1308" s="12" t="s">
        <v>1466</v>
      </c>
      <c r="D1308" s="84"/>
      <c r="E1308" s="69" t="str">
        <f t="shared" si="69"/>
        <v>Еще фото</v>
      </c>
      <c r="F1308" s="31" t="s">
        <v>738</v>
      </c>
      <c r="G1308" s="23" t="s">
        <v>394</v>
      </c>
      <c r="H1308" s="23" t="s">
        <v>151</v>
      </c>
      <c r="I1308" s="23" t="s">
        <v>395</v>
      </c>
      <c r="J1308" s="14" t="s">
        <v>879</v>
      </c>
      <c r="K1308" s="15" t="s">
        <v>55</v>
      </c>
      <c r="L1308" s="87"/>
      <c r="M1308" s="14"/>
      <c r="N1308" s="14" t="s">
        <v>70</v>
      </c>
      <c r="O1308" s="14"/>
      <c r="P1308" s="15" t="s">
        <v>1011</v>
      </c>
      <c r="Q1308" s="16">
        <v>17999</v>
      </c>
      <c r="R1308" s="17">
        <v>30</v>
      </c>
      <c r="S1308" s="18">
        <v>14489.194999999998</v>
      </c>
      <c r="T1308" s="19" t="s">
        <v>846</v>
      </c>
      <c r="U1308" s="20" t="s">
        <v>436</v>
      </c>
      <c r="V1308" s="21">
        <v>43</v>
      </c>
      <c r="W1308" s="21">
        <v>2</v>
      </c>
      <c r="X1308" s="22"/>
    </row>
    <row r="1309" spans="1:24" s="1" customFormat="1" ht="17.100000000000001" customHeight="1" x14ac:dyDescent="0.3">
      <c r="A1309" s="23" t="s">
        <v>1355</v>
      </c>
      <c r="B1309" s="23" t="s">
        <v>1465</v>
      </c>
      <c r="C1309" s="12" t="s">
        <v>1466</v>
      </c>
      <c r="D1309" s="84"/>
      <c r="E1309" s="69" t="str">
        <f t="shared" si="69"/>
        <v>Еще фото</v>
      </c>
      <c r="F1309" s="31" t="s">
        <v>738</v>
      </c>
      <c r="G1309" s="23" t="s">
        <v>394</v>
      </c>
      <c r="H1309" s="23" t="s">
        <v>151</v>
      </c>
      <c r="I1309" s="23" t="s">
        <v>395</v>
      </c>
      <c r="J1309" s="14" t="s">
        <v>879</v>
      </c>
      <c r="K1309" s="15" t="s">
        <v>55</v>
      </c>
      <c r="L1309" s="87"/>
      <c r="M1309" s="14"/>
      <c r="N1309" s="14" t="s">
        <v>70</v>
      </c>
      <c r="O1309" s="14"/>
      <c r="P1309" s="15" t="s">
        <v>1011</v>
      </c>
      <c r="Q1309" s="16">
        <v>17999</v>
      </c>
      <c r="R1309" s="17">
        <v>30</v>
      </c>
      <c r="S1309" s="18">
        <v>14489.194999999998</v>
      </c>
      <c r="T1309" s="19" t="s">
        <v>846</v>
      </c>
      <c r="U1309" s="20" t="s">
        <v>163</v>
      </c>
      <c r="V1309" s="30">
        <v>43.5</v>
      </c>
      <c r="W1309" s="21">
        <v>4</v>
      </c>
      <c r="X1309" s="22"/>
    </row>
    <row r="1310" spans="1:24" s="1" customFormat="1" ht="17.100000000000001" customHeight="1" x14ac:dyDescent="0.3">
      <c r="A1310" s="23" t="s">
        <v>1355</v>
      </c>
      <c r="B1310" s="23" t="s">
        <v>1465</v>
      </c>
      <c r="C1310" s="12" t="s">
        <v>1466</v>
      </c>
      <c r="D1310" s="84"/>
      <c r="E1310" s="69" t="str">
        <f t="shared" si="69"/>
        <v>Еще фото</v>
      </c>
      <c r="F1310" s="31" t="s">
        <v>738</v>
      </c>
      <c r="G1310" s="23" t="s">
        <v>394</v>
      </c>
      <c r="H1310" s="23" t="s">
        <v>151</v>
      </c>
      <c r="I1310" s="23" t="s">
        <v>395</v>
      </c>
      <c r="J1310" s="14" t="s">
        <v>879</v>
      </c>
      <c r="K1310" s="15" t="s">
        <v>55</v>
      </c>
      <c r="L1310" s="87"/>
      <c r="M1310" s="14"/>
      <c r="N1310" s="14" t="s">
        <v>70</v>
      </c>
      <c r="O1310" s="14"/>
      <c r="P1310" s="15" t="s">
        <v>1011</v>
      </c>
      <c r="Q1310" s="16">
        <v>17999</v>
      </c>
      <c r="R1310" s="17">
        <v>30</v>
      </c>
      <c r="S1310" s="18">
        <v>14489.194999999998</v>
      </c>
      <c r="T1310" s="19" t="s">
        <v>846</v>
      </c>
      <c r="U1310" s="20" t="s">
        <v>907</v>
      </c>
      <c r="V1310" s="21">
        <v>44</v>
      </c>
      <c r="W1310" s="21">
        <v>1</v>
      </c>
      <c r="X1310" s="22"/>
    </row>
    <row r="1311" spans="1:24" s="1" customFormat="1" ht="21.95" customHeight="1" x14ac:dyDescent="0.3">
      <c r="A1311" s="23" t="s">
        <v>1355</v>
      </c>
      <c r="B1311" s="23" t="s">
        <v>1465</v>
      </c>
      <c r="C1311" s="12" t="s">
        <v>1466</v>
      </c>
      <c r="D1311" s="85"/>
      <c r="E1311" s="69" t="str">
        <f t="shared" si="69"/>
        <v>Еще фото</v>
      </c>
      <c r="F1311" s="31" t="s">
        <v>738</v>
      </c>
      <c r="G1311" s="23" t="s">
        <v>394</v>
      </c>
      <c r="H1311" s="23" t="s">
        <v>151</v>
      </c>
      <c r="I1311" s="23" t="s">
        <v>395</v>
      </c>
      <c r="J1311" s="14" t="s">
        <v>879</v>
      </c>
      <c r="K1311" s="15" t="s">
        <v>55</v>
      </c>
      <c r="L1311" s="88"/>
      <c r="M1311" s="14"/>
      <c r="N1311" s="14" t="s">
        <v>70</v>
      </c>
      <c r="O1311" s="14"/>
      <c r="P1311" s="15" t="s">
        <v>1011</v>
      </c>
      <c r="Q1311" s="16">
        <v>17999</v>
      </c>
      <c r="R1311" s="17">
        <v>30</v>
      </c>
      <c r="S1311" s="18">
        <v>14489.194999999998</v>
      </c>
      <c r="T1311" s="19" t="s">
        <v>846</v>
      </c>
      <c r="U1311" s="20" t="s">
        <v>941</v>
      </c>
      <c r="V1311" s="30">
        <v>45.5</v>
      </c>
      <c r="W1311" s="21">
        <v>2</v>
      </c>
      <c r="X1311" s="22"/>
    </row>
    <row r="1312" spans="1:24" s="1" customFormat="1" ht="51.95" customHeight="1" x14ac:dyDescent="0.3">
      <c r="A1312" s="11" t="s">
        <v>1355</v>
      </c>
      <c r="B1312" s="11" t="s">
        <v>1467</v>
      </c>
      <c r="C1312" s="12" t="s">
        <v>1468</v>
      </c>
      <c r="D1312" s="89"/>
      <c r="E1312" s="69" t="str">
        <f>HYPERLINK("https://www.google.ru/search?q=273114-DGBL&amp;newwindow=1&amp;tbm=isch","Еще фото")</f>
        <v>Еще фото</v>
      </c>
      <c r="F1312" s="13"/>
      <c r="G1312" s="11" t="s">
        <v>394</v>
      </c>
      <c r="H1312" s="11" t="s">
        <v>151</v>
      </c>
      <c r="I1312" s="14" t="s">
        <v>395</v>
      </c>
      <c r="J1312" s="14" t="s">
        <v>879</v>
      </c>
      <c r="K1312" s="15" t="s">
        <v>55</v>
      </c>
      <c r="L1312" s="86" t="s">
        <v>1469</v>
      </c>
      <c r="M1312" s="14"/>
      <c r="N1312" s="14" t="s">
        <v>1470</v>
      </c>
      <c r="O1312" s="14"/>
      <c r="P1312" s="15" t="s">
        <v>1438</v>
      </c>
      <c r="Q1312" s="16">
        <v>14499</v>
      </c>
      <c r="R1312" s="17">
        <v>30</v>
      </c>
      <c r="S1312" s="18">
        <v>11671.694999999998</v>
      </c>
      <c r="T1312" s="19" t="s">
        <v>846</v>
      </c>
      <c r="U1312" s="20" t="s">
        <v>157</v>
      </c>
      <c r="V1312" s="21">
        <v>41</v>
      </c>
      <c r="W1312" s="21">
        <v>2</v>
      </c>
      <c r="X1312" s="22"/>
    </row>
    <row r="1313" spans="1:24" s="1" customFormat="1" ht="60.95" customHeight="1" x14ac:dyDescent="0.3">
      <c r="A1313" s="23" t="s">
        <v>1355</v>
      </c>
      <c r="B1313" s="23" t="s">
        <v>1467</v>
      </c>
      <c r="C1313" s="12" t="s">
        <v>1468</v>
      </c>
      <c r="D1313" s="90"/>
      <c r="E1313" s="69" t="str">
        <f>HYPERLINK("https://www.google.ru/search?q=273114-DGBL&amp;newwindow=1&amp;tbm=isch","Еще фото")</f>
        <v>Еще фото</v>
      </c>
      <c r="F1313" s="13"/>
      <c r="G1313" s="23" t="s">
        <v>394</v>
      </c>
      <c r="H1313" s="23" t="s">
        <v>151</v>
      </c>
      <c r="I1313" s="23" t="s">
        <v>395</v>
      </c>
      <c r="J1313" s="14" t="s">
        <v>879</v>
      </c>
      <c r="K1313" s="15" t="s">
        <v>55</v>
      </c>
      <c r="L1313" s="88"/>
      <c r="M1313" s="14"/>
      <c r="N1313" s="14" t="s">
        <v>1470</v>
      </c>
      <c r="O1313" s="14"/>
      <c r="P1313" s="15" t="s">
        <v>1438</v>
      </c>
      <c r="Q1313" s="16">
        <v>14499</v>
      </c>
      <c r="R1313" s="17">
        <v>30</v>
      </c>
      <c r="S1313" s="18">
        <v>11671.694999999998</v>
      </c>
      <c r="T1313" s="19" t="s">
        <v>846</v>
      </c>
      <c r="U1313" s="20" t="s">
        <v>162</v>
      </c>
      <c r="V1313" s="21">
        <v>42</v>
      </c>
      <c r="W1313" s="21">
        <v>1</v>
      </c>
      <c r="X1313" s="22"/>
    </row>
    <row r="1314" spans="1:24" s="1" customFormat="1" ht="51.95" customHeight="1" x14ac:dyDescent="0.3">
      <c r="A1314" s="11" t="s">
        <v>1355</v>
      </c>
      <c r="B1314" s="11" t="s">
        <v>1439</v>
      </c>
      <c r="C1314" s="12" t="s">
        <v>1471</v>
      </c>
      <c r="D1314" s="89"/>
      <c r="E1314" s="69" t="str">
        <f>HYPERLINK("https://www.google.ru/search?q=273425-NVLI&amp;newwindow=1&amp;tbm=isch","Еще фото")</f>
        <v>Еще фото</v>
      </c>
      <c r="F1314" s="13"/>
      <c r="G1314" s="11" t="s">
        <v>394</v>
      </c>
      <c r="H1314" s="11" t="s">
        <v>151</v>
      </c>
      <c r="I1314" s="14" t="s">
        <v>395</v>
      </c>
      <c r="J1314" s="14" t="s">
        <v>879</v>
      </c>
      <c r="K1314" s="15" t="s">
        <v>55</v>
      </c>
      <c r="L1314" s="86" t="s">
        <v>1441</v>
      </c>
      <c r="M1314" s="14"/>
      <c r="N1314" s="14" t="s">
        <v>1076</v>
      </c>
      <c r="O1314" s="14"/>
      <c r="P1314" s="15" t="s">
        <v>1011</v>
      </c>
      <c r="Q1314" s="16">
        <v>11999</v>
      </c>
      <c r="R1314" s="17">
        <v>30</v>
      </c>
      <c r="S1314" s="18">
        <v>9659.1949999999979</v>
      </c>
      <c r="T1314" s="19" t="s">
        <v>846</v>
      </c>
      <c r="U1314" s="20" t="s">
        <v>162</v>
      </c>
      <c r="V1314" s="21">
        <v>42</v>
      </c>
      <c r="W1314" s="21">
        <v>2</v>
      </c>
      <c r="X1314" s="22"/>
    </row>
    <row r="1315" spans="1:24" s="1" customFormat="1" ht="60.95" customHeight="1" x14ac:dyDescent="0.3">
      <c r="A1315" s="23" t="s">
        <v>1355</v>
      </c>
      <c r="B1315" s="23" t="s">
        <v>1439</v>
      </c>
      <c r="C1315" s="12" t="s">
        <v>1471</v>
      </c>
      <c r="D1315" s="90"/>
      <c r="E1315" s="69" t="str">
        <f>HYPERLINK("https://www.google.ru/search?q=273425-NVLI&amp;newwindow=1&amp;tbm=isch","Еще фото")</f>
        <v>Еще фото</v>
      </c>
      <c r="F1315" s="13"/>
      <c r="G1315" s="23" t="s">
        <v>394</v>
      </c>
      <c r="H1315" s="23" t="s">
        <v>151</v>
      </c>
      <c r="I1315" s="23" t="s">
        <v>395</v>
      </c>
      <c r="J1315" s="14" t="s">
        <v>879</v>
      </c>
      <c r="K1315" s="15" t="s">
        <v>55</v>
      </c>
      <c r="L1315" s="88"/>
      <c r="M1315" s="14"/>
      <c r="N1315" s="14" t="s">
        <v>1076</v>
      </c>
      <c r="O1315" s="14"/>
      <c r="P1315" s="15" t="s">
        <v>1011</v>
      </c>
      <c r="Q1315" s="16">
        <v>11999</v>
      </c>
      <c r="R1315" s="17">
        <v>30</v>
      </c>
      <c r="S1315" s="18">
        <v>9659.1949999999979</v>
      </c>
      <c r="T1315" s="19" t="s">
        <v>846</v>
      </c>
      <c r="U1315" s="20" t="s">
        <v>907</v>
      </c>
      <c r="V1315" s="21">
        <v>44</v>
      </c>
      <c r="W1315" s="21">
        <v>1</v>
      </c>
      <c r="X1315" s="22"/>
    </row>
    <row r="1316" spans="1:24" s="1" customFormat="1" ht="17.100000000000001" customHeight="1" x14ac:dyDescent="0.3">
      <c r="A1316" s="11" t="s">
        <v>1355</v>
      </c>
      <c r="B1316" s="11" t="s">
        <v>1472</v>
      </c>
      <c r="C1316" s="12" t="s">
        <v>1473</v>
      </c>
      <c r="D1316" s="83"/>
      <c r="E1316" s="69" t="str">
        <f t="shared" ref="E1316:E1321" si="70">HYPERLINK("https://www.google.ru/search?q=273636-DBCG&amp;newwindow=1&amp;tbm=isch","Еще фото")</f>
        <v>Еще фото</v>
      </c>
      <c r="F1316" s="31" t="s">
        <v>738</v>
      </c>
      <c r="G1316" s="11" t="s">
        <v>394</v>
      </c>
      <c r="H1316" s="11" t="s">
        <v>151</v>
      </c>
      <c r="I1316" s="14" t="s">
        <v>395</v>
      </c>
      <c r="J1316" s="14" t="s">
        <v>917</v>
      </c>
      <c r="K1316" s="15" t="s">
        <v>55</v>
      </c>
      <c r="L1316" s="86"/>
      <c r="M1316" s="14"/>
      <c r="N1316" s="14" t="s">
        <v>70</v>
      </c>
      <c r="O1316" s="14"/>
      <c r="P1316" s="15" t="s">
        <v>1474</v>
      </c>
      <c r="Q1316" s="16">
        <v>15999</v>
      </c>
      <c r="R1316" s="17">
        <v>30</v>
      </c>
      <c r="S1316" s="18">
        <v>12879.194999999998</v>
      </c>
      <c r="T1316" s="19" t="s">
        <v>846</v>
      </c>
      <c r="U1316" s="20" t="s">
        <v>157</v>
      </c>
      <c r="V1316" s="21">
        <v>41</v>
      </c>
      <c r="W1316" s="21">
        <v>1</v>
      </c>
      <c r="X1316" s="22"/>
    </row>
    <row r="1317" spans="1:24" s="1" customFormat="1" ht="17.100000000000001" customHeight="1" x14ac:dyDescent="0.3">
      <c r="A1317" s="23" t="s">
        <v>1355</v>
      </c>
      <c r="B1317" s="23" t="s">
        <v>1472</v>
      </c>
      <c r="C1317" s="12" t="s">
        <v>1473</v>
      </c>
      <c r="D1317" s="84"/>
      <c r="E1317" s="69" t="str">
        <f t="shared" si="70"/>
        <v>Еще фото</v>
      </c>
      <c r="F1317" s="31" t="s">
        <v>738</v>
      </c>
      <c r="G1317" s="23" t="s">
        <v>394</v>
      </c>
      <c r="H1317" s="23" t="s">
        <v>151</v>
      </c>
      <c r="I1317" s="23" t="s">
        <v>395</v>
      </c>
      <c r="J1317" s="14" t="s">
        <v>917</v>
      </c>
      <c r="K1317" s="15" t="s">
        <v>55</v>
      </c>
      <c r="L1317" s="87"/>
      <c r="M1317" s="14"/>
      <c r="N1317" s="14" t="s">
        <v>70</v>
      </c>
      <c r="O1317" s="14"/>
      <c r="P1317" s="15" t="s">
        <v>1474</v>
      </c>
      <c r="Q1317" s="16">
        <v>15999</v>
      </c>
      <c r="R1317" s="17">
        <v>30</v>
      </c>
      <c r="S1317" s="18">
        <v>12879.194999999998</v>
      </c>
      <c r="T1317" s="19" t="s">
        <v>846</v>
      </c>
      <c r="U1317" s="20" t="s">
        <v>435</v>
      </c>
      <c r="V1317" s="30">
        <v>41.5</v>
      </c>
      <c r="W1317" s="21">
        <v>2</v>
      </c>
      <c r="X1317" s="22"/>
    </row>
    <row r="1318" spans="1:24" s="1" customFormat="1" ht="17.100000000000001" customHeight="1" x14ac:dyDescent="0.3">
      <c r="A1318" s="23" t="s">
        <v>1355</v>
      </c>
      <c r="B1318" s="23" t="s">
        <v>1472</v>
      </c>
      <c r="C1318" s="12" t="s">
        <v>1473</v>
      </c>
      <c r="D1318" s="84"/>
      <c r="E1318" s="69" t="str">
        <f t="shared" si="70"/>
        <v>Еще фото</v>
      </c>
      <c r="F1318" s="31" t="s">
        <v>738</v>
      </c>
      <c r="G1318" s="23" t="s">
        <v>394</v>
      </c>
      <c r="H1318" s="23" t="s">
        <v>151</v>
      </c>
      <c r="I1318" s="23" t="s">
        <v>395</v>
      </c>
      <c r="J1318" s="14" t="s">
        <v>917</v>
      </c>
      <c r="K1318" s="15" t="s">
        <v>55</v>
      </c>
      <c r="L1318" s="87"/>
      <c r="M1318" s="14"/>
      <c r="N1318" s="14" t="s">
        <v>70</v>
      </c>
      <c r="O1318" s="14"/>
      <c r="P1318" s="15" t="s">
        <v>1474</v>
      </c>
      <c r="Q1318" s="16">
        <v>15999</v>
      </c>
      <c r="R1318" s="17">
        <v>30</v>
      </c>
      <c r="S1318" s="18">
        <v>12879.194999999998</v>
      </c>
      <c r="T1318" s="19" t="s">
        <v>846</v>
      </c>
      <c r="U1318" s="20" t="s">
        <v>162</v>
      </c>
      <c r="V1318" s="21">
        <v>42</v>
      </c>
      <c r="W1318" s="21">
        <v>5</v>
      </c>
      <c r="X1318" s="22"/>
    </row>
    <row r="1319" spans="1:24" s="1" customFormat="1" ht="17.100000000000001" customHeight="1" x14ac:dyDescent="0.3">
      <c r="A1319" s="23" t="s">
        <v>1355</v>
      </c>
      <c r="B1319" s="23" t="s">
        <v>1472</v>
      </c>
      <c r="C1319" s="12" t="s">
        <v>1473</v>
      </c>
      <c r="D1319" s="84"/>
      <c r="E1319" s="69" t="str">
        <f t="shared" si="70"/>
        <v>Еще фото</v>
      </c>
      <c r="F1319" s="31" t="s">
        <v>738</v>
      </c>
      <c r="G1319" s="23" t="s">
        <v>394</v>
      </c>
      <c r="H1319" s="23" t="s">
        <v>151</v>
      </c>
      <c r="I1319" s="23" t="s">
        <v>395</v>
      </c>
      <c r="J1319" s="14" t="s">
        <v>917</v>
      </c>
      <c r="K1319" s="15" t="s">
        <v>55</v>
      </c>
      <c r="L1319" s="87"/>
      <c r="M1319" s="14"/>
      <c r="N1319" s="14" t="s">
        <v>70</v>
      </c>
      <c r="O1319" s="14"/>
      <c r="P1319" s="15" t="s">
        <v>1474</v>
      </c>
      <c r="Q1319" s="16">
        <v>15999</v>
      </c>
      <c r="R1319" s="17">
        <v>30</v>
      </c>
      <c r="S1319" s="18">
        <v>12879.194999999998</v>
      </c>
      <c r="T1319" s="19" t="s">
        <v>846</v>
      </c>
      <c r="U1319" s="20" t="s">
        <v>436</v>
      </c>
      <c r="V1319" s="21">
        <v>43</v>
      </c>
      <c r="W1319" s="21">
        <v>4</v>
      </c>
      <c r="X1319" s="22"/>
    </row>
    <row r="1320" spans="1:24" s="1" customFormat="1" ht="17.100000000000001" customHeight="1" x14ac:dyDescent="0.3">
      <c r="A1320" s="23" t="s">
        <v>1355</v>
      </c>
      <c r="B1320" s="23" t="s">
        <v>1472</v>
      </c>
      <c r="C1320" s="12" t="s">
        <v>1473</v>
      </c>
      <c r="D1320" s="84"/>
      <c r="E1320" s="69" t="str">
        <f t="shared" si="70"/>
        <v>Еще фото</v>
      </c>
      <c r="F1320" s="31" t="s">
        <v>738</v>
      </c>
      <c r="G1320" s="23" t="s">
        <v>394</v>
      </c>
      <c r="H1320" s="23" t="s">
        <v>151</v>
      </c>
      <c r="I1320" s="23" t="s">
        <v>395</v>
      </c>
      <c r="J1320" s="14" t="s">
        <v>917</v>
      </c>
      <c r="K1320" s="15" t="s">
        <v>55</v>
      </c>
      <c r="L1320" s="87"/>
      <c r="M1320" s="14"/>
      <c r="N1320" s="14" t="s">
        <v>70</v>
      </c>
      <c r="O1320" s="14"/>
      <c r="P1320" s="15" t="s">
        <v>1474</v>
      </c>
      <c r="Q1320" s="16">
        <v>15999</v>
      </c>
      <c r="R1320" s="17">
        <v>30</v>
      </c>
      <c r="S1320" s="18">
        <v>12879.194999999998</v>
      </c>
      <c r="T1320" s="19" t="s">
        <v>846</v>
      </c>
      <c r="U1320" s="20" t="s">
        <v>163</v>
      </c>
      <c r="V1320" s="30">
        <v>43.5</v>
      </c>
      <c r="W1320" s="21">
        <v>2</v>
      </c>
      <c r="X1320" s="22"/>
    </row>
    <row r="1321" spans="1:24" s="1" customFormat="1" ht="21.95" customHeight="1" x14ac:dyDescent="0.3">
      <c r="A1321" s="23" t="s">
        <v>1355</v>
      </c>
      <c r="B1321" s="23" t="s">
        <v>1472</v>
      </c>
      <c r="C1321" s="12" t="s">
        <v>1473</v>
      </c>
      <c r="D1321" s="85"/>
      <c r="E1321" s="69" t="str">
        <f t="shared" si="70"/>
        <v>Еще фото</v>
      </c>
      <c r="F1321" s="31" t="s">
        <v>738</v>
      </c>
      <c r="G1321" s="23" t="s">
        <v>394</v>
      </c>
      <c r="H1321" s="23" t="s">
        <v>151</v>
      </c>
      <c r="I1321" s="23" t="s">
        <v>395</v>
      </c>
      <c r="J1321" s="14" t="s">
        <v>917</v>
      </c>
      <c r="K1321" s="15" t="s">
        <v>55</v>
      </c>
      <c r="L1321" s="88"/>
      <c r="M1321" s="14"/>
      <c r="N1321" s="14" t="s">
        <v>70</v>
      </c>
      <c r="O1321" s="14"/>
      <c r="P1321" s="15" t="s">
        <v>1474</v>
      </c>
      <c r="Q1321" s="16">
        <v>15999</v>
      </c>
      <c r="R1321" s="17">
        <v>30</v>
      </c>
      <c r="S1321" s="18">
        <v>12879.194999999998</v>
      </c>
      <c r="T1321" s="19" t="s">
        <v>846</v>
      </c>
      <c r="U1321" s="20" t="s">
        <v>907</v>
      </c>
      <c r="V1321" s="21">
        <v>44</v>
      </c>
      <c r="W1321" s="21">
        <v>3</v>
      </c>
      <c r="X1321" s="22"/>
    </row>
    <row r="1322" spans="1:24" s="1" customFormat="1" ht="35.1" customHeight="1" x14ac:dyDescent="0.3">
      <c r="A1322" s="11" t="s">
        <v>1355</v>
      </c>
      <c r="B1322" s="11" t="s">
        <v>1475</v>
      </c>
      <c r="C1322" s="12" t="s">
        <v>1476</v>
      </c>
      <c r="D1322" s="83"/>
      <c r="E1322" s="69" t="str">
        <f>HYPERLINK("https://www.google.ru/search?q=274104-DBLB&amp;newwindow=1&amp;tbm=isch","Еще фото")</f>
        <v>Еще фото</v>
      </c>
      <c r="F1322" s="13"/>
      <c r="G1322" s="11" t="s">
        <v>394</v>
      </c>
      <c r="H1322" s="11" t="s">
        <v>151</v>
      </c>
      <c r="I1322" s="14" t="s">
        <v>395</v>
      </c>
      <c r="J1322" s="14" t="s">
        <v>879</v>
      </c>
      <c r="K1322" s="15" t="s">
        <v>47</v>
      </c>
      <c r="L1322" s="86" t="s">
        <v>1469</v>
      </c>
      <c r="M1322" s="14"/>
      <c r="N1322" s="14" t="s">
        <v>70</v>
      </c>
      <c r="O1322" s="14"/>
      <c r="P1322" s="15" t="s">
        <v>1438</v>
      </c>
      <c r="Q1322" s="16">
        <v>14499</v>
      </c>
      <c r="R1322" s="17">
        <v>30</v>
      </c>
      <c r="S1322" s="18">
        <v>11671.694999999998</v>
      </c>
      <c r="T1322" s="19" t="s">
        <v>846</v>
      </c>
      <c r="U1322" s="20" t="s">
        <v>847</v>
      </c>
      <c r="V1322" s="30">
        <v>36.5</v>
      </c>
      <c r="W1322" s="21">
        <v>1</v>
      </c>
      <c r="X1322" s="22"/>
    </row>
    <row r="1323" spans="1:24" s="1" customFormat="1" ht="35.1" customHeight="1" x14ac:dyDescent="0.3">
      <c r="A1323" s="23" t="s">
        <v>1355</v>
      </c>
      <c r="B1323" s="23" t="s">
        <v>1475</v>
      </c>
      <c r="C1323" s="12" t="s">
        <v>1476</v>
      </c>
      <c r="D1323" s="84"/>
      <c r="E1323" s="69" t="str">
        <f>HYPERLINK("https://www.google.ru/search?q=274104-DBLB&amp;newwindow=1&amp;tbm=isch","Еще фото")</f>
        <v>Еще фото</v>
      </c>
      <c r="F1323" s="13"/>
      <c r="G1323" s="23" t="s">
        <v>394</v>
      </c>
      <c r="H1323" s="23" t="s">
        <v>151</v>
      </c>
      <c r="I1323" s="23" t="s">
        <v>395</v>
      </c>
      <c r="J1323" s="14" t="s">
        <v>879</v>
      </c>
      <c r="K1323" s="15" t="s">
        <v>47</v>
      </c>
      <c r="L1323" s="87"/>
      <c r="M1323" s="14"/>
      <c r="N1323" s="14" t="s">
        <v>70</v>
      </c>
      <c r="O1323" s="14"/>
      <c r="P1323" s="15" t="s">
        <v>1438</v>
      </c>
      <c r="Q1323" s="16">
        <v>14499</v>
      </c>
      <c r="R1323" s="17">
        <v>30</v>
      </c>
      <c r="S1323" s="18">
        <v>11671.694999999998</v>
      </c>
      <c r="T1323" s="19" t="s">
        <v>846</v>
      </c>
      <c r="U1323" s="20" t="s">
        <v>818</v>
      </c>
      <c r="V1323" s="21">
        <v>37</v>
      </c>
      <c r="W1323" s="21">
        <v>1</v>
      </c>
      <c r="X1323" s="22"/>
    </row>
    <row r="1324" spans="1:24" s="1" customFormat="1" ht="36.950000000000003" customHeight="1" x14ac:dyDescent="0.3">
      <c r="A1324" s="23" t="s">
        <v>1355</v>
      </c>
      <c r="B1324" s="23" t="s">
        <v>1475</v>
      </c>
      <c r="C1324" s="12" t="s">
        <v>1476</v>
      </c>
      <c r="D1324" s="85"/>
      <c r="E1324" s="69" t="str">
        <f>HYPERLINK("https://www.google.ru/search?q=274104-DBLB&amp;newwindow=1&amp;tbm=isch","Еще фото")</f>
        <v>Еще фото</v>
      </c>
      <c r="F1324" s="13"/>
      <c r="G1324" s="23" t="s">
        <v>394</v>
      </c>
      <c r="H1324" s="23" t="s">
        <v>151</v>
      </c>
      <c r="I1324" s="23" t="s">
        <v>395</v>
      </c>
      <c r="J1324" s="14" t="s">
        <v>879</v>
      </c>
      <c r="K1324" s="15" t="s">
        <v>47</v>
      </c>
      <c r="L1324" s="88"/>
      <c r="M1324" s="14"/>
      <c r="N1324" s="14" t="s">
        <v>70</v>
      </c>
      <c r="O1324" s="14"/>
      <c r="P1324" s="15" t="s">
        <v>1438</v>
      </c>
      <c r="Q1324" s="16">
        <v>14499</v>
      </c>
      <c r="R1324" s="17">
        <v>30</v>
      </c>
      <c r="S1324" s="18">
        <v>11671.694999999998</v>
      </c>
      <c r="T1324" s="19" t="s">
        <v>846</v>
      </c>
      <c r="U1324" s="20" t="s">
        <v>848</v>
      </c>
      <c r="V1324" s="30">
        <v>37.5</v>
      </c>
      <c r="W1324" s="21">
        <v>1</v>
      </c>
      <c r="X1324" s="22"/>
    </row>
    <row r="1325" spans="1:24" s="1" customFormat="1" ht="51.95" customHeight="1" x14ac:dyDescent="0.3">
      <c r="A1325" s="11" t="s">
        <v>1355</v>
      </c>
      <c r="B1325" s="11" t="s">
        <v>1477</v>
      </c>
      <c r="C1325" s="12" t="s">
        <v>1478</v>
      </c>
      <c r="D1325" s="89"/>
      <c r="E1325" s="69" t="str">
        <f>HYPERLINK("https://www.google.ru/search?q=274696-WHDE&amp;newwindow=1&amp;tbm=isch","Еще фото")</f>
        <v>Еще фото</v>
      </c>
      <c r="F1325" s="31" t="s">
        <v>738</v>
      </c>
      <c r="G1325" s="11" t="s">
        <v>394</v>
      </c>
      <c r="H1325" s="11" t="s">
        <v>151</v>
      </c>
      <c r="I1325" s="14" t="s">
        <v>395</v>
      </c>
      <c r="J1325" s="14" t="s">
        <v>917</v>
      </c>
      <c r="K1325" s="15" t="s">
        <v>47</v>
      </c>
      <c r="L1325" s="86"/>
      <c r="M1325" s="14"/>
      <c r="N1325" s="14" t="s">
        <v>89</v>
      </c>
      <c r="O1325" s="14"/>
      <c r="P1325" s="15" t="s">
        <v>1474</v>
      </c>
      <c r="Q1325" s="16">
        <v>10999</v>
      </c>
      <c r="R1325" s="17">
        <v>30</v>
      </c>
      <c r="S1325" s="18">
        <v>8854.1949999999997</v>
      </c>
      <c r="T1325" s="19" t="s">
        <v>846</v>
      </c>
      <c r="U1325" s="20" t="s">
        <v>847</v>
      </c>
      <c r="V1325" s="30">
        <v>36.5</v>
      </c>
      <c r="W1325" s="21">
        <v>2</v>
      </c>
      <c r="X1325" s="22"/>
    </row>
    <row r="1326" spans="1:24" s="1" customFormat="1" ht="60.95" customHeight="1" x14ac:dyDescent="0.3">
      <c r="A1326" s="23" t="s">
        <v>1355</v>
      </c>
      <c r="B1326" s="23" t="s">
        <v>1477</v>
      </c>
      <c r="C1326" s="12" t="s">
        <v>1478</v>
      </c>
      <c r="D1326" s="90"/>
      <c r="E1326" s="69" t="str">
        <f>HYPERLINK("https://www.google.ru/search?q=274696-WHDE&amp;newwindow=1&amp;tbm=isch","Еще фото")</f>
        <v>Еще фото</v>
      </c>
      <c r="F1326" s="31" t="s">
        <v>738</v>
      </c>
      <c r="G1326" s="23" t="s">
        <v>394</v>
      </c>
      <c r="H1326" s="23" t="s">
        <v>151</v>
      </c>
      <c r="I1326" s="23" t="s">
        <v>395</v>
      </c>
      <c r="J1326" s="14" t="s">
        <v>917</v>
      </c>
      <c r="K1326" s="15" t="s">
        <v>47</v>
      </c>
      <c r="L1326" s="88"/>
      <c r="M1326" s="14"/>
      <c r="N1326" s="14" t="s">
        <v>89</v>
      </c>
      <c r="O1326" s="14"/>
      <c r="P1326" s="15" t="s">
        <v>1474</v>
      </c>
      <c r="Q1326" s="16">
        <v>10999</v>
      </c>
      <c r="R1326" s="17">
        <v>30</v>
      </c>
      <c r="S1326" s="18">
        <v>8854.1949999999997</v>
      </c>
      <c r="T1326" s="19" t="s">
        <v>846</v>
      </c>
      <c r="U1326" s="20" t="s">
        <v>818</v>
      </c>
      <c r="V1326" s="21">
        <v>37</v>
      </c>
      <c r="W1326" s="21">
        <v>6</v>
      </c>
      <c r="X1326" s="22"/>
    </row>
    <row r="1327" spans="1:24" s="1" customFormat="1" ht="51.95" customHeight="1" x14ac:dyDescent="0.3">
      <c r="A1327" s="11" t="s">
        <v>1355</v>
      </c>
      <c r="B1327" s="11" t="s">
        <v>1479</v>
      </c>
      <c r="C1327" s="12" t="s">
        <v>1480</v>
      </c>
      <c r="D1327" s="89"/>
      <c r="E1327" s="69" t="str">
        <f>HYPERLINK("https://www.google.ru/search?q=275303-BBFC&amp;newwindow=1&amp;tbm=isch","Еще фото")</f>
        <v>Еще фото</v>
      </c>
      <c r="F1327" s="13"/>
      <c r="G1327" s="11" t="s">
        <v>394</v>
      </c>
      <c r="H1327" s="11" t="s">
        <v>151</v>
      </c>
      <c r="I1327" s="14" t="s">
        <v>395</v>
      </c>
      <c r="J1327" s="14" t="s">
        <v>879</v>
      </c>
      <c r="K1327" s="15" t="s">
        <v>30</v>
      </c>
      <c r="L1327" s="86" t="s">
        <v>1481</v>
      </c>
      <c r="M1327" s="14"/>
      <c r="N1327" s="14" t="s">
        <v>70</v>
      </c>
      <c r="O1327" s="14"/>
      <c r="P1327" s="15" t="s">
        <v>1482</v>
      </c>
      <c r="Q1327" s="16">
        <v>9999</v>
      </c>
      <c r="R1327" s="17">
        <v>30</v>
      </c>
      <c r="S1327" s="18">
        <v>8049.1949999999997</v>
      </c>
      <c r="T1327" s="19" t="s">
        <v>846</v>
      </c>
      <c r="U1327" s="20" t="s">
        <v>1483</v>
      </c>
      <c r="V1327" s="30">
        <v>33.5</v>
      </c>
      <c r="W1327" s="21">
        <v>2</v>
      </c>
      <c r="X1327" s="22"/>
    </row>
    <row r="1328" spans="1:24" s="1" customFormat="1" ht="60.95" customHeight="1" x14ac:dyDescent="0.3">
      <c r="A1328" s="23" t="s">
        <v>1355</v>
      </c>
      <c r="B1328" s="23" t="s">
        <v>1479</v>
      </c>
      <c r="C1328" s="12" t="s">
        <v>1480</v>
      </c>
      <c r="D1328" s="90"/>
      <c r="E1328" s="69" t="str">
        <f>HYPERLINK("https://www.google.ru/search?q=275303-BBFC&amp;newwindow=1&amp;tbm=isch","Еще фото")</f>
        <v>Еще фото</v>
      </c>
      <c r="F1328" s="13"/>
      <c r="G1328" s="23" t="s">
        <v>394</v>
      </c>
      <c r="H1328" s="23" t="s">
        <v>151</v>
      </c>
      <c r="I1328" s="23" t="s">
        <v>395</v>
      </c>
      <c r="J1328" s="14" t="s">
        <v>879</v>
      </c>
      <c r="K1328" s="15" t="s">
        <v>30</v>
      </c>
      <c r="L1328" s="88"/>
      <c r="M1328" s="14"/>
      <c r="N1328" s="14" t="s">
        <v>70</v>
      </c>
      <c r="O1328" s="14"/>
      <c r="P1328" s="15" t="s">
        <v>1482</v>
      </c>
      <c r="Q1328" s="16">
        <v>9999</v>
      </c>
      <c r="R1328" s="17">
        <v>30</v>
      </c>
      <c r="S1328" s="18">
        <v>8049.1949999999997</v>
      </c>
      <c r="T1328" s="19" t="s">
        <v>846</v>
      </c>
      <c r="U1328" s="20" t="s">
        <v>1484</v>
      </c>
      <c r="V1328" s="30">
        <v>34.5</v>
      </c>
      <c r="W1328" s="21">
        <v>9</v>
      </c>
      <c r="X1328" s="22"/>
    </row>
    <row r="1329" spans="1:24" s="1" customFormat="1" ht="108" customHeight="1" x14ac:dyDescent="0.3">
      <c r="A1329" s="11" t="s">
        <v>1355</v>
      </c>
      <c r="B1329" s="11" t="s">
        <v>1485</v>
      </c>
      <c r="C1329" s="12" t="s">
        <v>1486</v>
      </c>
      <c r="D1329" s="24"/>
      <c r="E1329" s="69" t="str">
        <f>HYPERLINK("https://www.google.ru/search?q=275326-BBTE&amp;newwindow=1&amp;tbm=isch","Еще фото")</f>
        <v>Еще фото</v>
      </c>
      <c r="F1329" s="13"/>
      <c r="G1329" s="11" t="s">
        <v>394</v>
      </c>
      <c r="H1329" s="11" t="s">
        <v>151</v>
      </c>
      <c r="I1329" s="14" t="s">
        <v>395</v>
      </c>
      <c r="J1329" s="14" t="s">
        <v>879</v>
      </c>
      <c r="K1329" s="15" t="s">
        <v>30</v>
      </c>
      <c r="L1329" s="14" t="s">
        <v>1487</v>
      </c>
      <c r="M1329" s="14"/>
      <c r="N1329" s="14" t="s">
        <v>49</v>
      </c>
      <c r="O1329" s="14"/>
      <c r="P1329" s="15" t="s">
        <v>1438</v>
      </c>
      <c r="Q1329" s="16">
        <v>8799</v>
      </c>
      <c r="R1329" s="17">
        <v>30</v>
      </c>
      <c r="S1329" s="18">
        <v>7083.1949999999997</v>
      </c>
      <c r="T1329" s="19" t="s">
        <v>846</v>
      </c>
      <c r="U1329" s="20" t="s">
        <v>1488</v>
      </c>
      <c r="V1329" s="30">
        <v>31.5</v>
      </c>
      <c r="W1329" s="21">
        <v>1</v>
      </c>
      <c r="X1329" s="22"/>
    </row>
    <row r="1330" spans="1:24" s="1" customFormat="1" ht="51.95" customHeight="1" x14ac:dyDescent="0.3">
      <c r="A1330" s="11" t="s">
        <v>1355</v>
      </c>
      <c r="B1330" s="11" t="s">
        <v>1489</v>
      </c>
      <c r="C1330" s="12" t="s">
        <v>1490</v>
      </c>
      <c r="D1330" s="89"/>
      <c r="E1330" s="69" t="str">
        <f>HYPERLINK("https://www.google.ru/search?q=275506-BBTE&amp;newwindow=1&amp;tbm=isch","Еще фото")</f>
        <v>Еще фото</v>
      </c>
      <c r="F1330" s="13"/>
      <c r="G1330" s="11" t="s">
        <v>394</v>
      </c>
      <c r="H1330" s="11" t="s">
        <v>151</v>
      </c>
      <c r="I1330" s="14" t="s">
        <v>395</v>
      </c>
      <c r="J1330" s="14" t="s">
        <v>879</v>
      </c>
      <c r="K1330" s="15" t="s">
        <v>30</v>
      </c>
      <c r="L1330" s="86" t="s">
        <v>1491</v>
      </c>
      <c r="M1330" s="14"/>
      <c r="N1330" s="14" t="s">
        <v>49</v>
      </c>
      <c r="O1330" s="14"/>
      <c r="P1330" s="15" t="s">
        <v>1438</v>
      </c>
      <c r="Q1330" s="16">
        <v>7999</v>
      </c>
      <c r="R1330" s="17">
        <v>30</v>
      </c>
      <c r="S1330" s="18">
        <v>6439.1949999999997</v>
      </c>
      <c r="T1330" s="19" t="s">
        <v>846</v>
      </c>
      <c r="U1330" s="20" t="s">
        <v>1492</v>
      </c>
      <c r="V1330" s="21">
        <v>28</v>
      </c>
      <c r="W1330" s="21">
        <v>2</v>
      </c>
      <c r="X1330" s="22"/>
    </row>
    <row r="1331" spans="1:24" s="1" customFormat="1" ht="60.95" customHeight="1" x14ac:dyDescent="0.3">
      <c r="A1331" s="23" t="s">
        <v>1355</v>
      </c>
      <c r="B1331" s="23" t="s">
        <v>1489</v>
      </c>
      <c r="C1331" s="12" t="s">
        <v>1490</v>
      </c>
      <c r="D1331" s="90"/>
      <c r="E1331" s="69" t="str">
        <f>HYPERLINK("https://www.google.ru/search?q=275506-BBTE&amp;newwindow=1&amp;tbm=isch","Еще фото")</f>
        <v>Еще фото</v>
      </c>
      <c r="F1331" s="13"/>
      <c r="G1331" s="23" t="s">
        <v>394</v>
      </c>
      <c r="H1331" s="23" t="s">
        <v>151</v>
      </c>
      <c r="I1331" s="23" t="s">
        <v>395</v>
      </c>
      <c r="J1331" s="14" t="s">
        <v>879</v>
      </c>
      <c r="K1331" s="15" t="s">
        <v>30</v>
      </c>
      <c r="L1331" s="88"/>
      <c r="M1331" s="14"/>
      <c r="N1331" s="14" t="s">
        <v>49</v>
      </c>
      <c r="O1331" s="14"/>
      <c r="P1331" s="15" t="s">
        <v>1438</v>
      </c>
      <c r="Q1331" s="16">
        <v>7999</v>
      </c>
      <c r="R1331" s="17">
        <v>30</v>
      </c>
      <c r="S1331" s="18">
        <v>6439.1949999999997</v>
      </c>
      <c r="T1331" s="19" t="s">
        <v>846</v>
      </c>
      <c r="U1331" s="20" t="s">
        <v>1493</v>
      </c>
      <c r="V1331" s="21">
        <v>31</v>
      </c>
      <c r="W1331" s="21">
        <v>2</v>
      </c>
      <c r="X1331" s="22"/>
    </row>
    <row r="1332" spans="1:24" s="1" customFormat="1" ht="51.95" customHeight="1" x14ac:dyDescent="0.3">
      <c r="A1332" s="11" t="s">
        <v>1355</v>
      </c>
      <c r="B1332" s="11" t="s">
        <v>1494</v>
      </c>
      <c r="C1332" s="12" t="s">
        <v>1495</v>
      </c>
      <c r="D1332" s="89"/>
      <c r="E1332" s="69" t="str">
        <f>HYPERLINK("https://www.google.ru/search?q=275516-RDDR&amp;newwindow=1&amp;tbm=isch","Еще фото")</f>
        <v>Еще фото</v>
      </c>
      <c r="F1332" s="13"/>
      <c r="G1332" s="11" t="s">
        <v>394</v>
      </c>
      <c r="H1332" s="11" t="s">
        <v>151</v>
      </c>
      <c r="I1332" s="14" t="s">
        <v>395</v>
      </c>
      <c r="J1332" s="14" t="s">
        <v>879</v>
      </c>
      <c r="K1332" s="15" t="s">
        <v>30</v>
      </c>
      <c r="L1332" s="86" t="s">
        <v>1491</v>
      </c>
      <c r="M1332" s="14"/>
      <c r="N1332" s="14" t="s">
        <v>116</v>
      </c>
      <c r="O1332" s="14"/>
      <c r="P1332" s="15" t="s">
        <v>1438</v>
      </c>
      <c r="Q1332" s="16">
        <v>7999</v>
      </c>
      <c r="R1332" s="17">
        <v>30</v>
      </c>
      <c r="S1332" s="18">
        <v>6439.1949999999997</v>
      </c>
      <c r="T1332" s="19" t="s">
        <v>846</v>
      </c>
      <c r="U1332" s="20" t="s">
        <v>1492</v>
      </c>
      <c r="V1332" s="21">
        <v>28</v>
      </c>
      <c r="W1332" s="21">
        <v>2</v>
      </c>
      <c r="X1332" s="22"/>
    </row>
    <row r="1333" spans="1:24" s="1" customFormat="1" ht="60.95" customHeight="1" x14ac:dyDescent="0.3">
      <c r="A1333" s="23" t="s">
        <v>1355</v>
      </c>
      <c r="B1333" s="23" t="s">
        <v>1494</v>
      </c>
      <c r="C1333" s="12" t="s">
        <v>1495</v>
      </c>
      <c r="D1333" s="90"/>
      <c r="E1333" s="69" t="str">
        <f>HYPERLINK("https://www.google.ru/search?q=275516-RDDR&amp;newwindow=1&amp;tbm=isch","Еще фото")</f>
        <v>Еще фото</v>
      </c>
      <c r="F1333" s="13"/>
      <c r="G1333" s="23" t="s">
        <v>394</v>
      </c>
      <c r="H1333" s="23" t="s">
        <v>151</v>
      </c>
      <c r="I1333" s="23" t="s">
        <v>395</v>
      </c>
      <c r="J1333" s="14" t="s">
        <v>879</v>
      </c>
      <c r="K1333" s="15" t="s">
        <v>30</v>
      </c>
      <c r="L1333" s="88"/>
      <c r="M1333" s="14"/>
      <c r="N1333" s="14" t="s">
        <v>116</v>
      </c>
      <c r="O1333" s="14"/>
      <c r="P1333" s="15" t="s">
        <v>1438</v>
      </c>
      <c r="Q1333" s="16">
        <v>7999</v>
      </c>
      <c r="R1333" s="17">
        <v>30</v>
      </c>
      <c r="S1333" s="18">
        <v>6439.1949999999997</v>
      </c>
      <c r="T1333" s="19" t="s">
        <v>846</v>
      </c>
      <c r="U1333" s="20" t="s">
        <v>1496</v>
      </c>
      <c r="V1333" s="21">
        <v>30</v>
      </c>
      <c r="W1333" s="21">
        <v>1</v>
      </c>
      <c r="X1333" s="22"/>
    </row>
    <row r="1334" spans="1:24" s="1" customFormat="1" ht="108" customHeight="1" x14ac:dyDescent="0.3">
      <c r="A1334" s="11" t="s">
        <v>1355</v>
      </c>
      <c r="B1334" s="11" t="s">
        <v>1497</v>
      </c>
      <c r="C1334" s="12" t="s">
        <v>1498</v>
      </c>
      <c r="D1334" s="24"/>
      <c r="E1334" s="69" t="str">
        <f>HYPERLINK("https://www.google.ru/search?q=HDW315020-4220&amp;newwindow=1&amp;tbm=isch","Еще фото")</f>
        <v>Еще фото</v>
      </c>
      <c r="F1334" s="13"/>
      <c r="G1334" s="11" t="s">
        <v>394</v>
      </c>
      <c r="H1334" s="11" t="s">
        <v>151</v>
      </c>
      <c r="I1334" s="14" t="s">
        <v>424</v>
      </c>
      <c r="J1334" s="14" t="s">
        <v>29</v>
      </c>
      <c r="K1334" s="15" t="s">
        <v>47</v>
      </c>
      <c r="L1334" s="14" t="s">
        <v>1499</v>
      </c>
      <c r="M1334" s="14"/>
      <c r="N1334" s="14" t="s">
        <v>41</v>
      </c>
      <c r="O1334" s="14"/>
      <c r="P1334" s="15" t="s">
        <v>1500</v>
      </c>
      <c r="Q1334" s="16">
        <v>10190</v>
      </c>
      <c r="R1334" s="17">
        <v>73.13</v>
      </c>
      <c r="S1334" s="18">
        <v>3148.4354999999996</v>
      </c>
      <c r="T1334" s="19" t="s">
        <v>328</v>
      </c>
      <c r="U1334" s="20" t="s">
        <v>409</v>
      </c>
      <c r="V1334" s="21">
        <v>36</v>
      </c>
      <c r="W1334" s="21">
        <v>2</v>
      </c>
      <c r="X1334" s="22"/>
    </row>
    <row r="1335" spans="1:24" s="1" customFormat="1" ht="108" customHeight="1" x14ac:dyDescent="0.3">
      <c r="A1335" s="11" t="s">
        <v>1355</v>
      </c>
      <c r="B1335" s="11" t="s">
        <v>1501</v>
      </c>
      <c r="C1335" s="12" t="s">
        <v>1502</v>
      </c>
      <c r="D1335" s="24"/>
      <c r="E1335" s="69" t="str">
        <f>HYPERLINK("https://www.google.ru/search?q=HDW315015-7120&amp;newwindow=1&amp;tbm=isch","Еще фото")</f>
        <v>Еще фото</v>
      </c>
      <c r="F1335" s="13"/>
      <c r="G1335" s="11" t="s">
        <v>394</v>
      </c>
      <c r="H1335" s="11" t="s">
        <v>151</v>
      </c>
      <c r="I1335" s="14" t="s">
        <v>424</v>
      </c>
      <c r="J1335" s="14" t="s">
        <v>29</v>
      </c>
      <c r="K1335" s="15" t="s">
        <v>47</v>
      </c>
      <c r="L1335" s="14" t="s">
        <v>1499</v>
      </c>
      <c r="M1335" s="14"/>
      <c r="N1335" s="14" t="s">
        <v>242</v>
      </c>
      <c r="O1335" s="14"/>
      <c r="P1335" s="15" t="s">
        <v>1500</v>
      </c>
      <c r="Q1335" s="16">
        <v>9090</v>
      </c>
      <c r="R1335" s="17">
        <v>71.64</v>
      </c>
      <c r="S1335" s="18">
        <v>2964.4354999999996</v>
      </c>
      <c r="T1335" s="19" t="s">
        <v>328</v>
      </c>
      <c r="U1335" s="20" t="s">
        <v>1503</v>
      </c>
      <c r="V1335" s="21">
        <v>35</v>
      </c>
      <c r="W1335" s="21">
        <v>3</v>
      </c>
      <c r="X1335" s="22"/>
    </row>
    <row r="1336" spans="1:24" s="1" customFormat="1" ht="108" customHeight="1" x14ac:dyDescent="0.3">
      <c r="A1336" s="11" t="s">
        <v>1355</v>
      </c>
      <c r="B1336" s="11" t="s">
        <v>1504</v>
      </c>
      <c r="C1336" s="12" t="s">
        <v>1505</v>
      </c>
      <c r="D1336" s="24"/>
      <c r="E1336" s="69" t="str">
        <f>HYPERLINK("https://www.google.ru/search?q=HDWCO7003-2081&amp;newwindow=1&amp;tbm=isch","Еще фото")</f>
        <v>Еще фото</v>
      </c>
      <c r="F1336" s="13"/>
      <c r="G1336" s="11" t="s">
        <v>1506</v>
      </c>
      <c r="H1336" s="11" t="s">
        <v>151</v>
      </c>
      <c r="I1336" s="14" t="s">
        <v>424</v>
      </c>
      <c r="J1336" s="14" t="s">
        <v>29</v>
      </c>
      <c r="K1336" s="15" t="s">
        <v>47</v>
      </c>
      <c r="L1336" s="14" t="s">
        <v>1507</v>
      </c>
      <c r="M1336" s="14"/>
      <c r="N1336" s="14" t="s">
        <v>275</v>
      </c>
      <c r="O1336" s="14"/>
      <c r="P1336" s="15" t="s">
        <v>1508</v>
      </c>
      <c r="Q1336" s="16">
        <v>9799</v>
      </c>
      <c r="R1336" s="17">
        <v>45.91</v>
      </c>
      <c r="S1336" s="18">
        <v>6094.9884999999995</v>
      </c>
      <c r="T1336" s="19" t="s">
        <v>328</v>
      </c>
      <c r="U1336" s="20" t="s">
        <v>1503</v>
      </c>
      <c r="V1336" s="21">
        <v>35</v>
      </c>
      <c r="W1336" s="21">
        <v>2</v>
      </c>
      <c r="X1336" s="22"/>
    </row>
    <row r="1337" spans="1:24" s="1" customFormat="1" ht="108" customHeight="1" x14ac:dyDescent="0.3">
      <c r="A1337" s="11" t="s">
        <v>1355</v>
      </c>
      <c r="B1337" s="11" t="s">
        <v>1509</v>
      </c>
      <c r="C1337" s="12" t="s">
        <v>1510</v>
      </c>
      <c r="D1337" s="24"/>
      <c r="E1337" s="69" t="str">
        <f>HYPERLINK("https://www.google.ru/search?q=HDW318405-2081&amp;newwindow=1&amp;tbm=isch","Еще фото")</f>
        <v>Еще фото</v>
      </c>
      <c r="F1337" s="13"/>
      <c r="G1337" s="11" t="s">
        <v>394</v>
      </c>
      <c r="H1337" s="11" t="s">
        <v>151</v>
      </c>
      <c r="I1337" s="14" t="s">
        <v>424</v>
      </c>
      <c r="J1337" s="14" t="s">
        <v>29</v>
      </c>
      <c r="K1337" s="15" t="s">
        <v>47</v>
      </c>
      <c r="L1337" s="14" t="s">
        <v>1511</v>
      </c>
      <c r="M1337" s="14"/>
      <c r="N1337" s="14" t="s">
        <v>49</v>
      </c>
      <c r="O1337" s="14"/>
      <c r="P1337" s="15" t="s">
        <v>1512</v>
      </c>
      <c r="Q1337" s="16">
        <v>5890</v>
      </c>
      <c r="R1337" s="17">
        <v>45.67</v>
      </c>
      <c r="S1337" s="18">
        <v>3679.9884999999995</v>
      </c>
      <c r="T1337" s="19" t="s">
        <v>328</v>
      </c>
      <c r="U1337" s="20" t="s">
        <v>1503</v>
      </c>
      <c r="V1337" s="21">
        <v>35</v>
      </c>
      <c r="W1337" s="21">
        <v>2</v>
      </c>
      <c r="X1337" s="22"/>
    </row>
    <row r="1338" spans="1:24" s="1" customFormat="1" ht="108" customHeight="1" x14ac:dyDescent="0.3">
      <c r="A1338" s="11" t="s">
        <v>1355</v>
      </c>
      <c r="B1338" s="11" t="s">
        <v>1513</v>
      </c>
      <c r="C1338" s="12" t="s">
        <v>1514</v>
      </c>
      <c r="D1338" s="24"/>
      <c r="E1338" s="69" t="str">
        <f>HYPERLINK("https://www.google.ru/search?q=273166-LGPN&amp;newwindow=1&amp;tbm=isch","Еще фото")</f>
        <v>Еще фото</v>
      </c>
      <c r="F1338" s="13"/>
      <c r="G1338" s="11" t="s">
        <v>394</v>
      </c>
      <c r="H1338" s="11" t="s">
        <v>151</v>
      </c>
      <c r="I1338" s="14" t="s">
        <v>424</v>
      </c>
      <c r="J1338" s="14" t="s">
        <v>879</v>
      </c>
      <c r="K1338" s="15" t="s">
        <v>55</v>
      </c>
      <c r="L1338" s="14" t="s">
        <v>1515</v>
      </c>
      <c r="M1338" s="14"/>
      <c r="N1338" s="14" t="s">
        <v>41</v>
      </c>
      <c r="O1338" s="14"/>
      <c r="P1338" s="15" t="s">
        <v>1516</v>
      </c>
      <c r="Q1338" s="16">
        <v>15999</v>
      </c>
      <c r="R1338" s="17">
        <v>45.62</v>
      </c>
      <c r="S1338" s="18">
        <v>10004.988499999999</v>
      </c>
      <c r="T1338" s="19" t="s">
        <v>846</v>
      </c>
      <c r="U1338" s="20" t="s">
        <v>162</v>
      </c>
      <c r="V1338" s="21">
        <v>42</v>
      </c>
      <c r="W1338" s="21">
        <v>1</v>
      </c>
      <c r="X1338" s="22"/>
    </row>
    <row r="1339" spans="1:24" s="1" customFormat="1" ht="108" customHeight="1" x14ac:dyDescent="0.3">
      <c r="A1339" s="11" t="s">
        <v>1355</v>
      </c>
      <c r="B1339" s="11" t="s">
        <v>1517</v>
      </c>
      <c r="C1339" s="12" t="s">
        <v>1518</v>
      </c>
      <c r="D1339" s="24"/>
      <c r="E1339" s="69" t="str">
        <f>HYPERLINK("https://www.google.ru/search?q=HDW315025-3120&amp;newwindow=1&amp;tbm=isch","Еще фото")</f>
        <v>Еще фото</v>
      </c>
      <c r="F1339" s="13"/>
      <c r="G1339" s="11" t="s">
        <v>394</v>
      </c>
      <c r="H1339" s="11" t="s">
        <v>151</v>
      </c>
      <c r="I1339" s="14" t="s">
        <v>424</v>
      </c>
      <c r="J1339" s="14" t="s">
        <v>29</v>
      </c>
      <c r="K1339" s="15" t="s">
        <v>47</v>
      </c>
      <c r="L1339" s="14" t="s">
        <v>1519</v>
      </c>
      <c r="M1339" s="14"/>
      <c r="N1339" s="14" t="s">
        <v>265</v>
      </c>
      <c r="O1339" s="14"/>
      <c r="P1339" s="15" t="s">
        <v>1520</v>
      </c>
      <c r="Q1339" s="16">
        <v>13590</v>
      </c>
      <c r="R1339" s="17">
        <v>45.55</v>
      </c>
      <c r="S1339" s="18">
        <v>8509.9884999999995</v>
      </c>
      <c r="T1339" s="19" t="s">
        <v>328</v>
      </c>
      <c r="U1339" s="20" t="s">
        <v>1503</v>
      </c>
      <c r="V1339" s="21">
        <v>35</v>
      </c>
      <c r="W1339" s="21">
        <v>1</v>
      </c>
      <c r="X1339" s="22"/>
    </row>
    <row r="1340" spans="1:24" s="1" customFormat="1" ht="51.95" customHeight="1" x14ac:dyDescent="0.3">
      <c r="A1340" s="11" t="s">
        <v>1355</v>
      </c>
      <c r="B1340" s="11" t="s">
        <v>1521</v>
      </c>
      <c r="C1340" s="12" t="s">
        <v>1522</v>
      </c>
      <c r="D1340" s="89"/>
      <c r="E1340" s="69" t="str">
        <f>HYPERLINK("https://www.google.ru/search?q=274505-BKPL&amp;newwindow=1&amp;tbm=isch","Еще фото")</f>
        <v>Еще фото</v>
      </c>
      <c r="F1340" s="13"/>
      <c r="G1340" s="11" t="s">
        <v>394</v>
      </c>
      <c r="H1340" s="11" t="s">
        <v>151</v>
      </c>
      <c r="I1340" s="14" t="s">
        <v>424</v>
      </c>
      <c r="J1340" s="14" t="s">
        <v>879</v>
      </c>
      <c r="K1340" s="15" t="s">
        <v>47</v>
      </c>
      <c r="L1340" s="86" t="s">
        <v>1523</v>
      </c>
      <c r="M1340" s="14"/>
      <c r="N1340" s="14" t="s">
        <v>49</v>
      </c>
      <c r="O1340" s="14"/>
      <c r="P1340" s="15" t="s">
        <v>1011</v>
      </c>
      <c r="Q1340" s="16">
        <v>9499</v>
      </c>
      <c r="R1340" s="17">
        <v>45.26</v>
      </c>
      <c r="S1340" s="18">
        <v>5979.9884999999995</v>
      </c>
      <c r="T1340" s="19" t="s">
        <v>846</v>
      </c>
      <c r="U1340" s="20" t="s">
        <v>995</v>
      </c>
      <c r="V1340" s="21">
        <v>35</v>
      </c>
      <c r="W1340" s="21">
        <v>1</v>
      </c>
      <c r="X1340" s="22"/>
    </row>
    <row r="1341" spans="1:24" s="1" customFormat="1" ht="60.95" customHeight="1" x14ac:dyDescent="0.3">
      <c r="A1341" s="23" t="s">
        <v>1355</v>
      </c>
      <c r="B1341" s="23" t="s">
        <v>1521</v>
      </c>
      <c r="C1341" s="12" t="s">
        <v>1522</v>
      </c>
      <c r="D1341" s="90"/>
      <c r="E1341" s="69" t="str">
        <f>HYPERLINK("https://www.google.ru/search?q=274505-BKPL&amp;newwindow=1&amp;tbm=isch","Еще фото")</f>
        <v>Еще фото</v>
      </c>
      <c r="F1341" s="13"/>
      <c r="G1341" s="23" t="s">
        <v>394</v>
      </c>
      <c r="H1341" s="23" t="s">
        <v>151</v>
      </c>
      <c r="I1341" s="23" t="s">
        <v>424</v>
      </c>
      <c r="J1341" s="14" t="s">
        <v>879</v>
      </c>
      <c r="K1341" s="15" t="s">
        <v>47</v>
      </c>
      <c r="L1341" s="88"/>
      <c r="M1341" s="14"/>
      <c r="N1341" s="14" t="s">
        <v>49</v>
      </c>
      <c r="O1341" s="14"/>
      <c r="P1341" s="15" t="s">
        <v>1011</v>
      </c>
      <c r="Q1341" s="16">
        <v>9499</v>
      </c>
      <c r="R1341" s="17">
        <v>45.26</v>
      </c>
      <c r="S1341" s="18">
        <v>5979.9884999999995</v>
      </c>
      <c r="T1341" s="19" t="s">
        <v>846</v>
      </c>
      <c r="U1341" s="20" t="s">
        <v>854</v>
      </c>
      <c r="V1341" s="30">
        <v>39.5</v>
      </c>
      <c r="W1341" s="21">
        <v>1</v>
      </c>
      <c r="X1341" s="22"/>
    </row>
    <row r="1342" spans="1:24" s="1" customFormat="1" ht="11.1" customHeight="1" x14ac:dyDescent="0.3">
      <c r="A1342" s="11" t="s">
        <v>1355</v>
      </c>
      <c r="B1342" s="11" t="s">
        <v>1524</v>
      </c>
      <c r="C1342" s="12" t="s">
        <v>1525</v>
      </c>
      <c r="D1342" s="83"/>
      <c r="E1342" s="69" t="str">
        <f t="shared" ref="E1342:E1350" si="71">HYPERLINK("https://www.google.ru/search?q=273505-BKGR&amp;newwindow=1&amp;tbm=isch","Еще фото")</f>
        <v>Еще фото</v>
      </c>
      <c r="F1342" s="13"/>
      <c r="G1342" s="11" t="s">
        <v>394</v>
      </c>
      <c r="H1342" s="11" t="s">
        <v>151</v>
      </c>
      <c r="I1342" s="14" t="s">
        <v>424</v>
      </c>
      <c r="J1342" s="14" t="s">
        <v>879</v>
      </c>
      <c r="K1342" s="15" t="s">
        <v>55</v>
      </c>
      <c r="L1342" s="86" t="s">
        <v>1526</v>
      </c>
      <c r="M1342" s="14"/>
      <c r="N1342" s="14" t="s">
        <v>1527</v>
      </c>
      <c r="O1342" s="14"/>
      <c r="P1342" s="15" t="s">
        <v>1011</v>
      </c>
      <c r="Q1342" s="16">
        <v>9599</v>
      </c>
      <c r="R1342" s="17">
        <v>30</v>
      </c>
      <c r="S1342" s="18">
        <v>7727.1949999999997</v>
      </c>
      <c r="T1342" s="19" t="s">
        <v>846</v>
      </c>
      <c r="U1342" s="20" t="s">
        <v>500</v>
      </c>
      <c r="V1342" s="21">
        <v>39</v>
      </c>
      <c r="W1342" s="21">
        <v>1</v>
      </c>
      <c r="X1342" s="22"/>
    </row>
    <row r="1343" spans="1:24" s="1" customFormat="1" ht="11.1" customHeight="1" x14ac:dyDescent="0.3">
      <c r="A1343" s="23" t="s">
        <v>1355</v>
      </c>
      <c r="B1343" s="23" t="s">
        <v>1524</v>
      </c>
      <c r="C1343" s="12" t="s">
        <v>1525</v>
      </c>
      <c r="D1343" s="84"/>
      <c r="E1343" s="69" t="str">
        <f t="shared" si="71"/>
        <v>Еще фото</v>
      </c>
      <c r="F1343" s="13"/>
      <c r="G1343" s="23" t="s">
        <v>394</v>
      </c>
      <c r="H1343" s="23" t="s">
        <v>151</v>
      </c>
      <c r="I1343" s="23" t="s">
        <v>424</v>
      </c>
      <c r="J1343" s="14" t="s">
        <v>879</v>
      </c>
      <c r="K1343" s="15" t="s">
        <v>55</v>
      </c>
      <c r="L1343" s="87"/>
      <c r="M1343" s="14"/>
      <c r="N1343" s="14" t="s">
        <v>1527</v>
      </c>
      <c r="O1343" s="14"/>
      <c r="P1343" s="15" t="s">
        <v>1011</v>
      </c>
      <c r="Q1343" s="16">
        <v>9599</v>
      </c>
      <c r="R1343" s="17">
        <v>30</v>
      </c>
      <c r="S1343" s="18">
        <v>7727.1949999999997</v>
      </c>
      <c r="T1343" s="19" t="s">
        <v>846</v>
      </c>
      <c r="U1343" s="20" t="s">
        <v>156</v>
      </c>
      <c r="V1343" s="21">
        <v>40</v>
      </c>
      <c r="W1343" s="21">
        <v>4</v>
      </c>
      <c r="X1343" s="22"/>
    </row>
    <row r="1344" spans="1:24" s="1" customFormat="1" ht="11.1" customHeight="1" x14ac:dyDescent="0.3">
      <c r="A1344" s="23" t="s">
        <v>1355</v>
      </c>
      <c r="B1344" s="23" t="s">
        <v>1524</v>
      </c>
      <c r="C1344" s="12" t="s">
        <v>1525</v>
      </c>
      <c r="D1344" s="84"/>
      <c r="E1344" s="69" t="str">
        <f t="shared" si="71"/>
        <v>Еще фото</v>
      </c>
      <c r="F1344" s="13"/>
      <c r="G1344" s="23" t="s">
        <v>394</v>
      </c>
      <c r="H1344" s="23" t="s">
        <v>151</v>
      </c>
      <c r="I1344" s="23" t="s">
        <v>424</v>
      </c>
      <c r="J1344" s="14" t="s">
        <v>879</v>
      </c>
      <c r="K1344" s="15" t="s">
        <v>55</v>
      </c>
      <c r="L1344" s="87"/>
      <c r="M1344" s="14"/>
      <c r="N1344" s="14" t="s">
        <v>1527</v>
      </c>
      <c r="O1344" s="14"/>
      <c r="P1344" s="15" t="s">
        <v>1011</v>
      </c>
      <c r="Q1344" s="16">
        <v>9599</v>
      </c>
      <c r="R1344" s="17">
        <v>30</v>
      </c>
      <c r="S1344" s="18">
        <v>7727.1949999999997</v>
      </c>
      <c r="T1344" s="19" t="s">
        <v>846</v>
      </c>
      <c r="U1344" s="20" t="s">
        <v>157</v>
      </c>
      <c r="V1344" s="21">
        <v>41</v>
      </c>
      <c r="W1344" s="21">
        <v>5</v>
      </c>
      <c r="X1344" s="22"/>
    </row>
    <row r="1345" spans="1:24" s="1" customFormat="1" ht="11.1" customHeight="1" x14ac:dyDescent="0.3">
      <c r="A1345" s="23" t="s">
        <v>1355</v>
      </c>
      <c r="B1345" s="23" t="s">
        <v>1524</v>
      </c>
      <c r="C1345" s="12" t="s">
        <v>1525</v>
      </c>
      <c r="D1345" s="84"/>
      <c r="E1345" s="69" t="str">
        <f t="shared" si="71"/>
        <v>Еще фото</v>
      </c>
      <c r="F1345" s="13"/>
      <c r="G1345" s="23" t="s">
        <v>394</v>
      </c>
      <c r="H1345" s="23" t="s">
        <v>151</v>
      </c>
      <c r="I1345" s="23" t="s">
        <v>424</v>
      </c>
      <c r="J1345" s="14" t="s">
        <v>879</v>
      </c>
      <c r="K1345" s="15" t="s">
        <v>55</v>
      </c>
      <c r="L1345" s="87"/>
      <c r="M1345" s="14"/>
      <c r="N1345" s="14" t="s">
        <v>1527</v>
      </c>
      <c r="O1345" s="14"/>
      <c r="P1345" s="15" t="s">
        <v>1011</v>
      </c>
      <c r="Q1345" s="16">
        <v>9599</v>
      </c>
      <c r="R1345" s="17">
        <v>30</v>
      </c>
      <c r="S1345" s="18">
        <v>7727.1949999999997</v>
      </c>
      <c r="T1345" s="19" t="s">
        <v>846</v>
      </c>
      <c r="U1345" s="20" t="s">
        <v>435</v>
      </c>
      <c r="V1345" s="30">
        <v>41.5</v>
      </c>
      <c r="W1345" s="21">
        <v>7</v>
      </c>
      <c r="X1345" s="22"/>
    </row>
    <row r="1346" spans="1:24" s="1" customFormat="1" ht="11.1" customHeight="1" x14ac:dyDescent="0.3">
      <c r="A1346" s="23" t="s">
        <v>1355</v>
      </c>
      <c r="B1346" s="23" t="s">
        <v>1524</v>
      </c>
      <c r="C1346" s="12" t="s">
        <v>1525</v>
      </c>
      <c r="D1346" s="84"/>
      <c r="E1346" s="69" t="str">
        <f t="shared" si="71"/>
        <v>Еще фото</v>
      </c>
      <c r="F1346" s="13"/>
      <c r="G1346" s="23" t="s">
        <v>394</v>
      </c>
      <c r="H1346" s="23" t="s">
        <v>151</v>
      </c>
      <c r="I1346" s="23" t="s">
        <v>424</v>
      </c>
      <c r="J1346" s="14" t="s">
        <v>879</v>
      </c>
      <c r="K1346" s="15" t="s">
        <v>55</v>
      </c>
      <c r="L1346" s="87"/>
      <c r="M1346" s="14"/>
      <c r="N1346" s="14" t="s">
        <v>1527</v>
      </c>
      <c r="O1346" s="14"/>
      <c r="P1346" s="15" t="s">
        <v>1011</v>
      </c>
      <c r="Q1346" s="16">
        <v>9599</v>
      </c>
      <c r="R1346" s="17">
        <v>30</v>
      </c>
      <c r="S1346" s="18">
        <v>7727.1949999999997</v>
      </c>
      <c r="T1346" s="19" t="s">
        <v>846</v>
      </c>
      <c r="U1346" s="20" t="s">
        <v>162</v>
      </c>
      <c r="V1346" s="21">
        <v>42</v>
      </c>
      <c r="W1346" s="21">
        <v>14</v>
      </c>
      <c r="X1346" s="22"/>
    </row>
    <row r="1347" spans="1:24" s="1" customFormat="1" ht="11.1" customHeight="1" x14ac:dyDescent="0.3">
      <c r="A1347" s="23" t="s">
        <v>1355</v>
      </c>
      <c r="B1347" s="23" t="s">
        <v>1524</v>
      </c>
      <c r="C1347" s="12" t="s">
        <v>1525</v>
      </c>
      <c r="D1347" s="84"/>
      <c r="E1347" s="69" t="str">
        <f t="shared" si="71"/>
        <v>Еще фото</v>
      </c>
      <c r="F1347" s="13"/>
      <c r="G1347" s="23" t="s">
        <v>394</v>
      </c>
      <c r="H1347" s="23" t="s">
        <v>151</v>
      </c>
      <c r="I1347" s="23" t="s">
        <v>424</v>
      </c>
      <c r="J1347" s="14" t="s">
        <v>879</v>
      </c>
      <c r="K1347" s="15" t="s">
        <v>55</v>
      </c>
      <c r="L1347" s="87"/>
      <c r="M1347" s="14"/>
      <c r="N1347" s="14" t="s">
        <v>1527</v>
      </c>
      <c r="O1347" s="14"/>
      <c r="P1347" s="15" t="s">
        <v>1011</v>
      </c>
      <c r="Q1347" s="16">
        <v>9599</v>
      </c>
      <c r="R1347" s="17">
        <v>30</v>
      </c>
      <c r="S1347" s="18">
        <v>7727.1949999999997</v>
      </c>
      <c r="T1347" s="19" t="s">
        <v>846</v>
      </c>
      <c r="U1347" s="20" t="s">
        <v>436</v>
      </c>
      <c r="V1347" s="21">
        <v>43</v>
      </c>
      <c r="W1347" s="21">
        <v>8</v>
      </c>
      <c r="X1347" s="22"/>
    </row>
    <row r="1348" spans="1:24" s="1" customFormat="1" ht="11.1" customHeight="1" x14ac:dyDescent="0.3">
      <c r="A1348" s="23" t="s">
        <v>1355</v>
      </c>
      <c r="B1348" s="23" t="s">
        <v>1524</v>
      </c>
      <c r="C1348" s="12" t="s">
        <v>1525</v>
      </c>
      <c r="D1348" s="84"/>
      <c r="E1348" s="69" t="str">
        <f t="shared" si="71"/>
        <v>Еще фото</v>
      </c>
      <c r="F1348" s="13"/>
      <c r="G1348" s="23" t="s">
        <v>394</v>
      </c>
      <c r="H1348" s="23" t="s">
        <v>151</v>
      </c>
      <c r="I1348" s="23" t="s">
        <v>424</v>
      </c>
      <c r="J1348" s="14" t="s">
        <v>879</v>
      </c>
      <c r="K1348" s="15" t="s">
        <v>55</v>
      </c>
      <c r="L1348" s="87"/>
      <c r="M1348" s="14"/>
      <c r="N1348" s="14" t="s">
        <v>1527</v>
      </c>
      <c r="O1348" s="14"/>
      <c r="P1348" s="15" t="s">
        <v>1011</v>
      </c>
      <c r="Q1348" s="16">
        <v>9599</v>
      </c>
      <c r="R1348" s="17">
        <v>30</v>
      </c>
      <c r="S1348" s="18">
        <v>7727.1949999999997</v>
      </c>
      <c r="T1348" s="19" t="s">
        <v>846</v>
      </c>
      <c r="U1348" s="20" t="s">
        <v>163</v>
      </c>
      <c r="V1348" s="30">
        <v>43.5</v>
      </c>
      <c r="W1348" s="21">
        <v>7</v>
      </c>
      <c r="X1348" s="22"/>
    </row>
    <row r="1349" spans="1:24" s="1" customFormat="1" ht="11.1" customHeight="1" x14ac:dyDescent="0.3">
      <c r="A1349" s="23" t="s">
        <v>1355</v>
      </c>
      <c r="B1349" s="23" t="s">
        <v>1524</v>
      </c>
      <c r="C1349" s="12" t="s">
        <v>1525</v>
      </c>
      <c r="D1349" s="84"/>
      <c r="E1349" s="69" t="str">
        <f t="shared" si="71"/>
        <v>Еще фото</v>
      </c>
      <c r="F1349" s="13"/>
      <c r="G1349" s="23" t="s">
        <v>394</v>
      </c>
      <c r="H1349" s="23" t="s">
        <v>151</v>
      </c>
      <c r="I1349" s="23" t="s">
        <v>424</v>
      </c>
      <c r="J1349" s="14" t="s">
        <v>879</v>
      </c>
      <c r="K1349" s="15" t="s">
        <v>55</v>
      </c>
      <c r="L1349" s="87"/>
      <c r="M1349" s="14"/>
      <c r="N1349" s="14" t="s">
        <v>1527</v>
      </c>
      <c r="O1349" s="14"/>
      <c r="P1349" s="15" t="s">
        <v>1011</v>
      </c>
      <c r="Q1349" s="16">
        <v>9599</v>
      </c>
      <c r="R1349" s="17">
        <v>30</v>
      </c>
      <c r="S1349" s="18">
        <v>7727.1949999999997</v>
      </c>
      <c r="T1349" s="19" t="s">
        <v>846</v>
      </c>
      <c r="U1349" s="20" t="s">
        <v>907</v>
      </c>
      <c r="V1349" s="21">
        <v>44</v>
      </c>
      <c r="W1349" s="21">
        <v>2</v>
      </c>
      <c r="X1349" s="22"/>
    </row>
    <row r="1350" spans="1:24" s="1" customFormat="1" ht="11.1" customHeight="1" x14ac:dyDescent="0.3">
      <c r="A1350" s="23" t="s">
        <v>1355</v>
      </c>
      <c r="B1350" s="23" t="s">
        <v>1524</v>
      </c>
      <c r="C1350" s="12" t="s">
        <v>1525</v>
      </c>
      <c r="D1350" s="85"/>
      <c r="E1350" s="69" t="str">
        <f t="shared" si="71"/>
        <v>Еще фото</v>
      </c>
      <c r="F1350" s="13"/>
      <c r="G1350" s="23" t="s">
        <v>394</v>
      </c>
      <c r="H1350" s="23" t="s">
        <v>151</v>
      </c>
      <c r="I1350" s="23" t="s">
        <v>424</v>
      </c>
      <c r="J1350" s="14" t="s">
        <v>879</v>
      </c>
      <c r="K1350" s="15" t="s">
        <v>55</v>
      </c>
      <c r="L1350" s="88"/>
      <c r="M1350" s="14"/>
      <c r="N1350" s="14" t="s">
        <v>1527</v>
      </c>
      <c r="O1350" s="14"/>
      <c r="P1350" s="15" t="s">
        <v>1011</v>
      </c>
      <c r="Q1350" s="16">
        <v>9599</v>
      </c>
      <c r="R1350" s="17">
        <v>30</v>
      </c>
      <c r="S1350" s="18">
        <v>7727.1949999999997</v>
      </c>
      <c r="T1350" s="19" t="s">
        <v>846</v>
      </c>
      <c r="U1350" s="20" t="s">
        <v>941</v>
      </c>
      <c r="V1350" s="30">
        <v>45.5</v>
      </c>
      <c r="W1350" s="21">
        <v>1</v>
      </c>
      <c r="X1350" s="22"/>
    </row>
    <row r="1351" spans="1:24" s="1" customFormat="1" ht="108" customHeight="1" x14ac:dyDescent="0.3">
      <c r="A1351" s="11" t="s">
        <v>1355</v>
      </c>
      <c r="B1351" s="11" t="s">
        <v>1528</v>
      </c>
      <c r="C1351" s="12" t="s">
        <v>1529</v>
      </c>
      <c r="D1351" s="24"/>
      <c r="E1351" s="69" t="str">
        <f>HYPERLINK("https://www.google.ru/search?q=285070-NV&amp;newwindow=1&amp;tbm=isch","Еще фото")</f>
        <v>Еще фото</v>
      </c>
      <c r="F1351" s="13"/>
      <c r="G1351" s="11" t="s">
        <v>1530</v>
      </c>
      <c r="H1351" s="11" t="s">
        <v>112</v>
      </c>
      <c r="I1351" s="14" t="s">
        <v>514</v>
      </c>
      <c r="J1351" s="14" t="s">
        <v>879</v>
      </c>
      <c r="K1351" s="15" t="s">
        <v>114</v>
      </c>
      <c r="L1351" s="14" t="s">
        <v>1531</v>
      </c>
      <c r="M1351" s="14"/>
      <c r="N1351" s="14" t="s">
        <v>70</v>
      </c>
      <c r="O1351" s="14"/>
      <c r="P1351" s="15" t="s">
        <v>108</v>
      </c>
      <c r="Q1351" s="16">
        <v>1399</v>
      </c>
      <c r="R1351" s="17">
        <v>30</v>
      </c>
      <c r="S1351" s="29">
        <v>1126.1949999999999</v>
      </c>
      <c r="T1351" s="19" t="s">
        <v>117</v>
      </c>
      <c r="U1351" s="20" t="s">
        <v>1532</v>
      </c>
      <c r="V1351" s="25" t="s">
        <v>119</v>
      </c>
      <c r="W1351" s="21">
        <v>1</v>
      </c>
      <c r="X1351" s="22"/>
    </row>
    <row r="1352" spans="1:24" s="1" customFormat="1" ht="108" customHeight="1" x14ac:dyDescent="0.3">
      <c r="A1352" s="11" t="s">
        <v>1355</v>
      </c>
      <c r="B1352" s="11" t="s">
        <v>1528</v>
      </c>
      <c r="C1352" s="12" t="s">
        <v>1533</v>
      </c>
      <c r="D1352" s="24"/>
      <c r="E1352" s="69" t="str">
        <f>HYPERLINK("https://www.google.ru/search?q=285070-RD&amp;newwindow=1&amp;tbm=isch","Еще фото")</f>
        <v>Еще фото</v>
      </c>
      <c r="F1352" s="13"/>
      <c r="G1352" s="11" t="s">
        <v>1530</v>
      </c>
      <c r="H1352" s="11" t="s">
        <v>112</v>
      </c>
      <c r="I1352" s="14" t="s">
        <v>514</v>
      </c>
      <c r="J1352" s="14" t="s">
        <v>879</v>
      </c>
      <c r="K1352" s="15" t="s">
        <v>114</v>
      </c>
      <c r="L1352" s="14" t="s">
        <v>1534</v>
      </c>
      <c r="M1352" s="14"/>
      <c r="N1352" s="14" t="s">
        <v>116</v>
      </c>
      <c r="O1352" s="14"/>
      <c r="P1352" s="15" t="s">
        <v>108</v>
      </c>
      <c r="Q1352" s="16">
        <v>1399</v>
      </c>
      <c r="R1352" s="17">
        <v>30</v>
      </c>
      <c r="S1352" s="29">
        <v>1126.1949999999999</v>
      </c>
      <c r="T1352" s="19" t="s">
        <v>117</v>
      </c>
      <c r="U1352" s="20" t="s">
        <v>1535</v>
      </c>
      <c r="V1352" s="25" t="s">
        <v>119</v>
      </c>
      <c r="W1352" s="21">
        <v>1</v>
      </c>
      <c r="X1352" s="22"/>
    </row>
    <row r="1353" spans="1:24" s="1" customFormat="1" ht="108" customHeight="1" x14ac:dyDescent="0.3">
      <c r="A1353" s="11" t="s">
        <v>1355</v>
      </c>
      <c r="B1353" s="11" t="s">
        <v>1536</v>
      </c>
      <c r="C1353" s="12" t="s">
        <v>1537</v>
      </c>
      <c r="D1353" s="24"/>
      <c r="E1353" s="69" t="str">
        <f>HYPERLINK("https://www.google.ru/search?q=285088-WH&amp;newwindow=1&amp;tbm=isch","Еще фото")</f>
        <v>Еще фото</v>
      </c>
      <c r="F1353" s="13" t="s">
        <v>507</v>
      </c>
      <c r="G1353" s="11" t="s">
        <v>1431</v>
      </c>
      <c r="H1353" s="11" t="s">
        <v>814</v>
      </c>
      <c r="I1353" s="14" t="s">
        <v>1538</v>
      </c>
      <c r="J1353" s="14" t="s">
        <v>879</v>
      </c>
      <c r="K1353" s="15" t="s">
        <v>114</v>
      </c>
      <c r="L1353" s="14"/>
      <c r="M1353" s="14"/>
      <c r="N1353" s="14" t="s">
        <v>89</v>
      </c>
      <c r="O1353" s="14"/>
      <c r="P1353" s="15" t="s">
        <v>108</v>
      </c>
      <c r="Q1353" s="59">
        <v>799</v>
      </c>
      <c r="R1353" s="17">
        <v>67.739999999999995</v>
      </c>
      <c r="S1353" s="29">
        <v>296.43549999999993</v>
      </c>
      <c r="T1353" s="19" t="s">
        <v>117</v>
      </c>
      <c r="U1353" s="20" t="s">
        <v>1539</v>
      </c>
      <c r="V1353" s="25" t="s">
        <v>119</v>
      </c>
      <c r="W1353" s="21">
        <v>939</v>
      </c>
      <c r="X1353" s="22"/>
    </row>
    <row r="1354" spans="1:24" s="1" customFormat="1" ht="108" customHeight="1" x14ac:dyDescent="0.3">
      <c r="A1354" s="11" t="s">
        <v>1355</v>
      </c>
      <c r="B1354" s="11" t="s">
        <v>1540</v>
      </c>
      <c r="C1354" s="12" t="s">
        <v>1541</v>
      </c>
      <c r="D1354" s="24"/>
      <c r="E1354" s="69" t="str">
        <f>HYPERLINK("https://www.google.ru/search?q=285511-BK&amp;newwindow=1&amp;tbm=isch","Еще фото")</f>
        <v>Еще фото</v>
      </c>
      <c r="F1354" s="31" t="s">
        <v>738</v>
      </c>
      <c r="G1354" s="11" t="s">
        <v>1542</v>
      </c>
      <c r="H1354" s="11" t="s">
        <v>814</v>
      </c>
      <c r="I1354" s="14" t="s">
        <v>1538</v>
      </c>
      <c r="J1354" s="14" t="s">
        <v>879</v>
      </c>
      <c r="K1354" s="15" t="s">
        <v>114</v>
      </c>
      <c r="L1354" s="14"/>
      <c r="M1354" s="14"/>
      <c r="N1354" s="14" t="s">
        <v>49</v>
      </c>
      <c r="O1354" s="14"/>
      <c r="P1354" s="15" t="s">
        <v>1543</v>
      </c>
      <c r="Q1354" s="59">
        <v>899</v>
      </c>
      <c r="R1354" s="17">
        <v>66.88</v>
      </c>
      <c r="S1354" s="29">
        <v>342.43549999999993</v>
      </c>
      <c r="T1354" s="19" t="s">
        <v>117</v>
      </c>
      <c r="U1354" s="20" t="s">
        <v>1544</v>
      </c>
      <c r="V1354" s="25" t="s">
        <v>119</v>
      </c>
      <c r="W1354" s="21">
        <v>191</v>
      </c>
      <c r="X1354" s="22"/>
    </row>
    <row r="1355" spans="1:24" s="1" customFormat="1" ht="108" customHeight="1" x14ac:dyDescent="0.3">
      <c r="A1355" s="11" t="s">
        <v>1355</v>
      </c>
      <c r="B1355" s="11" t="s">
        <v>1545</v>
      </c>
      <c r="C1355" s="12" t="s">
        <v>1546</v>
      </c>
      <c r="D1355" s="24"/>
      <c r="E1355" s="69" t="str">
        <f>HYPERLINK("https://www.google.ru/search?q=282010-BW&amp;newwindow=1&amp;tbm=isch","Еще фото")</f>
        <v>Еще фото</v>
      </c>
      <c r="F1355" s="13"/>
      <c r="G1355" s="11" t="s">
        <v>1547</v>
      </c>
      <c r="H1355" s="11" t="s">
        <v>814</v>
      </c>
      <c r="I1355" s="14" t="s">
        <v>1538</v>
      </c>
      <c r="J1355" s="14" t="s">
        <v>879</v>
      </c>
      <c r="K1355" s="15" t="s">
        <v>114</v>
      </c>
      <c r="L1355" s="14" t="s">
        <v>1548</v>
      </c>
      <c r="M1355" s="14"/>
      <c r="N1355" s="14" t="s">
        <v>154</v>
      </c>
      <c r="O1355" s="14"/>
      <c r="P1355" s="15" t="s">
        <v>1379</v>
      </c>
      <c r="Q1355" s="16">
        <v>2799</v>
      </c>
      <c r="R1355" s="17">
        <v>66.14</v>
      </c>
      <c r="S1355" s="29">
        <v>1089.9354999999998</v>
      </c>
      <c r="T1355" s="19" t="s">
        <v>117</v>
      </c>
      <c r="U1355" s="20" t="s">
        <v>1549</v>
      </c>
      <c r="V1355" s="25" t="s">
        <v>119</v>
      </c>
      <c r="W1355" s="21">
        <v>128</v>
      </c>
      <c r="X1355" s="22"/>
    </row>
    <row r="1356" spans="1:24" s="1" customFormat="1" ht="108" customHeight="1" x14ac:dyDescent="0.3">
      <c r="A1356" s="11" t="s">
        <v>1355</v>
      </c>
      <c r="B1356" s="11" t="s">
        <v>1550</v>
      </c>
      <c r="C1356" s="12" t="s">
        <v>1551</v>
      </c>
      <c r="D1356" s="24"/>
      <c r="E1356" s="69" t="str">
        <f>HYPERLINK("https://www.google.ru/search?q=288011-SI&amp;newwindow=1&amp;tbm=isch","Еще фото")</f>
        <v>Еще фото</v>
      </c>
      <c r="F1356" s="13"/>
      <c r="G1356" s="11" t="s">
        <v>1542</v>
      </c>
      <c r="H1356" s="11" t="s">
        <v>814</v>
      </c>
      <c r="I1356" s="14" t="s">
        <v>1538</v>
      </c>
      <c r="J1356" s="14" t="s">
        <v>879</v>
      </c>
      <c r="K1356" s="15" t="s">
        <v>114</v>
      </c>
      <c r="L1356" s="14" t="s">
        <v>1552</v>
      </c>
      <c r="M1356" s="14"/>
      <c r="N1356" s="14" t="s">
        <v>41</v>
      </c>
      <c r="O1356" s="14"/>
      <c r="P1356" s="15" t="s">
        <v>1553</v>
      </c>
      <c r="Q1356" s="59">
        <v>699</v>
      </c>
      <c r="R1356" s="17">
        <v>65.98</v>
      </c>
      <c r="S1356" s="29">
        <v>273.43549999999999</v>
      </c>
      <c r="T1356" s="19" t="s">
        <v>117</v>
      </c>
      <c r="U1356" s="20" t="s">
        <v>1554</v>
      </c>
      <c r="V1356" s="25" t="s">
        <v>119</v>
      </c>
      <c r="W1356" s="21">
        <v>377</v>
      </c>
      <c r="X1356" s="22"/>
    </row>
    <row r="1357" spans="1:24" s="1" customFormat="1" ht="108" customHeight="1" x14ac:dyDescent="0.3">
      <c r="A1357" s="11" t="s">
        <v>1355</v>
      </c>
      <c r="B1357" s="11" t="s">
        <v>1555</v>
      </c>
      <c r="C1357" s="12" t="s">
        <v>1556</v>
      </c>
      <c r="D1357" s="24"/>
      <c r="E1357" s="69" t="str">
        <f>HYPERLINK("https://www.google.ru/search?q=285303-GZ&amp;newwindow=1&amp;tbm=isch","Еще фото")</f>
        <v>Еще фото</v>
      </c>
      <c r="F1357" s="13"/>
      <c r="G1357" s="11" t="s">
        <v>1547</v>
      </c>
      <c r="H1357" s="11" t="s">
        <v>814</v>
      </c>
      <c r="I1357" s="14" t="s">
        <v>1538</v>
      </c>
      <c r="J1357" s="14" t="s">
        <v>879</v>
      </c>
      <c r="K1357" s="15" t="s">
        <v>114</v>
      </c>
      <c r="L1357" s="14" t="s">
        <v>1557</v>
      </c>
      <c r="M1357" s="14"/>
      <c r="N1357" s="14" t="s">
        <v>41</v>
      </c>
      <c r="O1357" s="14"/>
      <c r="P1357" s="15" t="s">
        <v>193</v>
      </c>
      <c r="Q1357" s="16">
        <v>1099</v>
      </c>
      <c r="R1357" s="17">
        <v>63.81</v>
      </c>
      <c r="S1357" s="29">
        <v>457.43549999999993</v>
      </c>
      <c r="T1357" s="19" t="s">
        <v>117</v>
      </c>
      <c r="U1357" s="20" t="s">
        <v>1558</v>
      </c>
      <c r="V1357" s="25" t="s">
        <v>119</v>
      </c>
      <c r="W1357" s="21">
        <v>32</v>
      </c>
      <c r="X1357" s="22"/>
    </row>
    <row r="1358" spans="1:24" s="1" customFormat="1" ht="108" customHeight="1" x14ac:dyDescent="0.3">
      <c r="A1358" s="11" t="s">
        <v>1355</v>
      </c>
      <c r="B1358" s="11" t="s">
        <v>1559</v>
      </c>
      <c r="C1358" s="12" t="s">
        <v>1560</v>
      </c>
      <c r="D1358" s="24"/>
      <c r="E1358" s="69" t="str">
        <f>HYPERLINK("https://www.google.ru/search?q=285313-WH&amp;newwindow=1&amp;tbm=isch","Еще фото")</f>
        <v>Еще фото</v>
      </c>
      <c r="F1358" s="13"/>
      <c r="G1358" s="11" t="s">
        <v>1547</v>
      </c>
      <c r="H1358" s="11" t="s">
        <v>814</v>
      </c>
      <c r="I1358" s="14" t="s">
        <v>1538</v>
      </c>
      <c r="J1358" s="14" t="s">
        <v>879</v>
      </c>
      <c r="K1358" s="15" t="s">
        <v>114</v>
      </c>
      <c r="L1358" s="14" t="s">
        <v>1561</v>
      </c>
      <c r="M1358" s="14"/>
      <c r="N1358" s="14" t="s">
        <v>89</v>
      </c>
      <c r="O1358" s="14"/>
      <c r="P1358" s="15" t="s">
        <v>193</v>
      </c>
      <c r="Q1358" s="16">
        <v>1099</v>
      </c>
      <c r="R1358" s="17">
        <v>63.81</v>
      </c>
      <c r="S1358" s="29">
        <v>457.43549999999993</v>
      </c>
      <c r="T1358" s="19" t="s">
        <v>117</v>
      </c>
      <c r="U1358" s="20" t="s">
        <v>1539</v>
      </c>
      <c r="V1358" s="25" t="s">
        <v>119</v>
      </c>
      <c r="W1358" s="21">
        <v>208</v>
      </c>
      <c r="X1358" s="22"/>
    </row>
    <row r="1359" spans="1:24" s="1" customFormat="1" ht="108" customHeight="1" x14ac:dyDescent="0.3">
      <c r="A1359" s="11" t="s">
        <v>1355</v>
      </c>
      <c r="B1359" s="11" t="s">
        <v>1540</v>
      </c>
      <c r="C1359" s="12" t="s">
        <v>1562</v>
      </c>
      <c r="D1359" s="24"/>
      <c r="E1359" s="69" t="str">
        <f>HYPERLINK("https://www.google.ru/search?q=285511-YW&amp;newwindow=1&amp;tbm=isch","Еще фото")</f>
        <v>Еще фото</v>
      </c>
      <c r="F1359" s="31" t="s">
        <v>738</v>
      </c>
      <c r="G1359" s="11" t="s">
        <v>1542</v>
      </c>
      <c r="H1359" s="11" t="s">
        <v>814</v>
      </c>
      <c r="I1359" s="14" t="s">
        <v>1538</v>
      </c>
      <c r="J1359" s="14" t="s">
        <v>879</v>
      </c>
      <c r="K1359" s="15" t="s">
        <v>114</v>
      </c>
      <c r="L1359" s="14"/>
      <c r="M1359" s="14"/>
      <c r="N1359" s="14" t="s">
        <v>313</v>
      </c>
      <c r="O1359" s="14"/>
      <c r="P1359" s="15" t="s">
        <v>1553</v>
      </c>
      <c r="Q1359" s="59">
        <v>729</v>
      </c>
      <c r="R1359" s="17">
        <v>63.27</v>
      </c>
      <c r="S1359" s="29">
        <v>307.93549999999993</v>
      </c>
      <c r="T1359" s="19" t="s">
        <v>117</v>
      </c>
      <c r="U1359" s="20" t="s">
        <v>1434</v>
      </c>
      <c r="V1359" s="25" t="s">
        <v>119</v>
      </c>
      <c r="W1359" s="21">
        <v>217</v>
      </c>
      <c r="X1359" s="22"/>
    </row>
    <row r="1360" spans="1:24" s="1" customFormat="1" ht="108" customHeight="1" x14ac:dyDescent="0.3">
      <c r="A1360" s="11" t="s">
        <v>1355</v>
      </c>
      <c r="B1360" s="11" t="s">
        <v>1563</v>
      </c>
      <c r="C1360" s="12" t="s">
        <v>1564</v>
      </c>
      <c r="D1360" s="24"/>
      <c r="E1360" s="69" t="str">
        <f>HYPERLINK("https://www.google.ru/search?q=285120-TEHL&amp;newwindow=1&amp;tbm=isch","Еще фото")</f>
        <v>Еще фото</v>
      </c>
      <c r="F1360" s="13"/>
      <c r="G1360" s="11" t="s">
        <v>1542</v>
      </c>
      <c r="H1360" s="11" t="s">
        <v>814</v>
      </c>
      <c r="I1360" s="14" t="s">
        <v>1538</v>
      </c>
      <c r="J1360" s="14" t="s">
        <v>879</v>
      </c>
      <c r="K1360" s="15" t="s">
        <v>114</v>
      </c>
      <c r="L1360" s="14" t="s">
        <v>1565</v>
      </c>
      <c r="M1360" s="14"/>
      <c r="N1360" s="14" t="s">
        <v>1566</v>
      </c>
      <c r="O1360" s="14"/>
      <c r="P1360" s="15" t="s">
        <v>1567</v>
      </c>
      <c r="Q1360" s="59">
        <v>799</v>
      </c>
      <c r="R1360" s="17">
        <v>62.73</v>
      </c>
      <c r="S1360" s="29">
        <v>342.43549999999993</v>
      </c>
      <c r="T1360" s="19" t="s">
        <v>117</v>
      </c>
      <c r="U1360" s="20" t="s">
        <v>1568</v>
      </c>
      <c r="V1360" s="25" t="s">
        <v>119</v>
      </c>
      <c r="W1360" s="21">
        <v>58</v>
      </c>
      <c r="X1360" s="22"/>
    </row>
    <row r="1361" spans="1:24" s="1" customFormat="1" ht="108" customHeight="1" x14ac:dyDescent="0.3">
      <c r="A1361" s="11" t="s">
        <v>1355</v>
      </c>
      <c r="B1361" s="11" t="s">
        <v>1540</v>
      </c>
      <c r="C1361" s="12" t="s">
        <v>1569</v>
      </c>
      <c r="D1361" s="24"/>
      <c r="E1361" s="69" t="str">
        <f>HYPERLINK("https://www.google.ru/search?q=285511-OR&amp;newwindow=1&amp;tbm=isch","Еще фото")</f>
        <v>Еще фото</v>
      </c>
      <c r="F1361" s="31" t="s">
        <v>738</v>
      </c>
      <c r="G1361" s="11" t="s">
        <v>1542</v>
      </c>
      <c r="H1361" s="11" t="s">
        <v>814</v>
      </c>
      <c r="I1361" s="14" t="s">
        <v>1538</v>
      </c>
      <c r="J1361" s="14" t="s">
        <v>879</v>
      </c>
      <c r="K1361" s="15" t="s">
        <v>114</v>
      </c>
      <c r="L1361" s="14"/>
      <c r="M1361" s="14"/>
      <c r="N1361" s="14" t="s">
        <v>636</v>
      </c>
      <c r="O1361" s="14"/>
      <c r="P1361" s="15" t="s">
        <v>1553</v>
      </c>
      <c r="Q1361" s="59">
        <v>799</v>
      </c>
      <c r="R1361" s="17">
        <v>62.73</v>
      </c>
      <c r="S1361" s="29">
        <v>342.43549999999993</v>
      </c>
      <c r="T1361" s="19" t="s">
        <v>117</v>
      </c>
      <c r="U1361" s="20" t="s">
        <v>1570</v>
      </c>
      <c r="V1361" s="25" t="s">
        <v>119</v>
      </c>
      <c r="W1361" s="21">
        <v>130</v>
      </c>
      <c r="X1361" s="22"/>
    </row>
    <row r="1362" spans="1:24" s="1" customFormat="1" ht="108" customHeight="1" x14ac:dyDescent="0.3">
      <c r="A1362" s="11" t="s">
        <v>1355</v>
      </c>
      <c r="B1362" s="11" t="s">
        <v>1571</v>
      </c>
      <c r="C1362" s="12" t="s">
        <v>1572</v>
      </c>
      <c r="D1362" s="24"/>
      <c r="E1362" s="69" t="str">
        <f>HYPERLINK("https://www.google.ru/search?q=285515-PK&amp;newwindow=1&amp;tbm=isch","Еще фото")</f>
        <v>Еще фото</v>
      </c>
      <c r="F1362" s="31" t="s">
        <v>738</v>
      </c>
      <c r="G1362" s="11" t="s">
        <v>1542</v>
      </c>
      <c r="H1362" s="11" t="s">
        <v>814</v>
      </c>
      <c r="I1362" s="14" t="s">
        <v>1538</v>
      </c>
      <c r="J1362" s="14" t="s">
        <v>879</v>
      </c>
      <c r="K1362" s="15" t="s">
        <v>114</v>
      </c>
      <c r="L1362" s="14"/>
      <c r="M1362" s="14"/>
      <c r="N1362" s="14" t="s">
        <v>275</v>
      </c>
      <c r="O1362" s="14"/>
      <c r="P1362" s="15" t="s">
        <v>1573</v>
      </c>
      <c r="Q1362" s="59">
        <v>799</v>
      </c>
      <c r="R1362" s="17">
        <v>62.73</v>
      </c>
      <c r="S1362" s="29">
        <v>342.43549999999993</v>
      </c>
      <c r="T1362" s="19" t="s">
        <v>117</v>
      </c>
      <c r="U1362" s="20" t="s">
        <v>1574</v>
      </c>
      <c r="V1362" s="25" t="s">
        <v>119</v>
      </c>
      <c r="W1362" s="21">
        <v>119</v>
      </c>
      <c r="X1362" s="22"/>
    </row>
    <row r="1363" spans="1:24" s="1" customFormat="1" ht="108" customHeight="1" x14ac:dyDescent="0.3">
      <c r="A1363" s="11" t="s">
        <v>1355</v>
      </c>
      <c r="B1363" s="11" t="s">
        <v>1575</v>
      </c>
      <c r="C1363" s="12" t="s">
        <v>1576</v>
      </c>
      <c r="D1363" s="24"/>
      <c r="E1363" s="69" t="str">
        <f>HYPERLINK("https://www.google.ru/search?q=285704-WH&amp;newwindow=1&amp;tbm=isch","Еще фото")</f>
        <v>Еще фото</v>
      </c>
      <c r="F1363" s="13"/>
      <c r="G1363" s="11" t="s">
        <v>1542</v>
      </c>
      <c r="H1363" s="11" t="s">
        <v>814</v>
      </c>
      <c r="I1363" s="14" t="s">
        <v>1538</v>
      </c>
      <c r="J1363" s="14" t="s">
        <v>879</v>
      </c>
      <c r="K1363" s="15" t="s">
        <v>114</v>
      </c>
      <c r="L1363" s="14" t="s">
        <v>1577</v>
      </c>
      <c r="M1363" s="14"/>
      <c r="N1363" s="14" t="s">
        <v>89</v>
      </c>
      <c r="O1363" s="14"/>
      <c r="P1363" s="15" t="s">
        <v>1573</v>
      </c>
      <c r="Q1363" s="59">
        <v>799</v>
      </c>
      <c r="R1363" s="17">
        <v>62.73</v>
      </c>
      <c r="S1363" s="29">
        <v>342.43549999999993</v>
      </c>
      <c r="T1363" s="19" t="s">
        <v>117</v>
      </c>
      <c r="U1363" s="20" t="s">
        <v>1539</v>
      </c>
      <c r="V1363" s="25" t="s">
        <v>119</v>
      </c>
      <c r="W1363" s="21">
        <v>116</v>
      </c>
      <c r="X1363" s="22"/>
    </row>
    <row r="1364" spans="1:24" s="1" customFormat="1" ht="108" customHeight="1" x14ac:dyDescent="0.3">
      <c r="A1364" s="11" t="s">
        <v>1355</v>
      </c>
      <c r="B1364" s="11" t="s">
        <v>1536</v>
      </c>
      <c r="C1364" s="12" t="s">
        <v>1578</v>
      </c>
      <c r="D1364" s="24"/>
      <c r="E1364" s="69" t="str">
        <f>HYPERLINK("https://www.google.ru/search?q=285088-BK&amp;newwindow=1&amp;tbm=isch","Еще фото")</f>
        <v>Еще фото</v>
      </c>
      <c r="F1364" s="31" t="s">
        <v>738</v>
      </c>
      <c r="G1364" s="11" t="s">
        <v>1431</v>
      </c>
      <c r="H1364" s="11" t="s">
        <v>814</v>
      </c>
      <c r="I1364" s="14" t="s">
        <v>1538</v>
      </c>
      <c r="J1364" s="14" t="s">
        <v>879</v>
      </c>
      <c r="K1364" s="15" t="s">
        <v>114</v>
      </c>
      <c r="L1364" s="14" t="s">
        <v>1579</v>
      </c>
      <c r="M1364" s="14"/>
      <c r="N1364" s="14" t="s">
        <v>49</v>
      </c>
      <c r="O1364" s="14"/>
      <c r="P1364" s="15" t="s">
        <v>108</v>
      </c>
      <c r="Q1364" s="59">
        <v>799</v>
      </c>
      <c r="R1364" s="17">
        <v>60.23</v>
      </c>
      <c r="S1364" s="29">
        <v>365.43549999999993</v>
      </c>
      <c r="T1364" s="19" t="s">
        <v>117</v>
      </c>
      <c r="U1364" s="20" t="s">
        <v>1544</v>
      </c>
      <c r="V1364" s="25" t="s">
        <v>119</v>
      </c>
      <c r="W1364" s="21">
        <v>418</v>
      </c>
      <c r="X1364" s="22"/>
    </row>
    <row r="1365" spans="1:24" s="1" customFormat="1" ht="108" customHeight="1" x14ac:dyDescent="0.3">
      <c r="A1365" s="11" t="s">
        <v>1355</v>
      </c>
      <c r="B1365" s="11" t="s">
        <v>1555</v>
      </c>
      <c r="C1365" s="12" t="s">
        <v>1580</v>
      </c>
      <c r="D1365" s="24"/>
      <c r="E1365" s="69" t="str">
        <f>HYPERLINK("https://www.google.ru/search?q=285303-TE&amp;newwindow=1&amp;tbm=isch","Еще фото")</f>
        <v>Еще фото</v>
      </c>
      <c r="F1365" s="13"/>
      <c r="G1365" s="11" t="s">
        <v>1547</v>
      </c>
      <c r="H1365" s="11" t="s">
        <v>814</v>
      </c>
      <c r="I1365" s="14" t="s">
        <v>1538</v>
      </c>
      <c r="J1365" s="14" t="s">
        <v>879</v>
      </c>
      <c r="K1365" s="15" t="s">
        <v>114</v>
      </c>
      <c r="L1365" s="14" t="s">
        <v>1557</v>
      </c>
      <c r="M1365" s="14"/>
      <c r="N1365" s="14" t="s">
        <v>265</v>
      </c>
      <c r="O1365" s="14"/>
      <c r="P1365" s="15" t="s">
        <v>193</v>
      </c>
      <c r="Q1365" s="16">
        <v>1099</v>
      </c>
      <c r="R1365" s="17">
        <v>52.89</v>
      </c>
      <c r="S1365" s="29">
        <v>595.43549999999993</v>
      </c>
      <c r="T1365" s="19" t="s">
        <v>117</v>
      </c>
      <c r="U1365" s="20" t="s">
        <v>1581</v>
      </c>
      <c r="V1365" s="25" t="s">
        <v>119</v>
      </c>
      <c r="W1365" s="21">
        <v>70</v>
      </c>
      <c r="X1365" s="22"/>
    </row>
    <row r="1366" spans="1:24" s="1" customFormat="1" ht="108" customHeight="1" x14ac:dyDescent="0.3">
      <c r="A1366" s="11" t="s">
        <v>1355</v>
      </c>
      <c r="B1366" s="11" t="s">
        <v>1571</v>
      </c>
      <c r="C1366" s="12" t="s">
        <v>1582</v>
      </c>
      <c r="D1366" s="24"/>
      <c r="E1366" s="69" t="str">
        <f>HYPERLINK("https://www.google.ru/search?q=285515-BL&amp;newwindow=1&amp;tbm=isch","Еще фото")</f>
        <v>Еще фото</v>
      </c>
      <c r="F1366" s="13"/>
      <c r="G1366" s="11" t="s">
        <v>1542</v>
      </c>
      <c r="H1366" s="11" t="s">
        <v>814</v>
      </c>
      <c r="I1366" s="14" t="s">
        <v>1538</v>
      </c>
      <c r="J1366" s="14" t="s">
        <v>879</v>
      </c>
      <c r="K1366" s="15" t="s">
        <v>114</v>
      </c>
      <c r="L1366" s="14" t="s">
        <v>1583</v>
      </c>
      <c r="M1366" s="14"/>
      <c r="N1366" s="14" t="s">
        <v>70</v>
      </c>
      <c r="O1366" s="14"/>
      <c r="P1366" s="15" t="s">
        <v>1553</v>
      </c>
      <c r="Q1366" s="59">
        <v>799</v>
      </c>
      <c r="R1366" s="17">
        <v>45.21</v>
      </c>
      <c r="S1366" s="29">
        <v>503.43549999999993</v>
      </c>
      <c r="T1366" s="19" t="s">
        <v>117</v>
      </c>
      <c r="U1366" s="20" t="s">
        <v>1584</v>
      </c>
      <c r="V1366" s="25" t="s">
        <v>119</v>
      </c>
      <c r="W1366" s="21">
        <v>42</v>
      </c>
      <c r="X1366" s="22"/>
    </row>
    <row r="1367" spans="1:24" s="1" customFormat="1" ht="108" customHeight="1" x14ac:dyDescent="0.3">
      <c r="A1367" s="11" t="s">
        <v>1355</v>
      </c>
      <c r="B1367" s="11" t="s">
        <v>1571</v>
      </c>
      <c r="C1367" s="12" t="s">
        <v>1585</v>
      </c>
      <c r="D1367" s="24"/>
      <c r="E1367" s="69" t="str">
        <f>HYPERLINK("https://www.google.ru/search?q=285515-YW&amp;newwindow=1&amp;tbm=isch","Еще фото")</f>
        <v>Еще фото</v>
      </c>
      <c r="F1367" s="13"/>
      <c r="G1367" s="11" t="s">
        <v>1542</v>
      </c>
      <c r="H1367" s="11" t="s">
        <v>814</v>
      </c>
      <c r="I1367" s="14" t="s">
        <v>1538</v>
      </c>
      <c r="J1367" s="14" t="s">
        <v>879</v>
      </c>
      <c r="K1367" s="15" t="s">
        <v>114</v>
      </c>
      <c r="L1367" s="14" t="s">
        <v>1583</v>
      </c>
      <c r="M1367" s="14"/>
      <c r="N1367" s="14" t="s">
        <v>313</v>
      </c>
      <c r="O1367" s="14"/>
      <c r="P1367" s="15" t="s">
        <v>1553</v>
      </c>
      <c r="Q1367" s="59">
        <v>799</v>
      </c>
      <c r="R1367" s="17">
        <v>45.21</v>
      </c>
      <c r="S1367" s="29">
        <v>503.43549999999993</v>
      </c>
      <c r="T1367" s="19" t="s">
        <v>117</v>
      </c>
      <c r="U1367" s="20" t="s">
        <v>1434</v>
      </c>
      <c r="V1367" s="25" t="s">
        <v>119</v>
      </c>
      <c r="W1367" s="21">
        <v>143</v>
      </c>
      <c r="X1367" s="22"/>
    </row>
    <row r="1368" spans="1:24" s="1" customFormat="1" ht="108" customHeight="1" x14ac:dyDescent="0.3">
      <c r="A1368" s="11" t="s">
        <v>1355</v>
      </c>
      <c r="B1368" s="11" t="s">
        <v>1586</v>
      </c>
      <c r="C1368" s="12" t="s">
        <v>1587</v>
      </c>
      <c r="D1368" s="24"/>
      <c r="E1368" s="69" t="str">
        <f>HYPERLINK("https://www.google.ru/search?q=285014-WHBK&amp;newwindow=1&amp;tbm=isch","Еще фото")</f>
        <v>Еще фото</v>
      </c>
      <c r="F1368" s="13"/>
      <c r="G1368" s="11" t="s">
        <v>1547</v>
      </c>
      <c r="H1368" s="11" t="s">
        <v>814</v>
      </c>
      <c r="I1368" s="14" t="s">
        <v>1538</v>
      </c>
      <c r="J1368" s="14" t="s">
        <v>879</v>
      </c>
      <c r="K1368" s="15" t="s">
        <v>114</v>
      </c>
      <c r="L1368" s="14" t="s">
        <v>1588</v>
      </c>
      <c r="M1368" s="14"/>
      <c r="N1368" s="14" t="s">
        <v>89</v>
      </c>
      <c r="O1368" s="14"/>
      <c r="P1368" s="15" t="s">
        <v>108</v>
      </c>
      <c r="Q1368" s="59">
        <v>999</v>
      </c>
      <c r="R1368" s="17">
        <v>45.17</v>
      </c>
      <c r="S1368" s="29">
        <v>629.93549999999993</v>
      </c>
      <c r="T1368" s="19" t="s">
        <v>117</v>
      </c>
      <c r="U1368" s="20" t="s">
        <v>1589</v>
      </c>
      <c r="V1368" s="25" t="s">
        <v>119</v>
      </c>
      <c r="W1368" s="21">
        <v>57</v>
      </c>
      <c r="X1368" s="22"/>
    </row>
    <row r="1369" spans="1:24" s="1" customFormat="1" ht="108" customHeight="1" x14ac:dyDescent="0.3">
      <c r="A1369" s="11" t="s">
        <v>1355</v>
      </c>
      <c r="B1369" s="11" t="s">
        <v>1429</v>
      </c>
      <c r="C1369" s="12" t="s">
        <v>1590</v>
      </c>
      <c r="D1369" s="24"/>
      <c r="E1369" s="69" t="str">
        <f>HYPERLINK("https://www.google.ru/search?q=285621-PK&amp;newwindow=1&amp;tbm=isch","Еще фото")</f>
        <v>Еще фото</v>
      </c>
      <c r="F1369" s="13"/>
      <c r="G1369" s="11" t="s">
        <v>1431</v>
      </c>
      <c r="H1369" s="11" t="s">
        <v>814</v>
      </c>
      <c r="I1369" s="14" t="s">
        <v>1538</v>
      </c>
      <c r="J1369" s="14" t="s">
        <v>879</v>
      </c>
      <c r="K1369" s="15" t="s">
        <v>114</v>
      </c>
      <c r="L1369" s="14" t="s">
        <v>1433</v>
      </c>
      <c r="M1369" s="14"/>
      <c r="N1369" s="14" t="s">
        <v>275</v>
      </c>
      <c r="O1369" s="14"/>
      <c r="P1369" s="15" t="s">
        <v>193</v>
      </c>
      <c r="Q1369" s="59">
        <v>999</v>
      </c>
      <c r="R1369" s="17">
        <v>45.17</v>
      </c>
      <c r="S1369" s="29">
        <v>629.93549999999993</v>
      </c>
      <c r="T1369" s="19" t="s">
        <v>117</v>
      </c>
      <c r="U1369" s="20" t="s">
        <v>1574</v>
      </c>
      <c r="V1369" s="25" t="s">
        <v>119</v>
      </c>
      <c r="W1369" s="21">
        <v>85</v>
      </c>
      <c r="X1369" s="22"/>
    </row>
    <row r="1370" spans="1:24" s="1" customFormat="1" ht="108" customHeight="1" x14ac:dyDescent="0.3">
      <c r="A1370" s="11" t="s">
        <v>1355</v>
      </c>
      <c r="B1370" s="11" t="s">
        <v>1591</v>
      </c>
      <c r="C1370" s="12" t="s">
        <v>1592</v>
      </c>
      <c r="D1370" s="24"/>
      <c r="E1370" s="69" t="str">
        <f>HYPERLINK("https://www.google.ru/search?q=285641-BK&amp;newwindow=1&amp;tbm=isch","Еще фото")</f>
        <v>Еще фото</v>
      </c>
      <c r="F1370" s="13"/>
      <c r="G1370" s="11" t="s">
        <v>1593</v>
      </c>
      <c r="H1370" s="11" t="s">
        <v>814</v>
      </c>
      <c r="I1370" s="14" t="s">
        <v>1538</v>
      </c>
      <c r="J1370" s="14" t="s">
        <v>879</v>
      </c>
      <c r="K1370" s="15" t="s">
        <v>114</v>
      </c>
      <c r="L1370" s="14" t="s">
        <v>1594</v>
      </c>
      <c r="M1370" s="14"/>
      <c r="N1370" s="14" t="s">
        <v>49</v>
      </c>
      <c r="O1370" s="14"/>
      <c r="P1370" s="15" t="s">
        <v>193</v>
      </c>
      <c r="Q1370" s="16">
        <v>7699</v>
      </c>
      <c r="R1370" s="17">
        <v>45.09</v>
      </c>
      <c r="S1370" s="18">
        <v>4861.9355000000005</v>
      </c>
      <c r="T1370" s="19" t="s">
        <v>117</v>
      </c>
      <c r="U1370" s="20" t="s">
        <v>1544</v>
      </c>
      <c r="V1370" s="25" t="s">
        <v>119</v>
      </c>
      <c r="W1370" s="21">
        <v>8</v>
      </c>
      <c r="X1370" s="22"/>
    </row>
    <row r="1371" spans="1:24" s="1" customFormat="1" ht="108" customHeight="1" x14ac:dyDescent="0.3">
      <c r="A1371" s="11" t="s">
        <v>1355</v>
      </c>
      <c r="B1371" s="11" t="s">
        <v>1595</v>
      </c>
      <c r="C1371" s="12" t="s">
        <v>1596</v>
      </c>
      <c r="D1371" s="24"/>
      <c r="E1371" s="69" t="str">
        <f>HYPERLINK("https://www.google.ru/search?q=282009-BK&amp;newwindow=1&amp;tbm=isch","Еще фото")</f>
        <v>Еще фото</v>
      </c>
      <c r="F1371" s="13"/>
      <c r="G1371" s="11" t="s">
        <v>1431</v>
      </c>
      <c r="H1371" s="11" t="s">
        <v>814</v>
      </c>
      <c r="I1371" s="14" t="s">
        <v>1538</v>
      </c>
      <c r="J1371" s="14" t="s">
        <v>879</v>
      </c>
      <c r="K1371" s="15" t="s">
        <v>114</v>
      </c>
      <c r="L1371" s="14" t="s">
        <v>1597</v>
      </c>
      <c r="M1371" s="14"/>
      <c r="N1371" s="14" t="s">
        <v>49</v>
      </c>
      <c r="O1371" s="14"/>
      <c r="P1371" s="15" t="s">
        <v>1598</v>
      </c>
      <c r="Q1371" s="59">
        <v>999</v>
      </c>
      <c r="R1371" s="17">
        <v>30</v>
      </c>
      <c r="S1371" s="29">
        <v>804.19499999999994</v>
      </c>
      <c r="T1371" s="19" t="s">
        <v>117</v>
      </c>
      <c r="U1371" s="20" t="s">
        <v>1544</v>
      </c>
      <c r="V1371" s="25" t="s">
        <v>119</v>
      </c>
      <c r="W1371" s="21">
        <v>10</v>
      </c>
      <c r="X1371" s="22"/>
    </row>
    <row r="1372" spans="1:24" s="1" customFormat="1" ht="108" customHeight="1" x14ac:dyDescent="0.3">
      <c r="A1372" s="11" t="s">
        <v>1355</v>
      </c>
      <c r="B1372" s="11" t="s">
        <v>1595</v>
      </c>
      <c r="C1372" s="12" t="s">
        <v>1599</v>
      </c>
      <c r="D1372" s="24"/>
      <c r="E1372" s="69" t="str">
        <f>HYPERLINK("https://www.google.ru/search?q=282009-WH&amp;newwindow=1&amp;tbm=isch","Еще фото")</f>
        <v>Еще фото</v>
      </c>
      <c r="F1372" s="13"/>
      <c r="G1372" s="11" t="s">
        <v>1431</v>
      </c>
      <c r="H1372" s="11" t="s">
        <v>814</v>
      </c>
      <c r="I1372" s="14" t="s">
        <v>1538</v>
      </c>
      <c r="J1372" s="14" t="s">
        <v>879</v>
      </c>
      <c r="K1372" s="15" t="s">
        <v>114</v>
      </c>
      <c r="L1372" s="14"/>
      <c r="M1372" s="14"/>
      <c r="N1372" s="14" t="s">
        <v>89</v>
      </c>
      <c r="O1372" s="14"/>
      <c r="P1372" s="15" t="s">
        <v>1598</v>
      </c>
      <c r="Q1372" s="59">
        <v>999</v>
      </c>
      <c r="R1372" s="17">
        <v>30</v>
      </c>
      <c r="S1372" s="29">
        <v>804.19499999999994</v>
      </c>
      <c r="T1372" s="19" t="s">
        <v>117</v>
      </c>
      <c r="U1372" s="20" t="s">
        <v>1539</v>
      </c>
      <c r="V1372" s="25" t="s">
        <v>119</v>
      </c>
      <c r="W1372" s="21">
        <v>3</v>
      </c>
      <c r="X1372" s="22"/>
    </row>
    <row r="1373" spans="1:24" s="1" customFormat="1" ht="108" customHeight="1" x14ac:dyDescent="0.3">
      <c r="A1373" s="11" t="s">
        <v>1355</v>
      </c>
      <c r="B1373" s="11" t="s">
        <v>1586</v>
      </c>
      <c r="C1373" s="12" t="s">
        <v>1600</v>
      </c>
      <c r="D1373" s="24"/>
      <c r="E1373" s="69" t="str">
        <f>HYPERLINK("https://www.google.ru/search?q=285014-BKRD&amp;newwindow=1&amp;tbm=isch","Еще фото")</f>
        <v>Еще фото</v>
      </c>
      <c r="F1373" s="13"/>
      <c r="G1373" s="11" t="s">
        <v>1547</v>
      </c>
      <c r="H1373" s="11" t="s">
        <v>814</v>
      </c>
      <c r="I1373" s="14" t="s">
        <v>1538</v>
      </c>
      <c r="J1373" s="14" t="s">
        <v>879</v>
      </c>
      <c r="K1373" s="15" t="s">
        <v>114</v>
      </c>
      <c r="L1373" s="14" t="s">
        <v>1588</v>
      </c>
      <c r="M1373" s="14"/>
      <c r="N1373" s="14" t="s">
        <v>49</v>
      </c>
      <c r="O1373" s="14"/>
      <c r="P1373" s="15" t="s">
        <v>108</v>
      </c>
      <c r="Q1373" s="16">
        <v>1099</v>
      </c>
      <c r="R1373" s="17">
        <v>30</v>
      </c>
      <c r="S1373" s="29">
        <v>884.69499999999982</v>
      </c>
      <c r="T1373" s="19" t="s">
        <v>117</v>
      </c>
      <c r="U1373" s="20" t="s">
        <v>1601</v>
      </c>
      <c r="V1373" s="25" t="s">
        <v>119</v>
      </c>
      <c r="W1373" s="21">
        <v>81</v>
      </c>
      <c r="X1373" s="22"/>
    </row>
    <row r="1374" spans="1:24" s="1" customFormat="1" ht="108" customHeight="1" x14ac:dyDescent="0.3">
      <c r="A1374" s="11" t="s">
        <v>1355</v>
      </c>
      <c r="B1374" s="11" t="s">
        <v>1602</v>
      </c>
      <c r="C1374" s="12" t="s">
        <v>1603</v>
      </c>
      <c r="D1374" s="24"/>
      <c r="E1374" s="69" t="str">
        <f>HYPERLINK("https://www.google.ru/search?q=285018-BK&amp;newwindow=1&amp;tbm=isch","Еще фото")</f>
        <v>Еще фото</v>
      </c>
      <c r="F1374" s="13"/>
      <c r="G1374" s="11" t="s">
        <v>1602</v>
      </c>
      <c r="H1374" s="11" t="s">
        <v>814</v>
      </c>
      <c r="I1374" s="14" t="s">
        <v>1538</v>
      </c>
      <c r="J1374" s="14" t="s">
        <v>879</v>
      </c>
      <c r="K1374" s="15" t="s">
        <v>114</v>
      </c>
      <c r="L1374" s="14" t="s">
        <v>1604</v>
      </c>
      <c r="M1374" s="14"/>
      <c r="N1374" s="14" t="s">
        <v>49</v>
      </c>
      <c r="O1374" s="14"/>
      <c r="P1374" s="15" t="s">
        <v>108</v>
      </c>
      <c r="Q1374" s="16">
        <v>1399</v>
      </c>
      <c r="R1374" s="17">
        <v>30</v>
      </c>
      <c r="S1374" s="29">
        <v>1126.1949999999999</v>
      </c>
      <c r="T1374" s="19" t="s">
        <v>117</v>
      </c>
      <c r="U1374" s="20" t="s">
        <v>1544</v>
      </c>
      <c r="V1374" s="25" t="s">
        <v>119</v>
      </c>
      <c r="W1374" s="21">
        <v>280</v>
      </c>
      <c r="X1374" s="22"/>
    </row>
    <row r="1375" spans="1:24" s="1" customFormat="1" ht="108" customHeight="1" x14ac:dyDescent="0.3">
      <c r="A1375" s="11" t="s">
        <v>1355</v>
      </c>
      <c r="B1375" s="11" t="s">
        <v>1536</v>
      </c>
      <c r="C1375" s="12" t="s">
        <v>1605</v>
      </c>
      <c r="D1375" s="24"/>
      <c r="E1375" s="69" t="str">
        <f>HYPERLINK("https://www.google.ru/search?q=285088-BL&amp;newwindow=1&amp;tbm=isch","Еще фото")</f>
        <v>Еще фото</v>
      </c>
      <c r="F1375" s="13"/>
      <c r="G1375" s="11" t="s">
        <v>1431</v>
      </c>
      <c r="H1375" s="11" t="s">
        <v>814</v>
      </c>
      <c r="I1375" s="14" t="s">
        <v>1538</v>
      </c>
      <c r="J1375" s="14" t="s">
        <v>879</v>
      </c>
      <c r="K1375" s="15" t="s">
        <v>114</v>
      </c>
      <c r="L1375" s="14"/>
      <c r="M1375" s="14"/>
      <c r="N1375" s="14" t="s">
        <v>70</v>
      </c>
      <c r="O1375" s="14"/>
      <c r="P1375" s="15" t="s">
        <v>108</v>
      </c>
      <c r="Q1375" s="59">
        <v>799</v>
      </c>
      <c r="R1375" s="17">
        <v>30</v>
      </c>
      <c r="S1375" s="29">
        <v>643.19499999999994</v>
      </c>
      <c r="T1375" s="19" t="s">
        <v>117</v>
      </c>
      <c r="U1375" s="20" t="s">
        <v>1584</v>
      </c>
      <c r="V1375" s="25" t="s">
        <v>119</v>
      </c>
      <c r="W1375" s="21">
        <v>128</v>
      </c>
      <c r="X1375" s="22"/>
    </row>
    <row r="1376" spans="1:24" s="1" customFormat="1" ht="108" customHeight="1" x14ac:dyDescent="0.3">
      <c r="A1376" s="11" t="s">
        <v>1355</v>
      </c>
      <c r="B1376" s="11" t="s">
        <v>1606</v>
      </c>
      <c r="C1376" s="12" t="s">
        <v>1607</v>
      </c>
      <c r="D1376" s="24"/>
      <c r="E1376" s="69" t="str">
        <f>HYPERLINK("https://www.google.ru/search?q=285104-BK&amp;newwindow=1&amp;tbm=isch","Еще фото")</f>
        <v>Еще фото</v>
      </c>
      <c r="F1376" s="31" t="s">
        <v>738</v>
      </c>
      <c r="G1376" s="11" t="s">
        <v>1431</v>
      </c>
      <c r="H1376" s="11" t="s">
        <v>814</v>
      </c>
      <c r="I1376" s="14" t="s">
        <v>1538</v>
      </c>
      <c r="J1376" s="14" t="s">
        <v>879</v>
      </c>
      <c r="K1376" s="15" t="s">
        <v>114</v>
      </c>
      <c r="L1376" s="14" t="s">
        <v>1608</v>
      </c>
      <c r="M1376" s="14"/>
      <c r="N1376" s="14" t="s">
        <v>49</v>
      </c>
      <c r="O1376" s="14"/>
      <c r="P1376" s="15" t="s">
        <v>108</v>
      </c>
      <c r="Q1376" s="59">
        <v>899</v>
      </c>
      <c r="R1376" s="17">
        <v>30</v>
      </c>
      <c r="S1376" s="29">
        <v>723.69499999999994</v>
      </c>
      <c r="T1376" s="19" t="s">
        <v>117</v>
      </c>
      <c r="U1376" s="20" t="s">
        <v>1544</v>
      </c>
      <c r="V1376" s="25" t="s">
        <v>119</v>
      </c>
      <c r="W1376" s="21">
        <v>379</v>
      </c>
      <c r="X1376" s="22"/>
    </row>
    <row r="1377" spans="1:24" s="1" customFormat="1" ht="108" customHeight="1" x14ac:dyDescent="0.3">
      <c r="A1377" s="11" t="s">
        <v>1355</v>
      </c>
      <c r="B1377" s="11" t="s">
        <v>1606</v>
      </c>
      <c r="C1377" s="12" t="s">
        <v>1609</v>
      </c>
      <c r="D1377" s="24"/>
      <c r="E1377" s="69" t="str">
        <f>HYPERLINK("https://www.google.ru/search?q=285104-PK&amp;newwindow=1&amp;tbm=isch","Еще фото")</f>
        <v>Еще фото</v>
      </c>
      <c r="F1377" s="31" t="s">
        <v>738</v>
      </c>
      <c r="G1377" s="11" t="s">
        <v>1431</v>
      </c>
      <c r="H1377" s="11" t="s">
        <v>814</v>
      </c>
      <c r="I1377" s="14" t="s">
        <v>1538</v>
      </c>
      <c r="J1377" s="14" t="s">
        <v>879</v>
      </c>
      <c r="K1377" s="15" t="s">
        <v>114</v>
      </c>
      <c r="L1377" s="14" t="s">
        <v>1608</v>
      </c>
      <c r="M1377" s="14"/>
      <c r="N1377" s="14" t="s">
        <v>275</v>
      </c>
      <c r="O1377" s="14"/>
      <c r="P1377" s="15" t="s">
        <v>108</v>
      </c>
      <c r="Q1377" s="59">
        <v>899</v>
      </c>
      <c r="R1377" s="17">
        <v>30</v>
      </c>
      <c r="S1377" s="29">
        <v>723.69499999999994</v>
      </c>
      <c r="T1377" s="19" t="s">
        <v>117</v>
      </c>
      <c r="U1377" s="20" t="s">
        <v>1574</v>
      </c>
      <c r="V1377" s="25" t="s">
        <v>119</v>
      </c>
      <c r="W1377" s="21">
        <v>88</v>
      </c>
      <c r="X1377" s="22"/>
    </row>
    <row r="1378" spans="1:24" s="1" customFormat="1" ht="108" customHeight="1" x14ac:dyDescent="0.3">
      <c r="A1378" s="11" t="s">
        <v>1355</v>
      </c>
      <c r="B1378" s="11" t="s">
        <v>1606</v>
      </c>
      <c r="C1378" s="12" t="s">
        <v>1610</v>
      </c>
      <c r="D1378" s="24"/>
      <c r="E1378" s="69" t="str">
        <f>HYPERLINK("https://www.google.ru/search?q=285104-RD&amp;newwindow=1&amp;tbm=isch","Еще фото")</f>
        <v>Еще фото</v>
      </c>
      <c r="F1378" s="31" t="s">
        <v>738</v>
      </c>
      <c r="G1378" s="11" t="s">
        <v>1431</v>
      </c>
      <c r="H1378" s="11" t="s">
        <v>814</v>
      </c>
      <c r="I1378" s="14" t="s">
        <v>1538</v>
      </c>
      <c r="J1378" s="14" t="s">
        <v>879</v>
      </c>
      <c r="K1378" s="15" t="s">
        <v>114</v>
      </c>
      <c r="L1378" s="14" t="s">
        <v>1608</v>
      </c>
      <c r="M1378" s="14"/>
      <c r="N1378" s="14" t="s">
        <v>116</v>
      </c>
      <c r="O1378" s="14"/>
      <c r="P1378" s="15" t="s">
        <v>108</v>
      </c>
      <c r="Q1378" s="59">
        <v>899</v>
      </c>
      <c r="R1378" s="17">
        <v>30</v>
      </c>
      <c r="S1378" s="29">
        <v>723.69499999999994</v>
      </c>
      <c r="T1378" s="19" t="s">
        <v>117</v>
      </c>
      <c r="U1378" s="20" t="s">
        <v>1535</v>
      </c>
      <c r="V1378" s="25" t="s">
        <v>119</v>
      </c>
      <c r="W1378" s="21">
        <v>105</v>
      </c>
      <c r="X1378" s="22"/>
    </row>
    <row r="1379" spans="1:24" s="1" customFormat="1" ht="108" customHeight="1" x14ac:dyDescent="0.3">
      <c r="A1379" s="11" t="s">
        <v>1355</v>
      </c>
      <c r="B1379" s="11" t="s">
        <v>1606</v>
      </c>
      <c r="C1379" s="12" t="s">
        <v>1611</v>
      </c>
      <c r="D1379" s="24"/>
      <c r="E1379" s="69" t="str">
        <f>HYPERLINK("https://www.google.ru/search?q=285104-WH&amp;newwindow=1&amp;tbm=isch","Еще фото")</f>
        <v>Еще фото</v>
      </c>
      <c r="F1379" s="31" t="s">
        <v>738</v>
      </c>
      <c r="G1379" s="11" t="s">
        <v>1431</v>
      </c>
      <c r="H1379" s="11" t="s">
        <v>814</v>
      </c>
      <c r="I1379" s="14" t="s">
        <v>1538</v>
      </c>
      <c r="J1379" s="14" t="s">
        <v>879</v>
      </c>
      <c r="K1379" s="15" t="s">
        <v>114</v>
      </c>
      <c r="L1379" s="14" t="s">
        <v>1608</v>
      </c>
      <c r="M1379" s="14"/>
      <c r="N1379" s="14" t="s">
        <v>89</v>
      </c>
      <c r="O1379" s="14"/>
      <c r="P1379" s="15" t="s">
        <v>108</v>
      </c>
      <c r="Q1379" s="59">
        <v>899</v>
      </c>
      <c r="R1379" s="17">
        <v>30</v>
      </c>
      <c r="S1379" s="29">
        <v>723.69499999999994</v>
      </c>
      <c r="T1379" s="19" t="s">
        <v>117</v>
      </c>
      <c r="U1379" s="20" t="s">
        <v>1539</v>
      </c>
      <c r="V1379" s="25" t="s">
        <v>119</v>
      </c>
      <c r="W1379" s="21">
        <v>532</v>
      </c>
      <c r="X1379" s="22"/>
    </row>
    <row r="1380" spans="1:24" s="1" customFormat="1" ht="108" customHeight="1" x14ac:dyDescent="0.3">
      <c r="A1380" s="11" t="s">
        <v>1355</v>
      </c>
      <c r="B1380" s="11" t="s">
        <v>1606</v>
      </c>
      <c r="C1380" s="12" t="s">
        <v>1612</v>
      </c>
      <c r="D1380" s="24"/>
      <c r="E1380" s="69" t="str">
        <f>HYPERLINK("https://www.google.ru/search?q=285104-YW&amp;newwindow=1&amp;tbm=isch","Еще фото")</f>
        <v>Еще фото</v>
      </c>
      <c r="F1380" s="31" t="s">
        <v>738</v>
      </c>
      <c r="G1380" s="11" t="s">
        <v>1431</v>
      </c>
      <c r="H1380" s="11" t="s">
        <v>814</v>
      </c>
      <c r="I1380" s="14" t="s">
        <v>1538</v>
      </c>
      <c r="J1380" s="14" t="s">
        <v>879</v>
      </c>
      <c r="K1380" s="15" t="s">
        <v>114</v>
      </c>
      <c r="L1380" s="14" t="s">
        <v>1608</v>
      </c>
      <c r="M1380" s="14"/>
      <c r="N1380" s="14" t="s">
        <v>313</v>
      </c>
      <c r="O1380" s="14"/>
      <c r="P1380" s="15" t="s">
        <v>108</v>
      </c>
      <c r="Q1380" s="59">
        <v>899</v>
      </c>
      <c r="R1380" s="17">
        <v>30</v>
      </c>
      <c r="S1380" s="29">
        <v>723.69499999999994</v>
      </c>
      <c r="T1380" s="19" t="s">
        <v>117</v>
      </c>
      <c r="U1380" s="20" t="s">
        <v>1434</v>
      </c>
      <c r="V1380" s="25" t="s">
        <v>119</v>
      </c>
      <c r="W1380" s="21">
        <v>92</v>
      </c>
      <c r="X1380" s="22"/>
    </row>
    <row r="1381" spans="1:24" s="1" customFormat="1" ht="108" customHeight="1" x14ac:dyDescent="0.3">
      <c r="A1381" s="11" t="s">
        <v>1355</v>
      </c>
      <c r="B1381" s="11" t="s">
        <v>1613</v>
      </c>
      <c r="C1381" s="12" t="s">
        <v>1614</v>
      </c>
      <c r="D1381" s="24"/>
      <c r="E1381" s="69" t="str">
        <f>HYPERLINK("https://www.google.ru/search?q=285111-YW&amp;newwindow=1&amp;tbm=isch","Еще фото")</f>
        <v>Еще фото</v>
      </c>
      <c r="F1381" s="13"/>
      <c r="G1381" s="11" t="s">
        <v>1593</v>
      </c>
      <c r="H1381" s="11" t="s">
        <v>814</v>
      </c>
      <c r="I1381" s="14" t="s">
        <v>1538</v>
      </c>
      <c r="J1381" s="14" t="s">
        <v>879</v>
      </c>
      <c r="K1381" s="15" t="s">
        <v>114</v>
      </c>
      <c r="L1381" s="14"/>
      <c r="M1381" s="14"/>
      <c r="N1381" s="14" t="s">
        <v>313</v>
      </c>
      <c r="O1381" s="14"/>
      <c r="P1381" s="15" t="s">
        <v>108</v>
      </c>
      <c r="Q1381" s="59">
        <v>899</v>
      </c>
      <c r="R1381" s="17">
        <v>30</v>
      </c>
      <c r="S1381" s="29">
        <v>723.69499999999994</v>
      </c>
      <c r="T1381" s="19" t="s">
        <v>117</v>
      </c>
      <c r="U1381" s="20" t="s">
        <v>1434</v>
      </c>
      <c r="V1381" s="25" t="s">
        <v>119</v>
      </c>
      <c r="W1381" s="21">
        <v>1</v>
      </c>
      <c r="X1381" s="22"/>
    </row>
    <row r="1382" spans="1:24" s="1" customFormat="1" ht="108" customHeight="1" x14ac:dyDescent="0.3">
      <c r="A1382" s="11" t="s">
        <v>1355</v>
      </c>
      <c r="B1382" s="11" t="s">
        <v>1563</v>
      </c>
      <c r="C1382" s="12" t="s">
        <v>1615</v>
      </c>
      <c r="D1382" s="24"/>
      <c r="E1382" s="69" t="str">
        <f>HYPERLINK("https://www.google.ru/search?q=285120-BLYW&amp;newwindow=1&amp;tbm=isch","Еще фото")</f>
        <v>Еще фото</v>
      </c>
      <c r="F1382" s="31" t="s">
        <v>738</v>
      </c>
      <c r="G1382" s="11" t="s">
        <v>1542</v>
      </c>
      <c r="H1382" s="11" t="s">
        <v>814</v>
      </c>
      <c r="I1382" s="14" t="s">
        <v>1538</v>
      </c>
      <c r="J1382" s="14" t="s">
        <v>879</v>
      </c>
      <c r="K1382" s="15" t="s">
        <v>114</v>
      </c>
      <c r="L1382" s="14" t="s">
        <v>1616</v>
      </c>
      <c r="M1382" s="14"/>
      <c r="N1382" s="14" t="s">
        <v>1617</v>
      </c>
      <c r="O1382" s="14"/>
      <c r="P1382" s="15" t="s">
        <v>108</v>
      </c>
      <c r="Q1382" s="59">
        <v>799</v>
      </c>
      <c r="R1382" s="17">
        <v>30</v>
      </c>
      <c r="S1382" s="29">
        <v>643.19499999999994</v>
      </c>
      <c r="T1382" s="19" t="s">
        <v>117</v>
      </c>
      <c r="U1382" s="20" t="s">
        <v>1618</v>
      </c>
      <c r="V1382" s="25" t="s">
        <v>119</v>
      </c>
      <c r="W1382" s="21">
        <v>87</v>
      </c>
      <c r="X1382" s="22"/>
    </row>
    <row r="1383" spans="1:24" s="1" customFormat="1" ht="108" customHeight="1" x14ac:dyDescent="0.3">
      <c r="A1383" s="11" t="s">
        <v>1355</v>
      </c>
      <c r="B1383" s="11" t="s">
        <v>1555</v>
      </c>
      <c r="C1383" s="12" t="s">
        <v>1619</v>
      </c>
      <c r="D1383" s="24"/>
      <c r="E1383" s="69" t="str">
        <f>HYPERLINK("https://www.google.ru/search?q=285303-CS&amp;newwindow=1&amp;tbm=isch","Еще фото")</f>
        <v>Еще фото</v>
      </c>
      <c r="F1383" s="13"/>
      <c r="G1383" s="11" t="s">
        <v>1547</v>
      </c>
      <c r="H1383" s="11" t="s">
        <v>814</v>
      </c>
      <c r="I1383" s="14" t="s">
        <v>1538</v>
      </c>
      <c r="J1383" s="14" t="s">
        <v>879</v>
      </c>
      <c r="K1383" s="15" t="s">
        <v>114</v>
      </c>
      <c r="L1383" s="14" t="s">
        <v>1557</v>
      </c>
      <c r="M1383" s="14"/>
      <c r="N1383" s="14" t="s">
        <v>41</v>
      </c>
      <c r="O1383" s="14"/>
      <c r="P1383" s="15" t="s">
        <v>108</v>
      </c>
      <c r="Q1383" s="16">
        <v>1049</v>
      </c>
      <c r="R1383" s="17">
        <v>30</v>
      </c>
      <c r="S1383" s="29">
        <v>844.44499999999994</v>
      </c>
      <c r="T1383" s="19" t="s">
        <v>117</v>
      </c>
      <c r="U1383" s="20" t="s">
        <v>1620</v>
      </c>
      <c r="V1383" s="25" t="s">
        <v>1621</v>
      </c>
      <c r="W1383" s="21">
        <v>4</v>
      </c>
      <c r="X1383" s="22"/>
    </row>
    <row r="1384" spans="1:24" s="1" customFormat="1" ht="108" customHeight="1" x14ac:dyDescent="0.3">
      <c r="A1384" s="11" t="s">
        <v>1355</v>
      </c>
      <c r="B1384" s="11" t="s">
        <v>1555</v>
      </c>
      <c r="C1384" s="12" t="s">
        <v>1622</v>
      </c>
      <c r="D1384" s="24"/>
      <c r="E1384" s="69" t="str">
        <f>HYPERLINK("https://www.google.ru/search?q=285303-LY&amp;newwindow=1&amp;tbm=isch","Еще фото")</f>
        <v>Еще фото</v>
      </c>
      <c r="F1384" s="13"/>
      <c r="G1384" s="11" t="s">
        <v>1547</v>
      </c>
      <c r="H1384" s="11" t="s">
        <v>814</v>
      </c>
      <c r="I1384" s="14" t="s">
        <v>1538</v>
      </c>
      <c r="J1384" s="14" t="s">
        <v>879</v>
      </c>
      <c r="K1384" s="15" t="s">
        <v>114</v>
      </c>
      <c r="L1384" s="14"/>
      <c r="M1384" s="14"/>
      <c r="N1384" s="14" t="s">
        <v>242</v>
      </c>
      <c r="O1384" s="14"/>
      <c r="P1384" s="15" t="s">
        <v>193</v>
      </c>
      <c r="Q1384" s="59">
        <v>999</v>
      </c>
      <c r="R1384" s="17">
        <v>30</v>
      </c>
      <c r="S1384" s="29">
        <v>804.19499999999994</v>
      </c>
      <c r="T1384" s="19" t="s">
        <v>117</v>
      </c>
      <c r="U1384" s="20" t="s">
        <v>1623</v>
      </c>
      <c r="V1384" s="25" t="s">
        <v>119</v>
      </c>
      <c r="W1384" s="21">
        <v>10</v>
      </c>
      <c r="X1384" s="22"/>
    </row>
    <row r="1385" spans="1:24" s="1" customFormat="1" ht="108" customHeight="1" x14ac:dyDescent="0.3">
      <c r="A1385" s="11" t="s">
        <v>1355</v>
      </c>
      <c r="B1385" s="11" t="s">
        <v>1555</v>
      </c>
      <c r="C1385" s="12" t="s">
        <v>1624</v>
      </c>
      <c r="D1385" s="24"/>
      <c r="E1385" s="69" t="str">
        <f>HYPERLINK("https://www.google.ru/search?q=285303-SO&amp;newwindow=1&amp;tbm=isch","Еще фото")</f>
        <v>Еще фото</v>
      </c>
      <c r="F1385" s="13"/>
      <c r="G1385" s="11" t="s">
        <v>1547</v>
      </c>
      <c r="H1385" s="11" t="s">
        <v>814</v>
      </c>
      <c r="I1385" s="14" t="s">
        <v>1538</v>
      </c>
      <c r="J1385" s="14" t="s">
        <v>879</v>
      </c>
      <c r="K1385" s="15" t="s">
        <v>114</v>
      </c>
      <c r="L1385" s="14"/>
      <c r="M1385" s="14"/>
      <c r="N1385" s="14" t="s">
        <v>116</v>
      </c>
      <c r="O1385" s="14"/>
      <c r="P1385" s="15" t="s">
        <v>193</v>
      </c>
      <c r="Q1385" s="59">
        <v>999</v>
      </c>
      <c r="R1385" s="17">
        <v>30</v>
      </c>
      <c r="S1385" s="29">
        <v>804.19499999999994</v>
      </c>
      <c r="T1385" s="19" t="s">
        <v>117</v>
      </c>
      <c r="U1385" s="20" t="s">
        <v>1625</v>
      </c>
      <c r="V1385" s="25" t="s">
        <v>119</v>
      </c>
      <c r="W1385" s="21">
        <v>21</v>
      </c>
      <c r="X1385" s="22"/>
    </row>
    <row r="1386" spans="1:24" s="1" customFormat="1" ht="108" customHeight="1" x14ac:dyDescent="0.3">
      <c r="A1386" s="11" t="s">
        <v>1355</v>
      </c>
      <c r="B1386" s="11" t="s">
        <v>1555</v>
      </c>
      <c r="C1386" s="12" t="s">
        <v>1626</v>
      </c>
      <c r="D1386" s="24"/>
      <c r="E1386" s="69" t="str">
        <f>HYPERLINK("https://www.google.ru/search?q=285303-WH&amp;newwindow=1&amp;tbm=isch","Еще фото")</f>
        <v>Еще фото</v>
      </c>
      <c r="F1386" s="13"/>
      <c r="G1386" s="11" t="s">
        <v>1547</v>
      </c>
      <c r="H1386" s="11" t="s">
        <v>814</v>
      </c>
      <c r="I1386" s="14" t="s">
        <v>1538</v>
      </c>
      <c r="J1386" s="14" t="s">
        <v>879</v>
      </c>
      <c r="K1386" s="15" t="s">
        <v>114</v>
      </c>
      <c r="L1386" s="14" t="s">
        <v>1557</v>
      </c>
      <c r="M1386" s="14"/>
      <c r="N1386" s="14" t="s">
        <v>89</v>
      </c>
      <c r="O1386" s="14"/>
      <c r="P1386" s="15" t="s">
        <v>193</v>
      </c>
      <c r="Q1386" s="16">
        <v>1099</v>
      </c>
      <c r="R1386" s="17">
        <v>30</v>
      </c>
      <c r="S1386" s="29">
        <v>884.69499999999982</v>
      </c>
      <c r="T1386" s="19" t="s">
        <v>117</v>
      </c>
      <c r="U1386" s="20" t="s">
        <v>1539</v>
      </c>
      <c r="V1386" s="25" t="s">
        <v>119</v>
      </c>
      <c r="W1386" s="21">
        <v>37</v>
      </c>
      <c r="X1386" s="22"/>
    </row>
    <row r="1387" spans="1:24" s="1" customFormat="1" ht="108" customHeight="1" x14ac:dyDescent="0.3">
      <c r="A1387" s="11" t="s">
        <v>1355</v>
      </c>
      <c r="B1387" s="11" t="s">
        <v>1555</v>
      </c>
      <c r="C1387" s="12" t="s">
        <v>1627</v>
      </c>
      <c r="D1387" s="24"/>
      <c r="E1387" s="69" t="str">
        <f>HYPERLINK("https://www.google.ru/search?q=285303-YW&amp;newwindow=1&amp;tbm=isch","Еще фото")</f>
        <v>Еще фото</v>
      </c>
      <c r="F1387" s="13"/>
      <c r="G1387" s="11" t="s">
        <v>1547</v>
      </c>
      <c r="H1387" s="11" t="s">
        <v>814</v>
      </c>
      <c r="I1387" s="14" t="s">
        <v>1538</v>
      </c>
      <c r="J1387" s="14" t="s">
        <v>879</v>
      </c>
      <c r="K1387" s="15" t="s">
        <v>114</v>
      </c>
      <c r="L1387" s="14" t="s">
        <v>1557</v>
      </c>
      <c r="M1387" s="14"/>
      <c r="N1387" s="14" t="s">
        <v>313</v>
      </c>
      <c r="O1387" s="14"/>
      <c r="P1387" s="15" t="s">
        <v>193</v>
      </c>
      <c r="Q1387" s="16">
        <v>1099</v>
      </c>
      <c r="R1387" s="17">
        <v>30</v>
      </c>
      <c r="S1387" s="29">
        <v>884.69499999999982</v>
      </c>
      <c r="T1387" s="19" t="s">
        <v>117</v>
      </c>
      <c r="U1387" s="20" t="s">
        <v>1434</v>
      </c>
      <c r="V1387" s="25" t="s">
        <v>119</v>
      </c>
      <c r="W1387" s="21">
        <v>65</v>
      </c>
      <c r="X1387" s="22"/>
    </row>
    <row r="1388" spans="1:24" s="1" customFormat="1" ht="108" customHeight="1" x14ac:dyDescent="0.3">
      <c r="A1388" s="11" t="s">
        <v>1355</v>
      </c>
      <c r="B1388" s="11" t="s">
        <v>1559</v>
      </c>
      <c r="C1388" s="12" t="s">
        <v>1628</v>
      </c>
      <c r="D1388" s="24"/>
      <c r="E1388" s="69" t="str">
        <f>HYPERLINK("https://www.google.ru/search?q=285313-BK&amp;newwindow=1&amp;tbm=isch","Еще фото")</f>
        <v>Еще фото</v>
      </c>
      <c r="F1388" s="13"/>
      <c r="G1388" s="11" t="s">
        <v>1547</v>
      </c>
      <c r="H1388" s="11" t="s">
        <v>814</v>
      </c>
      <c r="I1388" s="14" t="s">
        <v>1538</v>
      </c>
      <c r="J1388" s="14" t="s">
        <v>879</v>
      </c>
      <c r="K1388" s="15" t="s">
        <v>114</v>
      </c>
      <c r="L1388" s="14" t="s">
        <v>1561</v>
      </c>
      <c r="M1388" s="14"/>
      <c r="N1388" s="14" t="s">
        <v>49</v>
      </c>
      <c r="O1388" s="14"/>
      <c r="P1388" s="15" t="s">
        <v>108</v>
      </c>
      <c r="Q1388" s="16">
        <v>1099</v>
      </c>
      <c r="R1388" s="17">
        <v>30</v>
      </c>
      <c r="S1388" s="29">
        <v>884.69499999999982</v>
      </c>
      <c r="T1388" s="19" t="s">
        <v>117</v>
      </c>
      <c r="U1388" s="20" t="s">
        <v>1544</v>
      </c>
      <c r="V1388" s="25" t="s">
        <v>119</v>
      </c>
      <c r="W1388" s="21">
        <v>74</v>
      </c>
      <c r="X1388" s="22"/>
    </row>
    <row r="1389" spans="1:24" s="1" customFormat="1" ht="108" customHeight="1" x14ac:dyDescent="0.3">
      <c r="A1389" s="11" t="s">
        <v>1355</v>
      </c>
      <c r="B1389" s="11" t="s">
        <v>1540</v>
      </c>
      <c r="C1389" s="12" t="s">
        <v>1629</v>
      </c>
      <c r="D1389" s="24"/>
      <c r="E1389" s="69" t="str">
        <f>HYPERLINK("https://www.google.ru/search?q=285511-WH&amp;newwindow=1&amp;tbm=isch","Еще фото")</f>
        <v>Еще фото</v>
      </c>
      <c r="F1389" s="31" t="s">
        <v>738</v>
      </c>
      <c r="G1389" s="11" t="s">
        <v>1542</v>
      </c>
      <c r="H1389" s="11" t="s">
        <v>814</v>
      </c>
      <c r="I1389" s="14" t="s">
        <v>1538</v>
      </c>
      <c r="J1389" s="14" t="s">
        <v>879</v>
      </c>
      <c r="K1389" s="15" t="s">
        <v>114</v>
      </c>
      <c r="L1389" s="14" t="s">
        <v>1630</v>
      </c>
      <c r="M1389" s="14"/>
      <c r="N1389" s="14" t="s">
        <v>89</v>
      </c>
      <c r="O1389" s="14"/>
      <c r="P1389" s="15" t="s">
        <v>1379</v>
      </c>
      <c r="Q1389" s="59">
        <v>799</v>
      </c>
      <c r="R1389" s="17">
        <v>30</v>
      </c>
      <c r="S1389" s="29">
        <v>643.19499999999994</v>
      </c>
      <c r="T1389" s="19" t="s">
        <v>117</v>
      </c>
      <c r="U1389" s="20" t="s">
        <v>1539</v>
      </c>
      <c r="V1389" s="25" t="s">
        <v>119</v>
      </c>
      <c r="W1389" s="21">
        <v>120</v>
      </c>
      <c r="X1389" s="22"/>
    </row>
    <row r="1390" spans="1:24" s="1" customFormat="1" ht="108" customHeight="1" x14ac:dyDescent="0.3">
      <c r="A1390" s="11" t="s">
        <v>1355</v>
      </c>
      <c r="B1390" s="11" t="s">
        <v>1571</v>
      </c>
      <c r="C1390" s="12" t="s">
        <v>1631</v>
      </c>
      <c r="D1390" s="24"/>
      <c r="E1390" s="69" t="str">
        <f>HYPERLINK("https://www.google.ru/search?q=285515-BK&amp;newwindow=1&amp;tbm=isch","Еще фото")</f>
        <v>Еще фото</v>
      </c>
      <c r="F1390" s="31" t="s">
        <v>738</v>
      </c>
      <c r="G1390" s="11" t="s">
        <v>1542</v>
      </c>
      <c r="H1390" s="11" t="s">
        <v>814</v>
      </c>
      <c r="I1390" s="14" t="s">
        <v>1538</v>
      </c>
      <c r="J1390" s="14" t="s">
        <v>879</v>
      </c>
      <c r="K1390" s="15" t="s">
        <v>114</v>
      </c>
      <c r="L1390" s="14"/>
      <c r="M1390" s="14"/>
      <c r="N1390" s="14" t="s">
        <v>49</v>
      </c>
      <c r="O1390" s="14"/>
      <c r="P1390" s="15" t="s">
        <v>1573</v>
      </c>
      <c r="Q1390" s="59">
        <v>799</v>
      </c>
      <c r="R1390" s="17">
        <v>30</v>
      </c>
      <c r="S1390" s="29">
        <v>643.19499999999994</v>
      </c>
      <c r="T1390" s="19" t="s">
        <v>117</v>
      </c>
      <c r="U1390" s="20" t="s">
        <v>1544</v>
      </c>
      <c r="V1390" s="25" t="s">
        <v>119</v>
      </c>
      <c r="W1390" s="21">
        <v>143</v>
      </c>
      <c r="X1390" s="22"/>
    </row>
    <row r="1391" spans="1:24" s="1" customFormat="1" ht="108" customHeight="1" x14ac:dyDescent="0.3">
      <c r="A1391" s="11" t="s">
        <v>1355</v>
      </c>
      <c r="B1391" s="11" t="s">
        <v>1571</v>
      </c>
      <c r="C1391" s="12" t="s">
        <v>1632</v>
      </c>
      <c r="D1391" s="24"/>
      <c r="E1391" s="69" t="str">
        <f>HYPERLINK("https://www.google.ru/search?q=285515-WH&amp;newwindow=1&amp;tbm=isch","Еще фото")</f>
        <v>Еще фото</v>
      </c>
      <c r="F1391" s="31" t="s">
        <v>738</v>
      </c>
      <c r="G1391" s="11" t="s">
        <v>1542</v>
      </c>
      <c r="H1391" s="11" t="s">
        <v>814</v>
      </c>
      <c r="I1391" s="14" t="s">
        <v>1538</v>
      </c>
      <c r="J1391" s="14" t="s">
        <v>879</v>
      </c>
      <c r="K1391" s="15" t="s">
        <v>114</v>
      </c>
      <c r="L1391" s="14"/>
      <c r="M1391" s="14"/>
      <c r="N1391" s="14" t="s">
        <v>89</v>
      </c>
      <c r="O1391" s="14"/>
      <c r="P1391" s="15" t="s">
        <v>1573</v>
      </c>
      <c r="Q1391" s="59">
        <v>799</v>
      </c>
      <c r="R1391" s="17">
        <v>30</v>
      </c>
      <c r="S1391" s="29">
        <v>643.19499999999994</v>
      </c>
      <c r="T1391" s="19" t="s">
        <v>117</v>
      </c>
      <c r="U1391" s="20" t="s">
        <v>1539</v>
      </c>
      <c r="V1391" s="25" t="s">
        <v>119</v>
      </c>
      <c r="W1391" s="21">
        <v>115</v>
      </c>
      <c r="X1391" s="22"/>
    </row>
    <row r="1392" spans="1:24" s="1" customFormat="1" ht="108" customHeight="1" x14ac:dyDescent="0.3">
      <c r="A1392" s="11" t="s">
        <v>1355</v>
      </c>
      <c r="B1392" s="11" t="s">
        <v>1429</v>
      </c>
      <c r="C1392" s="12" t="s">
        <v>1633</v>
      </c>
      <c r="D1392" s="24"/>
      <c r="E1392" s="69" t="str">
        <f>HYPERLINK("https://www.google.ru/search?q=285621-BK&amp;newwindow=1&amp;tbm=isch","Еще фото")</f>
        <v>Еще фото</v>
      </c>
      <c r="F1392" s="13"/>
      <c r="G1392" s="11" t="s">
        <v>1431</v>
      </c>
      <c r="H1392" s="11" t="s">
        <v>814</v>
      </c>
      <c r="I1392" s="14" t="s">
        <v>1538</v>
      </c>
      <c r="J1392" s="14" t="s">
        <v>879</v>
      </c>
      <c r="K1392" s="15" t="s">
        <v>114</v>
      </c>
      <c r="L1392" s="14" t="s">
        <v>1433</v>
      </c>
      <c r="M1392" s="14"/>
      <c r="N1392" s="14" t="s">
        <v>49</v>
      </c>
      <c r="O1392" s="14"/>
      <c r="P1392" s="15" t="s">
        <v>193</v>
      </c>
      <c r="Q1392" s="59">
        <v>899</v>
      </c>
      <c r="R1392" s="17">
        <v>30</v>
      </c>
      <c r="S1392" s="29">
        <v>723.69499999999994</v>
      </c>
      <c r="T1392" s="19" t="s">
        <v>117</v>
      </c>
      <c r="U1392" s="20" t="s">
        <v>1544</v>
      </c>
      <c r="V1392" s="25" t="s">
        <v>119</v>
      </c>
      <c r="W1392" s="21">
        <v>203</v>
      </c>
      <c r="X1392" s="22"/>
    </row>
    <row r="1393" spans="1:24" s="1" customFormat="1" ht="108" customHeight="1" x14ac:dyDescent="0.3">
      <c r="A1393" s="11" t="s">
        <v>1355</v>
      </c>
      <c r="B1393" s="11" t="s">
        <v>1429</v>
      </c>
      <c r="C1393" s="12" t="s">
        <v>1634</v>
      </c>
      <c r="D1393" s="24"/>
      <c r="E1393" s="69" t="str">
        <f>HYPERLINK("https://www.google.ru/search?q=285621-BL&amp;newwindow=1&amp;tbm=isch","Еще фото")</f>
        <v>Еще фото</v>
      </c>
      <c r="F1393" s="13"/>
      <c r="G1393" s="11" t="s">
        <v>1431</v>
      </c>
      <c r="H1393" s="11" t="s">
        <v>814</v>
      </c>
      <c r="I1393" s="14" t="s">
        <v>1538</v>
      </c>
      <c r="J1393" s="14" t="s">
        <v>879</v>
      </c>
      <c r="K1393" s="15" t="s">
        <v>114</v>
      </c>
      <c r="L1393" s="14" t="s">
        <v>1433</v>
      </c>
      <c r="M1393" s="14"/>
      <c r="N1393" s="14" t="s">
        <v>70</v>
      </c>
      <c r="O1393" s="14"/>
      <c r="P1393" s="15" t="s">
        <v>193</v>
      </c>
      <c r="Q1393" s="59">
        <v>999</v>
      </c>
      <c r="R1393" s="17">
        <v>30</v>
      </c>
      <c r="S1393" s="29">
        <v>804.19499999999994</v>
      </c>
      <c r="T1393" s="19" t="s">
        <v>117</v>
      </c>
      <c r="U1393" s="20" t="s">
        <v>1584</v>
      </c>
      <c r="V1393" s="25" t="s">
        <v>119</v>
      </c>
      <c r="W1393" s="21">
        <v>164</v>
      </c>
      <c r="X1393" s="22"/>
    </row>
    <row r="1394" spans="1:24" s="1" customFormat="1" ht="108" customHeight="1" x14ac:dyDescent="0.3">
      <c r="A1394" s="11" t="s">
        <v>1355</v>
      </c>
      <c r="B1394" s="11" t="s">
        <v>1429</v>
      </c>
      <c r="C1394" s="12" t="s">
        <v>1635</v>
      </c>
      <c r="D1394" s="24"/>
      <c r="E1394" s="69" t="str">
        <f>HYPERLINK("https://www.google.ru/search?q=285621-CS&amp;newwindow=1&amp;tbm=isch","Еще фото")</f>
        <v>Еще фото</v>
      </c>
      <c r="F1394" s="13"/>
      <c r="G1394" s="11" t="s">
        <v>1431</v>
      </c>
      <c r="H1394" s="11" t="s">
        <v>814</v>
      </c>
      <c r="I1394" s="14" t="s">
        <v>1538</v>
      </c>
      <c r="J1394" s="14" t="s">
        <v>879</v>
      </c>
      <c r="K1394" s="15" t="s">
        <v>114</v>
      </c>
      <c r="L1394" s="14"/>
      <c r="M1394" s="14"/>
      <c r="N1394" s="14" t="s">
        <v>41</v>
      </c>
      <c r="O1394" s="14"/>
      <c r="P1394" s="15" t="s">
        <v>193</v>
      </c>
      <c r="Q1394" s="59">
        <v>999</v>
      </c>
      <c r="R1394" s="17">
        <v>30</v>
      </c>
      <c r="S1394" s="29">
        <v>804.19499999999994</v>
      </c>
      <c r="T1394" s="19" t="s">
        <v>117</v>
      </c>
      <c r="U1394" s="20" t="s">
        <v>1620</v>
      </c>
      <c r="V1394" s="25" t="s">
        <v>1621</v>
      </c>
      <c r="W1394" s="21">
        <v>73</v>
      </c>
      <c r="X1394" s="22"/>
    </row>
    <row r="1395" spans="1:24" s="1" customFormat="1" ht="108" customHeight="1" x14ac:dyDescent="0.3">
      <c r="A1395" s="11" t="s">
        <v>1355</v>
      </c>
      <c r="B1395" s="11" t="s">
        <v>1429</v>
      </c>
      <c r="C1395" s="12" t="s">
        <v>1636</v>
      </c>
      <c r="D1395" s="24"/>
      <c r="E1395" s="69" t="str">
        <f>HYPERLINK("https://www.google.ru/search?q=285621-GR&amp;newwindow=1&amp;tbm=isch","Еще фото")</f>
        <v>Еще фото</v>
      </c>
      <c r="F1395" s="13"/>
      <c r="G1395" s="11" t="s">
        <v>1431</v>
      </c>
      <c r="H1395" s="11" t="s">
        <v>814</v>
      </c>
      <c r="I1395" s="14" t="s">
        <v>1538</v>
      </c>
      <c r="J1395" s="14" t="s">
        <v>879</v>
      </c>
      <c r="K1395" s="15" t="s">
        <v>114</v>
      </c>
      <c r="L1395" s="14" t="s">
        <v>1433</v>
      </c>
      <c r="M1395" s="14"/>
      <c r="N1395" s="14" t="s">
        <v>41</v>
      </c>
      <c r="O1395" s="14"/>
      <c r="P1395" s="15" t="s">
        <v>193</v>
      </c>
      <c r="Q1395" s="59">
        <v>999</v>
      </c>
      <c r="R1395" s="17">
        <v>30</v>
      </c>
      <c r="S1395" s="29">
        <v>804.19499999999994</v>
      </c>
      <c r="T1395" s="19" t="s">
        <v>117</v>
      </c>
      <c r="U1395" s="20" t="s">
        <v>1637</v>
      </c>
      <c r="V1395" s="25" t="s">
        <v>119</v>
      </c>
      <c r="W1395" s="21">
        <v>96</v>
      </c>
      <c r="X1395" s="22"/>
    </row>
    <row r="1396" spans="1:24" s="1" customFormat="1" ht="108" customHeight="1" x14ac:dyDescent="0.3">
      <c r="A1396" s="11" t="s">
        <v>1355</v>
      </c>
      <c r="B1396" s="11" t="s">
        <v>1429</v>
      </c>
      <c r="C1396" s="12" t="s">
        <v>1638</v>
      </c>
      <c r="D1396" s="24"/>
      <c r="E1396" s="69" t="str">
        <f>HYPERLINK("https://www.google.ru/search?q=285621-MI&amp;newwindow=1&amp;tbm=isch","Еще фото")</f>
        <v>Еще фото</v>
      </c>
      <c r="F1396" s="13"/>
      <c r="G1396" s="11" t="s">
        <v>1431</v>
      </c>
      <c r="H1396" s="11" t="s">
        <v>814</v>
      </c>
      <c r="I1396" s="14" t="s">
        <v>1538</v>
      </c>
      <c r="J1396" s="14" t="s">
        <v>879</v>
      </c>
      <c r="K1396" s="15" t="s">
        <v>114</v>
      </c>
      <c r="L1396" s="14" t="s">
        <v>1433</v>
      </c>
      <c r="M1396" s="14"/>
      <c r="N1396" s="14" t="s">
        <v>242</v>
      </c>
      <c r="O1396" s="14"/>
      <c r="P1396" s="15" t="s">
        <v>193</v>
      </c>
      <c r="Q1396" s="59">
        <v>999</v>
      </c>
      <c r="R1396" s="17">
        <v>30</v>
      </c>
      <c r="S1396" s="29">
        <v>804.19499999999994</v>
      </c>
      <c r="T1396" s="19" t="s">
        <v>117</v>
      </c>
      <c r="U1396" s="20" t="s">
        <v>1639</v>
      </c>
      <c r="V1396" s="25" t="s">
        <v>119</v>
      </c>
      <c r="W1396" s="21">
        <v>39</v>
      </c>
      <c r="X1396" s="22"/>
    </row>
    <row r="1397" spans="1:24" s="1" customFormat="1" ht="108" customHeight="1" x14ac:dyDescent="0.3">
      <c r="A1397" s="11" t="s">
        <v>1355</v>
      </c>
      <c r="B1397" s="11" t="s">
        <v>1429</v>
      </c>
      <c r="C1397" s="12" t="s">
        <v>1640</v>
      </c>
      <c r="D1397" s="24"/>
      <c r="E1397" s="69" t="str">
        <f>HYPERLINK("https://www.google.ru/search?q=285621-WH&amp;newwindow=1&amp;tbm=isch","Еще фото")</f>
        <v>Еще фото</v>
      </c>
      <c r="F1397" s="13"/>
      <c r="G1397" s="11" t="s">
        <v>1431</v>
      </c>
      <c r="H1397" s="11" t="s">
        <v>814</v>
      </c>
      <c r="I1397" s="14" t="s">
        <v>1538</v>
      </c>
      <c r="J1397" s="14" t="s">
        <v>879</v>
      </c>
      <c r="K1397" s="15" t="s">
        <v>114</v>
      </c>
      <c r="L1397" s="14" t="s">
        <v>1433</v>
      </c>
      <c r="M1397" s="14"/>
      <c r="N1397" s="14" t="s">
        <v>89</v>
      </c>
      <c r="O1397" s="14"/>
      <c r="P1397" s="15" t="s">
        <v>193</v>
      </c>
      <c r="Q1397" s="59">
        <v>999</v>
      </c>
      <c r="R1397" s="17">
        <v>30</v>
      </c>
      <c r="S1397" s="29">
        <v>804.19499999999994</v>
      </c>
      <c r="T1397" s="19" t="s">
        <v>117</v>
      </c>
      <c r="U1397" s="20" t="s">
        <v>1539</v>
      </c>
      <c r="V1397" s="25" t="s">
        <v>119</v>
      </c>
      <c r="W1397" s="21">
        <v>60</v>
      </c>
      <c r="X1397" s="22"/>
    </row>
    <row r="1398" spans="1:24" s="1" customFormat="1" ht="108" customHeight="1" x14ac:dyDescent="0.3">
      <c r="A1398" s="11" t="s">
        <v>1355</v>
      </c>
      <c r="B1398" s="11" t="s">
        <v>1641</v>
      </c>
      <c r="C1398" s="12" t="s">
        <v>1642</v>
      </c>
      <c r="D1398" s="24"/>
      <c r="E1398" s="69" t="str">
        <f>HYPERLINK("https://www.google.ru/search?q=285631-BK&amp;newwindow=1&amp;tbm=isch","Еще фото")</f>
        <v>Еще фото</v>
      </c>
      <c r="F1398" s="13"/>
      <c r="G1398" s="11" t="s">
        <v>1593</v>
      </c>
      <c r="H1398" s="11" t="s">
        <v>814</v>
      </c>
      <c r="I1398" s="14" t="s">
        <v>1538</v>
      </c>
      <c r="J1398" s="14" t="s">
        <v>879</v>
      </c>
      <c r="K1398" s="15" t="s">
        <v>114</v>
      </c>
      <c r="L1398" s="14" t="s">
        <v>1643</v>
      </c>
      <c r="M1398" s="14"/>
      <c r="N1398" s="14" t="s">
        <v>49</v>
      </c>
      <c r="O1398" s="14"/>
      <c r="P1398" s="15" t="s">
        <v>193</v>
      </c>
      <c r="Q1398" s="16">
        <v>3199</v>
      </c>
      <c r="R1398" s="17">
        <v>30</v>
      </c>
      <c r="S1398" s="18">
        <v>2575.1950000000002</v>
      </c>
      <c r="T1398" s="19" t="s">
        <v>117</v>
      </c>
      <c r="U1398" s="20" t="s">
        <v>1544</v>
      </c>
      <c r="V1398" s="25" t="s">
        <v>119</v>
      </c>
      <c r="W1398" s="21">
        <v>10</v>
      </c>
      <c r="X1398" s="22"/>
    </row>
    <row r="1399" spans="1:24" s="1" customFormat="1" ht="108" customHeight="1" x14ac:dyDescent="0.3">
      <c r="A1399" s="11" t="s">
        <v>1355</v>
      </c>
      <c r="B1399" s="11" t="s">
        <v>1641</v>
      </c>
      <c r="C1399" s="12" t="s">
        <v>1644</v>
      </c>
      <c r="D1399" s="24"/>
      <c r="E1399" s="69" t="str">
        <f>HYPERLINK("https://www.google.ru/search?q=285631-BL&amp;newwindow=1&amp;tbm=isch","Еще фото")</f>
        <v>Еще фото</v>
      </c>
      <c r="F1399" s="13"/>
      <c r="G1399" s="11" t="s">
        <v>1645</v>
      </c>
      <c r="H1399" s="11" t="s">
        <v>814</v>
      </c>
      <c r="I1399" s="14" t="s">
        <v>1538</v>
      </c>
      <c r="J1399" s="14" t="s">
        <v>879</v>
      </c>
      <c r="K1399" s="15" t="s">
        <v>114</v>
      </c>
      <c r="L1399" s="14" t="s">
        <v>1643</v>
      </c>
      <c r="M1399" s="14"/>
      <c r="N1399" s="14" t="s">
        <v>265</v>
      </c>
      <c r="O1399" s="14"/>
      <c r="P1399" s="15" t="s">
        <v>193</v>
      </c>
      <c r="Q1399" s="16">
        <v>3199</v>
      </c>
      <c r="R1399" s="17">
        <v>30</v>
      </c>
      <c r="S1399" s="18">
        <v>2575.1950000000002</v>
      </c>
      <c r="T1399" s="19" t="s">
        <v>117</v>
      </c>
      <c r="U1399" s="20" t="s">
        <v>1584</v>
      </c>
      <c r="V1399" s="25" t="s">
        <v>119</v>
      </c>
      <c r="W1399" s="21">
        <v>4</v>
      </c>
      <c r="X1399" s="22"/>
    </row>
    <row r="1400" spans="1:24" s="1" customFormat="1" ht="108" customHeight="1" x14ac:dyDescent="0.3">
      <c r="A1400" s="11" t="s">
        <v>1355</v>
      </c>
      <c r="B1400" s="11" t="s">
        <v>1641</v>
      </c>
      <c r="C1400" s="12" t="s">
        <v>1646</v>
      </c>
      <c r="D1400" s="24"/>
      <c r="E1400" s="69" t="str">
        <f>HYPERLINK("https://www.google.ru/search?q=285631-MI&amp;newwindow=1&amp;tbm=isch","Еще фото")</f>
        <v>Еще фото</v>
      </c>
      <c r="F1400" s="13"/>
      <c r="G1400" s="11" t="s">
        <v>1645</v>
      </c>
      <c r="H1400" s="11" t="s">
        <v>814</v>
      </c>
      <c r="I1400" s="14" t="s">
        <v>1538</v>
      </c>
      <c r="J1400" s="14" t="s">
        <v>879</v>
      </c>
      <c r="K1400" s="15" t="s">
        <v>114</v>
      </c>
      <c r="L1400" s="14" t="s">
        <v>1643</v>
      </c>
      <c r="M1400" s="14"/>
      <c r="N1400" s="14" t="s">
        <v>242</v>
      </c>
      <c r="O1400" s="14"/>
      <c r="P1400" s="15" t="s">
        <v>193</v>
      </c>
      <c r="Q1400" s="16">
        <v>3199</v>
      </c>
      <c r="R1400" s="17">
        <v>30</v>
      </c>
      <c r="S1400" s="18">
        <v>2575.1950000000002</v>
      </c>
      <c r="T1400" s="19" t="s">
        <v>117</v>
      </c>
      <c r="U1400" s="20" t="s">
        <v>1639</v>
      </c>
      <c r="V1400" s="25" t="s">
        <v>119</v>
      </c>
      <c r="W1400" s="21">
        <v>3</v>
      </c>
      <c r="X1400" s="22"/>
    </row>
    <row r="1401" spans="1:24" s="1" customFormat="1" ht="108" customHeight="1" x14ac:dyDescent="0.3">
      <c r="A1401" s="11" t="s">
        <v>1355</v>
      </c>
      <c r="B1401" s="11" t="s">
        <v>1641</v>
      </c>
      <c r="C1401" s="12" t="s">
        <v>1647</v>
      </c>
      <c r="D1401" s="24"/>
      <c r="E1401" s="69" t="str">
        <f>HYPERLINK("https://www.google.ru/search?q=285631-OR&amp;newwindow=1&amp;tbm=isch","Еще фото")</f>
        <v>Еще фото</v>
      </c>
      <c r="F1401" s="13"/>
      <c r="G1401" s="11" t="s">
        <v>1645</v>
      </c>
      <c r="H1401" s="11" t="s">
        <v>814</v>
      </c>
      <c r="I1401" s="14" t="s">
        <v>1538</v>
      </c>
      <c r="J1401" s="14" t="s">
        <v>879</v>
      </c>
      <c r="K1401" s="15" t="s">
        <v>114</v>
      </c>
      <c r="L1401" s="14" t="s">
        <v>1643</v>
      </c>
      <c r="M1401" s="14"/>
      <c r="N1401" s="14" t="s">
        <v>116</v>
      </c>
      <c r="O1401" s="14"/>
      <c r="P1401" s="15" t="s">
        <v>193</v>
      </c>
      <c r="Q1401" s="16">
        <v>3199</v>
      </c>
      <c r="R1401" s="17">
        <v>30</v>
      </c>
      <c r="S1401" s="18">
        <v>2575.1950000000002</v>
      </c>
      <c r="T1401" s="19" t="s">
        <v>117</v>
      </c>
      <c r="U1401" s="20" t="s">
        <v>1570</v>
      </c>
      <c r="V1401" s="25" t="s">
        <v>119</v>
      </c>
      <c r="W1401" s="21">
        <v>5</v>
      </c>
      <c r="X1401" s="22"/>
    </row>
    <row r="1402" spans="1:24" s="1" customFormat="1" ht="108" customHeight="1" x14ac:dyDescent="0.3">
      <c r="A1402" s="11" t="s">
        <v>1355</v>
      </c>
      <c r="B1402" s="11" t="s">
        <v>1641</v>
      </c>
      <c r="C1402" s="12" t="s">
        <v>1648</v>
      </c>
      <c r="D1402" s="24"/>
      <c r="E1402" s="69" t="str">
        <f>HYPERLINK("https://www.google.ru/search?q=285631-PK&amp;newwindow=1&amp;tbm=isch","Еще фото")</f>
        <v>Еще фото</v>
      </c>
      <c r="F1402" s="13"/>
      <c r="G1402" s="11" t="s">
        <v>1649</v>
      </c>
      <c r="H1402" s="11" t="s">
        <v>814</v>
      </c>
      <c r="I1402" s="14" t="s">
        <v>1538</v>
      </c>
      <c r="J1402" s="14" t="s">
        <v>879</v>
      </c>
      <c r="K1402" s="15" t="s">
        <v>114</v>
      </c>
      <c r="L1402" s="14" t="s">
        <v>1650</v>
      </c>
      <c r="M1402" s="14"/>
      <c r="N1402" s="14" t="s">
        <v>275</v>
      </c>
      <c r="O1402" s="14"/>
      <c r="P1402" s="15" t="s">
        <v>108</v>
      </c>
      <c r="Q1402" s="16">
        <v>3199</v>
      </c>
      <c r="R1402" s="17">
        <v>30</v>
      </c>
      <c r="S1402" s="18">
        <v>2575.1950000000002</v>
      </c>
      <c r="T1402" s="19" t="s">
        <v>117</v>
      </c>
      <c r="U1402" s="20" t="s">
        <v>1574</v>
      </c>
      <c r="V1402" s="25" t="s">
        <v>119</v>
      </c>
      <c r="W1402" s="21">
        <v>5</v>
      </c>
      <c r="X1402" s="22"/>
    </row>
    <row r="1403" spans="1:24" s="1" customFormat="1" ht="108" customHeight="1" x14ac:dyDescent="0.3">
      <c r="A1403" s="11" t="s">
        <v>1355</v>
      </c>
      <c r="B1403" s="11" t="s">
        <v>1641</v>
      </c>
      <c r="C1403" s="12" t="s">
        <v>1651</v>
      </c>
      <c r="D1403" s="24"/>
      <c r="E1403" s="69" t="str">
        <f>HYPERLINK("https://www.google.ru/search?q=285631-WH&amp;newwindow=1&amp;tbm=isch","Еще фото")</f>
        <v>Еще фото</v>
      </c>
      <c r="F1403" s="13"/>
      <c r="G1403" s="11" t="s">
        <v>1593</v>
      </c>
      <c r="H1403" s="11" t="s">
        <v>814</v>
      </c>
      <c r="I1403" s="14" t="s">
        <v>1538</v>
      </c>
      <c r="J1403" s="14" t="s">
        <v>879</v>
      </c>
      <c r="K1403" s="15" t="s">
        <v>114</v>
      </c>
      <c r="L1403" s="14" t="s">
        <v>1643</v>
      </c>
      <c r="M1403" s="14"/>
      <c r="N1403" s="14" t="s">
        <v>89</v>
      </c>
      <c r="O1403" s="14"/>
      <c r="P1403" s="15" t="s">
        <v>193</v>
      </c>
      <c r="Q1403" s="16">
        <v>3199</v>
      </c>
      <c r="R1403" s="17">
        <v>30</v>
      </c>
      <c r="S1403" s="18">
        <v>2575.1950000000002</v>
      </c>
      <c r="T1403" s="19" t="s">
        <v>117</v>
      </c>
      <c r="U1403" s="20" t="s">
        <v>1539</v>
      </c>
      <c r="V1403" s="25" t="s">
        <v>119</v>
      </c>
      <c r="W1403" s="21">
        <v>1</v>
      </c>
      <c r="X1403" s="22"/>
    </row>
    <row r="1404" spans="1:24" s="1" customFormat="1" ht="108" customHeight="1" x14ac:dyDescent="0.3">
      <c r="A1404" s="11" t="s">
        <v>1355</v>
      </c>
      <c r="B1404" s="11" t="s">
        <v>1641</v>
      </c>
      <c r="C1404" s="12" t="s">
        <v>1652</v>
      </c>
      <c r="D1404" s="24"/>
      <c r="E1404" s="69" t="str">
        <f>HYPERLINK("https://www.google.ru/search?q=285631-YW&amp;newwindow=1&amp;tbm=isch","Еще фото")</f>
        <v>Еще фото</v>
      </c>
      <c r="F1404" s="13"/>
      <c r="G1404" s="11" t="s">
        <v>1649</v>
      </c>
      <c r="H1404" s="11" t="s">
        <v>814</v>
      </c>
      <c r="I1404" s="14" t="s">
        <v>1538</v>
      </c>
      <c r="J1404" s="14" t="s">
        <v>879</v>
      </c>
      <c r="K1404" s="15" t="s">
        <v>114</v>
      </c>
      <c r="L1404" s="14" t="s">
        <v>1650</v>
      </c>
      <c r="M1404" s="14"/>
      <c r="N1404" s="14" t="s">
        <v>313</v>
      </c>
      <c r="O1404" s="14"/>
      <c r="P1404" s="15" t="s">
        <v>108</v>
      </c>
      <c r="Q1404" s="16">
        <v>3199</v>
      </c>
      <c r="R1404" s="17">
        <v>30</v>
      </c>
      <c r="S1404" s="18">
        <v>2575.1950000000002</v>
      </c>
      <c r="T1404" s="19" t="s">
        <v>117</v>
      </c>
      <c r="U1404" s="20" t="s">
        <v>1434</v>
      </c>
      <c r="V1404" s="25" t="s">
        <v>119</v>
      </c>
      <c r="W1404" s="21">
        <v>6</v>
      </c>
      <c r="X1404" s="22"/>
    </row>
    <row r="1405" spans="1:24" s="1" customFormat="1" ht="108" customHeight="1" x14ac:dyDescent="0.3">
      <c r="A1405" s="11" t="s">
        <v>1355</v>
      </c>
      <c r="B1405" s="11" t="s">
        <v>1591</v>
      </c>
      <c r="C1405" s="12" t="s">
        <v>1653</v>
      </c>
      <c r="D1405" s="24"/>
      <c r="E1405" s="69" t="str">
        <f>HYPERLINK("https://www.google.ru/search?q=285641-PK&amp;newwindow=1&amp;tbm=isch","Еще фото")</f>
        <v>Еще фото</v>
      </c>
      <c r="F1405" s="13"/>
      <c r="G1405" s="11" t="s">
        <v>1593</v>
      </c>
      <c r="H1405" s="11" t="s">
        <v>814</v>
      </c>
      <c r="I1405" s="14" t="s">
        <v>1538</v>
      </c>
      <c r="J1405" s="14" t="s">
        <v>879</v>
      </c>
      <c r="K1405" s="15" t="s">
        <v>114</v>
      </c>
      <c r="L1405" s="14" t="s">
        <v>1594</v>
      </c>
      <c r="M1405" s="14"/>
      <c r="N1405" s="14" t="s">
        <v>275</v>
      </c>
      <c r="O1405" s="14"/>
      <c r="P1405" s="15" t="s">
        <v>193</v>
      </c>
      <c r="Q1405" s="16">
        <v>7699</v>
      </c>
      <c r="R1405" s="17">
        <v>30</v>
      </c>
      <c r="S1405" s="18">
        <v>6197.6949999999997</v>
      </c>
      <c r="T1405" s="19" t="s">
        <v>117</v>
      </c>
      <c r="U1405" s="20" t="s">
        <v>1574</v>
      </c>
      <c r="V1405" s="25" t="s">
        <v>119</v>
      </c>
      <c r="W1405" s="21">
        <v>3</v>
      </c>
      <c r="X1405" s="22"/>
    </row>
    <row r="1406" spans="1:24" s="1" customFormat="1" ht="108" customHeight="1" x14ac:dyDescent="0.3">
      <c r="A1406" s="11" t="s">
        <v>1355</v>
      </c>
      <c r="B1406" s="11" t="s">
        <v>1591</v>
      </c>
      <c r="C1406" s="12" t="s">
        <v>1654</v>
      </c>
      <c r="D1406" s="24"/>
      <c r="E1406" s="69" t="str">
        <f>HYPERLINK("https://www.google.ru/search?q=285641-WH&amp;newwindow=1&amp;tbm=isch","Еще фото")</f>
        <v>Еще фото</v>
      </c>
      <c r="F1406" s="13"/>
      <c r="G1406" s="11" t="s">
        <v>1593</v>
      </c>
      <c r="H1406" s="11" t="s">
        <v>814</v>
      </c>
      <c r="I1406" s="14" t="s">
        <v>1538</v>
      </c>
      <c r="J1406" s="14" t="s">
        <v>879</v>
      </c>
      <c r="K1406" s="15" t="s">
        <v>114</v>
      </c>
      <c r="L1406" s="14" t="s">
        <v>1594</v>
      </c>
      <c r="M1406" s="14"/>
      <c r="N1406" s="14" t="s">
        <v>89</v>
      </c>
      <c r="O1406" s="14"/>
      <c r="P1406" s="15" t="s">
        <v>193</v>
      </c>
      <c r="Q1406" s="16">
        <v>7699</v>
      </c>
      <c r="R1406" s="17">
        <v>30</v>
      </c>
      <c r="S1406" s="18">
        <v>6197.6949999999997</v>
      </c>
      <c r="T1406" s="19" t="s">
        <v>117</v>
      </c>
      <c r="U1406" s="20" t="s">
        <v>1539</v>
      </c>
      <c r="V1406" s="25" t="s">
        <v>119</v>
      </c>
      <c r="W1406" s="21">
        <v>8</v>
      </c>
      <c r="X1406" s="22"/>
    </row>
    <row r="1407" spans="1:24" s="1" customFormat="1" ht="108" customHeight="1" x14ac:dyDescent="0.3">
      <c r="A1407" s="11" t="s">
        <v>1355</v>
      </c>
      <c r="B1407" s="11" t="s">
        <v>1655</v>
      </c>
      <c r="C1407" s="12" t="s">
        <v>1656</v>
      </c>
      <c r="D1407" s="24"/>
      <c r="E1407" s="69" t="str">
        <f>HYPERLINK("https://www.google.ru/search?q=285661-BK&amp;newwindow=1&amp;tbm=isch","Еще фото")</f>
        <v>Еще фото</v>
      </c>
      <c r="F1407" s="13"/>
      <c r="G1407" s="11" t="s">
        <v>1593</v>
      </c>
      <c r="H1407" s="11" t="s">
        <v>814</v>
      </c>
      <c r="I1407" s="14" t="s">
        <v>1538</v>
      </c>
      <c r="J1407" s="14" t="s">
        <v>879</v>
      </c>
      <c r="K1407" s="15" t="s">
        <v>114</v>
      </c>
      <c r="L1407" s="14" t="s">
        <v>1657</v>
      </c>
      <c r="M1407" s="14"/>
      <c r="N1407" s="14" t="s">
        <v>49</v>
      </c>
      <c r="O1407" s="14"/>
      <c r="P1407" s="15" t="s">
        <v>193</v>
      </c>
      <c r="Q1407" s="16">
        <v>15399</v>
      </c>
      <c r="R1407" s="17">
        <v>30</v>
      </c>
      <c r="S1407" s="18">
        <v>12396.194999999998</v>
      </c>
      <c r="T1407" s="19" t="s">
        <v>117</v>
      </c>
      <c r="U1407" s="20" t="s">
        <v>1544</v>
      </c>
      <c r="V1407" s="25" t="s">
        <v>119</v>
      </c>
      <c r="W1407" s="21">
        <v>2</v>
      </c>
      <c r="X1407" s="22"/>
    </row>
    <row r="1408" spans="1:24" s="1" customFormat="1" ht="108" customHeight="1" x14ac:dyDescent="0.3">
      <c r="A1408" s="11" t="s">
        <v>1355</v>
      </c>
      <c r="B1408" s="11" t="s">
        <v>1655</v>
      </c>
      <c r="C1408" s="12" t="s">
        <v>1658</v>
      </c>
      <c r="D1408" s="24"/>
      <c r="E1408" s="69" t="str">
        <f>HYPERLINK("https://www.google.ru/search?q=285661-WH&amp;newwindow=1&amp;tbm=isch","Еще фото")</f>
        <v>Еще фото</v>
      </c>
      <c r="F1408" s="13"/>
      <c r="G1408" s="11" t="s">
        <v>1593</v>
      </c>
      <c r="H1408" s="11" t="s">
        <v>814</v>
      </c>
      <c r="I1408" s="14" t="s">
        <v>1538</v>
      </c>
      <c r="J1408" s="14" t="s">
        <v>879</v>
      </c>
      <c r="K1408" s="15" t="s">
        <v>114</v>
      </c>
      <c r="L1408" s="14" t="s">
        <v>1657</v>
      </c>
      <c r="M1408" s="14"/>
      <c r="N1408" s="14" t="s">
        <v>89</v>
      </c>
      <c r="O1408" s="14"/>
      <c r="P1408" s="15" t="s">
        <v>193</v>
      </c>
      <c r="Q1408" s="16">
        <v>14999</v>
      </c>
      <c r="R1408" s="17">
        <v>30</v>
      </c>
      <c r="S1408" s="18">
        <v>12074.194999999998</v>
      </c>
      <c r="T1408" s="19" t="s">
        <v>117</v>
      </c>
      <c r="U1408" s="20" t="s">
        <v>1539</v>
      </c>
      <c r="V1408" s="25" t="s">
        <v>119</v>
      </c>
      <c r="W1408" s="21">
        <v>3</v>
      </c>
      <c r="X1408" s="22"/>
    </row>
    <row r="1409" spans="1:24" s="1" customFormat="1" ht="108" customHeight="1" x14ac:dyDescent="0.3">
      <c r="A1409" s="11" t="s">
        <v>1355</v>
      </c>
      <c r="B1409" s="11" t="s">
        <v>1575</v>
      </c>
      <c r="C1409" s="12" t="s">
        <v>1659</v>
      </c>
      <c r="D1409" s="24"/>
      <c r="E1409" s="69" t="str">
        <f>HYPERLINK("https://www.google.ru/search?q=285704-BK&amp;newwindow=1&amp;tbm=isch","Еще фото")</f>
        <v>Еще фото</v>
      </c>
      <c r="F1409" s="31" t="s">
        <v>738</v>
      </c>
      <c r="G1409" s="11" t="s">
        <v>1542</v>
      </c>
      <c r="H1409" s="11" t="s">
        <v>814</v>
      </c>
      <c r="I1409" s="14" t="s">
        <v>1538</v>
      </c>
      <c r="J1409" s="14" t="s">
        <v>879</v>
      </c>
      <c r="K1409" s="15" t="s">
        <v>114</v>
      </c>
      <c r="L1409" s="14"/>
      <c r="M1409" s="14"/>
      <c r="N1409" s="14" t="s">
        <v>49</v>
      </c>
      <c r="O1409" s="14"/>
      <c r="P1409" s="15" t="s">
        <v>1660</v>
      </c>
      <c r="Q1409" s="59">
        <v>749</v>
      </c>
      <c r="R1409" s="17">
        <v>30</v>
      </c>
      <c r="S1409" s="29">
        <v>602.94499999999994</v>
      </c>
      <c r="T1409" s="19" t="s">
        <v>117</v>
      </c>
      <c r="U1409" s="20" t="s">
        <v>1544</v>
      </c>
      <c r="V1409" s="25" t="s">
        <v>119</v>
      </c>
      <c r="W1409" s="21">
        <v>71</v>
      </c>
      <c r="X1409" s="22"/>
    </row>
    <row r="1410" spans="1:24" s="1" customFormat="1" ht="108" customHeight="1" x14ac:dyDescent="0.3">
      <c r="A1410" s="11" t="s">
        <v>1355</v>
      </c>
      <c r="B1410" s="11" t="s">
        <v>1661</v>
      </c>
      <c r="C1410" s="12" t="s">
        <v>1662</v>
      </c>
      <c r="D1410" s="24"/>
      <c r="E1410" s="69" t="str">
        <f>HYPERLINK("https://www.google.ru/search?q=235442SC05&amp;newwindow=1&amp;tbm=isch","Еще фото")</f>
        <v>Еще фото</v>
      </c>
      <c r="F1410" s="13"/>
      <c r="G1410" s="11" t="s">
        <v>1663</v>
      </c>
      <c r="H1410" s="11" t="s">
        <v>814</v>
      </c>
      <c r="I1410" s="14" t="s">
        <v>1664</v>
      </c>
      <c r="J1410" s="14" t="s">
        <v>879</v>
      </c>
      <c r="K1410" s="15" t="s">
        <v>30</v>
      </c>
      <c r="L1410" s="14" t="s">
        <v>1665</v>
      </c>
      <c r="M1410" s="14"/>
      <c r="N1410" s="14" t="s">
        <v>242</v>
      </c>
      <c r="O1410" s="14"/>
      <c r="P1410" s="15" t="s">
        <v>1666</v>
      </c>
      <c r="Q1410" s="16">
        <v>5799</v>
      </c>
      <c r="R1410" s="17">
        <v>61.58</v>
      </c>
      <c r="S1410" s="18">
        <v>2561.9354999999996</v>
      </c>
      <c r="T1410" s="19" t="s">
        <v>328</v>
      </c>
      <c r="U1410" s="20" t="s">
        <v>1667</v>
      </c>
      <c r="V1410" s="61">
        <v>5</v>
      </c>
      <c r="W1410" s="21">
        <v>4</v>
      </c>
      <c r="X1410" s="22"/>
    </row>
    <row r="1411" spans="1:24" s="1" customFormat="1" ht="108" customHeight="1" x14ac:dyDescent="0.3">
      <c r="A1411" s="11" t="s">
        <v>1355</v>
      </c>
      <c r="B1411" s="11" t="s">
        <v>1668</v>
      </c>
      <c r="C1411" s="12" t="s">
        <v>1669</v>
      </c>
      <c r="D1411" s="24"/>
      <c r="E1411" s="69" t="str">
        <f>HYPERLINK("https://www.google.ru/search?q=231235SC05&amp;newwindow=1&amp;tbm=isch","Еще фото")</f>
        <v>Еще фото</v>
      </c>
      <c r="F1411" s="13"/>
      <c r="G1411" s="11" t="s">
        <v>1670</v>
      </c>
      <c r="H1411" s="11" t="s">
        <v>814</v>
      </c>
      <c r="I1411" s="14" t="s">
        <v>1664</v>
      </c>
      <c r="J1411" s="14" t="s">
        <v>879</v>
      </c>
      <c r="K1411" s="15" t="s">
        <v>30</v>
      </c>
      <c r="L1411" s="14" t="s">
        <v>1671</v>
      </c>
      <c r="M1411" s="14"/>
      <c r="N1411" s="14" t="s">
        <v>49</v>
      </c>
      <c r="O1411" s="14"/>
      <c r="P1411" s="15" t="s">
        <v>1672</v>
      </c>
      <c r="Q1411" s="16">
        <v>7899</v>
      </c>
      <c r="R1411" s="17">
        <v>55.72</v>
      </c>
      <c r="S1411" s="18">
        <v>4022.4354999999996</v>
      </c>
      <c r="T1411" s="19" t="s">
        <v>328</v>
      </c>
      <c r="U1411" s="20" t="s">
        <v>1667</v>
      </c>
      <c r="V1411" s="61">
        <v>5</v>
      </c>
      <c r="W1411" s="21">
        <v>20</v>
      </c>
      <c r="X1411" s="22"/>
    </row>
    <row r="1412" spans="1:24" s="1" customFormat="1" ht="108" customHeight="1" x14ac:dyDescent="0.3">
      <c r="A1412" s="11" t="s">
        <v>1355</v>
      </c>
      <c r="B1412" s="11" t="s">
        <v>1673</v>
      </c>
      <c r="C1412" s="12" t="s">
        <v>1674</v>
      </c>
      <c r="D1412" s="24"/>
      <c r="E1412" s="69" t="str">
        <f>HYPERLINK("https://www.google.ru/search?q=231435SC05&amp;newwindow=1&amp;tbm=isch","Еще фото")</f>
        <v>Еще фото</v>
      </c>
      <c r="F1412" s="13"/>
      <c r="G1412" s="11" t="s">
        <v>1670</v>
      </c>
      <c r="H1412" s="11" t="s">
        <v>814</v>
      </c>
      <c r="I1412" s="14" t="s">
        <v>1664</v>
      </c>
      <c r="J1412" s="14" t="s">
        <v>879</v>
      </c>
      <c r="K1412" s="15" t="s">
        <v>30</v>
      </c>
      <c r="L1412" s="14" t="s">
        <v>1675</v>
      </c>
      <c r="M1412" s="14"/>
      <c r="N1412" s="14" t="s">
        <v>116</v>
      </c>
      <c r="O1412" s="14"/>
      <c r="P1412" s="15" t="s">
        <v>1676</v>
      </c>
      <c r="Q1412" s="16">
        <v>5599</v>
      </c>
      <c r="R1412" s="17">
        <v>48.78</v>
      </c>
      <c r="S1412" s="18">
        <v>3297.9354999999996</v>
      </c>
      <c r="T1412" s="19" t="s">
        <v>328</v>
      </c>
      <c r="U1412" s="20" t="s">
        <v>1667</v>
      </c>
      <c r="V1412" s="61">
        <v>5</v>
      </c>
      <c r="W1412" s="21">
        <v>6</v>
      </c>
      <c r="X1412" s="22"/>
    </row>
    <row r="1413" spans="1:24" s="1" customFormat="1" ht="108" customHeight="1" x14ac:dyDescent="0.3">
      <c r="A1413" s="11" t="s">
        <v>1355</v>
      </c>
      <c r="B1413" s="11" t="s">
        <v>1677</v>
      </c>
      <c r="C1413" s="12" t="s">
        <v>1678</v>
      </c>
      <c r="D1413" s="24"/>
      <c r="E1413" s="69" t="str">
        <f>HYPERLINK("https://www.google.ru/search?q=235024SC06&amp;newwindow=1&amp;tbm=isch","Еще фото")</f>
        <v>Еще фото</v>
      </c>
      <c r="F1413" s="13"/>
      <c r="G1413" s="11" t="s">
        <v>1670</v>
      </c>
      <c r="H1413" s="11" t="s">
        <v>814</v>
      </c>
      <c r="I1413" s="14" t="s">
        <v>1664</v>
      </c>
      <c r="J1413" s="14" t="s">
        <v>879</v>
      </c>
      <c r="K1413" s="15" t="s">
        <v>30</v>
      </c>
      <c r="L1413" s="14" t="s">
        <v>1679</v>
      </c>
      <c r="M1413" s="14"/>
      <c r="N1413" s="14" t="s">
        <v>70</v>
      </c>
      <c r="O1413" s="14"/>
      <c r="P1413" s="15" t="s">
        <v>1666</v>
      </c>
      <c r="Q1413" s="16">
        <v>4699</v>
      </c>
      <c r="R1413" s="17">
        <v>45.14</v>
      </c>
      <c r="S1413" s="18">
        <v>2964.4354999999996</v>
      </c>
      <c r="T1413" s="19" t="s">
        <v>328</v>
      </c>
      <c r="U1413" s="20" t="s">
        <v>1680</v>
      </c>
      <c r="V1413" s="61">
        <v>6</v>
      </c>
      <c r="W1413" s="21">
        <v>23</v>
      </c>
      <c r="X1413" s="22"/>
    </row>
    <row r="1414" spans="1:24" s="1" customFormat="1" ht="108" customHeight="1" x14ac:dyDescent="0.3">
      <c r="A1414" s="11" t="s">
        <v>1355</v>
      </c>
      <c r="B1414" s="11" t="s">
        <v>1681</v>
      </c>
      <c r="C1414" s="12" t="s">
        <v>1682</v>
      </c>
      <c r="D1414" s="24"/>
      <c r="E1414" s="69" t="str">
        <f>HYPERLINK("https://www.google.ru/search?q=232205SC05&amp;newwindow=1&amp;tbm=isch","Еще фото")</f>
        <v>Еще фото</v>
      </c>
      <c r="F1414" s="13"/>
      <c r="G1414" s="11" t="s">
        <v>1670</v>
      </c>
      <c r="H1414" s="11" t="s">
        <v>814</v>
      </c>
      <c r="I1414" s="14" t="s">
        <v>1664</v>
      </c>
      <c r="J1414" s="14" t="s">
        <v>879</v>
      </c>
      <c r="K1414" s="15" t="s">
        <v>30</v>
      </c>
      <c r="L1414" s="14" t="s">
        <v>1683</v>
      </c>
      <c r="M1414" s="14"/>
      <c r="N1414" s="14" t="s">
        <v>70</v>
      </c>
      <c r="O1414" s="14"/>
      <c r="P1414" s="15" t="s">
        <v>1666</v>
      </c>
      <c r="Q1414" s="16">
        <v>5099</v>
      </c>
      <c r="R1414" s="17">
        <v>45.13</v>
      </c>
      <c r="S1414" s="18">
        <v>3217.4354999999996</v>
      </c>
      <c r="T1414" s="19" t="s">
        <v>328</v>
      </c>
      <c r="U1414" s="20" t="s">
        <v>1667</v>
      </c>
      <c r="V1414" s="61">
        <v>5</v>
      </c>
      <c r="W1414" s="21">
        <v>10</v>
      </c>
      <c r="X1414" s="22"/>
    </row>
    <row r="1415" spans="1:24" s="1" customFormat="1" ht="108" customHeight="1" x14ac:dyDescent="0.3">
      <c r="A1415" s="11" t="s">
        <v>1355</v>
      </c>
      <c r="B1415" s="11" t="s">
        <v>1684</v>
      </c>
      <c r="C1415" s="12" t="s">
        <v>1685</v>
      </c>
      <c r="D1415" s="24"/>
      <c r="E1415" s="69" t="str">
        <f>HYPERLINK("https://www.google.ru/search?q=231225SC06&amp;newwindow=1&amp;tbm=isch","Еще фото")</f>
        <v>Еще фото</v>
      </c>
      <c r="F1415" s="13"/>
      <c r="G1415" s="11" t="s">
        <v>1670</v>
      </c>
      <c r="H1415" s="11" t="s">
        <v>814</v>
      </c>
      <c r="I1415" s="14" t="s">
        <v>1664</v>
      </c>
      <c r="J1415" s="14" t="s">
        <v>879</v>
      </c>
      <c r="K1415" s="15" t="s">
        <v>30</v>
      </c>
      <c r="L1415" s="14" t="s">
        <v>1686</v>
      </c>
      <c r="M1415" s="14"/>
      <c r="N1415" s="14" t="s">
        <v>49</v>
      </c>
      <c r="O1415" s="14"/>
      <c r="P1415" s="15" t="s">
        <v>1672</v>
      </c>
      <c r="Q1415" s="16">
        <v>7799</v>
      </c>
      <c r="R1415" s="17">
        <v>45.02</v>
      </c>
      <c r="S1415" s="18">
        <v>4930.9355000000005</v>
      </c>
      <c r="T1415" s="19" t="s">
        <v>328</v>
      </c>
      <c r="U1415" s="20" t="s">
        <v>1680</v>
      </c>
      <c r="V1415" s="61">
        <v>6</v>
      </c>
      <c r="W1415" s="21">
        <v>34</v>
      </c>
      <c r="X1415" s="22"/>
    </row>
    <row r="1416" spans="1:24" s="1" customFormat="1" ht="108" customHeight="1" x14ac:dyDescent="0.3">
      <c r="A1416" s="11" t="s">
        <v>1355</v>
      </c>
      <c r="B1416" s="11" t="s">
        <v>1687</v>
      </c>
      <c r="C1416" s="12" t="s">
        <v>1688</v>
      </c>
      <c r="D1416" s="24"/>
      <c r="E1416" s="69" t="str">
        <f>HYPERLINK("https://www.google.ru/search?q=231045SC10&amp;newwindow=1&amp;tbm=isch","Еще фото")</f>
        <v>Еще фото</v>
      </c>
      <c r="F1416" s="13"/>
      <c r="G1416" s="11" t="s">
        <v>1670</v>
      </c>
      <c r="H1416" s="11" t="s">
        <v>814</v>
      </c>
      <c r="I1416" s="14" t="s">
        <v>1664</v>
      </c>
      <c r="J1416" s="14" t="s">
        <v>879</v>
      </c>
      <c r="K1416" s="15" t="s">
        <v>30</v>
      </c>
      <c r="L1416" s="14"/>
      <c r="M1416" s="14"/>
      <c r="N1416" s="14" t="s">
        <v>116</v>
      </c>
      <c r="O1416" s="14"/>
      <c r="P1416" s="15" t="s">
        <v>1689</v>
      </c>
      <c r="Q1416" s="16">
        <v>16599</v>
      </c>
      <c r="R1416" s="17">
        <v>45.01</v>
      </c>
      <c r="S1416" s="18">
        <v>10496.9355</v>
      </c>
      <c r="T1416" s="19" t="s">
        <v>328</v>
      </c>
      <c r="U1416" s="20" t="s">
        <v>1690</v>
      </c>
      <c r="V1416" s="21">
        <v>10</v>
      </c>
      <c r="W1416" s="21">
        <v>15</v>
      </c>
      <c r="X1416" s="22"/>
    </row>
    <row r="1417" spans="1:24" s="1" customFormat="1" ht="108" customHeight="1" x14ac:dyDescent="0.3">
      <c r="A1417" s="11" t="s">
        <v>1355</v>
      </c>
      <c r="B1417" s="11" t="s">
        <v>1691</v>
      </c>
      <c r="C1417" s="12" t="s">
        <v>1692</v>
      </c>
      <c r="D1417" s="24"/>
      <c r="E1417" s="69" t="str">
        <f>HYPERLINK("https://www.google.ru/search?q=221045&amp;newwindow=1&amp;tbm=isch","Еще фото")</f>
        <v>Еще фото</v>
      </c>
      <c r="F1417" s="13"/>
      <c r="G1417" s="11" t="s">
        <v>1693</v>
      </c>
      <c r="H1417" s="11" t="s">
        <v>814</v>
      </c>
      <c r="I1417" s="14" t="s">
        <v>1664</v>
      </c>
      <c r="J1417" s="14" t="s">
        <v>917</v>
      </c>
      <c r="K1417" s="15" t="s">
        <v>114</v>
      </c>
      <c r="L1417" s="14"/>
      <c r="M1417" s="14"/>
      <c r="N1417" s="14" t="s">
        <v>49</v>
      </c>
      <c r="O1417" s="14"/>
      <c r="P1417" s="15" t="s">
        <v>1666</v>
      </c>
      <c r="Q1417" s="16">
        <v>31999</v>
      </c>
      <c r="R1417" s="17">
        <v>30</v>
      </c>
      <c r="S1417" s="18">
        <v>25759.194999999996</v>
      </c>
      <c r="T1417" s="19" t="s">
        <v>117</v>
      </c>
      <c r="U1417" s="20" t="s">
        <v>788</v>
      </c>
      <c r="V1417" s="25" t="s">
        <v>119</v>
      </c>
      <c r="W1417" s="21">
        <v>2</v>
      </c>
      <c r="X1417" s="22"/>
    </row>
    <row r="1418" spans="1:24" s="1" customFormat="1" ht="108" customHeight="1" x14ac:dyDescent="0.3">
      <c r="A1418" s="11" t="s">
        <v>1355</v>
      </c>
      <c r="B1418" s="11" t="s">
        <v>1694</v>
      </c>
      <c r="C1418" s="12" t="s">
        <v>1695</v>
      </c>
      <c r="D1418" s="24"/>
      <c r="E1418" s="69" t="str">
        <f>HYPERLINK("https://www.google.ru/search?q=221055&amp;newwindow=1&amp;tbm=isch","Еще фото")</f>
        <v>Еще фото</v>
      </c>
      <c r="F1418" s="13"/>
      <c r="G1418" s="11" t="s">
        <v>1693</v>
      </c>
      <c r="H1418" s="11" t="s">
        <v>814</v>
      </c>
      <c r="I1418" s="14" t="s">
        <v>1664</v>
      </c>
      <c r="J1418" s="14" t="s">
        <v>917</v>
      </c>
      <c r="K1418" s="15" t="s">
        <v>114</v>
      </c>
      <c r="L1418" s="14"/>
      <c r="M1418" s="14"/>
      <c r="N1418" s="14" t="s">
        <v>49</v>
      </c>
      <c r="O1418" s="14"/>
      <c r="P1418" s="15" t="s">
        <v>1666</v>
      </c>
      <c r="Q1418" s="16">
        <v>31999</v>
      </c>
      <c r="R1418" s="17">
        <v>30</v>
      </c>
      <c r="S1418" s="18">
        <v>25759.194999999996</v>
      </c>
      <c r="T1418" s="19" t="s">
        <v>117</v>
      </c>
      <c r="U1418" s="20" t="s">
        <v>788</v>
      </c>
      <c r="V1418" s="25" t="s">
        <v>119</v>
      </c>
      <c r="W1418" s="21">
        <v>1</v>
      </c>
      <c r="X1418" s="22"/>
    </row>
    <row r="1419" spans="1:24" s="1" customFormat="1" ht="108" customHeight="1" x14ac:dyDescent="0.3">
      <c r="A1419" s="11" t="s">
        <v>1355</v>
      </c>
      <c r="B1419" s="11" t="s">
        <v>1696</v>
      </c>
      <c r="C1419" s="12" t="s">
        <v>1697</v>
      </c>
      <c r="D1419" s="24"/>
      <c r="E1419" s="69" t="str">
        <f>HYPERLINK("https://www.google.ru/search?q=222046&amp;newwindow=1&amp;tbm=isch","Еще фото")</f>
        <v>Еще фото</v>
      </c>
      <c r="F1419" s="13"/>
      <c r="G1419" s="11" t="s">
        <v>1693</v>
      </c>
      <c r="H1419" s="11" t="s">
        <v>814</v>
      </c>
      <c r="I1419" s="14" t="s">
        <v>1664</v>
      </c>
      <c r="J1419" s="14" t="s">
        <v>917</v>
      </c>
      <c r="K1419" s="15" t="s">
        <v>114</v>
      </c>
      <c r="L1419" s="14"/>
      <c r="M1419" s="14"/>
      <c r="N1419" s="14" t="s">
        <v>1566</v>
      </c>
      <c r="O1419" s="14"/>
      <c r="P1419" s="15" t="s">
        <v>1666</v>
      </c>
      <c r="Q1419" s="16">
        <v>24899</v>
      </c>
      <c r="R1419" s="17">
        <v>30</v>
      </c>
      <c r="S1419" s="18">
        <v>20043.694999999996</v>
      </c>
      <c r="T1419" s="19" t="s">
        <v>117</v>
      </c>
      <c r="U1419" s="20" t="s">
        <v>788</v>
      </c>
      <c r="V1419" s="25" t="s">
        <v>119</v>
      </c>
      <c r="W1419" s="21">
        <v>4</v>
      </c>
      <c r="X1419" s="22"/>
    </row>
    <row r="1420" spans="1:24" s="1" customFormat="1" ht="108" customHeight="1" x14ac:dyDescent="0.3">
      <c r="A1420" s="11" t="s">
        <v>1355</v>
      </c>
      <c r="B1420" s="11" t="s">
        <v>1698</v>
      </c>
      <c r="C1420" s="12" t="s">
        <v>1699</v>
      </c>
      <c r="D1420" s="24"/>
      <c r="E1420" s="69" t="str">
        <f>HYPERLINK("https://www.google.ru/search?q=222056&amp;newwindow=1&amp;tbm=isch","Еще фото")</f>
        <v>Еще фото</v>
      </c>
      <c r="F1420" s="13"/>
      <c r="G1420" s="11" t="s">
        <v>1700</v>
      </c>
      <c r="H1420" s="11" t="s">
        <v>814</v>
      </c>
      <c r="I1420" s="14" t="s">
        <v>1664</v>
      </c>
      <c r="J1420" s="14" t="s">
        <v>917</v>
      </c>
      <c r="K1420" s="15" t="s">
        <v>114</v>
      </c>
      <c r="L1420" s="14" t="s">
        <v>1701</v>
      </c>
      <c r="M1420" s="14"/>
      <c r="N1420" s="14" t="s">
        <v>116</v>
      </c>
      <c r="O1420" s="14"/>
      <c r="P1420" s="15" t="s">
        <v>1702</v>
      </c>
      <c r="Q1420" s="16">
        <v>24999</v>
      </c>
      <c r="R1420" s="17">
        <v>30</v>
      </c>
      <c r="S1420" s="18">
        <v>20124.194999999996</v>
      </c>
      <c r="T1420" s="19" t="s">
        <v>117</v>
      </c>
      <c r="U1420" s="20" t="s">
        <v>788</v>
      </c>
      <c r="V1420" s="25" t="s">
        <v>119</v>
      </c>
      <c r="W1420" s="21">
        <v>1</v>
      </c>
      <c r="X1420" s="22"/>
    </row>
    <row r="1421" spans="1:24" s="1" customFormat="1" ht="108" customHeight="1" x14ac:dyDescent="0.3">
      <c r="A1421" s="11" t="s">
        <v>1355</v>
      </c>
      <c r="B1421" s="11" t="s">
        <v>1703</v>
      </c>
      <c r="C1421" s="12" t="s">
        <v>1704</v>
      </c>
      <c r="D1421" s="24"/>
      <c r="E1421" s="69" t="str">
        <f>HYPERLINK("https://www.google.ru/search?q=222066&amp;newwindow=1&amp;tbm=isch","Еще фото")</f>
        <v>Еще фото</v>
      </c>
      <c r="F1421" s="13"/>
      <c r="G1421" s="11" t="s">
        <v>1700</v>
      </c>
      <c r="H1421" s="11" t="s">
        <v>814</v>
      </c>
      <c r="I1421" s="14" t="s">
        <v>1664</v>
      </c>
      <c r="J1421" s="14" t="s">
        <v>917</v>
      </c>
      <c r="K1421" s="15" t="s">
        <v>114</v>
      </c>
      <c r="L1421" s="14"/>
      <c r="M1421" s="14"/>
      <c r="N1421" s="14" t="s">
        <v>49</v>
      </c>
      <c r="O1421" s="14"/>
      <c r="P1421" s="15" t="s">
        <v>1705</v>
      </c>
      <c r="Q1421" s="16">
        <v>17799</v>
      </c>
      <c r="R1421" s="17">
        <v>30</v>
      </c>
      <c r="S1421" s="18">
        <v>14328.194999999998</v>
      </c>
      <c r="T1421" s="19" t="s">
        <v>117</v>
      </c>
      <c r="U1421" s="20" t="s">
        <v>788</v>
      </c>
      <c r="V1421" s="25" t="s">
        <v>119</v>
      </c>
      <c r="W1421" s="21">
        <v>4</v>
      </c>
      <c r="X1421" s="22"/>
    </row>
    <row r="1422" spans="1:24" s="1" customFormat="1" ht="108" customHeight="1" x14ac:dyDescent="0.3">
      <c r="A1422" s="11" t="s">
        <v>1355</v>
      </c>
      <c r="B1422" s="11" t="s">
        <v>1706</v>
      </c>
      <c r="C1422" s="12" t="s">
        <v>1707</v>
      </c>
      <c r="D1422" s="24"/>
      <c r="E1422" s="69" t="str">
        <f>HYPERLINK("https://www.google.ru/search?q=223105&amp;newwindow=1&amp;tbm=isch","Еще фото")</f>
        <v>Еще фото</v>
      </c>
      <c r="F1422" s="13"/>
      <c r="G1422" s="11" t="s">
        <v>1693</v>
      </c>
      <c r="H1422" s="11" t="s">
        <v>814</v>
      </c>
      <c r="I1422" s="14" t="s">
        <v>1664</v>
      </c>
      <c r="J1422" s="14" t="s">
        <v>917</v>
      </c>
      <c r="K1422" s="15" t="s">
        <v>114</v>
      </c>
      <c r="L1422" s="14"/>
      <c r="M1422" s="14"/>
      <c r="N1422" s="14" t="s">
        <v>49</v>
      </c>
      <c r="O1422" s="14"/>
      <c r="P1422" s="15" t="s">
        <v>1666</v>
      </c>
      <c r="Q1422" s="16">
        <v>31999</v>
      </c>
      <c r="R1422" s="17">
        <v>30</v>
      </c>
      <c r="S1422" s="18">
        <v>25759.194999999996</v>
      </c>
      <c r="T1422" s="19" t="s">
        <v>117</v>
      </c>
      <c r="U1422" s="20" t="s">
        <v>788</v>
      </c>
      <c r="V1422" s="25" t="s">
        <v>119</v>
      </c>
      <c r="W1422" s="21">
        <v>1</v>
      </c>
      <c r="X1422" s="22"/>
    </row>
    <row r="1423" spans="1:24" s="1" customFormat="1" ht="108" customHeight="1" x14ac:dyDescent="0.3">
      <c r="A1423" s="11" t="s">
        <v>1355</v>
      </c>
      <c r="B1423" s="11" t="s">
        <v>1708</v>
      </c>
      <c r="C1423" s="12" t="s">
        <v>1709</v>
      </c>
      <c r="D1423" s="24"/>
      <c r="E1423" s="69" t="str">
        <f>HYPERLINK("https://www.google.ru/search?q=223115&amp;newwindow=1&amp;tbm=isch","Еще фото")</f>
        <v>Еще фото</v>
      </c>
      <c r="F1423" s="13"/>
      <c r="G1423" s="11" t="s">
        <v>1693</v>
      </c>
      <c r="H1423" s="11" t="s">
        <v>814</v>
      </c>
      <c r="I1423" s="14" t="s">
        <v>1664</v>
      </c>
      <c r="J1423" s="14" t="s">
        <v>917</v>
      </c>
      <c r="K1423" s="15" t="s">
        <v>114</v>
      </c>
      <c r="L1423" s="14"/>
      <c r="M1423" s="14"/>
      <c r="N1423" s="14" t="s">
        <v>49</v>
      </c>
      <c r="O1423" s="14"/>
      <c r="P1423" s="15" t="s">
        <v>1666</v>
      </c>
      <c r="Q1423" s="16">
        <v>31999</v>
      </c>
      <c r="R1423" s="17">
        <v>30</v>
      </c>
      <c r="S1423" s="18">
        <v>25759.194999999996</v>
      </c>
      <c r="T1423" s="19" t="s">
        <v>117</v>
      </c>
      <c r="U1423" s="20" t="s">
        <v>788</v>
      </c>
      <c r="V1423" s="25" t="s">
        <v>119</v>
      </c>
      <c r="W1423" s="21">
        <v>3</v>
      </c>
      <c r="X1423" s="22"/>
    </row>
    <row r="1424" spans="1:24" s="1" customFormat="1" ht="108" customHeight="1" x14ac:dyDescent="0.3">
      <c r="A1424" s="11" t="s">
        <v>1355</v>
      </c>
      <c r="B1424" s="11" t="s">
        <v>1710</v>
      </c>
      <c r="C1424" s="12" t="s">
        <v>1711</v>
      </c>
      <c r="D1424" s="24"/>
      <c r="E1424" s="69" t="str">
        <f>HYPERLINK("https://www.google.ru/search?q=223125&amp;newwindow=1&amp;tbm=isch","Еще фото")</f>
        <v>Еще фото</v>
      </c>
      <c r="F1424" s="13"/>
      <c r="G1424" s="11" t="s">
        <v>1693</v>
      </c>
      <c r="H1424" s="11" t="s">
        <v>814</v>
      </c>
      <c r="I1424" s="14" t="s">
        <v>1664</v>
      </c>
      <c r="J1424" s="14" t="s">
        <v>917</v>
      </c>
      <c r="K1424" s="15" t="s">
        <v>114</v>
      </c>
      <c r="L1424" s="14"/>
      <c r="M1424" s="14"/>
      <c r="N1424" s="14" t="s">
        <v>70</v>
      </c>
      <c r="O1424" s="14"/>
      <c r="P1424" s="15" t="s">
        <v>1666</v>
      </c>
      <c r="Q1424" s="16">
        <v>31999</v>
      </c>
      <c r="R1424" s="17">
        <v>30</v>
      </c>
      <c r="S1424" s="18">
        <v>25759.194999999996</v>
      </c>
      <c r="T1424" s="19" t="s">
        <v>117</v>
      </c>
      <c r="U1424" s="20" t="s">
        <v>788</v>
      </c>
      <c r="V1424" s="25" t="s">
        <v>119</v>
      </c>
      <c r="W1424" s="21">
        <v>3</v>
      </c>
      <c r="X1424" s="22"/>
    </row>
    <row r="1425" spans="1:24" s="1" customFormat="1" ht="108" customHeight="1" x14ac:dyDescent="0.3">
      <c r="A1425" s="11" t="s">
        <v>1355</v>
      </c>
      <c r="B1425" s="11" t="s">
        <v>1712</v>
      </c>
      <c r="C1425" s="12" t="s">
        <v>1713</v>
      </c>
      <c r="D1425" s="24"/>
      <c r="E1425" s="69" t="str">
        <f>HYPERLINK("https://www.google.ru/search?q=223135&amp;newwindow=1&amp;tbm=isch","Еще фото")</f>
        <v>Еще фото</v>
      </c>
      <c r="F1425" s="13"/>
      <c r="G1425" s="11" t="s">
        <v>1693</v>
      </c>
      <c r="H1425" s="11" t="s">
        <v>814</v>
      </c>
      <c r="I1425" s="14" t="s">
        <v>1664</v>
      </c>
      <c r="J1425" s="14" t="s">
        <v>917</v>
      </c>
      <c r="K1425" s="15" t="s">
        <v>114</v>
      </c>
      <c r="L1425" s="14"/>
      <c r="M1425" s="14"/>
      <c r="N1425" s="14" t="s">
        <v>70</v>
      </c>
      <c r="O1425" s="14"/>
      <c r="P1425" s="15" t="s">
        <v>1666</v>
      </c>
      <c r="Q1425" s="16">
        <v>28399</v>
      </c>
      <c r="R1425" s="17">
        <v>30</v>
      </c>
      <c r="S1425" s="18">
        <v>22861.194999999996</v>
      </c>
      <c r="T1425" s="19" t="s">
        <v>117</v>
      </c>
      <c r="U1425" s="20" t="s">
        <v>788</v>
      </c>
      <c r="V1425" s="25" t="s">
        <v>119</v>
      </c>
      <c r="W1425" s="21">
        <v>2</v>
      </c>
      <c r="X1425" s="22"/>
    </row>
    <row r="1426" spans="1:24" s="1" customFormat="1" ht="108" customHeight="1" x14ac:dyDescent="0.3">
      <c r="A1426" s="11" t="s">
        <v>1355</v>
      </c>
      <c r="B1426" s="11" t="s">
        <v>1714</v>
      </c>
      <c r="C1426" s="12" t="s">
        <v>1715</v>
      </c>
      <c r="D1426" s="24"/>
      <c r="E1426" s="69" t="str">
        <f>HYPERLINK("https://www.google.ru/search?q=223145&amp;newwindow=1&amp;tbm=isch","Еще фото")</f>
        <v>Еще фото</v>
      </c>
      <c r="F1426" s="13"/>
      <c r="G1426" s="11" t="s">
        <v>1700</v>
      </c>
      <c r="H1426" s="11" t="s">
        <v>814</v>
      </c>
      <c r="I1426" s="14" t="s">
        <v>1664</v>
      </c>
      <c r="J1426" s="14" t="s">
        <v>917</v>
      </c>
      <c r="K1426" s="15" t="s">
        <v>114</v>
      </c>
      <c r="L1426" s="14"/>
      <c r="M1426" s="14"/>
      <c r="N1426" s="14" t="s">
        <v>242</v>
      </c>
      <c r="O1426" s="14"/>
      <c r="P1426" s="15" t="s">
        <v>1705</v>
      </c>
      <c r="Q1426" s="16">
        <v>24899</v>
      </c>
      <c r="R1426" s="17">
        <v>30</v>
      </c>
      <c r="S1426" s="18">
        <v>20043.694999999996</v>
      </c>
      <c r="T1426" s="19" t="s">
        <v>117</v>
      </c>
      <c r="U1426" s="20" t="s">
        <v>788</v>
      </c>
      <c r="V1426" s="25" t="s">
        <v>119</v>
      </c>
      <c r="W1426" s="21">
        <v>3</v>
      </c>
      <c r="X1426" s="22"/>
    </row>
    <row r="1427" spans="1:24" s="1" customFormat="1" ht="108" customHeight="1" x14ac:dyDescent="0.3">
      <c r="A1427" s="11" t="s">
        <v>1355</v>
      </c>
      <c r="B1427" s="11" t="s">
        <v>1716</v>
      </c>
      <c r="C1427" s="12" t="s">
        <v>1717</v>
      </c>
      <c r="D1427" s="24"/>
      <c r="E1427" s="69" t="str">
        <f>HYPERLINK("https://www.google.ru/search?q=224004&amp;newwindow=1&amp;tbm=isch","Еще фото")</f>
        <v>Еще фото</v>
      </c>
      <c r="F1427" s="13"/>
      <c r="G1427" s="11" t="s">
        <v>1693</v>
      </c>
      <c r="H1427" s="11" t="s">
        <v>814</v>
      </c>
      <c r="I1427" s="14" t="s">
        <v>1664</v>
      </c>
      <c r="J1427" s="14" t="s">
        <v>917</v>
      </c>
      <c r="K1427" s="15" t="s">
        <v>114</v>
      </c>
      <c r="L1427" s="14"/>
      <c r="M1427" s="14"/>
      <c r="N1427" s="14" t="s">
        <v>89</v>
      </c>
      <c r="O1427" s="14"/>
      <c r="P1427" s="15" t="s">
        <v>1666</v>
      </c>
      <c r="Q1427" s="16">
        <v>28399</v>
      </c>
      <c r="R1427" s="17">
        <v>30</v>
      </c>
      <c r="S1427" s="18">
        <v>22861.194999999996</v>
      </c>
      <c r="T1427" s="19" t="s">
        <v>117</v>
      </c>
      <c r="U1427" s="20" t="s">
        <v>788</v>
      </c>
      <c r="V1427" s="25" t="s">
        <v>119</v>
      </c>
      <c r="W1427" s="21">
        <v>3</v>
      </c>
      <c r="X1427" s="22"/>
    </row>
    <row r="1428" spans="1:24" s="1" customFormat="1" ht="108" customHeight="1" x14ac:dyDescent="0.3">
      <c r="A1428" s="11" t="s">
        <v>1355</v>
      </c>
      <c r="B1428" s="11" t="s">
        <v>1718</v>
      </c>
      <c r="C1428" s="12" t="s">
        <v>1719</v>
      </c>
      <c r="D1428" s="24"/>
      <c r="E1428" s="69" t="str">
        <f>HYPERLINK("https://www.google.ru/search?q=224014&amp;newwindow=1&amp;tbm=isch","Еще фото")</f>
        <v>Еще фото</v>
      </c>
      <c r="F1428" s="13"/>
      <c r="G1428" s="11" t="s">
        <v>1693</v>
      </c>
      <c r="H1428" s="11" t="s">
        <v>814</v>
      </c>
      <c r="I1428" s="14" t="s">
        <v>1664</v>
      </c>
      <c r="J1428" s="14" t="s">
        <v>917</v>
      </c>
      <c r="K1428" s="15" t="s">
        <v>114</v>
      </c>
      <c r="L1428" s="14"/>
      <c r="M1428" s="14"/>
      <c r="N1428" s="14" t="s">
        <v>89</v>
      </c>
      <c r="O1428" s="14"/>
      <c r="P1428" s="15" t="s">
        <v>1666</v>
      </c>
      <c r="Q1428" s="16">
        <v>24899</v>
      </c>
      <c r="R1428" s="17">
        <v>30</v>
      </c>
      <c r="S1428" s="18">
        <v>20043.694999999996</v>
      </c>
      <c r="T1428" s="19" t="s">
        <v>117</v>
      </c>
      <c r="U1428" s="20" t="s">
        <v>788</v>
      </c>
      <c r="V1428" s="25" t="s">
        <v>119</v>
      </c>
      <c r="W1428" s="21">
        <v>3</v>
      </c>
      <c r="X1428" s="22"/>
    </row>
    <row r="1429" spans="1:24" s="1" customFormat="1" ht="108" customHeight="1" x14ac:dyDescent="0.3">
      <c r="A1429" s="11" t="s">
        <v>1355</v>
      </c>
      <c r="B1429" s="11" t="s">
        <v>1720</v>
      </c>
      <c r="C1429" s="12" t="s">
        <v>1721</v>
      </c>
      <c r="D1429" s="24"/>
      <c r="E1429" s="69" t="str">
        <f>HYPERLINK("https://www.google.ru/search?q=224024&amp;newwindow=1&amp;tbm=isch","Еще фото")</f>
        <v>Еще фото</v>
      </c>
      <c r="F1429" s="13"/>
      <c r="G1429" s="11" t="s">
        <v>1722</v>
      </c>
      <c r="H1429" s="11" t="s">
        <v>814</v>
      </c>
      <c r="I1429" s="14" t="s">
        <v>1664</v>
      </c>
      <c r="J1429" s="14" t="s">
        <v>917</v>
      </c>
      <c r="K1429" s="15" t="s">
        <v>114</v>
      </c>
      <c r="L1429" s="14" t="s">
        <v>1723</v>
      </c>
      <c r="M1429" s="14"/>
      <c r="N1429" s="14" t="s">
        <v>242</v>
      </c>
      <c r="O1429" s="14"/>
      <c r="P1429" s="15" t="s">
        <v>1702</v>
      </c>
      <c r="Q1429" s="16">
        <v>23999</v>
      </c>
      <c r="R1429" s="17">
        <v>30</v>
      </c>
      <c r="S1429" s="18">
        <v>19319.194999999996</v>
      </c>
      <c r="T1429" s="19" t="s">
        <v>117</v>
      </c>
      <c r="U1429" s="20" t="s">
        <v>788</v>
      </c>
      <c r="V1429" s="25" t="s">
        <v>119</v>
      </c>
      <c r="W1429" s="21">
        <v>9</v>
      </c>
      <c r="X1429" s="22"/>
    </row>
    <row r="1430" spans="1:24" s="1" customFormat="1" ht="108" customHeight="1" x14ac:dyDescent="0.3">
      <c r="A1430" s="11" t="s">
        <v>1355</v>
      </c>
      <c r="B1430" s="11" t="s">
        <v>1724</v>
      </c>
      <c r="C1430" s="12" t="s">
        <v>1725</v>
      </c>
      <c r="D1430" s="24"/>
      <c r="E1430" s="69" t="str">
        <f>HYPERLINK("https://www.google.ru/search?q=224064&amp;newwindow=1&amp;tbm=isch","Еще фото")</f>
        <v>Еще фото</v>
      </c>
      <c r="F1430" s="13"/>
      <c r="G1430" s="11" t="s">
        <v>1722</v>
      </c>
      <c r="H1430" s="11" t="s">
        <v>814</v>
      </c>
      <c r="I1430" s="14" t="s">
        <v>1664</v>
      </c>
      <c r="J1430" s="14" t="s">
        <v>917</v>
      </c>
      <c r="K1430" s="15" t="s">
        <v>114</v>
      </c>
      <c r="L1430" s="14"/>
      <c r="M1430" s="14"/>
      <c r="N1430" s="14" t="s">
        <v>242</v>
      </c>
      <c r="O1430" s="14"/>
      <c r="P1430" s="15" t="s">
        <v>1705</v>
      </c>
      <c r="Q1430" s="16">
        <v>20399</v>
      </c>
      <c r="R1430" s="17">
        <v>30</v>
      </c>
      <c r="S1430" s="18">
        <v>16421.195</v>
      </c>
      <c r="T1430" s="19" t="s">
        <v>117</v>
      </c>
      <c r="U1430" s="20" t="s">
        <v>788</v>
      </c>
      <c r="V1430" s="25" t="s">
        <v>119</v>
      </c>
      <c r="W1430" s="21">
        <v>4</v>
      </c>
      <c r="X1430" s="22"/>
    </row>
    <row r="1431" spans="1:24" s="1" customFormat="1" ht="108" customHeight="1" x14ac:dyDescent="0.3">
      <c r="A1431" s="11" t="s">
        <v>1355</v>
      </c>
      <c r="B1431" s="11" t="s">
        <v>1726</v>
      </c>
      <c r="C1431" s="12" t="s">
        <v>1727</v>
      </c>
      <c r="D1431" s="24"/>
      <c r="E1431" s="69" t="str">
        <f>HYPERLINK("https://www.google.ru/search?q=225014&amp;newwindow=1&amp;tbm=isch","Еще фото")</f>
        <v>Еще фото</v>
      </c>
      <c r="F1431" s="13"/>
      <c r="G1431" s="11" t="s">
        <v>1722</v>
      </c>
      <c r="H1431" s="11" t="s">
        <v>814</v>
      </c>
      <c r="I1431" s="14" t="s">
        <v>1664</v>
      </c>
      <c r="J1431" s="14" t="s">
        <v>917</v>
      </c>
      <c r="K1431" s="15" t="s">
        <v>114</v>
      </c>
      <c r="L1431" s="14" t="s">
        <v>1728</v>
      </c>
      <c r="M1431" s="14"/>
      <c r="N1431" s="14" t="s">
        <v>89</v>
      </c>
      <c r="O1431" s="14"/>
      <c r="P1431" s="15" t="s">
        <v>1729</v>
      </c>
      <c r="Q1431" s="16">
        <v>26499</v>
      </c>
      <c r="R1431" s="17">
        <v>30</v>
      </c>
      <c r="S1431" s="18">
        <v>21331.694999999996</v>
      </c>
      <c r="T1431" s="19" t="s">
        <v>117</v>
      </c>
      <c r="U1431" s="20" t="s">
        <v>788</v>
      </c>
      <c r="V1431" s="25" t="s">
        <v>119</v>
      </c>
      <c r="W1431" s="21">
        <v>1</v>
      </c>
      <c r="X1431" s="22"/>
    </row>
    <row r="1432" spans="1:24" s="1" customFormat="1" ht="108" customHeight="1" x14ac:dyDescent="0.3">
      <c r="A1432" s="11" t="s">
        <v>1355</v>
      </c>
      <c r="B1432" s="11" t="s">
        <v>1730</v>
      </c>
      <c r="C1432" s="12" t="s">
        <v>1731</v>
      </c>
      <c r="D1432" s="24"/>
      <c r="E1432" s="69" t="str">
        <f>HYPERLINK("https://www.google.ru/search?q=225024&amp;newwindow=1&amp;tbm=isch","Еще фото")</f>
        <v>Еще фото</v>
      </c>
      <c r="F1432" s="13"/>
      <c r="G1432" s="11" t="s">
        <v>1722</v>
      </c>
      <c r="H1432" s="11" t="s">
        <v>814</v>
      </c>
      <c r="I1432" s="14" t="s">
        <v>1664</v>
      </c>
      <c r="J1432" s="14" t="s">
        <v>917</v>
      </c>
      <c r="K1432" s="15" t="s">
        <v>114</v>
      </c>
      <c r="L1432" s="14" t="s">
        <v>1728</v>
      </c>
      <c r="M1432" s="14"/>
      <c r="N1432" s="14" t="s">
        <v>49</v>
      </c>
      <c r="O1432" s="14"/>
      <c r="P1432" s="15" t="s">
        <v>1729</v>
      </c>
      <c r="Q1432" s="16">
        <v>26499</v>
      </c>
      <c r="R1432" s="17">
        <v>30</v>
      </c>
      <c r="S1432" s="18">
        <v>21331.694999999996</v>
      </c>
      <c r="T1432" s="19" t="s">
        <v>117</v>
      </c>
      <c r="U1432" s="20" t="s">
        <v>788</v>
      </c>
      <c r="V1432" s="25" t="s">
        <v>119</v>
      </c>
      <c r="W1432" s="21">
        <v>1</v>
      </c>
      <c r="X1432" s="22"/>
    </row>
    <row r="1433" spans="1:24" s="1" customFormat="1" ht="108" customHeight="1" x14ac:dyDescent="0.3">
      <c r="A1433" s="11" t="s">
        <v>1355</v>
      </c>
      <c r="B1433" s="11" t="s">
        <v>1732</v>
      </c>
      <c r="C1433" s="12" t="s">
        <v>1733</v>
      </c>
      <c r="D1433" s="24"/>
      <c r="E1433" s="69" t="str">
        <f>HYPERLINK("https://www.google.ru/search?q=225036&amp;newwindow=1&amp;tbm=isch","Еще фото")</f>
        <v>Еще фото</v>
      </c>
      <c r="F1433" s="13"/>
      <c r="G1433" s="11" t="s">
        <v>1693</v>
      </c>
      <c r="H1433" s="11" t="s">
        <v>814</v>
      </c>
      <c r="I1433" s="14" t="s">
        <v>1664</v>
      </c>
      <c r="J1433" s="14" t="s">
        <v>917</v>
      </c>
      <c r="K1433" s="15" t="s">
        <v>114</v>
      </c>
      <c r="L1433" s="14"/>
      <c r="M1433" s="14"/>
      <c r="N1433" s="14" t="s">
        <v>41</v>
      </c>
      <c r="O1433" s="14"/>
      <c r="P1433" s="15" t="s">
        <v>1666</v>
      </c>
      <c r="Q1433" s="16">
        <v>35599</v>
      </c>
      <c r="R1433" s="17">
        <v>30</v>
      </c>
      <c r="S1433" s="18">
        <v>28657.194999999996</v>
      </c>
      <c r="T1433" s="19" t="s">
        <v>117</v>
      </c>
      <c r="U1433" s="20" t="s">
        <v>788</v>
      </c>
      <c r="V1433" s="25" t="s">
        <v>119</v>
      </c>
      <c r="W1433" s="21">
        <v>3</v>
      </c>
      <c r="X1433" s="22"/>
    </row>
    <row r="1434" spans="1:24" s="1" customFormat="1" ht="108" customHeight="1" x14ac:dyDescent="0.3">
      <c r="A1434" s="11" t="s">
        <v>1355</v>
      </c>
      <c r="B1434" s="11" t="s">
        <v>1734</v>
      </c>
      <c r="C1434" s="12" t="s">
        <v>1735</v>
      </c>
      <c r="D1434" s="24"/>
      <c r="E1434" s="69" t="str">
        <f>HYPERLINK("https://www.google.ru/search?q=226106&amp;newwindow=1&amp;tbm=isch","Еще фото")</f>
        <v>Еще фото</v>
      </c>
      <c r="F1434" s="13"/>
      <c r="G1434" s="11" t="s">
        <v>1722</v>
      </c>
      <c r="H1434" s="11" t="s">
        <v>814</v>
      </c>
      <c r="I1434" s="14" t="s">
        <v>1664</v>
      </c>
      <c r="J1434" s="14" t="s">
        <v>917</v>
      </c>
      <c r="K1434" s="15" t="s">
        <v>114</v>
      </c>
      <c r="L1434" s="14"/>
      <c r="M1434" s="14"/>
      <c r="N1434" s="14" t="s">
        <v>41</v>
      </c>
      <c r="O1434" s="14"/>
      <c r="P1434" s="15" t="s">
        <v>1666</v>
      </c>
      <c r="Q1434" s="16">
        <v>15799</v>
      </c>
      <c r="R1434" s="17">
        <v>30</v>
      </c>
      <c r="S1434" s="18">
        <v>12718.194999999998</v>
      </c>
      <c r="T1434" s="19" t="s">
        <v>117</v>
      </c>
      <c r="U1434" s="20" t="s">
        <v>788</v>
      </c>
      <c r="V1434" s="25" t="s">
        <v>119</v>
      </c>
      <c r="W1434" s="21">
        <v>14</v>
      </c>
      <c r="X1434" s="22"/>
    </row>
    <row r="1435" spans="1:24" s="1" customFormat="1" ht="108" customHeight="1" x14ac:dyDescent="0.3">
      <c r="A1435" s="11" t="s">
        <v>1355</v>
      </c>
      <c r="B1435" s="11" t="s">
        <v>1736</v>
      </c>
      <c r="C1435" s="12" t="s">
        <v>1737</v>
      </c>
      <c r="D1435" s="24"/>
      <c r="E1435" s="69" t="str">
        <f>HYPERLINK("https://www.google.ru/search?q=226116&amp;newwindow=1&amp;tbm=isch","Еще фото")</f>
        <v>Еще фото</v>
      </c>
      <c r="F1435" s="13"/>
      <c r="G1435" s="11" t="s">
        <v>1722</v>
      </c>
      <c r="H1435" s="11" t="s">
        <v>814</v>
      </c>
      <c r="I1435" s="14" t="s">
        <v>1664</v>
      </c>
      <c r="J1435" s="14" t="s">
        <v>917</v>
      </c>
      <c r="K1435" s="15" t="s">
        <v>114</v>
      </c>
      <c r="L1435" s="14" t="s">
        <v>1738</v>
      </c>
      <c r="M1435" s="14"/>
      <c r="N1435" s="14" t="s">
        <v>242</v>
      </c>
      <c r="O1435" s="14"/>
      <c r="P1435" s="15" t="s">
        <v>1739</v>
      </c>
      <c r="Q1435" s="16">
        <v>15799</v>
      </c>
      <c r="R1435" s="17">
        <v>30</v>
      </c>
      <c r="S1435" s="18">
        <v>12718.194999999998</v>
      </c>
      <c r="T1435" s="19" t="s">
        <v>117</v>
      </c>
      <c r="U1435" s="20" t="s">
        <v>788</v>
      </c>
      <c r="V1435" s="25" t="s">
        <v>119</v>
      </c>
      <c r="W1435" s="21">
        <v>11</v>
      </c>
      <c r="X1435" s="22"/>
    </row>
    <row r="1436" spans="1:24" s="1" customFormat="1" ht="108" customHeight="1" x14ac:dyDescent="0.3">
      <c r="A1436" s="11" t="s">
        <v>1355</v>
      </c>
      <c r="B1436" s="11" t="s">
        <v>1740</v>
      </c>
      <c r="C1436" s="12" t="s">
        <v>1741</v>
      </c>
      <c r="D1436" s="24"/>
      <c r="E1436" s="69" t="str">
        <f>HYPERLINK("https://www.google.ru/search?q=226145&amp;newwindow=1&amp;tbm=isch","Еще фото")</f>
        <v>Еще фото</v>
      </c>
      <c r="F1436" s="13"/>
      <c r="G1436" s="11" t="s">
        <v>1722</v>
      </c>
      <c r="H1436" s="11" t="s">
        <v>814</v>
      </c>
      <c r="I1436" s="14" t="s">
        <v>1664</v>
      </c>
      <c r="J1436" s="14" t="s">
        <v>917</v>
      </c>
      <c r="K1436" s="15" t="s">
        <v>114</v>
      </c>
      <c r="L1436" s="14" t="s">
        <v>1742</v>
      </c>
      <c r="M1436" s="14"/>
      <c r="N1436" s="14" t="s">
        <v>1743</v>
      </c>
      <c r="O1436" s="14"/>
      <c r="P1436" s="15" t="s">
        <v>1739</v>
      </c>
      <c r="Q1436" s="16">
        <v>14999</v>
      </c>
      <c r="R1436" s="17">
        <v>30</v>
      </c>
      <c r="S1436" s="18">
        <v>12074.194999999998</v>
      </c>
      <c r="T1436" s="19" t="s">
        <v>117</v>
      </c>
      <c r="U1436" s="20" t="s">
        <v>788</v>
      </c>
      <c r="V1436" s="25" t="s">
        <v>119</v>
      </c>
      <c r="W1436" s="21">
        <v>13</v>
      </c>
      <c r="X1436" s="22"/>
    </row>
    <row r="1437" spans="1:24" s="1" customFormat="1" ht="108" customHeight="1" x14ac:dyDescent="0.3">
      <c r="A1437" s="11" t="s">
        <v>1355</v>
      </c>
      <c r="B1437" s="11" t="s">
        <v>1744</v>
      </c>
      <c r="C1437" s="12" t="s">
        <v>1745</v>
      </c>
      <c r="D1437" s="24"/>
      <c r="E1437" s="69" t="str">
        <f>HYPERLINK("https://www.google.ru/search?q=226156&amp;newwindow=1&amp;tbm=isch","Еще фото")</f>
        <v>Еще фото</v>
      </c>
      <c r="F1437" s="13"/>
      <c r="G1437" s="11" t="s">
        <v>1722</v>
      </c>
      <c r="H1437" s="11" t="s">
        <v>814</v>
      </c>
      <c r="I1437" s="14" t="s">
        <v>1664</v>
      </c>
      <c r="J1437" s="14" t="s">
        <v>917</v>
      </c>
      <c r="K1437" s="15" t="s">
        <v>114</v>
      </c>
      <c r="L1437" s="14"/>
      <c r="M1437" s="14"/>
      <c r="N1437" s="14" t="s">
        <v>49</v>
      </c>
      <c r="O1437" s="14"/>
      <c r="P1437" s="15" t="s">
        <v>1666</v>
      </c>
      <c r="Q1437" s="16">
        <v>17999</v>
      </c>
      <c r="R1437" s="17">
        <v>30</v>
      </c>
      <c r="S1437" s="18">
        <v>14489.194999999998</v>
      </c>
      <c r="T1437" s="19" t="s">
        <v>117</v>
      </c>
      <c r="U1437" s="20" t="s">
        <v>788</v>
      </c>
      <c r="V1437" s="25" t="s">
        <v>119</v>
      </c>
      <c r="W1437" s="21">
        <v>7</v>
      </c>
      <c r="X1437" s="22"/>
    </row>
    <row r="1438" spans="1:24" s="1" customFormat="1" ht="108" customHeight="1" x14ac:dyDescent="0.3">
      <c r="A1438" s="11" t="s">
        <v>1355</v>
      </c>
      <c r="B1438" s="11" t="s">
        <v>1746</v>
      </c>
      <c r="C1438" s="12" t="s">
        <v>1747</v>
      </c>
      <c r="D1438" s="24"/>
      <c r="E1438" s="69" t="str">
        <f>HYPERLINK("https://www.google.ru/search?q=226206&amp;newwindow=1&amp;tbm=isch","Еще фото")</f>
        <v>Еще фото</v>
      </c>
      <c r="F1438" s="13"/>
      <c r="G1438" s="11" t="s">
        <v>1722</v>
      </c>
      <c r="H1438" s="11" t="s">
        <v>814</v>
      </c>
      <c r="I1438" s="14" t="s">
        <v>1664</v>
      </c>
      <c r="J1438" s="14" t="s">
        <v>917</v>
      </c>
      <c r="K1438" s="15" t="s">
        <v>114</v>
      </c>
      <c r="L1438" s="14" t="s">
        <v>1748</v>
      </c>
      <c r="M1438" s="14"/>
      <c r="N1438" s="14" t="s">
        <v>116</v>
      </c>
      <c r="O1438" s="14"/>
      <c r="P1438" s="15" t="s">
        <v>1749</v>
      </c>
      <c r="Q1438" s="16">
        <v>15799</v>
      </c>
      <c r="R1438" s="17">
        <v>30</v>
      </c>
      <c r="S1438" s="18">
        <v>12718.194999999998</v>
      </c>
      <c r="T1438" s="19" t="s">
        <v>117</v>
      </c>
      <c r="U1438" s="20" t="s">
        <v>788</v>
      </c>
      <c r="V1438" s="25" t="s">
        <v>119</v>
      </c>
      <c r="W1438" s="21">
        <v>39</v>
      </c>
      <c r="X1438" s="22"/>
    </row>
    <row r="1439" spans="1:24" s="1" customFormat="1" ht="108" customHeight="1" x14ac:dyDescent="0.3">
      <c r="A1439" s="11" t="s">
        <v>1355</v>
      </c>
      <c r="B1439" s="11" t="s">
        <v>1750</v>
      </c>
      <c r="C1439" s="12" t="s">
        <v>1751</v>
      </c>
      <c r="D1439" s="24"/>
      <c r="E1439" s="69" t="str">
        <f>HYPERLINK("https://www.google.ru/search?q=226216&amp;newwindow=1&amp;tbm=isch","Еще фото")</f>
        <v>Еще фото</v>
      </c>
      <c r="F1439" s="13"/>
      <c r="G1439" s="11" t="s">
        <v>1722</v>
      </c>
      <c r="H1439" s="11" t="s">
        <v>814</v>
      </c>
      <c r="I1439" s="14" t="s">
        <v>1664</v>
      </c>
      <c r="J1439" s="14" t="s">
        <v>917</v>
      </c>
      <c r="K1439" s="15" t="s">
        <v>114</v>
      </c>
      <c r="L1439" s="14" t="s">
        <v>1748</v>
      </c>
      <c r="M1439" s="14"/>
      <c r="N1439" s="14" t="s">
        <v>89</v>
      </c>
      <c r="O1439" s="14"/>
      <c r="P1439" s="15" t="s">
        <v>1749</v>
      </c>
      <c r="Q1439" s="16">
        <v>15799</v>
      </c>
      <c r="R1439" s="17">
        <v>30</v>
      </c>
      <c r="S1439" s="18">
        <v>12718.194999999998</v>
      </c>
      <c r="T1439" s="19" t="s">
        <v>117</v>
      </c>
      <c r="U1439" s="20" t="s">
        <v>788</v>
      </c>
      <c r="V1439" s="25" t="s">
        <v>119</v>
      </c>
      <c r="W1439" s="21">
        <v>15</v>
      </c>
      <c r="X1439" s="22"/>
    </row>
    <row r="1440" spans="1:24" s="1" customFormat="1" ht="108" customHeight="1" x14ac:dyDescent="0.3">
      <c r="A1440" s="11" t="s">
        <v>1355</v>
      </c>
      <c r="B1440" s="11" t="s">
        <v>1752</v>
      </c>
      <c r="C1440" s="12" t="s">
        <v>1753</v>
      </c>
      <c r="D1440" s="24"/>
      <c r="E1440" s="69" t="str">
        <f>HYPERLINK("https://www.google.ru/search?q=226245&amp;newwindow=1&amp;tbm=isch","Еще фото")</f>
        <v>Еще фото</v>
      </c>
      <c r="F1440" s="13"/>
      <c r="G1440" s="11" t="s">
        <v>1722</v>
      </c>
      <c r="H1440" s="11" t="s">
        <v>814</v>
      </c>
      <c r="I1440" s="14" t="s">
        <v>1664</v>
      </c>
      <c r="J1440" s="14" t="s">
        <v>917</v>
      </c>
      <c r="K1440" s="15" t="s">
        <v>114</v>
      </c>
      <c r="L1440" s="14" t="s">
        <v>1754</v>
      </c>
      <c r="M1440" s="14"/>
      <c r="N1440" s="14" t="s">
        <v>49</v>
      </c>
      <c r="O1440" s="14"/>
      <c r="P1440" s="15" t="s">
        <v>1749</v>
      </c>
      <c r="Q1440" s="16">
        <v>14999</v>
      </c>
      <c r="R1440" s="17">
        <v>30</v>
      </c>
      <c r="S1440" s="18">
        <v>12074.194999999998</v>
      </c>
      <c r="T1440" s="19" t="s">
        <v>117</v>
      </c>
      <c r="U1440" s="20" t="s">
        <v>788</v>
      </c>
      <c r="V1440" s="25" t="s">
        <v>119</v>
      </c>
      <c r="W1440" s="21">
        <v>43</v>
      </c>
      <c r="X1440" s="22"/>
    </row>
    <row r="1441" spans="1:24" s="1" customFormat="1" ht="108" customHeight="1" x14ac:dyDescent="0.3">
      <c r="A1441" s="11" t="s">
        <v>1355</v>
      </c>
      <c r="B1441" s="11" t="s">
        <v>1755</v>
      </c>
      <c r="C1441" s="12" t="s">
        <v>1756</v>
      </c>
      <c r="D1441" s="24"/>
      <c r="E1441" s="69" t="str">
        <f>HYPERLINK("https://www.google.ru/search?q=226405&amp;newwindow=1&amp;tbm=isch","Еще фото")</f>
        <v>Еще фото</v>
      </c>
      <c r="F1441" s="13"/>
      <c r="G1441" s="11" t="s">
        <v>1722</v>
      </c>
      <c r="H1441" s="11" t="s">
        <v>814</v>
      </c>
      <c r="I1441" s="14" t="s">
        <v>1664</v>
      </c>
      <c r="J1441" s="14" t="s">
        <v>917</v>
      </c>
      <c r="K1441" s="15" t="s">
        <v>114</v>
      </c>
      <c r="L1441" s="14" t="s">
        <v>1757</v>
      </c>
      <c r="M1441" s="14"/>
      <c r="N1441" s="14" t="s">
        <v>41</v>
      </c>
      <c r="O1441" s="14"/>
      <c r="P1441" s="15" t="s">
        <v>1749</v>
      </c>
      <c r="Q1441" s="16">
        <v>13999</v>
      </c>
      <c r="R1441" s="17">
        <v>30</v>
      </c>
      <c r="S1441" s="18">
        <v>11269.194999999998</v>
      </c>
      <c r="T1441" s="19" t="s">
        <v>117</v>
      </c>
      <c r="U1441" s="20" t="s">
        <v>788</v>
      </c>
      <c r="V1441" s="25" t="s">
        <v>119</v>
      </c>
      <c r="W1441" s="21">
        <v>25</v>
      </c>
      <c r="X1441" s="22"/>
    </row>
    <row r="1442" spans="1:24" s="1" customFormat="1" ht="108" customHeight="1" x14ac:dyDescent="0.3">
      <c r="A1442" s="11" t="s">
        <v>1355</v>
      </c>
      <c r="B1442" s="11" t="s">
        <v>1758</v>
      </c>
      <c r="C1442" s="12" t="s">
        <v>1759</v>
      </c>
      <c r="D1442" s="24"/>
      <c r="E1442" s="69" t="str">
        <f>HYPERLINK("https://www.google.ru/search?q=226415&amp;newwindow=1&amp;tbm=isch","Еще фото")</f>
        <v>Еще фото</v>
      </c>
      <c r="F1442" s="13"/>
      <c r="G1442" s="11" t="s">
        <v>1722</v>
      </c>
      <c r="H1442" s="11" t="s">
        <v>814</v>
      </c>
      <c r="I1442" s="14" t="s">
        <v>1664</v>
      </c>
      <c r="J1442" s="14" t="s">
        <v>917</v>
      </c>
      <c r="K1442" s="15" t="s">
        <v>114</v>
      </c>
      <c r="L1442" s="14"/>
      <c r="M1442" s="14"/>
      <c r="N1442" s="14" t="s">
        <v>49</v>
      </c>
      <c r="O1442" s="14"/>
      <c r="P1442" s="15" t="s">
        <v>1672</v>
      </c>
      <c r="Q1442" s="16">
        <v>14099</v>
      </c>
      <c r="R1442" s="17">
        <v>30</v>
      </c>
      <c r="S1442" s="18">
        <v>11349.694999999998</v>
      </c>
      <c r="T1442" s="19" t="s">
        <v>117</v>
      </c>
      <c r="U1442" s="20" t="s">
        <v>788</v>
      </c>
      <c r="V1442" s="25" t="s">
        <v>119</v>
      </c>
      <c r="W1442" s="21">
        <v>29</v>
      </c>
      <c r="X1442" s="22"/>
    </row>
    <row r="1443" spans="1:24" s="1" customFormat="1" ht="108" customHeight="1" x14ac:dyDescent="0.3">
      <c r="A1443" s="11" t="s">
        <v>1355</v>
      </c>
      <c r="B1443" s="11" t="s">
        <v>1760</v>
      </c>
      <c r="C1443" s="12" t="s">
        <v>1761</v>
      </c>
      <c r="D1443" s="24"/>
      <c r="E1443" s="69" t="str">
        <f>HYPERLINK("https://www.google.ru/search?q=226715&amp;newwindow=1&amp;tbm=isch","Еще фото")</f>
        <v>Еще фото</v>
      </c>
      <c r="F1443" s="13"/>
      <c r="G1443" s="11" t="s">
        <v>1722</v>
      </c>
      <c r="H1443" s="11" t="s">
        <v>814</v>
      </c>
      <c r="I1443" s="14" t="s">
        <v>1664</v>
      </c>
      <c r="J1443" s="14" t="s">
        <v>917</v>
      </c>
      <c r="K1443" s="15" t="s">
        <v>30</v>
      </c>
      <c r="L1443" s="14"/>
      <c r="M1443" s="14"/>
      <c r="N1443" s="14" t="s">
        <v>49</v>
      </c>
      <c r="O1443" s="14"/>
      <c r="P1443" s="15" t="s">
        <v>1666</v>
      </c>
      <c r="Q1443" s="16">
        <v>14999</v>
      </c>
      <c r="R1443" s="17">
        <v>30</v>
      </c>
      <c r="S1443" s="18">
        <v>12074.194999999998</v>
      </c>
      <c r="T1443" s="19" t="s">
        <v>117</v>
      </c>
      <c r="U1443" s="20" t="s">
        <v>788</v>
      </c>
      <c r="V1443" s="25" t="s">
        <v>119</v>
      </c>
      <c r="W1443" s="21">
        <v>18</v>
      </c>
      <c r="X1443" s="22"/>
    </row>
    <row r="1444" spans="1:24" s="1" customFormat="1" ht="108" customHeight="1" x14ac:dyDescent="0.3">
      <c r="A1444" s="11" t="s">
        <v>1355</v>
      </c>
      <c r="B1444" s="11" t="s">
        <v>1762</v>
      </c>
      <c r="C1444" s="12" t="s">
        <v>1763</v>
      </c>
      <c r="D1444" s="24"/>
      <c r="E1444" s="69" t="str">
        <f>HYPERLINK("https://www.google.ru/search?q=226726&amp;newwindow=1&amp;tbm=isch","Еще фото")</f>
        <v>Еще фото</v>
      </c>
      <c r="F1444" s="13"/>
      <c r="G1444" s="11" t="s">
        <v>1693</v>
      </c>
      <c r="H1444" s="11" t="s">
        <v>814</v>
      </c>
      <c r="I1444" s="14" t="s">
        <v>1664</v>
      </c>
      <c r="J1444" s="14" t="s">
        <v>917</v>
      </c>
      <c r="K1444" s="15" t="s">
        <v>114</v>
      </c>
      <c r="L1444" s="14"/>
      <c r="M1444" s="14"/>
      <c r="N1444" s="14" t="s">
        <v>41</v>
      </c>
      <c r="O1444" s="14"/>
      <c r="P1444" s="15" t="s">
        <v>1666</v>
      </c>
      <c r="Q1444" s="16">
        <v>16399</v>
      </c>
      <c r="R1444" s="17">
        <v>30</v>
      </c>
      <c r="S1444" s="18">
        <v>13201.194999999998</v>
      </c>
      <c r="T1444" s="19" t="s">
        <v>117</v>
      </c>
      <c r="U1444" s="20" t="s">
        <v>788</v>
      </c>
      <c r="V1444" s="25" t="s">
        <v>119</v>
      </c>
      <c r="W1444" s="21">
        <v>15</v>
      </c>
      <c r="X1444" s="22"/>
    </row>
    <row r="1445" spans="1:24" s="1" customFormat="1" ht="108" customHeight="1" x14ac:dyDescent="0.3">
      <c r="A1445" s="11" t="s">
        <v>1355</v>
      </c>
      <c r="B1445" s="11" t="s">
        <v>1764</v>
      </c>
      <c r="C1445" s="12" t="s">
        <v>1765</v>
      </c>
      <c r="D1445" s="24"/>
      <c r="E1445" s="69" t="str">
        <f>HYPERLINK("https://www.google.ru/search?q=230024SC06&amp;newwindow=1&amp;tbm=isch","Еще фото")</f>
        <v>Еще фото</v>
      </c>
      <c r="F1445" s="13"/>
      <c r="G1445" s="11" t="s">
        <v>1670</v>
      </c>
      <c r="H1445" s="11" t="s">
        <v>814</v>
      </c>
      <c r="I1445" s="14" t="s">
        <v>1664</v>
      </c>
      <c r="J1445" s="14" t="s">
        <v>879</v>
      </c>
      <c r="K1445" s="15" t="s">
        <v>114</v>
      </c>
      <c r="L1445" s="14" t="s">
        <v>1766</v>
      </c>
      <c r="M1445" s="14"/>
      <c r="N1445" s="14" t="s">
        <v>49</v>
      </c>
      <c r="O1445" s="14"/>
      <c r="P1445" s="15" t="s">
        <v>1666</v>
      </c>
      <c r="Q1445" s="16">
        <v>7499</v>
      </c>
      <c r="R1445" s="17">
        <v>30</v>
      </c>
      <c r="S1445" s="18">
        <v>6036.6949999999997</v>
      </c>
      <c r="T1445" s="19" t="s">
        <v>84</v>
      </c>
      <c r="U1445" s="20" t="s">
        <v>1680</v>
      </c>
      <c r="V1445" s="61">
        <v>6</v>
      </c>
      <c r="W1445" s="21">
        <v>20</v>
      </c>
      <c r="X1445" s="22"/>
    </row>
    <row r="1446" spans="1:24" s="1" customFormat="1" ht="108" customHeight="1" x14ac:dyDescent="0.3">
      <c r="A1446" s="11" t="s">
        <v>1355</v>
      </c>
      <c r="B1446" s="11" t="s">
        <v>1767</v>
      </c>
      <c r="C1446" s="12" t="s">
        <v>1768</v>
      </c>
      <c r="D1446" s="24"/>
      <c r="E1446" s="69" t="str">
        <f>HYPERLINK("https://www.google.ru/search?q=230034SC05&amp;newwindow=1&amp;tbm=isch","Еще фото")</f>
        <v>Еще фото</v>
      </c>
      <c r="F1446" s="13"/>
      <c r="G1446" s="11" t="s">
        <v>1693</v>
      </c>
      <c r="H1446" s="11" t="s">
        <v>814</v>
      </c>
      <c r="I1446" s="14" t="s">
        <v>1664</v>
      </c>
      <c r="J1446" s="14" t="s">
        <v>879</v>
      </c>
      <c r="K1446" s="15" t="s">
        <v>30</v>
      </c>
      <c r="L1446" s="14" t="s">
        <v>1769</v>
      </c>
      <c r="M1446" s="14"/>
      <c r="N1446" s="14" t="s">
        <v>49</v>
      </c>
      <c r="O1446" s="14"/>
      <c r="P1446" s="15" t="s">
        <v>1403</v>
      </c>
      <c r="Q1446" s="16">
        <v>7499</v>
      </c>
      <c r="R1446" s="17">
        <v>30</v>
      </c>
      <c r="S1446" s="18">
        <v>6036.6949999999997</v>
      </c>
      <c r="T1446" s="19" t="s">
        <v>328</v>
      </c>
      <c r="U1446" s="20" t="s">
        <v>1667</v>
      </c>
      <c r="V1446" s="61">
        <v>5</v>
      </c>
      <c r="W1446" s="21">
        <v>2</v>
      </c>
      <c r="X1446" s="22"/>
    </row>
    <row r="1447" spans="1:24" s="1" customFormat="1" ht="108" customHeight="1" x14ac:dyDescent="0.3">
      <c r="A1447" s="11" t="s">
        <v>1355</v>
      </c>
      <c r="B1447" s="11" t="s">
        <v>1767</v>
      </c>
      <c r="C1447" s="12" t="s">
        <v>1770</v>
      </c>
      <c r="D1447" s="24"/>
      <c r="E1447" s="69" t="str">
        <f>HYPERLINK("https://www.google.ru/search?q=230034SC06&amp;newwindow=1&amp;tbm=isch","Еще фото")</f>
        <v>Еще фото</v>
      </c>
      <c r="F1447" s="13"/>
      <c r="G1447" s="11" t="s">
        <v>1670</v>
      </c>
      <c r="H1447" s="11" t="s">
        <v>814</v>
      </c>
      <c r="I1447" s="14" t="s">
        <v>1664</v>
      </c>
      <c r="J1447" s="14" t="s">
        <v>879</v>
      </c>
      <c r="K1447" s="15" t="s">
        <v>114</v>
      </c>
      <c r="L1447" s="14" t="s">
        <v>1769</v>
      </c>
      <c r="M1447" s="14"/>
      <c r="N1447" s="14" t="s">
        <v>49</v>
      </c>
      <c r="O1447" s="14"/>
      <c r="P1447" s="15" t="s">
        <v>1666</v>
      </c>
      <c r="Q1447" s="16">
        <v>7399</v>
      </c>
      <c r="R1447" s="17">
        <v>30</v>
      </c>
      <c r="S1447" s="18">
        <v>5956.1949999999997</v>
      </c>
      <c r="T1447" s="19" t="s">
        <v>84</v>
      </c>
      <c r="U1447" s="20" t="s">
        <v>1680</v>
      </c>
      <c r="V1447" s="61">
        <v>6</v>
      </c>
      <c r="W1447" s="21">
        <v>8</v>
      </c>
      <c r="X1447" s="22"/>
    </row>
    <row r="1448" spans="1:24" s="1" customFormat="1" ht="108" customHeight="1" x14ac:dyDescent="0.3">
      <c r="A1448" s="11" t="s">
        <v>1355</v>
      </c>
      <c r="B1448" s="11" t="s">
        <v>1771</v>
      </c>
      <c r="C1448" s="12" t="s">
        <v>1772</v>
      </c>
      <c r="D1448" s="24"/>
      <c r="E1448" s="69" t="str">
        <f>HYPERLINK("https://www.google.ru/search?q=230144U20&amp;newwindow=1&amp;tbm=isch","Еще фото")</f>
        <v>Еще фото</v>
      </c>
      <c r="F1448" s="13"/>
      <c r="G1448" s="11" t="s">
        <v>1693</v>
      </c>
      <c r="H1448" s="11" t="s">
        <v>814</v>
      </c>
      <c r="I1448" s="14" t="s">
        <v>1664</v>
      </c>
      <c r="J1448" s="14" t="s">
        <v>879</v>
      </c>
      <c r="K1448" s="15" t="s">
        <v>114</v>
      </c>
      <c r="L1448" s="14" t="s">
        <v>1773</v>
      </c>
      <c r="M1448" s="14"/>
      <c r="N1448" s="14" t="s">
        <v>1774</v>
      </c>
      <c r="O1448" s="14"/>
      <c r="P1448" s="15" t="s">
        <v>1666</v>
      </c>
      <c r="Q1448" s="16">
        <v>27599</v>
      </c>
      <c r="R1448" s="17">
        <v>30</v>
      </c>
      <c r="S1448" s="18">
        <v>22217.194999999996</v>
      </c>
      <c r="T1448" s="19" t="s">
        <v>84</v>
      </c>
      <c r="U1448" s="20" t="s">
        <v>1775</v>
      </c>
      <c r="V1448" s="21">
        <v>20</v>
      </c>
      <c r="W1448" s="21">
        <v>1</v>
      </c>
      <c r="X1448" s="22"/>
    </row>
    <row r="1449" spans="1:24" s="1" customFormat="1" ht="108" customHeight="1" x14ac:dyDescent="0.3">
      <c r="A1449" s="11" t="s">
        <v>1355</v>
      </c>
      <c r="B1449" s="11" t="s">
        <v>1776</v>
      </c>
      <c r="C1449" s="12" t="s">
        <v>1777</v>
      </c>
      <c r="D1449" s="24"/>
      <c r="E1449" s="69" t="str">
        <f>HYPERLINK("https://www.google.ru/search?q=230164SC10&amp;newwindow=1&amp;tbm=isch","Еще фото")</f>
        <v>Еще фото</v>
      </c>
      <c r="F1449" s="13"/>
      <c r="G1449" s="11" t="s">
        <v>1670</v>
      </c>
      <c r="H1449" s="11" t="s">
        <v>814</v>
      </c>
      <c r="I1449" s="14" t="s">
        <v>1664</v>
      </c>
      <c r="J1449" s="14" t="s">
        <v>879</v>
      </c>
      <c r="K1449" s="15" t="s">
        <v>114</v>
      </c>
      <c r="L1449" s="14" t="s">
        <v>1778</v>
      </c>
      <c r="M1449" s="14"/>
      <c r="N1449" s="14" t="s">
        <v>265</v>
      </c>
      <c r="O1449" s="14"/>
      <c r="P1449" s="15" t="s">
        <v>1666</v>
      </c>
      <c r="Q1449" s="16">
        <v>17999</v>
      </c>
      <c r="R1449" s="17">
        <v>30</v>
      </c>
      <c r="S1449" s="18">
        <v>14489.194999999998</v>
      </c>
      <c r="T1449" s="19" t="s">
        <v>84</v>
      </c>
      <c r="U1449" s="20" t="s">
        <v>1690</v>
      </c>
      <c r="V1449" s="21">
        <v>10</v>
      </c>
      <c r="W1449" s="21">
        <v>2</v>
      </c>
      <c r="X1449" s="22"/>
    </row>
    <row r="1450" spans="1:24" s="1" customFormat="1" ht="108" customHeight="1" x14ac:dyDescent="0.3">
      <c r="A1450" s="11" t="s">
        <v>1355</v>
      </c>
      <c r="B1450" s="11" t="s">
        <v>1779</v>
      </c>
      <c r="C1450" s="12" t="s">
        <v>1780</v>
      </c>
      <c r="D1450" s="24"/>
      <c r="E1450" s="69" t="str">
        <f>HYPERLINK("https://www.google.ru/search?q=230174SC00&amp;newwindow=1&amp;tbm=isch","Еще фото")</f>
        <v>Еще фото</v>
      </c>
      <c r="F1450" s="13"/>
      <c r="G1450" s="11" t="s">
        <v>1670</v>
      </c>
      <c r="H1450" s="11" t="s">
        <v>814</v>
      </c>
      <c r="I1450" s="14" t="s">
        <v>1664</v>
      </c>
      <c r="J1450" s="14" t="s">
        <v>879</v>
      </c>
      <c r="K1450" s="15" t="s">
        <v>114</v>
      </c>
      <c r="L1450" s="14" t="s">
        <v>1781</v>
      </c>
      <c r="M1450" s="14"/>
      <c r="N1450" s="14" t="s">
        <v>265</v>
      </c>
      <c r="O1450" s="14"/>
      <c r="P1450" s="15" t="s">
        <v>1666</v>
      </c>
      <c r="Q1450" s="16">
        <v>17999</v>
      </c>
      <c r="R1450" s="17">
        <v>30</v>
      </c>
      <c r="S1450" s="18">
        <v>14489.194999999998</v>
      </c>
      <c r="T1450" s="19" t="s">
        <v>328</v>
      </c>
      <c r="U1450" s="20" t="s">
        <v>1782</v>
      </c>
      <c r="V1450" s="61">
        <v>0</v>
      </c>
      <c r="W1450" s="21">
        <v>5</v>
      </c>
      <c r="X1450" s="22"/>
    </row>
    <row r="1451" spans="1:24" s="1" customFormat="1" ht="108" customHeight="1" x14ac:dyDescent="0.3">
      <c r="A1451" s="11" t="s">
        <v>1355</v>
      </c>
      <c r="B1451" s="11" t="s">
        <v>1783</v>
      </c>
      <c r="C1451" s="12" t="s">
        <v>1784</v>
      </c>
      <c r="D1451" s="24"/>
      <c r="E1451" s="69" t="str">
        <f>HYPERLINK("https://www.google.ru/search?q=230194SC00&amp;newwindow=1&amp;tbm=isch","Еще фото")</f>
        <v>Еще фото</v>
      </c>
      <c r="F1451" s="13"/>
      <c r="G1451" s="11" t="s">
        <v>1670</v>
      </c>
      <c r="H1451" s="11" t="s">
        <v>814</v>
      </c>
      <c r="I1451" s="14" t="s">
        <v>1664</v>
      </c>
      <c r="J1451" s="14" t="s">
        <v>879</v>
      </c>
      <c r="K1451" s="15" t="s">
        <v>114</v>
      </c>
      <c r="L1451" s="14" t="s">
        <v>1781</v>
      </c>
      <c r="M1451" s="14"/>
      <c r="N1451" s="14" t="s">
        <v>265</v>
      </c>
      <c r="O1451" s="14"/>
      <c r="P1451" s="15" t="s">
        <v>1666</v>
      </c>
      <c r="Q1451" s="16">
        <v>17099</v>
      </c>
      <c r="R1451" s="17">
        <v>30</v>
      </c>
      <c r="S1451" s="18">
        <v>13764.694999999998</v>
      </c>
      <c r="T1451" s="19" t="s">
        <v>328</v>
      </c>
      <c r="U1451" s="20" t="s">
        <v>1782</v>
      </c>
      <c r="V1451" s="61">
        <v>0</v>
      </c>
      <c r="W1451" s="21">
        <v>6</v>
      </c>
      <c r="X1451" s="22"/>
    </row>
    <row r="1452" spans="1:24" s="1" customFormat="1" ht="108" customHeight="1" x14ac:dyDescent="0.3">
      <c r="A1452" s="11" t="s">
        <v>1355</v>
      </c>
      <c r="B1452" s="11" t="s">
        <v>1785</v>
      </c>
      <c r="C1452" s="12" t="s">
        <v>1786</v>
      </c>
      <c r="D1452" s="24"/>
      <c r="E1452" s="69" t="str">
        <f>HYPERLINK("https://www.google.ru/search?q=230374SC20&amp;newwindow=1&amp;tbm=isch","Еще фото")</f>
        <v>Еще фото</v>
      </c>
      <c r="F1452" s="31" t="s">
        <v>738</v>
      </c>
      <c r="G1452" s="11" t="s">
        <v>1670</v>
      </c>
      <c r="H1452" s="11" t="s">
        <v>814</v>
      </c>
      <c r="I1452" s="14" t="s">
        <v>1664</v>
      </c>
      <c r="J1452" s="14" t="s">
        <v>879</v>
      </c>
      <c r="K1452" s="15" t="s">
        <v>114</v>
      </c>
      <c r="L1452" s="14" t="s">
        <v>1787</v>
      </c>
      <c r="M1452" s="14"/>
      <c r="N1452" s="14" t="s">
        <v>70</v>
      </c>
      <c r="O1452" s="14"/>
      <c r="P1452" s="15" t="s">
        <v>1672</v>
      </c>
      <c r="Q1452" s="16">
        <v>7399</v>
      </c>
      <c r="R1452" s="17">
        <v>30</v>
      </c>
      <c r="S1452" s="18">
        <v>5956.1949999999997</v>
      </c>
      <c r="T1452" s="19" t="s">
        <v>84</v>
      </c>
      <c r="U1452" s="20" t="s">
        <v>1788</v>
      </c>
      <c r="V1452" s="21">
        <v>20</v>
      </c>
      <c r="W1452" s="21">
        <v>12</v>
      </c>
      <c r="X1452" s="22"/>
    </row>
    <row r="1453" spans="1:24" s="1" customFormat="1" ht="108" customHeight="1" x14ac:dyDescent="0.3">
      <c r="A1453" s="11" t="s">
        <v>1355</v>
      </c>
      <c r="B1453" s="11" t="s">
        <v>1785</v>
      </c>
      <c r="C1453" s="12" t="s">
        <v>1789</v>
      </c>
      <c r="D1453" s="24"/>
      <c r="E1453" s="69" t="str">
        <f>HYPERLINK("https://www.google.ru/search?q=230374SC30&amp;newwindow=1&amp;tbm=isch","Еще фото")</f>
        <v>Еще фото</v>
      </c>
      <c r="F1453" s="31" t="s">
        <v>738</v>
      </c>
      <c r="G1453" s="11" t="s">
        <v>1670</v>
      </c>
      <c r="H1453" s="11" t="s">
        <v>814</v>
      </c>
      <c r="I1453" s="14" t="s">
        <v>1664</v>
      </c>
      <c r="J1453" s="14" t="s">
        <v>879</v>
      </c>
      <c r="K1453" s="15" t="s">
        <v>114</v>
      </c>
      <c r="L1453" s="14" t="s">
        <v>1787</v>
      </c>
      <c r="M1453" s="14"/>
      <c r="N1453" s="14" t="s">
        <v>70</v>
      </c>
      <c r="O1453" s="14"/>
      <c r="P1453" s="15" t="s">
        <v>1672</v>
      </c>
      <c r="Q1453" s="16">
        <v>7399</v>
      </c>
      <c r="R1453" s="17">
        <v>30</v>
      </c>
      <c r="S1453" s="18">
        <v>5956.1949999999997</v>
      </c>
      <c r="T1453" s="19" t="s">
        <v>84</v>
      </c>
      <c r="U1453" s="20" t="s">
        <v>1790</v>
      </c>
      <c r="V1453" s="21">
        <v>30</v>
      </c>
      <c r="W1453" s="21">
        <v>1</v>
      </c>
      <c r="X1453" s="22"/>
    </row>
    <row r="1454" spans="1:24" s="1" customFormat="1" ht="108" customHeight="1" x14ac:dyDescent="0.3">
      <c r="A1454" s="11" t="s">
        <v>1355</v>
      </c>
      <c r="B1454" s="11" t="s">
        <v>1791</v>
      </c>
      <c r="C1454" s="12" t="s">
        <v>1792</v>
      </c>
      <c r="D1454" s="24"/>
      <c r="E1454" s="69" t="str">
        <f>HYPERLINK("https://www.google.ru/search?q=230384SC20&amp;newwindow=1&amp;tbm=isch","Еще фото")</f>
        <v>Еще фото</v>
      </c>
      <c r="F1454" s="31" t="s">
        <v>738</v>
      </c>
      <c r="G1454" s="11" t="s">
        <v>1670</v>
      </c>
      <c r="H1454" s="11" t="s">
        <v>814</v>
      </c>
      <c r="I1454" s="14" t="s">
        <v>1664</v>
      </c>
      <c r="J1454" s="14" t="s">
        <v>879</v>
      </c>
      <c r="K1454" s="15" t="s">
        <v>114</v>
      </c>
      <c r="L1454" s="14" t="s">
        <v>1793</v>
      </c>
      <c r="M1454" s="14"/>
      <c r="N1454" s="14" t="s">
        <v>41</v>
      </c>
      <c r="O1454" s="14"/>
      <c r="P1454" s="15" t="s">
        <v>1666</v>
      </c>
      <c r="Q1454" s="16">
        <v>5799</v>
      </c>
      <c r="R1454" s="17">
        <v>30</v>
      </c>
      <c r="S1454" s="18">
        <v>4668.1949999999997</v>
      </c>
      <c r="T1454" s="19" t="s">
        <v>84</v>
      </c>
      <c r="U1454" s="20" t="s">
        <v>1788</v>
      </c>
      <c r="V1454" s="21">
        <v>20</v>
      </c>
      <c r="W1454" s="21">
        <v>7</v>
      </c>
      <c r="X1454" s="22"/>
    </row>
    <row r="1455" spans="1:24" s="1" customFormat="1" ht="108" customHeight="1" x14ac:dyDescent="0.3">
      <c r="A1455" s="11" t="s">
        <v>1355</v>
      </c>
      <c r="B1455" s="11" t="s">
        <v>1791</v>
      </c>
      <c r="C1455" s="12" t="s">
        <v>1794</v>
      </c>
      <c r="D1455" s="24"/>
      <c r="E1455" s="69" t="str">
        <f>HYPERLINK("https://www.google.ru/search?q=230384SC30&amp;newwindow=1&amp;tbm=isch","Еще фото")</f>
        <v>Еще фото</v>
      </c>
      <c r="F1455" s="31" t="s">
        <v>738</v>
      </c>
      <c r="G1455" s="11" t="s">
        <v>1670</v>
      </c>
      <c r="H1455" s="11" t="s">
        <v>814</v>
      </c>
      <c r="I1455" s="14" t="s">
        <v>1664</v>
      </c>
      <c r="J1455" s="14" t="s">
        <v>879</v>
      </c>
      <c r="K1455" s="15" t="s">
        <v>114</v>
      </c>
      <c r="L1455" s="14" t="s">
        <v>1793</v>
      </c>
      <c r="M1455" s="14"/>
      <c r="N1455" s="14" t="s">
        <v>41</v>
      </c>
      <c r="O1455" s="14"/>
      <c r="P1455" s="15" t="s">
        <v>1666</v>
      </c>
      <c r="Q1455" s="16">
        <v>5799</v>
      </c>
      <c r="R1455" s="17">
        <v>30</v>
      </c>
      <c r="S1455" s="18">
        <v>4668.1949999999997</v>
      </c>
      <c r="T1455" s="19" t="s">
        <v>84</v>
      </c>
      <c r="U1455" s="20" t="s">
        <v>1790</v>
      </c>
      <c r="V1455" s="21">
        <v>30</v>
      </c>
      <c r="W1455" s="21">
        <v>59</v>
      </c>
      <c r="X1455" s="22"/>
    </row>
    <row r="1456" spans="1:24" s="1" customFormat="1" ht="108" customHeight="1" x14ac:dyDescent="0.3">
      <c r="A1456" s="11" t="s">
        <v>1355</v>
      </c>
      <c r="B1456" s="11" t="s">
        <v>1791</v>
      </c>
      <c r="C1456" s="12" t="s">
        <v>1795</v>
      </c>
      <c r="D1456" s="24"/>
      <c r="E1456" s="69" t="str">
        <f>HYPERLINK("https://www.google.ru/search?q=230384SC40&amp;newwindow=1&amp;tbm=isch","Еще фото")</f>
        <v>Еще фото</v>
      </c>
      <c r="F1456" s="31" t="s">
        <v>738</v>
      </c>
      <c r="G1456" s="11" t="s">
        <v>1670</v>
      </c>
      <c r="H1456" s="11" t="s">
        <v>814</v>
      </c>
      <c r="I1456" s="14" t="s">
        <v>1664</v>
      </c>
      <c r="J1456" s="14" t="s">
        <v>879</v>
      </c>
      <c r="K1456" s="15" t="s">
        <v>114</v>
      </c>
      <c r="L1456" s="14" t="s">
        <v>1793</v>
      </c>
      <c r="M1456" s="14"/>
      <c r="N1456" s="14" t="s">
        <v>242</v>
      </c>
      <c r="O1456" s="14"/>
      <c r="P1456" s="15" t="s">
        <v>1666</v>
      </c>
      <c r="Q1456" s="16">
        <v>4499</v>
      </c>
      <c r="R1456" s="17">
        <v>30</v>
      </c>
      <c r="S1456" s="18">
        <v>3621.6949999999997</v>
      </c>
      <c r="T1456" s="19" t="s">
        <v>84</v>
      </c>
      <c r="U1456" s="20" t="s">
        <v>1796</v>
      </c>
      <c r="V1456" s="21">
        <v>40</v>
      </c>
      <c r="W1456" s="21">
        <v>6</v>
      </c>
      <c r="X1456" s="22"/>
    </row>
    <row r="1457" spans="1:24" s="1" customFormat="1" ht="108" customHeight="1" x14ac:dyDescent="0.3">
      <c r="A1457" s="11" t="s">
        <v>1355</v>
      </c>
      <c r="B1457" s="11" t="s">
        <v>1797</v>
      </c>
      <c r="C1457" s="12" t="s">
        <v>1798</v>
      </c>
      <c r="D1457" s="24"/>
      <c r="E1457" s="69" t="str">
        <f>HYPERLINK("https://www.google.ru/search?q=231145U20&amp;newwindow=1&amp;tbm=isch","Еще фото")</f>
        <v>Еще фото</v>
      </c>
      <c r="F1457" s="13"/>
      <c r="G1457" s="11" t="s">
        <v>1693</v>
      </c>
      <c r="H1457" s="11" t="s">
        <v>814</v>
      </c>
      <c r="I1457" s="14" t="s">
        <v>1664</v>
      </c>
      <c r="J1457" s="14" t="s">
        <v>879</v>
      </c>
      <c r="K1457" s="15" t="s">
        <v>114</v>
      </c>
      <c r="L1457" s="14" t="s">
        <v>1799</v>
      </c>
      <c r="M1457" s="14"/>
      <c r="N1457" s="14" t="s">
        <v>70</v>
      </c>
      <c r="O1457" s="14"/>
      <c r="P1457" s="15" t="s">
        <v>1666</v>
      </c>
      <c r="Q1457" s="16">
        <v>29999</v>
      </c>
      <c r="R1457" s="17">
        <v>30</v>
      </c>
      <c r="S1457" s="18">
        <v>24149.194999999996</v>
      </c>
      <c r="T1457" s="19" t="s">
        <v>84</v>
      </c>
      <c r="U1457" s="20" t="s">
        <v>1775</v>
      </c>
      <c r="V1457" s="21">
        <v>20</v>
      </c>
      <c r="W1457" s="21">
        <v>3</v>
      </c>
      <c r="X1457" s="22"/>
    </row>
    <row r="1458" spans="1:24" s="1" customFormat="1" ht="108" customHeight="1" x14ac:dyDescent="0.3">
      <c r="A1458" s="11" t="s">
        <v>1355</v>
      </c>
      <c r="B1458" s="11" t="s">
        <v>1800</v>
      </c>
      <c r="C1458" s="12" t="s">
        <v>1801</v>
      </c>
      <c r="D1458" s="24"/>
      <c r="E1458" s="69" t="str">
        <f>HYPERLINK("https://www.google.ru/search?q=231175SC07&amp;newwindow=1&amp;tbm=isch","Еще фото")</f>
        <v>Еще фото</v>
      </c>
      <c r="F1458" s="13"/>
      <c r="G1458" s="11" t="s">
        <v>1670</v>
      </c>
      <c r="H1458" s="11" t="s">
        <v>814</v>
      </c>
      <c r="I1458" s="14" t="s">
        <v>1664</v>
      </c>
      <c r="J1458" s="14" t="s">
        <v>879</v>
      </c>
      <c r="K1458" s="15" t="s">
        <v>30</v>
      </c>
      <c r="L1458" s="14" t="s">
        <v>1802</v>
      </c>
      <c r="M1458" s="14"/>
      <c r="N1458" s="14" t="s">
        <v>70</v>
      </c>
      <c r="O1458" s="14"/>
      <c r="P1458" s="15" t="s">
        <v>1666</v>
      </c>
      <c r="Q1458" s="16">
        <v>16499</v>
      </c>
      <c r="R1458" s="17">
        <v>30</v>
      </c>
      <c r="S1458" s="18">
        <v>13281.694999999998</v>
      </c>
      <c r="T1458" s="19" t="s">
        <v>328</v>
      </c>
      <c r="U1458" s="20" t="s">
        <v>1803</v>
      </c>
      <c r="V1458" s="61">
        <v>7</v>
      </c>
      <c r="W1458" s="21">
        <v>6</v>
      </c>
      <c r="X1458" s="22"/>
    </row>
    <row r="1459" spans="1:24" s="1" customFormat="1" ht="108" customHeight="1" x14ac:dyDescent="0.3">
      <c r="A1459" s="11" t="s">
        <v>1355</v>
      </c>
      <c r="B1459" s="11" t="s">
        <v>1804</v>
      </c>
      <c r="C1459" s="12" t="s">
        <v>1805</v>
      </c>
      <c r="D1459" s="24"/>
      <c r="E1459" s="69" t="str">
        <f>HYPERLINK("https://www.google.ru/search?q=231215SC07&amp;newwindow=1&amp;tbm=isch","Еще фото")</f>
        <v>Еще фото</v>
      </c>
      <c r="F1459" s="13"/>
      <c r="G1459" s="11" t="s">
        <v>1670</v>
      </c>
      <c r="H1459" s="11" t="s">
        <v>814</v>
      </c>
      <c r="I1459" s="14" t="s">
        <v>1664</v>
      </c>
      <c r="J1459" s="14" t="s">
        <v>879</v>
      </c>
      <c r="K1459" s="15" t="s">
        <v>30</v>
      </c>
      <c r="L1459" s="14" t="s">
        <v>1806</v>
      </c>
      <c r="M1459" s="14"/>
      <c r="N1459" s="14" t="s">
        <v>49</v>
      </c>
      <c r="O1459" s="14"/>
      <c r="P1459" s="15" t="s">
        <v>1672</v>
      </c>
      <c r="Q1459" s="16">
        <v>8499</v>
      </c>
      <c r="R1459" s="17">
        <v>30</v>
      </c>
      <c r="S1459" s="18">
        <v>6841.6949999999997</v>
      </c>
      <c r="T1459" s="19" t="s">
        <v>328</v>
      </c>
      <c r="U1459" s="20" t="s">
        <v>1803</v>
      </c>
      <c r="V1459" s="61">
        <v>7</v>
      </c>
      <c r="W1459" s="21">
        <v>16</v>
      </c>
      <c r="X1459" s="22"/>
    </row>
    <row r="1460" spans="1:24" s="1" customFormat="1" ht="108" customHeight="1" x14ac:dyDescent="0.3">
      <c r="A1460" s="11" t="s">
        <v>1355</v>
      </c>
      <c r="B1460" s="11" t="s">
        <v>1807</v>
      </c>
      <c r="C1460" s="12" t="s">
        <v>1808</v>
      </c>
      <c r="D1460" s="24"/>
      <c r="E1460" s="69" t="str">
        <f>HYPERLINK("https://www.google.ru/search?q=231305SC20&amp;newwindow=1&amp;tbm=isch","Еще фото")</f>
        <v>Еще фото</v>
      </c>
      <c r="F1460" s="31" t="s">
        <v>738</v>
      </c>
      <c r="G1460" s="11" t="s">
        <v>1670</v>
      </c>
      <c r="H1460" s="11" t="s">
        <v>814</v>
      </c>
      <c r="I1460" s="14" t="s">
        <v>1664</v>
      </c>
      <c r="J1460" s="14" t="s">
        <v>879</v>
      </c>
      <c r="K1460" s="15" t="s">
        <v>114</v>
      </c>
      <c r="L1460" s="14" t="s">
        <v>1809</v>
      </c>
      <c r="M1460" s="14"/>
      <c r="N1460" s="14" t="s">
        <v>1115</v>
      </c>
      <c r="O1460" s="14"/>
      <c r="P1460" s="15" t="s">
        <v>1672</v>
      </c>
      <c r="Q1460" s="16">
        <v>11999</v>
      </c>
      <c r="R1460" s="17">
        <v>30</v>
      </c>
      <c r="S1460" s="18">
        <v>9659.1949999999979</v>
      </c>
      <c r="T1460" s="19" t="s">
        <v>84</v>
      </c>
      <c r="U1460" s="20" t="s">
        <v>1788</v>
      </c>
      <c r="V1460" s="21">
        <v>20</v>
      </c>
      <c r="W1460" s="21">
        <v>4</v>
      </c>
      <c r="X1460" s="22"/>
    </row>
    <row r="1461" spans="1:24" s="1" customFormat="1" ht="108" customHeight="1" x14ac:dyDescent="0.3">
      <c r="A1461" s="11" t="s">
        <v>1355</v>
      </c>
      <c r="B1461" s="11" t="s">
        <v>1807</v>
      </c>
      <c r="C1461" s="12" t="s">
        <v>1810</v>
      </c>
      <c r="D1461" s="24"/>
      <c r="E1461" s="69" t="str">
        <f>HYPERLINK("https://www.google.ru/search?q=231305SC30&amp;newwindow=1&amp;tbm=isch","Еще фото")</f>
        <v>Еще фото</v>
      </c>
      <c r="F1461" s="31" t="s">
        <v>738</v>
      </c>
      <c r="G1461" s="11" t="s">
        <v>1670</v>
      </c>
      <c r="H1461" s="11" t="s">
        <v>814</v>
      </c>
      <c r="I1461" s="14" t="s">
        <v>1664</v>
      </c>
      <c r="J1461" s="14" t="s">
        <v>879</v>
      </c>
      <c r="K1461" s="15" t="s">
        <v>114</v>
      </c>
      <c r="L1461" s="14" t="s">
        <v>1809</v>
      </c>
      <c r="M1461" s="14"/>
      <c r="N1461" s="14" t="s">
        <v>49</v>
      </c>
      <c r="O1461" s="14"/>
      <c r="P1461" s="15" t="s">
        <v>1672</v>
      </c>
      <c r="Q1461" s="16">
        <v>11999</v>
      </c>
      <c r="R1461" s="17">
        <v>30</v>
      </c>
      <c r="S1461" s="18">
        <v>9659.1949999999979</v>
      </c>
      <c r="T1461" s="19" t="s">
        <v>84</v>
      </c>
      <c r="U1461" s="20" t="s">
        <v>1790</v>
      </c>
      <c r="V1461" s="21">
        <v>30</v>
      </c>
      <c r="W1461" s="21">
        <v>9</v>
      </c>
      <c r="X1461" s="22"/>
    </row>
    <row r="1462" spans="1:24" s="1" customFormat="1" ht="108" customHeight="1" x14ac:dyDescent="0.3">
      <c r="A1462" s="11" t="s">
        <v>1355</v>
      </c>
      <c r="B1462" s="11" t="s">
        <v>1811</v>
      </c>
      <c r="C1462" s="12" t="s">
        <v>1812</v>
      </c>
      <c r="D1462" s="24"/>
      <c r="E1462" s="69" t="str">
        <f>HYPERLINK("https://www.google.ru/search?q=231315SC20&amp;newwindow=1&amp;tbm=isch","Еще фото")</f>
        <v>Еще фото</v>
      </c>
      <c r="F1462" s="31" t="s">
        <v>738</v>
      </c>
      <c r="G1462" s="11" t="s">
        <v>1670</v>
      </c>
      <c r="H1462" s="11" t="s">
        <v>814</v>
      </c>
      <c r="I1462" s="14" t="s">
        <v>1664</v>
      </c>
      <c r="J1462" s="14" t="s">
        <v>879</v>
      </c>
      <c r="K1462" s="15" t="s">
        <v>114</v>
      </c>
      <c r="L1462" s="14" t="s">
        <v>1813</v>
      </c>
      <c r="M1462" s="14"/>
      <c r="N1462" s="14" t="s">
        <v>242</v>
      </c>
      <c r="O1462" s="14"/>
      <c r="P1462" s="15" t="s">
        <v>1672</v>
      </c>
      <c r="Q1462" s="16">
        <v>11999</v>
      </c>
      <c r="R1462" s="17">
        <v>30</v>
      </c>
      <c r="S1462" s="18">
        <v>9659.1949999999979</v>
      </c>
      <c r="T1462" s="19" t="s">
        <v>84</v>
      </c>
      <c r="U1462" s="20" t="s">
        <v>1788</v>
      </c>
      <c r="V1462" s="21">
        <v>20</v>
      </c>
      <c r="W1462" s="21">
        <v>19</v>
      </c>
      <c r="X1462" s="22"/>
    </row>
    <row r="1463" spans="1:24" s="1" customFormat="1" ht="108" customHeight="1" x14ac:dyDescent="0.3">
      <c r="A1463" s="11" t="s">
        <v>1355</v>
      </c>
      <c r="B1463" s="11" t="s">
        <v>1811</v>
      </c>
      <c r="C1463" s="12" t="s">
        <v>1814</v>
      </c>
      <c r="D1463" s="24"/>
      <c r="E1463" s="69" t="str">
        <f>HYPERLINK("https://www.google.ru/search?q=231315SC30&amp;newwindow=1&amp;tbm=isch","Еще фото")</f>
        <v>Еще фото</v>
      </c>
      <c r="F1463" s="31" t="s">
        <v>738</v>
      </c>
      <c r="G1463" s="11" t="s">
        <v>1670</v>
      </c>
      <c r="H1463" s="11" t="s">
        <v>814</v>
      </c>
      <c r="I1463" s="14" t="s">
        <v>1664</v>
      </c>
      <c r="J1463" s="14" t="s">
        <v>879</v>
      </c>
      <c r="K1463" s="15" t="s">
        <v>114</v>
      </c>
      <c r="L1463" s="14" t="s">
        <v>1813</v>
      </c>
      <c r="M1463" s="14"/>
      <c r="N1463" s="14" t="s">
        <v>242</v>
      </c>
      <c r="O1463" s="14"/>
      <c r="P1463" s="15" t="s">
        <v>1672</v>
      </c>
      <c r="Q1463" s="16">
        <v>11999</v>
      </c>
      <c r="R1463" s="17">
        <v>30</v>
      </c>
      <c r="S1463" s="18">
        <v>9659.1949999999979</v>
      </c>
      <c r="T1463" s="19" t="s">
        <v>84</v>
      </c>
      <c r="U1463" s="20" t="s">
        <v>1790</v>
      </c>
      <c r="V1463" s="21">
        <v>30</v>
      </c>
      <c r="W1463" s="21">
        <v>8</v>
      </c>
      <c r="X1463" s="22"/>
    </row>
    <row r="1464" spans="1:24" s="1" customFormat="1" ht="108" customHeight="1" x14ac:dyDescent="0.3">
      <c r="A1464" s="11" t="s">
        <v>1355</v>
      </c>
      <c r="B1464" s="11" t="s">
        <v>1815</v>
      </c>
      <c r="C1464" s="12" t="s">
        <v>1816</v>
      </c>
      <c r="D1464" s="24"/>
      <c r="E1464" s="69" t="str">
        <f>HYPERLINK("https://www.google.ru/search?q=231325SC30&amp;newwindow=1&amp;tbm=isch","Еще фото")</f>
        <v>Еще фото</v>
      </c>
      <c r="F1464" s="31" t="s">
        <v>738</v>
      </c>
      <c r="G1464" s="11" t="s">
        <v>1670</v>
      </c>
      <c r="H1464" s="11" t="s">
        <v>814</v>
      </c>
      <c r="I1464" s="14" t="s">
        <v>1664</v>
      </c>
      <c r="J1464" s="14" t="s">
        <v>879</v>
      </c>
      <c r="K1464" s="15" t="s">
        <v>114</v>
      </c>
      <c r="L1464" s="14" t="s">
        <v>1817</v>
      </c>
      <c r="M1464" s="14"/>
      <c r="N1464" s="14" t="s">
        <v>70</v>
      </c>
      <c r="O1464" s="14"/>
      <c r="P1464" s="15" t="s">
        <v>1672</v>
      </c>
      <c r="Q1464" s="16">
        <v>9999</v>
      </c>
      <c r="R1464" s="17">
        <v>30</v>
      </c>
      <c r="S1464" s="18">
        <v>8049.1949999999997</v>
      </c>
      <c r="T1464" s="19" t="s">
        <v>84</v>
      </c>
      <c r="U1464" s="20" t="s">
        <v>1790</v>
      </c>
      <c r="V1464" s="21">
        <v>30</v>
      </c>
      <c r="W1464" s="21">
        <v>10</v>
      </c>
      <c r="X1464" s="22"/>
    </row>
    <row r="1465" spans="1:24" s="1" customFormat="1" ht="108" customHeight="1" x14ac:dyDescent="0.3">
      <c r="A1465" s="11" t="s">
        <v>1355</v>
      </c>
      <c r="B1465" s="11" t="s">
        <v>1818</v>
      </c>
      <c r="C1465" s="12" t="s">
        <v>1819</v>
      </c>
      <c r="D1465" s="24"/>
      <c r="E1465" s="69" t="str">
        <f>HYPERLINK("https://www.google.ru/search?q=231345SC10&amp;newwindow=1&amp;tbm=isch","Еще фото")</f>
        <v>Еще фото</v>
      </c>
      <c r="F1465" s="13"/>
      <c r="G1465" s="11" t="s">
        <v>1693</v>
      </c>
      <c r="H1465" s="11" t="s">
        <v>814</v>
      </c>
      <c r="I1465" s="14" t="s">
        <v>1664</v>
      </c>
      <c r="J1465" s="14" t="s">
        <v>879</v>
      </c>
      <c r="K1465" s="15" t="s">
        <v>114</v>
      </c>
      <c r="L1465" s="14" t="s">
        <v>1820</v>
      </c>
      <c r="M1465" s="14"/>
      <c r="N1465" s="14" t="s">
        <v>242</v>
      </c>
      <c r="O1465" s="14"/>
      <c r="P1465" s="15" t="s">
        <v>1672</v>
      </c>
      <c r="Q1465" s="16">
        <v>9099</v>
      </c>
      <c r="R1465" s="17">
        <v>30</v>
      </c>
      <c r="S1465" s="18">
        <v>7324.6949999999997</v>
      </c>
      <c r="T1465" s="19" t="s">
        <v>84</v>
      </c>
      <c r="U1465" s="20" t="s">
        <v>1690</v>
      </c>
      <c r="V1465" s="21">
        <v>10</v>
      </c>
      <c r="W1465" s="21">
        <v>3</v>
      </c>
      <c r="X1465" s="22"/>
    </row>
    <row r="1466" spans="1:24" s="1" customFormat="1" ht="108" customHeight="1" x14ac:dyDescent="0.3">
      <c r="A1466" s="11" t="s">
        <v>1355</v>
      </c>
      <c r="B1466" s="11" t="s">
        <v>1821</v>
      </c>
      <c r="C1466" s="12" t="s">
        <v>1822</v>
      </c>
      <c r="D1466" s="24"/>
      <c r="E1466" s="69" t="str">
        <f>HYPERLINK("https://www.google.ru/search?q=231345SC20&amp;newwindow=1&amp;tbm=isch","Еще фото")</f>
        <v>Еще фото</v>
      </c>
      <c r="F1466" s="31" t="s">
        <v>738</v>
      </c>
      <c r="G1466" s="11" t="s">
        <v>1670</v>
      </c>
      <c r="H1466" s="11" t="s">
        <v>814</v>
      </c>
      <c r="I1466" s="14" t="s">
        <v>1664</v>
      </c>
      <c r="J1466" s="14" t="s">
        <v>879</v>
      </c>
      <c r="K1466" s="15" t="s">
        <v>114</v>
      </c>
      <c r="L1466" s="14" t="s">
        <v>1820</v>
      </c>
      <c r="M1466" s="14"/>
      <c r="N1466" s="14" t="s">
        <v>242</v>
      </c>
      <c r="O1466" s="14"/>
      <c r="P1466" s="15" t="s">
        <v>1672</v>
      </c>
      <c r="Q1466" s="16">
        <v>9599</v>
      </c>
      <c r="R1466" s="17">
        <v>30</v>
      </c>
      <c r="S1466" s="18">
        <v>7727.1949999999997</v>
      </c>
      <c r="T1466" s="19" t="s">
        <v>84</v>
      </c>
      <c r="U1466" s="20" t="s">
        <v>1788</v>
      </c>
      <c r="V1466" s="21">
        <v>20</v>
      </c>
      <c r="W1466" s="21">
        <v>12</v>
      </c>
      <c r="X1466" s="22"/>
    </row>
    <row r="1467" spans="1:24" s="1" customFormat="1" ht="108" customHeight="1" x14ac:dyDescent="0.3">
      <c r="A1467" s="11" t="s">
        <v>1355</v>
      </c>
      <c r="B1467" s="11" t="s">
        <v>1821</v>
      </c>
      <c r="C1467" s="12" t="s">
        <v>1823</v>
      </c>
      <c r="D1467" s="24"/>
      <c r="E1467" s="69" t="str">
        <f>HYPERLINK("https://www.google.ru/search?q=231345SC30&amp;newwindow=1&amp;tbm=isch","Еще фото")</f>
        <v>Еще фото</v>
      </c>
      <c r="F1467" s="13"/>
      <c r="G1467" s="11" t="s">
        <v>1670</v>
      </c>
      <c r="H1467" s="11" t="s">
        <v>814</v>
      </c>
      <c r="I1467" s="14" t="s">
        <v>1664</v>
      </c>
      <c r="J1467" s="14" t="s">
        <v>879</v>
      </c>
      <c r="K1467" s="15" t="s">
        <v>114</v>
      </c>
      <c r="L1467" s="14" t="s">
        <v>1820</v>
      </c>
      <c r="M1467" s="14"/>
      <c r="N1467" s="14" t="s">
        <v>313</v>
      </c>
      <c r="O1467" s="14"/>
      <c r="P1467" s="15" t="s">
        <v>1672</v>
      </c>
      <c r="Q1467" s="16">
        <v>8999</v>
      </c>
      <c r="R1467" s="17">
        <v>30</v>
      </c>
      <c r="S1467" s="18">
        <v>7244.1949999999997</v>
      </c>
      <c r="T1467" s="19" t="s">
        <v>84</v>
      </c>
      <c r="U1467" s="20" t="s">
        <v>1790</v>
      </c>
      <c r="V1467" s="21">
        <v>30</v>
      </c>
      <c r="W1467" s="21">
        <v>1</v>
      </c>
      <c r="X1467" s="22"/>
    </row>
    <row r="1468" spans="1:24" s="1" customFormat="1" ht="108" customHeight="1" x14ac:dyDescent="0.3">
      <c r="A1468" s="11" t="s">
        <v>1355</v>
      </c>
      <c r="B1468" s="11" t="s">
        <v>1824</v>
      </c>
      <c r="C1468" s="12" t="s">
        <v>1825</v>
      </c>
      <c r="D1468" s="24"/>
      <c r="E1468" s="69" t="str">
        <f>HYPERLINK("https://www.google.ru/search?q=231355SC10&amp;newwindow=1&amp;tbm=isch","Еще фото")</f>
        <v>Еще фото</v>
      </c>
      <c r="F1468" s="13"/>
      <c r="G1468" s="11" t="s">
        <v>1670</v>
      </c>
      <c r="H1468" s="11" t="s">
        <v>814</v>
      </c>
      <c r="I1468" s="14" t="s">
        <v>1664</v>
      </c>
      <c r="J1468" s="14" t="s">
        <v>879</v>
      </c>
      <c r="K1468" s="15" t="s">
        <v>114</v>
      </c>
      <c r="L1468" s="14"/>
      <c r="M1468" s="14"/>
      <c r="N1468" s="14" t="s">
        <v>116</v>
      </c>
      <c r="O1468" s="14"/>
      <c r="P1468" s="15" t="s">
        <v>1666</v>
      </c>
      <c r="Q1468" s="16">
        <v>8999</v>
      </c>
      <c r="R1468" s="17">
        <v>30</v>
      </c>
      <c r="S1468" s="18">
        <v>7244.1949999999997</v>
      </c>
      <c r="T1468" s="19" t="s">
        <v>84</v>
      </c>
      <c r="U1468" s="20" t="s">
        <v>1690</v>
      </c>
      <c r="V1468" s="21">
        <v>10</v>
      </c>
      <c r="W1468" s="21">
        <v>2</v>
      </c>
      <c r="X1468" s="22"/>
    </row>
    <row r="1469" spans="1:24" s="1" customFormat="1" ht="108" customHeight="1" x14ac:dyDescent="0.3">
      <c r="A1469" s="11" t="s">
        <v>1355</v>
      </c>
      <c r="B1469" s="11" t="s">
        <v>1826</v>
      </c>
      <c r="C1469" s="12" t="s">
        <v>1827</v>
      </c>
      <c r="D1469" s="24"/>
      <c r="E1469" s="69" t="str">
        <f>HYPERLINK("https://www.google.ru/search?q=231375SC30&amp;newwindow=1&amp;tbm=isch","Еще фото")</f>
        <v>Еще фото</v>
      </c>
      <c r="F1469" s="31" t="s">
        <v>738</v>
      </c>
      <c r="G1469" s="11" t="s">
        <v>1670</v>
      </c>
      <c r="H1469" s="11" t="s">
        <v>814</v>
      </c>
      <c r="I1469" s="14" t="s">
        <v>1664</v>
      </c>
      <c r="J1469" s="14" t="s">
        <v>879</v>
      </c>
      <c r="K1469" s="15" t="s">
        <v>114</v>
      </c>
      <c r="L1469" s="14" t="s">
        <v>1828</v>
      </c>
      <c r="M1469" s="14"/>
      <c r="N1469" s="14" t="s">
        <v>49</v>
      </c>
      <c r="O1469" s="14"/>
      <c r="P1469" s="15" t="s">
        <v>1666</v>
      </c>
      <c r="Q1469" s="16">
        <v>8299</v>
      </c>
      <c r="R1469" s="17">
        <v>30</v>
      </c>
      <c r="S1469" s="18">
        <v>6680.6949999999997</v>
      </c>
      <c r="T1469" s="19" t="s">
        <v>84</v>
      </c>
      <c r="U1469" s="20" t="s">
        <v>1790</v>
      </c>
      <c r="V1469" s="21">
        <v>30</v>
      </c>
      <c r="W1469" s="21">
        <v>71</v>
      </c>
      <c r="X1469" s="22"/>
    </row>
    <row r="1470" spans="1:24" s="1" customFormat="1" ht="108" customHeight="1" x14ac:dyDescent="0.3">
      <c r="A1470" s="11" t="s">
        <v>1355</v>
      </c>
      <c r="B1470" s="11" t="s">
        <v>1829</v>
      </c>
      <c r="C1470" s="12" t="s">
        <v>1830</v>
      </c>
      <c r="D1470" s="24"/>
      <c r="E1470" s="69" t="str">
        <f>HYPERLINK("https://www.google.ru/search?q=231414SC06&amp;newwindow=1&amp;tbm=isch","Еще фото")</f>
        <v>Еще фото</v>
      </c>
      <c r="F1470" s="13"/>
      <c r="G1470" s="11" t="s">
        <v>1693</v>
      </c>
      <c r="H1470" s="11" t="s">
        <v>814</v>
      </c>
      <c r="I1470" s="14" t="s">
        <v>1664</v>
      </c>
      <c r="J1470" s="14" t="s">
        <v>879</v>
      </c>
      <c r="K1470" s="15" t="s">
        <v>30</v>
      </c>
      <c r="L1470" s="14" t="s">
        <v>1831</v>
      </c>
      <c r="M1470" s="14"/>
      <c r="N1470" s="14" t="s">
        <v>313</v>
      </c>
      <c r="O1470" s="14"/>
      <c r="P1470" s="15" t="s">
        <v>1832</v>
      </c>
      <c r="Q1470" s="16">
        <v>5499</v>
      </c>
      <c r="R1470" s="17">
        <v>30</v>
      </c>
      <c r="S1470" s="18">
        <v>4426.6949999999997</v>
      </c>
      <c r="T1470" s="19" t="s">
        <v>328</v>
      </c>
      <c r="U1470" s="20" t="s">
        <v>1680</v>
      </c>
      <c r="V1470" s="61">
        <v>6</v>
      </c>
      <c r="W1470" s="21">
        <v>10</v>
      </c>
      <c r="X1470" s="22"/>
    </row>
    <row r="1471" spans="1:24" s="1" customFormat="1" ht="108" customHeight="1" x14ac:dyDescent="0.3">
      <c r="A1471" s="11" t="s">
        <v>1355</v>
      </c>
      <c r="B1471" s="11" t="s">
        <v>1833</v>
      </c>
      <c r="C1471" s="12" t="s">
        <v>1834</v>
      </c>
      <c r="D1471" s="24"/>
      <c r="E1471" s="69" t="str">
        <f>HYPERLINK("https://www.google.ru/search?q=231415SC07&amp;newwindow=1&amp;tbm=isch","Еще фото")</f>
        <v>Еще фото</v>
      </c>
      <c r="F1471" s="13"/>
      <c r="G1471" s="11" t="s">
        <v>1670</v>
      </c>
      <c r="H1471" s="11" t="s">
        <v>814</v>
      </c>
      <c r="I1471" s="14" t="s">
        <v>1664</v>
      </c>
      <c r="J1471" s="14" t="s">
        <v>879</v>
      </c>
      <c r="K1471" s="15" t="s">
        <v>30</v>
      </c>
      <c r="L1471" s="14" t="s">
        <v>1835</v>
      </c>
      <c r="M1471" s="14"/>
      <c r="N1471" s="14" t="s">
        <v>116</v>
      </c>
      <c r="O1471" s="14"/>
      <c r="P1471" s="15" t="s">
        <v>1836</v>
      </c>
      <c r="Q1471" s="16">
        <v>5499</v>
      </c>
      <c r="R1471" s="17">
        <v>30</v>
      </c>
      <c r="S1471" s="18">
        <v>4426.6949999999997</v>
      </c>
      <c r="T1471" s="19" t="s">
        <v>328</v>
      </c>
      <c r="U1471" s="20" t="s">
        <v>1803</v>
      </c>
      <c r="V1471" s="61">
        <v>7</v>
      </c>
      <c r="W1471" s="21">
        <v>13</v>
      </c>
      <c r="X1471" s="22"/>
    </row>
    <row r="1472" spans="1:24" s="1" customFormat="1" ht="108" customHeight="1" x14ac:dyDescent="0.3">
      <c r="A1472" s="11" t="s">
        <v>1355</v>
      </c>
      <c r="B1472" s="11" t="s">
        <v>1837</v>
      </c>
      <c r="C1472" s="12" t="s">
        <v>1838</v>
      </c>
      <c r="D1472" s="24"/>
      <c r="E1472" s="69" t="str">
        <f>HYPERLINK("https://www.google.ru/search?q=231424SC06&amp;newwindow=1&amp;tbm=isch","Еще фото")</f>
        <v>Еще фото</v>
      </c>
      <c r="F1472" s="13"/>
      <c r="G1472" s="11" t="s">
        <v>1670</v>
      </c>
      <c r="H1472" s="11" t="s">
        <v>814</v>
      </c>
      <c r="I1472" s="14" t="s">
        <v>1664</v>
      </c>
      <c r="J1472" s="14" t="s">
        <v>879</v>
      </c>
      <c r="K1472" s="15" t="s">
        <v>30</v>
      </c>
      <c r="L1472" s="14" t="s">
        <v>1839</v>
      </c>
      <c r="M1472" s="14"/>
      <c r="N1472" s="14" t="s">
        <v>242</v>
      </c>
      <c r="O1472" s="14"/>
      <c r="P1472" s="15" t="s">
        <v>1836</v>
      </c>
      <c r="Q1472" s="16">
        <v>5499</v>
      </c>
      <c r="R1472" s="17">
        <v>30</v>
      </c>
      <c r="S1472" s="18">
        <v>4426.6949999999997</v>
      </c>
      <c r="T1472" s="19" t="s">
        <v>328</v>
      </c>
      <c r="U1472" s="20" t="s">
        <v>1680</v>
      </c>
      <c r="V1472" s="61">
        <v>6</v>
      </c>
      <c r="W1472" s="21">
        <v>9</v>
      </c>
      <c r="X1472" s="22"/>
    </row>
    <row r="1473" spans="1:24" s="1" customFormat="1" ht="108" customHeight="1" x14ac:dyDescent="0.3">
      <c r="A1473" s="11" t="s">
        <v>1355</v>
      </c>
      <c r="B1473" s="11" t="s">
        <v>1661</v>
      </c>
      <c r="C1473" s="12" t="s">
        <v>1840</v>
      </c>
      <c r="D1473" s="24"/>
      <c r="E1473" s="69" t="str">
        <f>HYPERLINK("https://www.google.ru/search?q=231444SC05&amp;newwindow=1&amp;tbm=isch","Еще фото")</f>
        <v>Еще фото</v>
      </c>
      <c r="F1473" s="13"/>
      <c r="G1473" s="11" t="s">
        <v>1670</v>
      </c>
      <c r="H1473" s="11" t="s">
        <v>814</v>
      </c>
      <c r="I1473" s="14" t="s">
        <v>1664</v>
      </c>
      <c r="J1473" s="14" t="s">
        <v>879</v>
      </c>
      <c r="K1473" s="15" t="s">
        <v>30</v>
      </c>
      <c r="L1473" s="14" t="s">
        <v>1665</v>
      </c>
      <c r="M1473" s="14"/>
      <c r="N1473" s="14" t="s">
        <v>242</v>
      </c>
      <c r="O1473" s="14"/>
      <c r="P1473" s="15" t="s">
        <v>1676</v>
      </c>
      <c r="Q1473" s="16">
        <v>5599</v>
      </c>
      <c r="R1473" s="17">
        <v>30</v>
      </c>
      <c r="S1473" s="18">
        <v>4507.1949999999997</v>
      </c>
      <c r="T1473" s="19" t="s">
        <v>328</v>
      </c>
      <c r="U1473" s="20" t="s">
        <v>1667</v>
      </c>
      <c r="V1473" s="61">
        <v>5</v>
      </c>
      <c r="W1473" s="21">
        <v>3</v>
      </c>
      <c r="X1473" s="22"/>
    </row>
    <row r="1474" spans="1:24" s="1" customFormat="1" ht="108" customHeight="1" x14ac:dyDescent="0.3">
      <c r="A1474" s="11" t="s">
        <v>1355</v>
      </c>
      <c r="B1474" s="11" t="s">
        <v>1841</v>
      </c>
      <c r="C1474" s="12" t="s">
        <v>1842</v>
      </c>
      <c r="D1474" s="24"/>
      <c r="E1474" s="69" t="str">
        <f>HYPERLINK("https://www.google.ru/search?q=231916SC20&amp;newwindow=1&amp;tbm=isch","Еще фото")</f>
        <v>Еще фото</v>
      </c>
      <c r="F1474" s="31" t="s">
        <v>738</v>
      </c>
      <c r="G1474" s="11" t="s">
        <v>1843</v>
      </c>
      <c r="H1474" s="11" t="s">
        <v>814</v>
      </c>
      <c r="I1474" s="14" t="s">
        <v>1664</v>
      </c>
      <c r="J1474" s="14" t="s">
        <v>879</v>
      </c>
      <c r="K1474" s="15" t="s">
        <v>114</v>
      </c>
      <c r="L1474" s="14"/>
      <c r="M1474" s="14"/>
      <c r="N1474" s="14" t="s">
        <v>116</v>
      </c>
      <c r="O1474" s="14"/>
      <c r="P1474" s="15" t="s">
        <v>1689</v>
      </c>
      <c r="Q1474" s="16">
        <v>11999</v>
      </c>
      <c r="R1474" s="17">
        <v>30</v>
      </c>
      <c r="S1474" s="18">
        <v>9659.1949999999979</v>
      </c>
      <c r="T1474" s="19" t="s">
        <v>84</v>
      </c>
      <c r="U1474" s="20" t="s">
        <v>1788</v>
      </c>
      <c r="V1474" s="21">
        <v>20</v>
      </c>
      <c r="W1474" s="21">
        <v>5</v>
      </c>
      <c r="X1474" s="22"/>
    </row>
    <row r="1475" spans="1:24" s="1" customFormat="1" ht="108" customHeight="1" x14ac:dyDescent="0.3">
      <c r="A1475" s="11" t="s">
        <v>1355</v>
      </c>
      <c r="B1475" s="11" t="s">
        <v>1841</v>
      </c>
      <c r="C1475" s="12" t="s">
        <v>1844</v>
      </c>
      <c r="D1475" s="24"/>
      <c r="E1475" s="69" t="str">
        <f>HYPERLINK("https://www.google.ru/search?q=231916SC30&amp;newwindow=1&amp;tbm=isch","Еще фото")</f>
        <v>Еще фото</v>
      </c>
      <c r="F1475" s="31" t="s">
        <v>738</v>
      </c>
      <c r="G1475" s="11" t="s">
        <v>1845</v>
      </c>
      <c r="H1475" s="11" t="s">
        <v>814</v>
      </c>
      <c r="I1475" s="14" t="s">
        <v>1664</v>
      </c>
      <c r="J1475" s="14" t="s">
        <v>879</v>
      </c>
      <c r="K1475" s="15" t="s">
        <v>114</v>
      </c>
      <c r="L1475" s="14"/>
      <c r="M1475" s="14"/>
      <c r="N1475" s="14" t="s">
        <v>116</v>
      </c>
      <c r="O1475" s="14"/>
      <c r="P1475" s="15" t="s">
        <v>1689</v>
      </c>
      <c r="Q1475" s="16">
        <v>11999</v>
      </c>
      <c r="R1475" s="17">
        <v>30</v>
      </c>
      <c r="S1475" s="18">
        <v>9659.1949999999979</v>
      </c>
      <c r="T1475" s="19" t="s">
        <v>84</v>
      </c>
      <c r="U1475" s="20" t="s">
        <v>1790</v>
      </c>
      <c r="V1475" s="21">
        <v>30</v>
      </c>
      <c r="W1475" s="21">
        <v>24</v>
      </c>
      <c r="X1475" s="22"/>
    </row>
    <row r="1476" spans="1:24" s="1" customFormat="1" ht="108" customHeight="1" x14ac:dyDescent="0.3">
      <c r="A1476" s="11" t="s">
        <v>1355</v>
      </c>
      <c r="B1476" s="11" t="s">
        <v>1841</v>
      </c>
      <c r="C1476" s="12" t="s">
        <v>1846</v>
      </c>
      <c r="D1476" s="24"/>
      <c r="E1476" s="69" t="str">
        <f>HYPERLINK("https://www.google.ru/search?q=231916SC40&amp;newwindow=1&amp;tbm=isch","Еще фото")</f>
        <v>Еще фото</v>
      </c>
      <c r="F1476" s="13"/>
      <c r="G1476" s="11" t="s">
        <v>1847</v>
      </c>
      <c r="H1476" s="11" t="s">
        <v>814</v>
      </c>
      <c r="I1476" s="14" t="s">
        <v>1664</v>
      </c>
      <c r="J1476" s="14" t="s">
        <v>879</v>
      </c>
      <c r="K1476" s="15" t="s">
        <v>114</v>
      </c>
      <c r="L1476" s="14"/>
      <c r="M1476" s="14"/>
      <c r="N1476" s="14" t="s">
        <v>116</v>
      </c>
      <c r="O1476" s="14"/>
      <c r="P1476" s="15" t="s">
        <v>1689</v>
      </c>
      <c r="Q1476" s="16">
        <v>11999</v>
      </c>
      <c r="R1476" s="17">
        <v>30</v>
      </c>
      <c r="S1476" s="18">
        <v>9659.1949999999979</v>
      </c>
      <c r="T1476" s="19" t="s">
        <v>84</v>
      </c>
      <c r="U1476" s="20" t="s">
        <v>1796</v>
      </c>
      <c r="V1476" s="21">
        <v>40</v>
      </c>
      <c r="W1476" s="21">
        <v>2</v>
      </c>
      <c r="X1476" s="22"/>
    </row>
    <row r="1477" spans="1:24" s="1" customFormat="1" ht="108" customHeight="1" x14ac:dyDescent="0.3">
      <c r="A1477" s="11" t="s">
        <v>1355</v>
      </c>
      <c r="B1477" s="11" t="s">
        <v>1848</v>
      </c>
      <c r="C1477" s="12" t="s">
        <v>1849</v>
      </c>
      <c r="D1477" s="24"/>
      <c r="E1477" s="69" t="str">
        <f>HYPERLINK("https://www.google.ru/search?q=231926SC20&amp;newwindow=1&amp;tbm=isch","Еще фото")</f>
        <v>Еще фото</v>
      </c>
      <c r="F1477" s="31" t="s">
        <v>738</v>
      </c>
      <c r="G1477" s="11" t="s">
        <v>1670</v>
      </c>
      <c r="H1477" s="11" t="s">
        <v>814</v>
      </c>
      <c r="I1477" s="14" t="s">
        <v>1664</v>
      </c>
      <c r="J1477" s="14" t="s">
        <v>879</v>
      </c>
      <c r="K1477" s="15" t="s">
        <v>114</v>
      </c>
      <c r="L1477" s="14"/>
      <c r="M1477" s="14"/>
      <c r="N1477" s="14" t="s">
        <v>275</v>
      </c>
      <c r="O1477" s="14"/>
      <c r="P1477" s="15" t="s">
        <v>1689</v>
      </c>
      <c r="Q1477" s="16">
        <v>9999</v>
      </c>
      <c r="R1477" s="17">
        <v>30</v>
      </c>
      <c r="S1477" s="18">
        <v>8049.1949999999997</v>
      </c>
      <c r="T1477" s="19" t="s">
        <v>84</v>
      </c>
      <c r="U1477" s="20" t="s">
        <v>1788</v>
      </c>
      <c r="V1477" s="21">
        <v>20</v>
      </c>
      <c r="W1477" s="21">
        <v>12</v>
      </c>
      <c r="X1477" s="22"/>
    </row>
    <row r="1478" spans="1:24" s="1" customFormat="1" ht="108" customHeight="1" x14ac:dyDescent="0.3">
      <c r="A1478" s="11" t="s">
        <v>1355</v>
      </c>
      <c r="B1478" s="11" t="s">
        <v>1850</v>
      </c>
      <c r="C1478" s="12" t="s">
        <v>1851</v>
      </c>
      <c r="D1478" s="24"/>
      <c r="E1478" s="69" t="str">
        <f>HYPERLINK("https://www.google.ru/search?q=231936SC20&amp;newwindow=1&amp;tbm=isch","Еще фото")</f>
        <v>Еще фото</v>
      </c>
      <c r="F1478" s="31" t="s">
        <v>738</v>
      </c>
      <c r="G1478" s="11" t="s">
        <v>1670</v>
      </c>
      <c r="H1478" s="11" t="s">
        <v>814</v>
      </c>
      <c r="I1478" s="14" t="s">
        <v>1664</v>
      </c>
      <c r="J1478" s="14" t="s">
        <v>879</v>
      </c>
      <c r="K1478" s="15" t="s">
        <v>114</v>
      </c>
      <c r="L1478" s="14"/>
      <c r="M1478" s="14"/>
      <c r="N1478" s="14" t="s">
        <v>265</v>
      </c>
      <c r="O1478" s="14"/>
      <c r="P1478" s="15" t="s">
        <v>1689</v>
      </c>
      <c r="Q1478" s="16">
        <v>8999</v>
      </c>
      <c r="R1478" s="17">
        <v>30</v>
      </c>
      <c r="S1478" s="18">
        <v>7244.1949999999997</v>
      </c>
      <c r="T1478" s="19" t="s">
        <v>84</v>
      </c>
      <c r="U1478" s="20" t="s">
        <v>1788</v>
      </c>
      <c r="V1478" s="21">
        <v>20</v>
      </c>
      <c r="W1478" s="21">
        <v>12</v>
      </c>
      <c r="X1478" s="22"/>
    </row>
    <row r="1479" spans="1:24" s="1" customFormat="1" ht="108" customHeight="1" x14ac:dyDescent="0.3">
      <c r="A1479" s="11" t="s">
        <v>1355</v>
      </c>
      <c r="B1479" s="11" t="s">
        <v>1852</v>
      </c>
      <c r="C1479" s="12" t="s">
        <v>1853</v>
      </c>
      <c r="D1479" s="24"/>
      <c r="E1479" s="69" t="str">
        <f>HYPERLINK("https://www.google.ru/search?q=232086SC10&amp;newwindow=1&amp;tbm=isch","Еще фото")</f>
        <v>Еще фото</v>
      </c>
      <c r="F1479" s="13"/>
      <c r="G1479" s="11" t="s">
        <v>1670</v>
      </c>
      <c r="H1479" s="11" t="s">
        <v>814</v>
      </c>
      <c r="I1479" s="14" t="s">
        <v>1664</v>
      </c>
      <c r="J1479" s="14" t="s">
        <v>879</v>
      </c>
      <c r="K1479" s="15" t="s">
        <v>30</v>
      </c>
      <c r="L1479" s="14"/>
      <c r="M1479" s="14"/>
      <c r="N1479" s="14" t="s">
        <v>49</v>
      </c>
      <c r="O1479" s="14"/>
      <c r="P1479" s="15" t="s">
        <v>1666</v>
      </c>
      <c r="Q1479" s="16">
        <v>15999</v>
      </c>
      <c r="R1479" s="17">
        <v>30</v>
      </c>
      <c r="S1479" s="18">
        <v>12879.194999999998</v>
      </c>
      <c r="T1479" s="19" t="s">
        <v>328</v>
      </c>
      <c r="U1479" s="20" t="s">
        <v>1690</v>
      </c>
      <c r="V1479" s="21">
        <v>10</v>
      </c>
      <c r="W1479" s="21">
        <v>3</v>
      </c>
      <c r="X1479" s="22"/>
    </row>
    <row r="1480" spans="1:24" s="1" customFormat="1" ht="108" customHeight="1" x14ac:dyDescent="0.3">
      <c r="A1480" s="11" t="s">
        <v>1355</v>
      </c>
      <c r="B1480" s="11" t="s">
        <v>1854</v>
      </c>
      <c r="C1480" s="12" t="s">
        <v>1855</v>
      </c>
      <c r="D1480" s="24"/>
      <c r="E1480" s="69" t="str">
        <f>HYPERLINK("https://www.google.ru/search?q=232096SC00&amp;newwindow=1&amp;tbm=isch","Еще фото")</f>
        <v>Еще фото</v>
      </c>
      <c r="F1480" s="13"/>
      <c r="G1480" s="11" t="s">
        <v>1670</v>
      </c>
      <c r="H1480" s="11" t="s">
        <v>814</v>
      </c>
      <c r="I1480" s="14" t="s">
        <v>1664</v>
      </c>
      <c r="J1480" s="14" t="s">
        <v>879</v>
      </c>
      <c r="K1480" s="15" t="s">
        <v>30</v>
      </c>
      <c r="L1480" s="14"/>
      <c r="M1480" s="14"/>
      <c r="N1480" s="14" t="s">
        <v>49</v>
      </c>
      <c r="O1480" s="14"/>
      <c r="P1480" s="15" t="s">
        <v>1666</v>
      </c>
      <c r="Q1480" s="16">
        <v>15999</v>
      </c>
      <c r="R1480" s="17">
        <v>30</v>
      </c>
      <c r="S1480" s="18">
        <v>12879.194999999998</v>
      </c>
      <c r="T1480" s="19" t="s">
        <v>328</v>
      </c>
      <c r="U1480" s="20" t="s">
        <v>1782</v>
      </c>
      <c r="V1480" s="61">
        <v>0</v>
      </c>
      <c r="W1480" s="21">
        <v>4</v>
      </c>
      <c r="X1480" s="22"/>
    </row>
    <row r="1481" spans="1:24" s="1" customFormat="1" ht="108" customHeight="1" x14ac:dyDescent="0.3">
      <c r="A1481" s="11" t="s">
        <v>1355</v>
      </c>
      <c r="B1481" s="11" t="s">
        <v>1856</v>
      </c>
      <c r="C1481" s="12" t="s">
        <v>1857</v>
      </c>
      <c r="D1481" s="24"/>
      <c r="E1481" s="69" t="str">
        <f>HYPERLINK("https://www.google.ru/search?q=232106U20&amp;newwindow=1&amp;tbm=isch","Еще фото")</f>
        <v>Еще фото</v>
      </c>
      <c r="F1481" s="13"/>
      <c r="G1481" s="11" t="s">
        <v>1670</v>
      </c>
      <c r="H1481" s="11" t="s">
        <v>814</v>
      </c>
      <c r="I1481" s="14" t="s">
        <v>1664</v>
      </c>
      <c r="J1481" s="14" t="s">
        <v>879</v>
      </c>
      <c r="K1481" s="15" t="s">
        <v>114</v>
      </c>
      <c r="L1481" s="14"/>
      <c r="M1481" s="14"/>
      <c r="N1481" s="14" t="s">
        <v>49</v>
      </c>
      <c r="O1481" s="14"/>
      <c r="P1481" s="15" t="s">
        <v>1666</v>
      </c>
      <c r="Q1481" s="16">
        <v>19999</v>
      </c>
      <c r="R1481" s="17">
        <v>30</v>
      </c>
      <c r="S1481" s="18">
        <v>16099.194999999998</v>
      </c>
      <c r="T1481" s="19" t="s">
        <v>84</v>
      </c>
      <c r="U1481" s="20" t="s">
        <v>1775</v>
      </c>
      <c r="V1481" s="21">
        <v>20</v>
      </c>
      <c r="W1481" s="21">
        <v>5</v>
      </c>
      <c r="X1481" s="22"/>
    </row>
    <row r="1482" spans="1:24" s="1" customFormat="1" ht="108" customHeight="1" x14ac:dyDescent="0.3">
      <c r="A1482" s="11" t="s">
        <v>1355</v>
      </c>
      <c r="B1482" s="11" t="s">
        <v>1856</v>
      </c>
      <c r="C1482" s="12" t="s">
        <v>1858</v>
      </c>
      <c r="D1482" s="24"/>
      <c r="E1482" s="69" t="str">
        <f>HYPERLINK("https://www.google.ru/search?q=232106U30&amp;newwindow=1&amp;tbm=isch","Еще фото")</f>
        <v>Еще фото</v>
      </c>
      <c r="F1482" s="13"/>
      <c r="G1482" s="11" t="s">
        <v>1670</v>
      </c>
      <c r="H1482" s="11" t="s">
        <v>814</v>
      </c>
      <c r="I1482" s="14" t="s">
        <v>1664</v>
      </c>
      <c r="J1482" s="14" t="s">
        <v>879</v>
      </c>
      <c r="K1482" s="15" t="s">
        <v>114</v>
      </c>
      <c r="L1482" s="14" t="s">
        <v>1859</v>
      </c>
      <c r="M1482" s="14"/>
      <c r="N1482" s="14" t="s">
        <v>49</v>
      </c>
      <c r="O1482" s="14"/>
      <c r="P1482" s="15" t="s">
        <v>1672</v>
      </c>
      <c r="Q1482" s="16">
        <v>21199</v>
      </c>
      <c r="R1482" s="17">
        <v>30</v>
      </c>
      <c r="S1482" s="18">
        <v>17065.194999999996</v>
      </c>
      <c r="T1482" s="19" t="s">
        <v>328</v>
      </c>
      <c r="U1482" s="20" t="s">
        <v>1860</v>
      </c>
      <c r="V1482" s="21">
        <v>30</v>
      </c>
      <c r="W1482" s="21">
        <v>7</v>
      </c>
      <c r="X1482" s="22"/>
    </row>
    <row r="1483" spans="1:24" s="1" customFormat="1" ht="108" customHeight="1" x14ac:dyDescent="0.3">
      <c r="A1483" s="11" t="s">
        <v>1355</v>
      </c>
      <c r="B1483" s="11" t="s">
        <v>1861</v>
      </c>
      <c r="C1483" s="12" t="s">
        <v>1862</v>
      </c>
      <c r="D1483" s="24"/>
      <c r="E1483" s="69" t="str">
        <f>HYPERLINK("https://www.google.ru/search?q=232215SC05&amp;newwindow=1&amp;tbm=isch","Еще фото")</f>
        <v>Еще фото</v>
      </c>
      <c r="F1483" s="13"/>
      <c r="G1483" s="11" t="s">
        <v>1670</v>
      </c>
      <c r="H1483" s="11" t="s">
        <v>814</v>
      </c>
      <c r="I1483" s="14" t="s">
        <v>1664</v>
      </c>
      <c r="J1483" s="14" t="s">
        <v>879</v>
      </c>
      <c r="K1483" s="15" t="s">
        <v>30</v>
      </c>
      <c r="L1483" s="14" t="s">
        <v>1863</v>
      </c>
      <c r="M1483" s="14"/>
      <c r="N1483" s="14" t="s">
        <v>70</v>
      </c>
      <c r="O1483" s="14"/>
      <c r="P1483" s="15" t="s">
        <v>1666</v>
      </c>
      <c r="Q1483" s="16">
        <v>5099</v>
      </c>
      <c r="R1483" s="17">
        <v>30</v>
      </c>
      <c r="S1483" s="18">
        <v>4104.6949999999997</v>
      </c>
      <c r="T1483" s="19" t="s">
        <v>328</v>
      </c>
      <c r="U1483" s="20" t="s">
        <v>1667</v>
      </c>
      <c r="V1483" s="61">
        <v>5</v>
      </c>
      <c r="W1483" s="21">
        <v>2</v>
      </c>
      <c r="X1483" s="22"/>
    </row>
    <row r="1484" spans="1:24" s="1" customFormat="1" ht="108" customHeight="1" x14ac:dyDescent="0.3">
      <c r="A1484" s="11" t="s">
        <v>1355</v>
      </c>
      <c r="B1484" s="11" t="s">
        <v>1864</v>
      </c>
      <c r="C1484" s="12" t="s">
        <v>1865</v>
      </c>
      <c r="D1484" s="24"/>
      <c r="E1484" s="69" t="str">
        <f>HYPERLINK("https://www.google.ru/search?q=232239SC20&amp;newwindow=1&amp;tbm=isch","Еще фото")</f>
        <v>Еще фото</v>
      </c>
      <c r="F1484" s="31" t="s">
        <v>738</v>
      </c>
      <c r="G1484" s="11" t="s">
        <v>1670</v>
      </c>
      <c r="H1484" s="11" t="s">
        <v>814</v>
      </c>
      <c r="I1484" s="14" t="s">
        <v>1664</v>
      </c>
      <c r="J1484" s="14" t="s">
        <v>879</v>
      </c>
      <c r="K1484" s="15" t="s">
        <v>114</v>
      </c>
      <c r="L1484" s="14"/>
      <c r="M1484" s="14"/>
      <c r="N1484" s="14" t="s">
        <v>70</v>
      </c>
      <c r="O1484" s="14"/>
      <c r="P1484" s="15" t="s">
        <v>1676</v>
      </c>
      <c r="Q1484" s="16">
        <v>5799</v>
      </c>
      <c r="R1484" s="17">
        <v>30</v>
      </c>
      <c r="S1484" s="18">
        <v>4668.1949999999997</v>
      </c>
      <c r="T1484" s="19" t="s">
        <v>84</v>
      </c>
      <c r="U1484" s="20" t="s">
        <v>1788</v>
      </c>
      <c r="V1484" s="21">
        <v>20</v>
      </c>
      <c r="W1484" s="21">
        <v>6</v>
      </c>
      <c r="X1484" s="22"/>
    </row>
    <row r="1485" spans="1:24" s="1" customFormat="1" ht="108" customHeight="1" x14ac:dyDescent="0.3">
      <c r="A1485" s="11" t="s">
        <v>1355</v>
      </c>
      <c r="B1485" s="11" t="s">
        <v>1864</v>
      </c>
      <c r="C1485" s="12" t="s">
        <v>1866</v>
      </c>
      <c r="D1485" s="24"/>
      <c r="E1485" s="69" t="str">
        <f>HYPERLINK("https://www.google.ru/search?q=232239SC30&amp;newwindow=1&amp;tbm=isch","Еще фото")</f>
        <v>Еще фото</v>
      </c>
      <c r="F1485" s="31" t="s">
        <v>738</v>
      </c>
      <c r="G1485" s="11" t="s">
        <v>1670</v>
      </c>
      <c r="H1485" s="11" t="s">
        <v>814</v>
      </c>
      <c r="I1485" s="14" t="s">
        <v>1664</v>
      </c>
      <c r="J1485" s="14" t="s">
        <v>879</v>
      </c>
      <c r="K1485" s="15" t="s">
        <v>114</v>
      </c>
      <c r="L1485" s="14"/>
      <c r="M1485" s="14"/>
      <c r="N1485" s="14" t="s">
        <v>70</v>
      </c>
      <c r="O1485" s="14"/>
      <c r="P1485" s="15" t="s">
        <v>1867</v>
      </c>
      <c r="Q1485" s="16">
        <v>5799</v>
      </c>
      <c r="R1485" s="17">
        <v>30</v>
      </c>
      <c r="S1485" s="18">
        <v>4668.1949999999997</v>
      </c>
      <c r="T1485" s="19" t="s">
        <v>84</v>
      </c>
      <c r="U1485" s="20" t="s">
        <v>1790</v>
      </c>
      <c r="V1485" s="21">
        <v>30</v>
      </c>
      <c r="W1485" s="21">
        <v>38</v>
      </c>
      <c r="X1485" s="22"/>
    </row>
    <row r="1486" spans="1:24" s="1" customFormat="1" ht="108" customHeight="1" x14ac:dyDescent="0.3">
      <c r="A1486" s="11" t="s">
        <v>1355</v>
      </c>
      <c r="B1486" s="11" t="s">
        <v>1868</v>
      </c>
      <c r="C1486" s="12" t="s">
        <v>1869</v>
      </c>
      <c r="D1486" s="24"/>
      <c r="E1486" s="69" t="str">
        <f>HYPERLINK("https://www.google.ru/search?q=232256SC00&amp;newwindow=1&amp;tbm=isch","Еще фото")</f>
        <v>Еще фото</v>
      </c>
      <c r="F1486" s="13"/>
      <c r="G1486" s="11" t="s">
        <v>1670</v>
      </c>
      <c r="H1486" s="11" t="s">
        <v>814</v>
      </c>
      <c r="I1486" s="14" t="s">
        <v>1664</v>
      </c>
      <c r="J1486" s="14" t="s">
        <v>879</v>
      </c>
      <c r="K1486" s="15" t="s">
        <v>30</v>
      </c>
      <c r="L1486" s="14"/>
      <c r="M1486" s="14"/>
      <c r="N1486" s="14" t="s">
        <v>70</v>
      </c>
      <c r="O1486" s="14"/>
      <c r="P1486" s="15" t="s">
        <v>1666</v>
      </c>
      <c r="Q1486" s="16">
        <v>16999</v>
      </c>
      <c r="R1486" s="17">
        <v>30</v>
      </c>
      <c r="S1486" s="18">
        <v>13684.194999999998</v>
      </c>
      <c r="T1486" s="19" t="s">
        <v>328</v>
      </c>
      <c r="U1486" s="20" t="s">
        <v>1782</v>
      </c>
      <c r="V1486" s="61">
        <v>0</v>
      </c>
      <c r="W1486" s="21">
        <v>7</v>
      </c>
      <c r="X1486" s="22"/>
    </row>
    <row r="1487" spans="1:24" s="1" customFormat="1" ht="108" customHeight="1" x14ac:dyDescent="0.3">
      <c r="A1487" s="11" t="s">
        <v>1355</v>
      </c>
      <c r="B1487" s="11" t="s">
        <v>1870</v>
      </c>
      <c r="C1487" s="12" t="s">
        <v>1871</v>
      </c>
      <c r="D1487" s="24"/>
      <c r="E1487" s="69" t="str">
        <f>HYPERLINK("https://www.google.ru/search?q=232266SC07&amp;newwindow=1&amp;tbm=isch","Еще фото")</f>
        <v>Еще фото</v>
      </c>
      <c r="F1487" s="13"/>
      <c r="G1487" s="11" t="s">
        <v>1670</v>
      </c>
      <c r="H1487" s="11" t="s">
        <v>814</v>
      </c>
      <c r="I1487" s="14" t="s">
        <v>1664</v>
      </c>
      <c r="J1487" s="14" t="s">
        <v>879</v>
      </c>
      <c r="K1487" s="15" t="s">
        <v>30</v>
      </c>
      <c r="L1487" s="14"/>
      <c r="M1487" s="14"/>
      <c r="N1487" s="14" t="s">
        <v>70</v>
      </c>
      <c r="O1487" s="14"/>
      <c r="P1487" s="15" t="s">
        <v>1666</v>
      </c>
      <c r="Q1487" s="16">
        <v>16999</v>
      </c>
      <c r="R1487" s="17">
        <v>30</v>
      </c>
      <c r="S1487" s="18">
        <v>13684.194999999998</v>
      </c>
      <c r="T1487" s="19" t="s">
        <v>328</v>
      </c>
      <c r="U1487" s="20" t="s">
        <v>1803</v>
      </c>
      <c r="V1487" s="61">
        <v>7</v>
      </c>
      <c r="W1487" s="21">
        <v>4</v>
      </c>
      <c r="X1487" s="22"/>
    </row>
    <row r="1488" spans="1:24" s="1" customFormat="1" ht="108" customHeight="1" x14ac:dyDescent="0.3">
      <c r="A1488" s="11" t="s">
        <v>1355</v>
      </c>
      <c r="B1488" s="11" t="s">
        <v>1872</v>
      </c>
      <c r="C1488" s="12" t="s">
        <v>1873</v>
      </c>
      <c r="D1488" s="24"/>
      <c r="E1488" s="69" t="str">
        <f>HYPERLINK("https://www.google.ru/search?q=233366SC00&amp;newwindow=1&amp;tbm=isch","Еще фото")</f>
        <v>Еще фото</v>
      </c>
      <c r="F1488" s="13"/>
      <c r="G1488" s="11" t="s">
        <v>1670</v>
      </c>
      <c r="H1488" s="11" t="s">
        <v>814</v>
      </c>
      <c r="I1488" s="14" t="s">
        <v>1664</v>
      </c>
      <c r="J1488" s="14" t="s">
        <v>879</v>
      </c>
      <c r="K1488" s="15" t="s">
        <v>30</v>
      </c>
      <c r="L1488" s="14"/>
      <c r="M1488" s="14"/>
      <c r="N1488" s="14" t="s">
        <v>242</v>
      </c>
      <c r="O1488" s="14"/>
      <c r="P1488" s="15" t="s">
        <v>1666</v>
      </c>
      <c r="Q1488" s="16">
        <v>15999</v>
      </c>
      <c r="R1488" s="17">
        <v>30</v>
      </c>
      <c r="S1488" s="18">
        <v>12879.194999999998</v>
      </c>
      <c r="T1488" s="19" t="s">
        <v>328</v>
      </c>
      <c r="U1488" s="20" t="s">
        <v>1782</v>
      </c>
      <c r="V1488" s="61">
        <v>0</v>
      </c>
      <c r="W1488" s="21">
        <v>6</v>
      </c>
      <c r="X1488" s="22"/>
    </row>
    <row r="1489" spans="1:24" s="1" customFormat="1" ht="108" customHeight="1" x14ac:dyDescent="0.3">
      <c r="A1489" s="11" t="s">
        <v>1355</v>
      </c>
      <c r="B1489" s="11" t="s">
        <v>1874</v>
      </c>
      <c r="C1489" s="12" t="s">
        <v>1875</v>
      </c>
      <c r="D1489" s="24"/>
      <c r="E1489" s="69" t="str">
        <f>HYPERLINK("https://www.google.ru/search?q=233402SC10&amp;newwindow=1&amp;tbm=isch","Еще фото")</f>
        <v>Еще фото</v>
      </c>
      <c r="F1489" s="13"/>
      <c r="G1489" s="11" t="s">
        <v>1693</v>
      </c>
      <c r="H1489" s="11" t="s">
        <v>814</v>
      </c>
      <c r="I1489" s="14" t="s">
        <v>1664</v>
      </c>
      <c r="J1489" s="14" t="s">
        <v>879</v>
      </c>
      <c r="K1489" s="15" t="s">
        <v>114</v>
      </c>
      <c r="L1489" s="14" t="s">
        <v>1876</v>
      </c>
      <c r="M1489" s="14"/>
      <c r="N1489" s="14" t="s">
        <v>49</v>
      </c>
      <c r="O1489" s="14"/>
      <c r="P1489" s="15" t="s">
        <v>1672</v>
      </c>
      <c r="Q1489" s="16">
        <v>7899</v>
      </c>
      <c r="R1489" s="17">
        <v>30</v>
      </c>
      <c r="S1489" s="18">
        <v>6358.6949999999997</v>
      </c>
      <c r="T1489" s="19" t="s">
        <v>84</v>
      </c>
      <c r="U1489" s="20" t="s">
        <v>1690</v>
      </c>
      <c r="V1489" s="21">
        <v>10</v>
      </c>
      <c r="W1489" s="21">
        <v>3</v>
      </c>
      <c r="X1489" s="22"/>
    </row>
    <row r="1490" spans="1:24" s="1" customFormat="1" ht="108" customHeight="1" x14ac:dyDescent="0.3">
      <c r="A1490" s="11" t="s">
        <v>1355</v>
      </c>
      <c r="B1490" s="11" t="s">
        <v>1877</v>
      </c>
      <c r="C1490" s="12" t="s">
        <v>1878</v>
      </c>
      <c r="D1490" s="24"/>
      <c r="E1490" s="69" t="str">
        <f>HYPERLINK("https://www.google.ru/search?q=233402SC20&amp;newwindow=1&amp;tbm=isch","Еще фото")</f>
        <v>Еще фото</v>
      </c>
      <c r="F1490" s="31" t="s">
        <v>738</v>
      </c>
      <c r="G1490" s="11" t="s">
        <v>1670</v>
      </c>
      <c r="H1490" s="11" t="s">
        <v>814</v>
      </c>
      <c r="I1490" s="14" t="s">
        <v>1664</v>
      </c>
      <c r="J1490" s="14" t="s">
        <v>879</v>
      </c>
      <c r="K1490" s="15" t="s">
        <v>114</v>
      </c>
      <c r="L1490" s="14"/>
      <c r="M1490" s="14"/>
      <c r="N1490" s="14" t="s">
        <v>49</v>
      </c>
      <c r="O1490" s="14"/>
      <c r="P1490" s="15" t="s">
        <v>1672</v>
      </c>
      <c r="Q1490" s="16">
        <v>7899</v>
      </c>
      <c r="R1490" s="17">
        <v>30</v>
      </c>
      <c r="S1490" s="18">
        <v>6358.6949999999997</v>
      </c>
      <c r="T1490" s="19" t="s">
        <v>84</v>
      </c>
      <c r="U1490" s="20" t="s">
        <v>1788</v>
      </c>
      <c r="V1490" s="21">
        <v>20</v>
      </c>
      <c r="W1490" s="21">
        <v>21</v>
      </c>
      <c r="X1490" s="22"/>
    </row>
    <row r="1491" spans="1:24" s="1" customFormat="1" ht="108" customHeight="1" x14ac:dyDescent="0.3">
      <c r="A1491" s="11" t="s">
        <v>1355</v>
      </c>
      <c r="B1491" s="11" t="s">
        <v>1879</v>
      </c>
      <c r="C1491" s="12" t="s">
        <v>1880</v>
      </c>
      <c r="D1491" s="24"/>
      <c r="E1491" s="69" t="str">
        <f>HYPERLINK("https://www.google.ru/search?q=234733SC20&amp;newwindow=1&amp;tbm=isch","Еще фото")</f>
        <v>Еще фото</v>
      </c>
      <c r="F1491" s="13"/>
      <c r="G1491" s="11" t="s">
        <v>1881</v>
      </c>
      <c r="H1491" s="11" t="s">
        <v>814</v>
      </c>
      <c r="I1491" s="14" t="s">
        <v>1664</v>
      </c>
      <c r="J1491" s="14" t="s">
        <v>879</v>
      </c>
      <c r="K1491" s="15" t="s">
        <v>114</v>
      </c>
      <c r="L1491" s="14" t="s">
        <v>1882</v>
      </c>
      <c r="M1491" s="14"/>
      <c r="N1491" s="14" t="s">
        <v>275</v>
      </c>
      <c r="O1491" s="14"/>
      <c r="P1491" s="15" t="s">
        <v>1883</v>
      </c>
      <c r="Q1491" s="16">
        <v>10099</v>
      </c>
      <c r="R1491" s="17">
        <v>30</v>
      </c>
      <c r="S1491" s="18">
        <v>8129.6949999999997</v>
      </c>
      <c r="T1491" s="19" t="s">
        <v>84</v>
      </c>
      <c r="U1491" s="20" t="s">
        <v>1788</v>
      </c>
      <c r="V1491" s="21">
        <v>20</v>
      </c>
      <c r="W1491" s="21">
        <v>1</v>
      </c>
      <c r="X1491" s="22"/>
    </row>
    <row r="1492" spans="1:24" s="1" customFormat="1" ht="108" customHeight="1" x14ac:dyDescent="0.3">
      <c r="A1492" s="11" t="s">
        <v>1355</v>
      </c>
      <c r="B1492" s="11" t="s">
        <v>1884</v>
      </c>
      <c r="C1492" s="12" t="s">
        <v>1885</v>
      </c>
      <c r="D1492" s="24"/>
      <c r="E1492" s="69" t="str">
        <f>HYPERLINK("https://www.google.ru/search?q=235004SC07&amp;newwindow=1&amp;tbm=isch","Еще фото")</f>
        <v>Еще фото</v>
      </c>
      <c r="F1492" s="13"/>
      <c r="G1492" s="11" t="s">
        <v>1670</v>
      </c>
      <c r="H1492" s="11" t="s">
        <v>814</v>
      </c>
      <c r="I1492" s="14" t="s">
        <v>1664</v>
      </c>
      <c r="J1492" s="14" t="s">
        <v>879</v>
      </c>
      <c r="K1492" s="15" t="s">
        <v>30</v>
      </c>
      <c r="L1492" s="14" t="s">
        <v>1886</v>
      </c>
      <c r="M1492" s="14"/>
      <c r="N1492" s="14" t="s">
        <v>49</v>
      </c>
      <c r="O1492" s="14"/>
      <c r="P1492" s="15" t="s">
        <v>1666</v>
      </c>
      <c r="Q1492" s="16">
        <v>4699</v>
      </c>
      <c r="R1492" s="17">
        <v>30</v>
      </c>
      <c r="S1492" s="18">
        <v>3782.6949999999997</v>
      </c>
      <c r="T1492" s="19" t="s">
        <v>328</v>
      </c>
      <c r="U1492" s="20" t="s">
        <v>1803</v>
      </c>
      <c r="V1492" s="61">
        <v>7</v>
      </c>
      <c r="W1492" s="21">
        <v>1</v>
      </c>
      <c r="X1492" s="22"/>
    </row>
    <row r="1493" spans="1:24" s="1" customFormat="1" ht="108" customHeight="1" x14ac:dyDescent="0.3">
      <c r="A1493" s="11" t="s">
        <v>1355</v>
      </c>
      <c r="B1493" s="11" t="s">
        <v>1887</v>
      </c>
      <c r="C1493" s="12" t="s">
        <v>1888</v>
      </c>
      <c r="D1493" s="24"/>
      <c r="E1493" s="69" t="str">
        <f>HYPERLINK("https://www.google.ru/search?q=235034SC05&amp;newwindow=1&amp;tbm=isch","Еще фото")</f>
        <v>Еще фото</v>
      </c>
      <c r="F1493" s="13"/>
      <c r="G1493" s="11" t="s">
        <v>1670</v>
      </c>
      <c r="H1493" s="11" t="s">
        <v>814</v>
      </c>
      <c r="I1493" s="14" t="s">
        <v>1664</v>
      </c>
      <c r="J1493" s="14" t="s">
        <v>879</v>
      </c>
      <c r="K1493" s="15" t="s">
        <v>30</v>
      </c>
      <c r="L1493" s="14" t="s">
        <v>1889</v>
      </c>
      <c r="M1493" s="14"/>
      <c r="N1493" s="14" t="s">
        <v>49</v>
      </c>
      <c r="O1493" s="14"/>
      <c r="P1493" s="15" t="s">
        <v>1666</v>
      </c>
      <c r="Q1493" s="16">
        <v>4699</v>
      </c>
      <c r="R1493" s="17">
        <v>30</v>
      </c>
      <c r="S1493" s="18">
        <v>3782.6949999999997</v>
      </c>
      <c r="T1493" s="19" t="s">
        <v>328</v>
      </c>
      <c r="U1493" s="20" t="s">
        <v>1667</v>
      </c>
      <c r="V1493" s="61">
        <v>5</v>
      </c>
      <c r="W1493" s="21">
        <v>13</v>
      </c>
      <c r="X1493" s="22"/>
    </row>
    <row r="1494" spans="1:24" s="1" customFormat="1" ht="108" customHeight="1" x14ac:dyDescent="0.3">
      <c r="A1494" s="11" t="s">
        <v>1355</v>
      </c>
      <c r="B1494" s="11" t="s">
        <v>1890</v>
      </c>
      <c r="C1494" s="12" t="s">
        <v>1891</v>
      </c>
      <c r="D1494" s="24"/>
      <c r="E1494" s="69" t="str">
        <f>HYPERLINK("https://www.google.ru/search?q=235044SC05&amp;newwindow=1&amp;tbm=isch","Еще фото")</f>
        <v>Еще фото</v>
      </c>
      <c r="F1494" s="13"/>
      <c r="G1494" s="11" t="s">
        <v>1670</v>
      </c>
      <c r="H1494" s="11" t="s">
        <v>814</v>
      </c>
      <c r="I1494" s="14" t="s">
        <v>1664</v>
      </c>
      <c r="J1494" s="14" t="s">
        <v>879</v>
      </c>
      <c r="K1494" s="15" t="s">
        <v>30</v>
      </c>
      <c r="L1494" s="14" t="s">
        <v>1892</v>
      </c>
      <c r="M1494" s="14"/>
      <c r="N1494" s="14" t="s">
        <v>70</v>
      </c>
      <c r="O1494" s="14"/>
      <c r="P1494" s="15" t="s">
        <v>1666</v>
      </c>
      <c r="Q1494" s="16">
        <v>4799</v>
      </c>
      <c r="R1494" s="17">
        <v>30</v>
      </c>
      <c r="S1494" s="18">
        <v>3863.1949999999997</v>
      </c>
      <c r="T1494" s="19" t="s">
        <v>328</v>
      </c>
      <c r="U1494" s="20" t="s">
        <v>1667</v>
      </c>
      <c r="V1494" s="61">
        <v>5</v>
      </c>
      <c r="W1494" s="21">
        <v>7</v>
      </c>
      <c r="X1494" s="22"/>
    </row>
    <row r="1495" spans="1:24" s="1" customFormat="1" ht="108" customHeight="1" x14ac:dyDescent="0.3">
      <c r="A1495" s="11" t="s">
        <v>1355</v>
      </c>
      <c r="B1495" s="11" t="s">
        <v>1893</v>
      </c>
      <c r="C1495" s="12" t="s">
        <v>1894</v>
      </c>
      <c r="D1495" s="24"/>
      <c r="E1495" s="69" t="str">
        <f>HYPERLINK("https://www.google.ru/search?q=235314SC30&amp;newwindow=1&amp;tbm=isch","Еще фото")</f>
        <v>Еще фото</v>
      </c>
      <c r="F1495" s="13"/>
      <c r="G1495" s="11" t="s">
        <v>1693</v>
      </c>
      <c r="H1495" s="11" t="s">
        <v>814</v>
      </c>
      <c r="I1495" s="14" t="s">
        <v>1664</v>
      </c>
      <c r="J1495" s="14" t="s">
        <v>879</v>
      </c>
      <c r="K1495" s="15" t="s">
        <v>114</v>
      </c>
      <c r="L1495" s="14" t="s">
        <v>1895</v>
      </c>
      <c r="M1495" s="14"/>
      <c r="N1495" s="14" t="s">
        <v>116</v>
      </c>
      <c r="O1495" s="14"/>
      <c r="P1495" s="15" t="s">
        <v>1672</v>
      </c>
      <c r="Q1495" s="16">
        <v>12399</v>
      </c>
      <c r="R1495" s="17">
        <v>30</v>
      </c>
      <c r="S1495" s="18">
        <v>9981.1949999999979</v>
      </c>
      <c r="T1495" s="19" t="s">
        <v>84</v>
      </c>
      <c r="U1495" s="20" t="s">
        <v>1790</v>
      </c>
      <c r="V1495" s="21">
        <v>30</v>
      </c>
      <c r="W1495" s="21">
        <v>2</v>
      </c>
      <c r="X1495" s="22"/>
    </row>
    <row r="1496" spans="1:24" s="1" customFormat="1" ht="108" customHeight="1" x14ac:dyDescent="0.3">
      <c r="A1496" s="11" t="s">
        <v>1355</v>
      </c>
      <c r="B1496" s="11" t="s">
        <v>1896</v>
      </c>
      <c r="C1496" s="12" t="s">
        <v>1897</v>
      </c>
      <c r="D1496" s="24"/>
      <c r="E1496" s="69" t="str">
        <f>HYPERLINK("https://www.google.ru/search?q=235324SC30&amp;newwindow=1&amp;tbm=isch","Еще фото")</f>
        <v>Еще фото</v>
      </c>
      <c r="F1496" s="13"/>
      <c r="G1496" s="11" t="s">
        <v>1670</v>
      </c>
      <c r="H1496" s="11" t="s">
        <v>814</v>
      </c>
      <c r="I1496" s="14" t="s">
        <v>1664</v>
      </c>
      <c r="J1496" s="14" t="s">
        <v>879</v>
      </c>
      <c r="K1496" s="15" t="s">
        <v>114</v>
      </c>
      <c r="L1496" s="14" t="s">
        <v>1898</v>
      </c>
      <c r="M1496" s="14"/>
      <c r="N1496" s="14" t="s">
        <v>242</v>
      </c>
      <c r="O1496" s="14"/>
      <c r="P1496" s="15" t="s">
        <v>1666</v>
      </c>
      <c r="Q1496" s="16">
        <v>10099</v>
      </c>
      <c r="R1496" s="17">
        <v>30</v>
      </c>
      <c r="S1496" s="18">
        <v>8129.6949999999997</v>
      </c>
      <c r="T1496" s="19" t="s">
        <v>84</v>
      </c>
      <c r="U1496" s="20" t="s">
        <v>1790</v>
      </c>
      <c r="V1496" s="21">
        <v>30</v>
      </c>
      <c r="W1496" s="21">
        <v>5</v>
      </c>
      <c r="X1496" s="22"/>
    </row>
    <row r="1497" spans="1:24" s="1" customFormat="1" ht="108" customHeight="1" x14ac:dyDescent="0.3">
      <c r="A1497" s="11" t="s">
        <v>1355</v>
      </c>
      <c r="B1497" s="11" t="s">
        <v>1899</v>
      </c>
      <c r="C1497" s="12" t="s">
        <v>1900</v>
      </c>
      <c r="D1497" s="24"/>
      <c r="E1497" s="69" t="str">
        <f>HYPERLINK("https://www.google.ru/search?q=235402SC00&amp;newwindow=1&amp;tbm=isch","Еще фото")</f>
        <v>Еще фото</v>
      </c>
      <c r="F1497" s="13"/>
      <c r="G1497" s="11" t="s">
        <v>1663</v>
      </c>
      <c r="H1497" s="11" t="s">
        <v>814</v>
      </c>
      <c r="I1497" s="14" t="s">
        <v>1664</v>
      </c>
      <c r="J1497" s="14" t="s">
        <v>879</v>
      </c>
      <c r="K1497" s="15" t="s">
        <v>30</v>
      </c>
      <c r="L1497" s="14" t="s">
        <v>1901</v>
      </c>
      <c r="M1497" s="14"/>
      <c r="N1497" s="14" t="s">
        <v>242</v>
      </c>
      <c r="O1497" s="14"/>
      <c r="P1497" s="15" t="s">
        <v>1836</v>
      </c>
      <c r="Q1497" s="16">
        <v>5799</v>
      </c>
      <c r="R1497" s="17">
        <v>30</v>
      </c>
      <c r="S1497" s="18">
        <v>4668.1949999999997</v>
      </c>
      <c r="T1497" s="19" t="s">
        <v>328</v>
      </c>
      <c r="U1497" s="20" t="s">
        <v>1782</v>
      </c>
      <c r="V1497" s="61">
        <v>0</v>
      </c>
      <c r="W1497" s="21">
        <v>1</v>
      </c>
      <c r="X1497" s="22"/>
    </row>
    <row r="1498" spans="1:24" s="1" customFormat="1" ht="108" customHeight="1" x14ac:dyDescent="0.3">
      <c r="A1498" s="11" t="s">
        <v>1355</v>
      </c>
      <c r="B1498" s="11" t="s">
        <v>1902</v>
      </c>
      <c r="C1498" s="12" t="s">
        <v>1903</v>
      </c>
      <c r="D1498" s="24"/>
      <c r="E1498" s="69" t="str">
        <f>HYPERLINK("https://www.google.ru/search?q=235404SC40&amp;newwindow=1&amp;tbm=isch","Еще фото")</f>
        <v>Еще фото</v>
      </c>
      <c r="F1498" s="13"/>
      <c r="G1498" s="11" t="s">
        <v>1670</v>
      </c>
      <c r="H1498" s="11" t="s">
        <v>814</v>
      </c>
      <c r="I1498" s="14" t="s">
        <v>1664</v>
      </c>
      <c r="J1498" s="14" t="s">
        <v>879</v>
      </c>
      <c r="K1498" s="15" t="s">
        <v>114</v>
      </c>
      <c r="L1498" s="14" t="s">
        <v>1904</v>
      </c>
      <c r="M1498" s="14"/>
      <c r="N1498" s="14" t="s">
        <v>70</v>
      </c>
      <c r="O1498" s="14"/>
      <c r="P1498" s="15" t="s">
        <v>1832</v>
      </c>
      <c r="Q1498" s="16">
        <v>17099</v>
      </c>
      <c r="R1498" s="17">
        <v>30</v>
      </c>
      <c r="S1498" s="18">
        <v>13764.694999999998</v>
      </c>
      <c r="T1498" s="19" t="s">
        <v>84</v>
      </c>
      <c r="U1498" s="20" t="s">
        <v>1796</v>
      </c>
      <c r="V1498" s="21">
        <v>40</v>
      </c>
      <c r="W1498" s="21">
        <v>7</v>
      </c>
      <c r="X1498" s="22"/>
    </row>
    <row r="1499" spans="1:24" s="1" customFormat="1" ht="108" customHeight="1" x14ac:dyDescent="0.3">
      <c r="A1499" s="11" t="s">
        <v>1355</v>
      </c>
      <c r="B1499" s="11" t="s">
        <v>1905</v>
      </c>
      <c r="C1499" s="12" t="s">
        <v>1906</v>
      </c>
      <c r="D1499" s="24"/>
      <c r="E1499" s="69" t="str">
        <f>HYPERLINK("https://www.google.ru/search?q=235414SC30&amp;newwindow=1&amp;tbm=isch","Еще фото")</f>
        <v>Еще фото</v>
      </c>
      <c r="F1499" s="13"/>
      <c r="G1499" s="11" t="s">
        <v>1670</v>
      </c>
      <c r="H1499" s="11" t="s">
        <v>814</v>
      </c>
      <c r="I1499" s="14" t="s">
        <v>1664</v>
      </c>
      <c r="J1499" s="14" t="s">
        <v>879</v>
      </c>
      <c r="K1499" s="15" t="s">
        <v>114</v>
      </c>
      <c r="L1499" s="14"/>
      <c r="M1499" s="14"/>
      <c r="N1499" s="14" t="s">
        <v>116</v>
      </c>
      <c r="O1499" s="14"/>
      <c r="P1499" s="15" t="s">
        <v>1672</v>
      </c>
      <c r="Q1499" s="16">
        <v>17099</v>
      </c>
      <c r="R1499" s="17">
        <v>30</v>
      </c>
      <c r="S1499" s="18">
        <v>13764.694999999998</v>
      </c>
      <c r="T1499" s="19" t="s">
        <v>84</v>
      </c>
      <c r="U1499" s="20" t="s">
        <v>1790</v>
      </c>
      <c r="V1499" s="21">
        <v>30</v>
      </c>
      <c r="W1499" s="21">
        <v>2</v>
      </c>
      <c r="X1499" s="22"/>
    </row>
    <row r="1500" spans="1:24" s="1" customFormat="1" ht="108" customHeight="1" x14ac:dyDescent="0.3">
      <c r="A1500" s="11" t="s">
        <v>1355</v>
      </c>
      <c r="B1500" s="11" t="s">
        <v>1905</v>
      </c>
      <c r="C1500" s="12" t="s">
        <v>1907</v>
      </c>
      <c r="D1500" s="24"/>
      <c r="E1500" s="69" t="str">
        <f>HYPERLINK("https://www.google.ru/search?q=235414SC40&amp;newwindow=1&amp;tbm=isch","Еще фото")</f>
        <v>Еще фото</v>
      </c>
      <c r="F1500" s="13"/>
      <c r="G1500" s="11" t="s">
        <v>1670</v>
      </c>
      <c r="H1500" s="11" t="s">
        <v>814</v>
      </c>
      <c r="I1500" s="14" t="s">
        <v>1664</v>
      </c>
      <c r="J1500" s="14" t="s">
        <v>879</v>
      </c>
      <c r="K1500" s="15" t="s">
        <v>114</v>
      </c>
      <c r="L1500" s="14" t="s">
        <v>1904</v>
      </c>
      <c r="M1500" s="14"/>
      <c r="N1500" s="14" t="s">
        <v>116</v>
      </c>
      <c r="O1500" s="14"/>
      <c r="P1500" s="15" t="s">
        <v>1832</v>
      </c>
      <c r="Q1500" s="16">
        <v>17099</v>
      </c>
      <c r="R1500" s="17">
        <v>30</v>
      </c>
      <c r="S1500" s="18">
        <v>13764.694999999998</v>
      </c>
      <c r="T1500" s="19" t="s">
        <v>84</v>
      </c>
      <c r="U1500" s="20" t="s">
        <v>1796</v>
      </c>
      <c r="V1500" s="21">
        <v>40</v>
      </c>
      <c r="W1500" s="21">
        <v>13</v>
      </c>
      <c r="X1500" s="22"/>
    </row>
    <row r="1501" spans="1:24" s="1" customFormat="1" ht="108" customHeight="1" x14ac:dyDescent="0.3">
      <c r="A1501" s="11" t="s">
        <v>1355</v>
      </c>
      <c r="B1501" s="11" t="s">
        <v>1908</v>
      </c>
      <c r="C1501" s="12" t="s">
        <v>1909</v>
      </c>
      <c r="D1501" s="24"/>
      <c r="E1501" s="69" t="str">
        <f>HYPERLINK("https://www.google.ru/search?q=235424SC10&amp;newwindow=1&amp;tbm=isch","Еще фото")</f>
        <v>Еще фото</v>
      </c>
      <c r="F1501" s="13"/>
      <c r="G1501" s="11" t="s">
        <v>1670</v>
      </c>
      <c r="H1501" s="11" t="s">
        <v>814</v>
      </c>
      <c r="I1501" s="14" t="s">
        <v>1664</v>
      </c>
      <c r="J1501" s="14" t="s">
        <v>879</v>
      </c>
      <c r="K1501" s="15" t="s">
        <v>114</v>
      </c>
      <c r="L1501" s="14" t="s">
        <v>1910</v>
      </c>
      <c r="M1501" s="14"/>
      <c r="N1501" s="14" t="s">
        <v>49</v>
      </c>
      <c r="O1501" s="14"/>
      <c r="P1501" s="15" t="s">
        <v>1672</v>
      </c>
      <c r="Q1501" s="16">
        <v>16599</v>
      </c>
      <c r="R1501" s="17">
        <v>30</v>
      </c>
      <c r="S1501" s="18">
        <v>13362.194999999998</v>
      </c>
      <c r="T1501" s="19" t="s">
        <v>84</v>
      </c>
      <c r="U1501" s="20" t="s">
        <v>1690</v>
      </c>
      <c r="V1501" s="21">
        <v>10</v>
      </c>
      <c r="W1501" s="21">
        <v>1</v>
      </c>
      <c r="X1501" s="22"/>
    </row>
    <row r="1502" spans="1:24" s="1" customFormat="1" ht="108" customHeight="1" x14ac:dyDescent="0.3">
      <c r="A1502" s="11" t="s">
        <v>1355</v>
      </c>
      <c r="B1502" s="11" t="s">
        <v>1911</v>
      </c>
      <c r="C1502" s="12" t="s">
        <v>1912</v>
      </c>
      <c r="D1502" s="24"/>
      <c r="E1502" s="69" t="str">
        <f>HYPERLINK("https://www.google.ru/search?q=235432SC06&amp;newwindow=1&amp;tbm=isch","Еще фото")</f>
        <v>Еще фото</v>
      </c>
      <c r="F1502" s="13"/>
      <c r="G1502" s="11" t="s">
        <v>1670</v>
      </c>
      <c r="H1502" s="11" t="s">
        <v>814</v>
      </c>
      <c r="I1502" s="14" t="s">
        <v>1664</v>
      </c>
      <c r="J1502" s="14" t="s">
        <v>879</v>
      </c>
      <c r="K1502" s="15" t="s">
        <v>30</v>
      </c>
      <c r="L1502" s="14" t="s">
        <v>1913</v>
      </c>
      <c r="M1502" s="14"/>
      <c r="N1502" s="14" t="s">
        <v>70</v>
      </c>
      <c r="O1502" s="14"/>
      <c r="P1502" s="15" t="s">
        <v>1883</v>
      </c>
      <c r="Q1502" s="16">
        <v>5799</v>
      </c>
      <c r="R1502" s="17">
        <v>30</v>
      </c>
      <c r="S1502" s="18">
        <v>4668.1949999999997</v>
      </c>
      <c r="T1502" s="19" t="s">
        <v>328</v>
      </c>
      <c r="U1502" s="20" t="s">
        <v>1680</v>
      </c>
      <c r="V1502" s="61">
        <v>6</v>
      </c>
      <c r="W1502" s="21">
        <v>12</v>
      </c>
      <c r="X1502" s="22"/>
    </row>
    <row r="1503" spans="1:24" s="1" customFormat="1" ht="108" customHeight="1" x14ac:dyDescent="0.3">
      <c r="A1503" s="11" t="s">
        <v>1355</v>
      </c>
      <c r="B1503" s="11" t="s">
        <v>1914</v>
      </c>
      <c r="C1503" s="12" t="s">
        <v>1915</v>
      </c>
      <c r="D1503" s="24"/>
      <c r="E1503" s="69" t="str">
        <f>HYPERLINK("https://www.google.ru/search?q=235434SC30&amp;newwindow=1&amp;tbm=isch","Еще фото")</f>
        <v>Еще фото</v>
      </c>
      <c r="F1503" s="13"/>
      <c r="G1503" s="11" t="s">
        <v>1693</v>
      </c>
      <c r="H1503" s="11" t="s">
        <v>814</v>
      </c>
      <c r="I1503" s="14" t="s">
        <v>1664</v>
      </c>
      <c r="J1503" s="14" t="s">
        <v>879</v>
      </c>
      <c r="K1503" s="15" t="s">
        <v>114</v>
      </c>
      <c r="L1503" s="14"/>
      <c r="M1503" s="14"/>
      <c r="N1503" s="14" t="s">
        <v>242</v>
      </c>
      <c r="O1503" s="14"/>
      <c r="P1503" s="15" t="s">
        <v>1672</v>
      </c>
      <c r="Q1503" s="16">
        <v>16599</v>
      </c>
      <c r="R1503" s="17">
        <v>30</v>
      </c>
      <c r="S1503" s="18">
        <v>13362.194999999998</v>
      </c>
      <c r="T1503" s="19" t="s">
        <v>84</v>
      </c>
      <c r="U1503" s="20" t="s">
        <v>1790</v>
      </c>
      <c r="V1503" s="21">
        <v>30</v>
      </c>
      <c r="W1503" s="21">
        <v>1</v>
      </c>
      <c r="X1503" s="22"/>
    </row>
    <row r="1504" spans="1:24" s="1" customFormat="1" ht="108" customHeight="1" x14ac:dyDescent="0.3">
      <c r="A1504" s="11" t="s">
        <v>1355</v>
      </c>
      <c r="B1504" s="11" t="s">
        <v>1916</v>
      </c>
      <c r="C1504" s="12" t="s">
        <v>1917</v>
      </c>
      <c r="D1504" s="24"/>
      <c r="E1504" s="69" t="str">
        <f>HYPERLINK("https://www.google.ru/search?q=235444SC10&amp;newwindow=1&amp;tbm=isch","Еще фото")</f>
        <v>Еще фото</v>
      </c>
      <c r="F1504" s="13"/>
      <c r="G1504" s="11" t="s">
        <v>1670</v>
      </c>
      <c r="H1504" s="11" t="s">
        <v>814</v>
      </c>
      <c r="I1504" s="14" t="s">
        <v>1664</v>
      </c>
      <c r="J1504" s="14" t="s">
        <v>879</v>
      </c>
      <c r="K1504" s="15" t="s">
        <v>114</v>
      </c>
      <c r="L1504" s="14"/>
      <c r="M1504" s="14"/>
      <c r="N1504" s="14" t="s">
        <v>116</v>
      </c>
      <c r="O1504" s="14"/>
      <c r="P1504" s="15" t="s">
        <v>1672</v>
      </c>
      <c r="Q1504" s="16">
        <v>16099</v>
      </c>
      <c r="R1504" s="17">
        <v>30</v>
      </c>
      <c r="S1504" s="18">
        <v>12959.694999999998</v>
      </c>
      <c r="T1504" s="19" t="s">
        <v>84</v>
      </c>
      <c r="U1504" s="20" t="s">
        <v>1690</v>
      </c>
      <c r="V1504" s="21">
        <v>10</v>
      </c>
      <c r="W1504" s="21">
        <v>3</v>
      </c>
      <c r="X1504" s="22"/>
    </row>
    <row r="1505" spans="1:24" s="1" customFormat="1" ht="108" customHeight="1" x14ac:dyDescent="0.3">
      <c r="A1505" s="11" t="s">
        <v>1355</v>
      </c>
      <c r="B1505" s="11" t="s">
        <v>1918</v>
      </c>
      <c r="C1505" s="12" t="s">
        <v>1919</v>
      </c>
      <c r="D1505" s="24"/>
      <c r="E1505" s="69" t="str">
        <f>HYPERLINK("https://www.google.ru/search?q=235454SC10&amp;newwindow=1&amp;tbm=isch","Еще фото")</f>
        <v>Еще фото</v>
      </c>
      <c r="F1505" s="13"/>
      <c r="G1505" s="11" t="s">
        <v>1670</v>
      </c>
      <c r="H1505" s="11" t="s">
        <v>814</v>
      </c>
      <c r="I1505" s="14" t="s">
        <v>1664</v>
      </c>
      <c r="J1505" s="14" t="s">
        <v>879</v>
      </c>
      <c r="K1505" s="15" t="s">
        <v>114</v>
      </c>
      <c r="L1505" s="14" t="s">
        <v>1920</v>
      </c>
      <c r="M1505" s="14"/>
      <c r="N1505" s="14" t="s">
        <v>49</v>
      </c>
      <c r="O1505" s="14"/>
      <c r="P1505" s="15" t="s">
        <v>1672</v>
      </c>
      <c r="Q1505" s="16">
        <v>16099</v>
      </c>
      <c r="R1505" s="17">
        <v>30</v>
      </c>
      <c r="S1505" s="18">
        <v>12959.694999999998</v>
      </c>
      <c r="T1505" s="19" t="s">
        <v>84</v>
      </c>
      <c r="U1505" s="20" t="s">
        <v>1690</v>
      </c>
      <c r="V1505" s="21">
        <v>10</v>
      </c>
      <c r="W1505" s="21">
        <v>7</v>
      </c>
      <c r="X1505" s="22"/>
    </row>
    <row r="1506" spans="1:24" s="1" customFormat="1" ht="108" customHeight="1" x14ac:dyDescent="0.3">
      <c r="A1506" s="11" t="s">
        <v>1355</v>
      </c>
      <c r="B1506" s="11" t="s">
        <v>1918</v>
      </c>
      <c r="C1506" s="12" t="s">
        <v>1921</v>
      </c>
      <c r="D1506" s="24"/>
      <c r="E1506" s="69" t="str">
        <f>HYPERLINK("https://www.google.ru/search?q=235454SC20&amp;newwindow=1&amp;tbm=isch","Еще фото")</f>
        <v>Еще фото</v>
      </c>
      <c r="F1506" s="13"/>
      <c r="G1506" s="11" t="s">
        <v>1670</v>
      </c>
      <c r="H1506" s="11" t="s">
        <v>814</v>
      </c>
      <c r="I1506" s="14" t="s">
        <v>1664</v>
      </c>
      <c r="J1506" s="14" t="s">
        <v>879</v>
      </c>
      <c r="K1506" s="15" t="s">
        <v>114</v>
      </c>
      <c r="L1506" s="14"/>
      <c r="M1506" s="14"/>
      <c r="N1506" s="14" t="s">
        <v>41</v>
      </c>
      <c r="O1506" s="14"/>
      <c r="P1506" s="15" t="s">
        <v>1672</v>
      </c>
      <c r="Q1506" s="16">
        <v>16099</v>
      </c>
      <c r="R1506" s="17">
        <v>30</v>
      </c>
      <c r="S1506" s="18">
        <v>12959.694999999998</v>
      </c>
      <c r="T1506" s="19" t="s">
        <v>84</v>
      </c>
      <c r="U1506" s="20" t="s">
        <v>1788</v>
      </c>
      <c r="V1506" s="21">
        <v>20</v>
      </c>
      <c r="W1506" s="21">
        <v>10</v>
      </c>
      <c r="X1506" s="22"/>
    </row>
    <row r="1507" spans="1:24" s="1" customFormat="1" ht="108" customHeight="1" x14ac:dyDescent="0.3">
      <c r="A1507" s="11" t="s">
        <v>1355</v>
      </c>
      <c r="B1507" s="11" t="s">
        <v>1922</v>
      </c>
      <c r="C1507" s="12" t="s">
        <v>1923</v>
      </c>
      <c r="D1507" s="24"/>
      <c r="E1507" s="69" t="str">
        <f>HYPERLINK("https://www.google.ru/search?q=235621SC20&amp;newwindow=1&amp;tbm=isch","Еще фото")</f>
        <v>Еще фото</v>
      </c>
      <c r="F1507" s="31" t="s">
        <v>738</v>
      </c>
      <c r="G1507" s="11" t="s">
        <v>1670</v>
      </c>
      <c r="H1507" s="11" t="s">
        <v>814</v>
      </c>
      <c r="I1507" s="14" t="s">
        <v>1664</v>
      </c>
      <c r="J1507" s="14" t="s">
        <v>879</v>
      </c>
      <c r="K1507" s="15" t="s">
        <v>114</v>
      </c>
      <c r="L1507" s="14"/>
      <c r="M1507" s="14"/>
      <c r="N1507" s="14" t="s">
        <v>70</v>
      </c>
      <c r="O1507" s="14"/>
      <c r="P1507" s="15" t="s">
        <v>1672</v>
      </c>
      <c r="Q1507" s="16">
        <v>5499</v>
      </c>
      <c r="R1507" s="17">
        <v>30</v>
      </c>
      <c r="S1507" s="18">
        <v>4426.6949999999997</v>
      </c>
      <c r="T1507" s="19" t="s">
        <v>84</v>
      </c>
      <c r="U1507" s="20" t="s">
        <v>1788</v>
      </c>
      <c r="V1507" s="21">
        <v>20</v>
      </c>
      <c r="W1507" s="21">
        <v>16</v>
      </c>
      <c r="X1507" s="22"/>
    </row>
    <row r="1508" spans="1:24" s="1" customFormat="1" ht="108" customHeight="1" x14ac:dyDescent="0.3">
      <c r="A1508" s="11" t="s">
        <v>1355</v>
      </c>
      <c r="B1508" s="11" t="s">
        <v>1922</v>
      </c>
      <c r="C1508" s="12" t="s">
        <v>1924</v>
      </c>
      <c r="D1508" s="24"/>
      <c r="E1508" s="69" t="str">
        <f>HYPERLINK("https://www.google.ru/search?q=235621SC30&amp;newwindow=1&amp;tbm=isch","Еще фото")</f>
        <v>Еще фото</v>
      </c>
      <c r="F1508" s="31" t="s">
        <v>738</v>
      </c>
      <c r="G1508" s="11" t="s">
        <v>1670</v>
      </c>
      <c r="H1508" s="11" t="s">
        <v>814</v>
      </c>
      <c r="I1508" s="14" t="s">
        <v>1664</v>
      </c>
      <c r="J1508" s="14" t="s">
        <v>879</v>
      </c>
      <c r="K1508" s="15" t="s">
        <v>114</v>
      </c>
      <c r="L1508" s="14"/>
      <c r="M1508" s="14"/>
      <c r="N1508" s="14" t="s">
        <v>116</v>
      </c>
      <c r="O1508" s="14"/>
      <c r="P1508" s="15" t="s">
        <v>1672</v>
      </c>
      <c r="Q1508" s="16">
        <v>5799</v>
      </c>
      <c r="R1508" s="17">
        <v>30</v>
      </c>
      <c r="S1508" s="18">
        <v>4668.1949999999997</v>
      </c>
      <c r="T1508" s="19" t="s">
        <v>84</v>
      </c>
      <c r="U1508" s="20" t="s">
        <v>1790</v>
      </c>
      <c r="V1508" s="21">
        <v>30</v>
      </c>
      <c r="W1508" s="21">
        <v>56</v>
      </c>
      <c r="X1508" s="22"/>
    </row>
    <row r="1509" spans="1:24" s="1" customFormat="1" ht="108" customHeight="1" x14ac:dyDescent="0.3">
      <c r="A1509" s="11" t="s">
        <v>1355</v>
      </c>
      <c r="B1509" s="11" t="s">
        <v>1922</v>
      </c>
      <c r="C1509" s="12" t="s">
        <v>1925</v>
      </c>
      <c r="D1509" s="24"/>
      <c r="E1509" s="69" t="str">
        <f>HYPERLINK("https://www.google.ru/search?q=235621SC40&amp;newwindow=1&amp;tbm=isch","Еще фото")</f>
        <v>Еще фото</v>
      </c>
      <c r="F1509" s="31" t="s">
        <v>738</v>
      </c>
      <c r="G1509" s="11" t="s">
        <v>1670</v>
      </c>
      <c r="H1509" s="11" t="s">
        <v>814</v>
      </c>
      <c r="I1509" s="14" t="s">
        <v>1664</v>
      </c>
      <c r="J1509" s="14" t="s">
        <v>879</v>
      </c>
      <c r="K1509" s="15" t="s">
        <v>114</v>
      </c>
      <c r="L1509" s="14" t="s">
        <v>1926</v>
      </c>
      <c r="M1509" s="14"/>
      <c r="N1509" s="14" t="s">
        <v>116</v>
      </c>
      <c r="O1509" s="14"/>
      <c r="P1509" s="15" t="s">
        <v>1689</v>
      </c>
      <c r="Q1509" s="16">
        <v>5799</v>
      </c>
      <c r="R1509" s="17">
        <v>30</v>
      </c>
      <c r="S1509" s="18">
        <v>4668.1949999999997</v>
      </c>
      <c r="T1509" s="19" t="s">
        <v>84</v>
      </c>
      <c r="U1509" s="20" t="s">
        <v>1796</v>
      </c>
      <c r="V1509" s="21">
        <v>40</v>
      </c>
      <c r="W1509" s="21">
        <v>4</v>
      </c>
      <c r="X1509" s="22"/>
    </row>
    <row r="1510" spans="1:24" s="1" customFormat="1" ht="108" customHeight="1" x14ac:dyDescent="0.3">
      <c r="A1510" s="11" t="s">
        <v>1355</v>
      </c>
      <c r="B1510" s="11" t="s">
        <v>1927</v>
      </c>
      <c r="C1510" s="12" t="s">
        <v>1928</v>
      </c>
      <c r="D1510" s="24"/>
      <c r="E1510" s="69" t="str">
        <f>HYPERLINK("https://www.google.ru/search?q=235834SC05&amp;newwindow=1&amp;tbm=isch","Еще фото")</f>
        <v>Еще фото</v>
      </c>
      <c r="F1510" s="13"/>
      <c r="G1510" s="11" t="s">
        <v>1670</v>
      </c>
      <c r="H1510" s="11" t="s">
        <v>814</v>
      </c>
      <c r="I1510" s="14" t="s">
        <v>1664</v>
      </c>
      <c r="J1510" s="14" t="s">
        <v>879</v>
      </c>
      <c r="K1510" s="15" t="s">
        <v>114</v>
      </c>
      <c r="L1510" s="14" t="s">
        <v>1929</v>
      </c>
      <c r="M1510" s="14"/>
      <c r="N1510" s="14" t="s">
        <v>265</v>
      </c>
      <c r="O1510" s="14"/>
      <c r="P1510" s="15" t="s">
        <v>1676</v>
      </c>
      <c r="Q1510" s="16">
        <v>4699</v>
      </c>
      <c r="R1510" s="17">
        <v>30</v>
      </c>
      <c r="S1510" s="18">
        <v>3782.6949999999997</v>
      </c>
      <c r="T1510" s="19" t="s">
        <v>328</v>
      </c>
      <c r="U1510" s="20" t="s">
        <v>1667</v>
      </c>
      <c r="V1510" s="61">
        <v>5</v>
      </c>
      <c r="W1510" s="21">
        <v>4</v>
      </c>
      <c r="X1510" s="22"/>
    </row>
    <row r="1511" spans="1:24" s="1" customFormat="1" ht="108" customHeight="1" x14ac:dyDescent="0.3">
      <c r="A1511" s="11" t="s">
        <v>1355</v>
      </c>
      <c r="B1511" s="11" t="s">
        <v>1930</v>
      </c>
      <c r="C1511" s="12" t="s">
        <v>1931</v>
      </c>
      <c r="D1511" s="24"/>
      <c r="E1511" s="69" t="str">
        <f>HYPERLINK("https://www.google.ru/search?q=236064SC00&amp;newwindow=1&amp;tbm=isch","Еще фото")</f>
        <v>Еще фото</v>
      </c>
      <c r="F1511" s="13"/>
      <c r="G1511" s="11" t="s">
        <v>1670</v>
      </c>
      <c r="H1511" s="11" t="s">
        <v>814</v>
      </c>
      <c r="I1511" s="14" t="s">
        <v>1664</v>
      </c>
      <c r="J1511" s="14" t="s">
        <v>879</v>
      </c>
      <c r="K1511" s="15" t="s">
        <v>114</v>
      </c>
      <c r="L1511" s="14" t="s">
        <v>1932</v>
      </c>
      <c r="M1511" s="14"/>
      <c r="N1511" s="14" t="s">
        <v>49</v>
      </c>
      <c r="O1511" s="14"/>
      <c r="P1511" s="15" t="s">
        <v>1666</v>
      </c>
      <c r="Q1511" s="16">
        <v>16499</v>
      </c>
      <c r="R1511" s="17">
        <v>30</v>
      </c>
      <c r="S1511" s="18">
        <v>13281.694999999998</v>
      </c>
      <c r="T1511" s="19" t="s">
        <v>328</v>
      </c>
      <c r="U1511" s="20" t="s">
        <v>1782</v>
      </c>
      <c r="V1511" s="61">
        <v>0</v>
      </c>
      <c r="W1511" s="21">
        <v>7</v>
      </c>
      <c r="X1511" s="22"/>
    </row>
    <row r="1512" spans="1:24" s="1" customFormat="1" ht="108" customHeight="1" x14ac:dyDescent="0.3">
      <c r="A1512" s="11" t="s">
        <v>1355</v>
      </c>
      <c r="B1512" s="11" t="s">
        <v>1933</v>
      </c>
      <c r="C1512" s="12" t="s">
        <v>1934</v>
      </c>
      <c r="D1512" s="24"/>
      <c r="E1512" s="69" t="str">
        <f>HYPERLINK("https://www.google.ru/search?q=262615-PU&amp;newwindow=1&amp;tbm=isch","Еще фото")</f>
        <v>Еще фото</v>
      </c>
      <c r="F1512" s="13"/>
      <c r="G1512" s="11" t="s">
        <v>535</v>
      </c>
      <c r="H1512" s="11" t="s">
        <v>536</v>
      </c>
      <c r="I1512" s="14" t="s">
        <v>537</v>
      </c>
      <c r="J1512" s="14" t="s">
        <v>879</v>
      </c>
      <c r="K1512" s="15" t="s">
        <v>30</v>
      </c>
      <c r="L1512" s="14" t="s">
        <v>1935</v>
      </c>
      <c r="M1512" s="14"/>
      <c r="N1512" s="14" t="s">
        <v>576</v>
      </c>
      <c r="O1512" s="14"/>
      <c r="P1512" s="15" t="s">
        <v>108</v>
      </c>
      <c r="Q1512" s="16">
        <v>6899</v>
      </c>
      <c r="R1512" s="17">
        <v>48.87</v>
      </c>
      <c r="S1512" s="18">
        <v>4056.9354999999996</v>
      </c>
      <c r="T1512" s="19" t="s">
        <v>117</v>
      </c>
      <c r="U1512" s="20" t="s">
        <v>788</v>
      </c>
      <c r="V1512" s="25" t="s">
        <v>119</v>
      </c>
      <c r="W1512" s="21">
        <v>32</v>
      </c>
      <c r="X1512" s="22"/>
    </row>
    <row r="1513" spans="1:24" s="1" customFormat="1" ht="108" customHeight="1" x14ac:dyDescent="0.3">
      <c r="A1513" s="11" t="s">
        <v>1355</v>
      </c>
      <c r="B1513" s="11" t="s">
        <v>1936</v>
      </c>
      <c r="C1513" s="12" t="s">
        <v>1937</v>
      </c>
      <c r="D1513" s="24"/>
      <c r="E1513" s="69" t="str">
        <f>HYPERLINK("https://www.google.ru/search?q=262605-BL&amp;newwindow=1&amp;tbm=isch","Еще фото")</f>
        <v>Еще фото</v>
      </c>
      <c r="F1513" s="13"/>
      <c r="G1513" s="11" t="s">
        <v>535</v>
      </c>
      <c r="H1513" s="11" t="s">
        <v>536</v>
      </c>
      <c r="I1513" s="14" t="s">
        <v>537</v>
      </c>
      <c r="J1513" s="14" t="s">
        <v>879</v>
      </c>
      <c r="K1513" s="15" t="s">
        <v>30</v>
      </c>
      <c r="L1513" s="14" t="s">
        <v>1935</v>
      </c>
      <c r="M1513" s="14"/>
      <c r="N1513" s="14" t="s">
        <v>70</v>
      </c>
      <c r="O1513" s="14"/>
      <c r="P1513" s="15" t="s">
        <v>108</v>
      </c>
      <c r="Q1513" s="16">
        <v>5899</v>
      </c>
      <c r="R1513" s="17">
        <v>48.84</v>
      </c>
      <c r="S1513" s="18">
        <v>3470.4354999999996</v>
      </c>
      <c r="T1513" s="19" t="s">
        <v>117</v>
      </c>
      <c r="U1513" s="20" t="s">
        <v>788</v>
      </c>
      <c r="V1513" s="25" t="s">
        <v>119</v>
      </c>
      <c r="W1513" s="21">
        <v>18</v>
      </c>
      <c r="X1513" s="22"/>
    </row>
    <row r="1514" spans="1:24" s="1" customFormat="1" ht="108" customHeight="1" x14ac:dyDescent="0.3">
      <c r="A1514" s="11" t="s">
        <v>1355</v>
      </c>
      <c r="B1514" s="11" t="s">
        <v>1938</v>
      </c>
      <c r="C1514" s="12" t="s">
        <v>1939</v>
      </c>
      <c r="D1514" s="24"/>
      <c r="E1514" s="69" t="str">
        <f>HYPERLINK("https://www.google.ru/search?q=260336-OR&amp;newwindow=1&amp;tbm=isch","Еще фото")</f>
        <v>Еще фото</v>
      </c>
      <c r="F1514" s="31" t="s">
        <v>738</v>
      </c>
      <c r="G1514" s="11" t="s">
        <v>535</v>
      </c>
      <c r="H1514" s="11" t="s">
        <v>536</v>
      </c>
      <c r="I1514" s="14" t="s">
        <v>537</v>
      </c>
      <c r="J1514" s="14" t="s">
        <v>879</v>
      </c>
      <c r="K1514" s="15" t="s">
        <v>114</v>
      </c>
      <c r="L1514" s="14"/>
      <c r="M1514" s="14"/>
      <c r="N1514" s="14" t="s">
        <v>636</v>
      </c>
      <c r="O1514" s="14"/>
      <c r="P1514" s="15" t="s">
        <v>108</v>
      </c>
      <c r="Q1514" s="16">
        <v>8499</v>
      </c>
      <c r="R1514" s="17">
        <v>30</v>
      </c>
      <c r="S1514" s="18">
        <v>6841.6949999999997</v>
      </c>
      <c r="T1514" s="19" t="s">
        <v>117</v>
      </c>
      <c r="U1514" s="20" t="s">
        <v>788</v>
      </c>
      <c r="V1514" s="25" t="s">
        <v>119</v>
      </c>
      <c r="W1514" s="21">
        <v>13</v>
      </c>
      <c r="X1514" s="22"/>
    </row>
    <row r="1515" spans="1:24" s="1" customFormat="1" ht="108" customHeight="1" x14ac:dyDescent="0.3">
      <c r="A1515" s="11" t="s">
        <v>1355</v>
      </c>
      <c r="B1515" s="11" t="s">
        <v>1940</v>
      </c>
      <c r="C1515" s="12" t="s">
        <v>1941</v>
      </c>
      <c r="D1515" s="24"/>
      <c r="E1515" s="69" t="str">
        <f>HYPERLINK("https://www.google.ru/search?q=260436-PK&amp;newwindow=1&amp;tbm=isch","Еще фото")</f>
        <v>Еще фото</v>
      </c>
      <c r="F1515" s="31" t="s">
        <v>738</v>
      </c>
      <c r="G1515" s="11" t="s">
        <v>535</v>
      </c>
      <c r="H1515" s="11" t="s">
        <v>536</v>
      </c>
      <c r="I1515" s="14" t="s">
        <v>537</v>
      </c>
      <c r="J1515" s="14" t="s">
        <v>879</v>
      </c>
      <c r="K1515" s="15" t="s">
        <v>114</v>
      </c>
      <c r="L1515" s="14"/>
      <c r="M1515" s="14"/>
      <c r="N1515" s="14" t="s">
        <v>275</v>
      </c>
      <c r="O1515" s="14"/>
      <c r="P1515" s="15" t="s">
        <v>108</v>
      </c>
      <c r="Q1515" s="16">
        <v>8499</v>
      </c>
      <c r="R1515" s="17">
        <v>30</v>
      </c>
      <c r="S1515" s="18">
        <v>6841.6949999999997</v>
      </c>
      <c r="T1515" s="19" t="s">
        <v>117</v>
      </c>
      <c r="U1515" s="20" t="s">
        <v>788</v>
      </c>
      <c r="V1515" s="25" t="s">
        <v>119</v>
      </c>
      <c r="W1515" s="21">
        <v>5</v>
      </c>
      <c r="X1515" s="22"/>
    </row>
    <row r="1516" spans="1:24" s="1" customFormat="1" ht="108" customHeight="1" x14ac:dyDescent="0.3">
      <c r="A1516" s="11" t="s">
        <v>1355</v>
      </c>
      <c r="B1516" s="11" t="s">
        <v>1942</v>
      </c>
      <c r="C1516" s="12" t="s">
        <v>1943</v>
      </c>
      <c r="D1516" s="24"/>
      <c r="E1516" s="69" t="str">
        <f>HYPERLINK("https://www.google.ru/search?q=260536-GE&amp;newwindow=1&amp;tbm=isch","Еще фото")</f>
        <v>Еще фото</v>
      </c>
      <c r="F1516" s="31" t="s">
        <v>738</v>
      </c>
      <c r="G1516" s="11" t="s">
        <v>535</v>
      </c>
      <c r="H1516" s="11" t="s">
        <v>536</v>
      </c>
      <c r="I1516" s="14" t="s">
        <v>537</v>
      </c>
      <c r="J1516" s="14" t="s">
        <v>879</v>
      </c>
      <c r="K1516" s="15" t="s">
        <v>114</v>
      </c>
      <c r="L1516" s="14"/>
      <c r="M1516" s="14"/>
      <c r="N1516" s="14" t="s">
        <v>242</v>
      </c>
      <c r="O1516" s="14"/>
      <c r="P1516" s="15" t="s">
        <v>108</v>
      </c>
      <c r="Q1516" s="16">
        <v>8499</v>
      </c>
      <c r="R1516" s="17">
        <v>30</v>
      </c>
      <c r="S1516" s="18">
        <v>6841.6949999999997</v>
      </c>
      <c r="T1516" s="19" t="s">
        <v>117</v>
      </c>
      <c r="U1516" s="20" t="s">
        <v>788</v>
      </c>
      <c r="V1516" s="25" t="s">
        <v>119</v>
      </c>
      <c r="W1516" s="21">
        <v>36</v>
      </c>
      <c r="X1516" s="22"/>
    </row>
    <row r="1517" spans="1:24" s="1" customFormat="1" ht="108" customHeight="1" x14ac:dyDescent="0.3">
      <c r="A1517" s="11" t="s">
        <v>1355</v>
      </c>
      <c r="B1517" s="11" t="s">
        <v>1944</v>
      </c>
      <c r="C1517" s="12" t="s">
        <v>1945</v>
      </c>
      <c r="D1517" s="24"/>
      <c r="E1517" s="69" t="str">
        <f>HYPERLINK("https://www.google.ru/search?q=260636-BL&amp;newwindow=1&amp;tbm=isch","Еще фото")</f>
        <v>Еще фото</v>
      </c>
      <c r="F1517" s="31" t="s">
        <v>738</v>
      </c>
      <c r="G1517" s="11" t="s">
        <v>535</v>
      </c>
      <c r="H1517" s="11" t="s">
        <v>536</v>
      </c>
      <c r="I1517" s="14" t="s">
        <v>537</v>
      </c>
      <c r="J1517" s="14" t="s">
        <v>879</v>
      </c>
      <c r="K1517" s="15" t="s">
        <v>114</v>
      </c>
      <c r="L1517" s="14"/>
      <c r="M1517" s="14"/>
      <c r="N1517" s="14" t="s">
        <v>265</v>
      </c>
      <c r="O1517" s="14"/>
      <c r="P1517" s="15" t="s">
        <v>108</v>
      </c>
      <c r="Q1517" s="16">
        <v>8499</v>
      </c>
      <c r="R1517" s="17">
        <v>30</v>
      </c>
      <c r="S1517" s="18">
        <v>6841.6949999999997</v>
      </c>
      <c r="T1517" s="19" t="s">
        <v>117</v>
      </c>
      <c r="U1517" s="20" t="s">
        <v>788</v>
      </c>
      <c r="V1517" s="25" t="s">
        <v>119</v>
      </c>
      <c r="W1517" s="21">
        <v>14</v>
      </c>
      <c r="X1517" s="22"/>
    </row>
    <row r="1518" spans="1:24" s="1" customFormat="1" ht="108" customHeight="1" x14ac:dyDescent="0.3">
      <c r="A1518" s="11" t="s">
        <v>1355</v>
      </c>
      <c r="B1518" s="11" t="s">
        <v>1946</v>
      </c>
      <c r="C1518" s="12" t="s">
        <v>1947</v>
      </c>
      <c r="D1518" s="24"/>
      <c r="E1518" s="69" t="str">
        <f>HYPERLINK("https://www.google.ru/search?q=260945-SG&amp;newwindow=1&amp;tbm=isch","Еще фото")</f>
        <v>Еще фото</v>
      </c>
      <c r="F1518" s="13"/>
      <c r="G1518" s="11" t="s">
        <v>535</v>
      </c>
      <c r="H1518" s="11" t="s">
        <v>536</v>
      </c>
      <c r="I1518" s="14" t="s">
        <v>537</v>
      </c>
      <c r="J1518" s="14" t="s">
        <v>879</v>
      </c>
      <c r="K1518" s="15" t="s">
        <v>114</v>
      </c>
      <c r="L1518" s="14" t="s">
        <v>1948</v>
      </c>
      <c r="M1518" s="14"/>
      <c r="N1518" s="14" t="s">
        <v>242</v>
      </c>
      <c r="O1518" s="14"/>
      <c r="P1518" s="15" t="s">
        <v>108</v>
      </c>
      <c r="Q1518" s="16">
        <v>8999</v>
      </c>
      <c r="R1518" s="17">
        <v>30</v>
      </c>
      <c r="S1518" s="18">
        <v>7244.1949999999997</v>
      </c>
      <c r="T1518" s="19" t="s">
        <v>117</v>
      </c>
      <c r="U1518" s="20" t="s">
        <v>788</v>
      </c>
      <c r="V1518" s="25" t="s">
        <v>119</v>
      </c>
      <c r="W1518" s="21">
        <v>3</v>
      </c>
      <c r="X1518" s="22"/>
    </row>
    <row r="1519" spans="1:24" s="1" customFormat="1" ht="108" customHeight="1" x14ac:dyDescent="0.3">
      <c r="A1519" s="11" t="s">
        <v>1355</v>
      </c>
      <c r="B1519" s="11" t="s">
        <v>1949</v>
      </c>
      <c r="C1519" s="12" t="s">
        <v>1950</v>
      </c>
      <c r="D1519" s="24"/>
      <c r="E1519" s="69" t="str">
        <f>HYPERLINK("https://www.google.ru/search?q=261036-PK&amp;newwindow=1&amp;tbm=isch","Еще фото")</f>
        <v>Еще фото</v>
      </c>
      <c r="F1519" s="31" t="s">
        <v>738</v>
      </c>
      <c r="G1519" s="11" t="s">
        <v>535</v>
      </c>
      <c r="H1519" s="11" t="s">
        <v>536</v>
      </c>
      <c r="I1519" s="14" t="s">
        <v>537</v>
      </c>
      <c r="J1519" s="14" t="s">
        <v>879</v>
      </c>
      <c r="K1519" s="15" t="s">
        <v>114</v>
      </c>
      <c r="L1519" s="14"/>
      <c r="M1519" s="14"/>
      <c r="N1519" s="14" t="s">
        <v>275</v>
      </c>
      <c r="O1519" s="14"/>
      <c r="P1519" s="15" t="s">
        <v>108</v>
      </c>
      <c r="Q1519" s="16">
        <v>3750</v>
      </c>
      <c r="R1519" s="17">
        <v>30</v>
      </c>
      <c r="S1519" s="18">
        <v>3018.7499999999995</v>
      </c>
      <c r="T1519" s="19" t="s">
        <v>117</v>
      </c>
      <c r="U1519" s="20" t="s">
        <v>788</v>
      </c>
      <c r="V1519" s="25" t="s">
        <v>119</v>
      </c>
      <c r="W1519" s="21">
        <v>20</v>
      </c>
      <c r="X1519" s="22"/>
    </row>
    <row r="1520" spans="1:24" s="1" customFormat="1" ht="108" customHeight="1" x14ac:dyDescent="0.3">
      <c r="A1520" s="11" t="s">
        <v>1355</v>
      </c>
      <c r="B1520" s="11" t="s">
        <v>1951</v>
      </c>
      <c r="C1520" s="12" t="s">
        <v>1952</v>
      </c>
      <c r="D1520" s="24"/>
      <c r="E1520" s="69" t="str">
        <f>HYPERLINK("https://www.google.ru/search?q=261235-BK&amp;newwindow=1&amp;tbm=isch","Еще фото")</f>
        <v>Еще фото</v>
      </c>
      <c r="F1520" s="31" t="s">
        <v>738</v>
      </c>
      <c r="G1520" s="11" t="s">
        <v>535</v>
      </c>
      <c r="H1520" s="11" t="s">
        <v>536</v>
      </c>
      <c r="I1520" s="14" t="s">
        <v>537</v>
      </c>
      <c r="J1520" s="14" t="s">
        <v>879</v>
      </c>
      <c r="K1520" s="15" t="s">
        <v>114</v>
      </c>
      <c r="L1520" s="14" t="s">
        <v>1953</v>
      </c>
      <c r="M1520" s="14"/>
      <c r="N1520" s="14" t="s">
        <v>49</v>
      </c>
      <c r="O1520" s="14"/>
      <c r="P1520" s="15" t="s">
        <v>108</v>
      </c>
      <c r="Q1520" s="16">
        <v>4799</v>
      </c>
      <c r="R1520" s="17">
        <v>30</v>
      </c>
      <c r="S1520" s="18">
        <v>3863.1949999999997</v>
      </c>
      <c r="T1520" s="19" t="s">
        <v>117</v>
      </c>
      <c r="U1520" s="20" t="s">
        <v>788</v>
      </c>
      <c r="V1520" s="25" t="s">
        <v>119</v>
      </c>
      <c r="W1520" s="21">
        <v>32</v>
      </c>
      <c r="X1520" s="22"/>
    </row>
    <row r="1521" spans="1:24" s="1" customFormat="1" ht="108" customHeight="1" x14ac:dyDescent="0.3">
      <c r="A1521" s="11" t="s">
        <v>1355</v>
      </c>
      <c r="B1521" s="11" t="s">
        <v>1954</v>
      </c>
      <c r="C1521" s="12" t="s">
        <v>1955</v>
      </c>
      <c r="D1521" s="24"/>
      <c r="E1521" s="69" t="str">
        <f>HYPERLINK("https://www.google.ru/search?q=261335-NV&amp;newwindow=1&amp;tbm=isch","Еще фото")</f>
        <v>Еще фото</v>
      </c>
      <c r="F1521" s="13"/>
      <c r="G1521" s="11" t="s">
        <v>535</v>
      </c>
      <c r="H1521" s="11" t="s">
        <v>536</v>
      </c>
      <c r="I1521" s="14" t="s">
        <v>537</v>
      </c>
      <c r="J1521" s="14" t="s">
        <v>879</v>
      </c>
      <c r="K1521" s="15" t="s">
        <v>114</v>
      </c>
      <c r="L1521" s="14" t="s">
        <v>1953</v>
      </c>
      <c r="M1521" s="14"/>
      <c r="N1521" s="14" t="s">
        <v>70</v>
      </c>
      <c r="O1521" s="14"/>
      <c r="P1521" s="15" t="s">
        <v>108</v>
      </c>
      <c r="Q1521" s="16">
        <v>4799</v>
      </c>
      <c r="R1521" s="17">
        <v>30</v>
      </c>
      <c r="S1521" s="18">
        <v>3863.1949999999997</v>
      </c>
      <c r="T1521" s="19" t="s">
        <v>117</v>
      </c>
      <c r="U1521" s="20" t="s">
        <v>788</v>
      </c>
      <c r="V1521" s="25" t="s">
        <v>119</v>
      </c>
      <c r="W1521" s="21">
        <v>14</v>
      </c>
      <c r="X1521" s="22"/>
    </row>
    <row r="1522" spans="1:24" s="1" customFormat="1" ht="108" customHeight="1" x14ac:dyDescent="0.3">
      <c r="A1522" s="11" t="s">
        <v>1355</v>
      </c>
      <c r="B1522" s="11" t="s">
        <v>1956</v>
      </c>
      <c r="C1522" s="12" t="s">
        <v>1957</v>
      </c>
      <c r="D1522" s="24"/>
      <c r="E1522" s="69" t="str">
        <f>HYPERLINK("https://www.google.ru/search?q=262036-PU&amp;newwindow=1&amp;tbm=isch","Еще фото")</f>
        <v>Еще фото</v>
      </c>
      <c r="F1522" s="31" t="s">
        <v>738</v>
      </c>
      <c r="G1522" s="11" t="s">
        <v>535</v>
      </c>
      <c r="H1522" s="11" t="s">
        <v>536</v>
      </c>
      <c r="I1522" s="14" t="s">
        <v>537</v>
      </c>
      <c r="J1522" s="14" t="s">
        <v>879</v>
      </c>
      <c r="K1522" s="15" t="s">
        <v>114</v>
      </c>
      <c r="L1522" s="14"/>
      <c r="M1522" s="14"/>
      <c r="N1522" s="14" t="s">
        <v>576</v>
      </c>
      <c r="O1522" s="14"/>
      <c r="P1522" s="15" t="s">
        <v>108</v>
      </c>
      <c r="Q1522" s="16">
        <v>8499</v>
      </c>
      <c r="R1522" s="17">
        <v>30</v>
      </c>
      <c r="S1522" s="18">
        <v>6841.6949999999997</v>
      </c>
      <c r="T1522" s="19" t="s">
        <v>117</v>
      </c>
      <c r="U1522" s="20" t="s">
        <v>788</v>
      </c>
      <c r="V1522" s="25" t="s">
        <v>119</v>
      </c>
      <c r="W1522" s="21">
        <v>23</v>
      </c>
      <c r="X1522" s="22"/>
    </row>
    <row r="1523" spans="1:24" s="1" customFormat="1" ht="108" customHeight="1" x14ac:dyDescent="0.3">
      <c r="A1523" s="11" t="s">
        <v>1355</v>
      </c>
      <c r="B1523" s="11" t="s">
        <v>1958</v>
      </c>
      <c r="C1523" s="12" t="s">
        <v>1959</v>
      </c>
      <c r="D1523" s="24"/>
      <c r="E1523" s="69" t="str">
        <f>HYPERLINK("https://www.google.ru/search?q=262244-BKCC&amp;newwindow=1&amp;tbm=isch","Еще фото")</f>
        <v>Еще фото</v>
      </c>
      <c r="F1523" s="31" t="s">
        <v>738</v>
      </c>
      <c r="G1523" s="11" t="s">
        <v>535</v>
      </c>
      <c r="H1523" s="11" t="s">
        <v>536</v>
      </c>
      <c r="I1523" s="14" t="s">
        <v>537</v>
      </c>
      <c r="J1523" s="14" t="s">
        <v>879</v>
      </c>
      <c r="K1523" s="15" t="s">
        <v>114</v>
      </c>
      <c r="L1523" s="14" t="s">
        <v>1960</v>
      </c>
      <c r="M1523" s="14"/>
      <c r="N1523" s="14" t="s">
        <v>49</v>
      </c>
      <c r="O1523" s="14"/>
      <c r="P1523" s="15" t="s">
        <v>108</v>
      </c>
      <c r="Q1523" s="16">
        <v>5299</v>
      </c>
      <c r="R1523" s="17">
        <v>30</v>
      </c>
      <c r="S1523" s="18">
        <v>4265.6949999999997</v>
      </c>
      <c r="T1523" s="19" t="s">
        <v>117</v>
      </c>
      <c r="U1523" s="20" t="s">
        <v>788</v>
      </c>
      <c r="V1523" s="25" t="s">
        <v>119</v>
      </c>
      <c r="W1523" s="21">
        <v>10</v>
      </c>
      <c r="X1523" s="22"/>
    </row>
    <row r="1524" spans="1:24" s="1" customFormat="1" ht="108" customHeight="1" x14ac:dyDescent="0.3">
      <c r="A1524" s="11" t="s">
        <v>1355</v>
      </c>
      <c r="B1524" s="11" t="s">
        <v>1961</v>
      </c>
      <c r="C1524" s="12" t="s">
        <v>1962</v>
      </c>
      <c r="D1524" s="24"/>
      <c r="E1524" s="69" t="str">
        <f>HYPERLINK("https://www.google.ru/search?q=262344-BLBK&amp;newwindow=1&amp;tbm=isch","Еще фото")</f>
        <v>Еще фото</v>
      </c>
      <c r="F1524" s="13"/>
      <c r="G1524" s="11" t="s">
        <v>535</v>
      </c>
      <c r="H1524" s="11" t="s">
        <v>536</v>
      </c>
      <c r="I1524" s="14" t="s">
        <v>537</v>
      </c>
      <c r="J1524" s="14" t="s">
        <v>879</v>
      </c>
      <c r="K1524" s="15" t="s">
        <v>114</v>
      </c>
      <c r="L1524" s="14" t="s">
        <v>1960</v>
      </c>
      <c r="M1524" s="14"/>
      <c r="N1524" s="14" t="s">
        <v>70</v>
      </c>
      <c r="O1524" s="14"/>
      <c r="P1524" s="15" t="s">
        <v>108</v>
      </c>
      <c r="Q1524" s="16">
        <v>5299</v>
      </c>
      <c r="R1524" s="17">
        <v>30</v>
      </c>
      <c r="S1524" s="18">
        <v>4265.6949999999997</v>
      </c>
      <c r="T1524" s="19" t="s">
        <v>117</v>
      </c>
      <c r="U1524" s="20" t="s">
        <v>788</v>
      </c>
      <c r="V1524" s="25" t="s">
        <v>119</v>
      </c>
      <c r="W1524" s="21">
        <v>13</v>
      </c>
      <c r="X1524" s="22"/>
    </row>
    <row r="1525" spans="1:24" s="1" customFormat="1" ht="108" customHeight="1" x14ac:dyDescent="0.3">
      <c r="A1525" s="11" t="s">
        <v>1355</v>
      </c>
      <c r="B1525" s="11" t="s">
        <v>1963</v>
      </c>
      <c r="C1525" s="12" t="s">
        <v>1964</v>
      </c>
      <c r="D1525" s="24"/>
      <c r="E1525" s="69" t="str">
        <f>HYPERLINK("https://www.google.ru/search?q=281103-16GR&amp;newwindow=1&amp;tbm=isch","Еще фото")</f>
        <v>Еще фото</v>
      </c>
      <c r="F1525" s="13"/>
      <c r="G1525" s="11" t="s">
        <v>1965</v>
      </c>
      <c r="H1525" s="11" t="s">
        <v>814</v>
      </c>
      <c r="I1525" s="14" t="s">
        <v>1966</v>
      </c>
      <c r="J1525" s="14" t="s">
        <v>879</v>
      </c>
      <c r="K1525" s="15" t="s">
        <v>114</v>
      </c>
      <c r="L1525" s="14" t="s">
        <v>1967</v>
      </c>
      <c r="M1525" s="14"/>
      <c r="N1525" s="14" t="s">
        <v>41</v>
      </c>
      <c r="O1525" s="14"/>
      <c r="P1525" s="15" t="s">
        <v>1011</v>
      </c>
      <c r="Q1525" s="16">
        <v>2149</v>
      </c>
      <c r="R1525" s="17">
        <v>64.739999999999995</v>
      </c>
      <c r="S1525" s="29">
        <v>871.43549999999993</v>
      </c>
      <c r="T1525" s="19" t="s">
        <v>117</v>
      </c>
      <c r="U1525" s="20" t="s">
        <v>1968</v>
      </c>
      <c r="V1525" s="25" t="s">
        <v>1621</v>
      </c>
      <c r="W1525" s="21">
        <v>18</v>
      </c>
      <c r="X1525" s="22"/>
    </row>
    <row r="1526" spans="1:24" s="1" customFormat="1" ht="108" customHeight="1" x14ac:dyDescent="0.3">
      <c r="A1526" s="11" t="s">
        <v>1355</v>
      </c>
      <c r="B1526" s="11" t="s">
        <v>1969</v>
      </c>
      <c r="C1526" s="12" t="s">
        <v>1970</v>
      </c>
      <c r="D1526" s="24"/>
      <c r="E1526" s="69" t="str">
        <f>HYPERLINK("https://www.google.ru/search?q=281111-17BK&amp;newwindow=1&amp;tbm=isch","Еще фото")</f>
        <v>Еще фото</v>
      </c>
      <c r="F1526" s="13"/>
      <c r="G1526" s="11" t="s">
        <v>1965</v>
      </c>
      <c r="H1526" s="11" t="s">
        <v>814</v>
      </c>
      <c r="I1526" s="14" t="s">
        <v>1966</v>
      </c>
      <c r="J1526" s="14" t="s">
        <v>879</v>
      </c>
      <c r="K1526" s="15" t="s">
        <v>114</v>
      </c>
      <c r="L1526" s="14"/>
      <c r="M1526" s="14"/>
      <c r="N1526" s="14" t="s">
        <v>49</v>
      </c>
      <c r="O1526" s="14"/>
      <c r="P1526" s="15" t="s">
        <v>1011</v>
      </c>
      <c r="Q1526" s="59">
        <v>899</v>
      </c>
      <c r="R1526" s="17">
        <v>59.09</v>
      </c>
      <c r="S1526" s="29">
        <v>422.93549999999993</v>
      </c>
      <c r="T1526" s="19" t="s">
        <v>117</v>
      </c>
      <c r="U1526" s="20" t="s">
        <v>1971</v>
      </c>
      <c r="V1526" s="25" t="s">
        <v>119</v>
      </c>
      <c r="W1526" s="21">
        <v>83</v>
      </c>
      <c r="X1526" s="22"/>
    </row>
    <row r="1527" spans="1:24" s="1" customFormat="1" ht="108" customHeight="1" x14ac:dyDescent="0.3">
      <c r="A1527" s="11" t="s">
        <v>1355</v>
      </c>
      <c r="B1527" s="11" t="s">
        <v>1969</v>
      </c>
      <c r="C1527" s="12" t="s">
        <v>1972</v>
      </c>
      <c r="D1527" s="24"/>
      <c r="E1527" s="69" t="str">
        <f>HYPERLINK("https://www.google.ru/search?q=281111-16WH&amp;newwindow=1&amp;tbm=isch","Еще фото")</f>
        <v>Еще фото</v>
      </c>
      <c r="F1527" s="13"/>
      <c r="G1527" s="11" t="s">
        <v>1965</v>
      </c>
      <c r="H1527" s="11" t="s">
        <v>814</v>
      </c>
      <c r="I1527" s="14" t="s">
        <v>1966</v>
      </c>
      <c r="J1527" s="14" t="s">
        <v>879</v>
      </c>
      <c r="K1527" s="15" t="s">
        <v>114</v>
      </c>
      <c r="L1527" s="14" t="s">
        <v>1973</v>
      </c>
      <c r="M1527" s="14"/>
      <c r="N1527" s="14" t="s">
        <v>89</v>
      </c>
      <c r="O1527" s="14"/>
      <c r="P1527" s="15" t="s">
        <v>1011</v>
      </c>
      <c r="Q1527" s="59">
        <v>899</v>
      </c>
      <c r="R1527" s="17">
        <v>55.75</v>
      </c>
      <c r="S1527" s="29">
        <v>457.43549999999993</v>
      </c>
      <c r="T1527" s="19" t="s">
        <v>117</v>
      </c>
      <c r="U1527" s="20" t="s">
        <v>1974</v>
      </c>
      <c r="V1527" s="25" t="s">
        <v>119</v>
      </c>
      <c r="W1527" s="21">
        <v>24</v>
      </c>
      <c r="X1527" s="22"/>
    </row>
    <row r="1528" spans="1:24" s="1" customFormat="1" ht="108" customHeight="1" x14ac:dyDescent="0.3">
      <c r="A1528" s="11" t="s">
        <v>1355</v>
      </c>
      <c r="B1528" s="11" t="s">
        <v>1975</v>
      </c>
      <c r="C1528" s="12" t="s">
        <v>1976</v>
      </c>
      <c r="D1528" s="24"/>
      <c r="E1528" s="69" t="str">
        <f>HYPERLINK("https://www.google.ru/search?q=281103-17WH&amp;newwindow=1&amp;tbm=isch","Еще фото")</f>
        <v>Еще фото</v>
      </c>
      <c r="F1528" s="13"/>
      <c r="G1528" s="11" t="s">
        <v>1965</v>
      </c>
      <c r="H1528" s="11" t="s">
        <v>814</v>
      </c>
      <c r="I1528" s="14" t="s">
        <v>1966</v>
      </c>
      <c r="J1528" s="14" t="s">
        <v>879</v>
      </c>
      <c r="K1528" s="15" t="s">
        <v>114</v>
      </c>
      <c r="L1528" s="14" t="s">
        <v>1977</v>
      </c>
      <c r="M1528" s="14"/>
      <c r="N1528" s="14" t="s">
        <v>89</v>
      </c>
      <c r="O1528" s="14"/>
      <c r="P1528" s="15" t="s">
        <v>1474</v>
      </c>
      <c r="Q1528" s="16">
        <v>2599</v>
      </c>
      <c r="R1528" s="17">
        <v>55.45</v>
      </c>
      <c r="S1528" s="18">
        <v>1331.4354999999998</v>
      </c>
      <c r="T1528" s="19" t="s">
        <v>117</v>
      </c>
      <c r="U1528" s="20" t="s">
        <v>1978</v>
      </c>
      <c r="V1528" s="25" t="s">
        <v>119</v>
      </c>
      <c r="W1528" s="21">
        <v>37</v>
      </c>
      <c r="X1528" s="22"/>
    </row>
    <row r="1529" spans="1:24" s="1" customFormat="1" ht="108" customHeight="1" x14ac:dyDescent="0.3">
      <c r="A1529" s="11" t="s">
        <v>1355</v>
      </c>
      <c r="B1529" s="11" t="s">
        <v>1975</v>
      </c>
      <c r="C1529" s="12" t="s">
        <v>1979</v>
      </c>
      <c r="D1529" s="24"/>
      <c r="E1529" s="69" t="str">
        <f>HYPERLINK("https://www.google.ru/search?q=281103-17BK&amp;newwindow=1&amp;tbm=isch","Еще фото")</f>
        <v>Еще фото</v>
      </c>
      <c r="F1529" s="13"/>
      <c r="G1529" s="11" t="s">
        <v>1965</v>
      </c>
      <c r="H1529" s="11" t="s">
        <v>814</v>
      </c>
      <c r="I1529" s="14" t="s">
        <v>1966</v>
      </c>
      <c r="J1529" s="14" t="s">
        <v>879</v>
      </c>
      <c r="K1529" s="15" t="s">
        <v>114</v>
      </c>
      <c r="L1529" s="14" t="s">
        <v>1967</v>
      </c>
      <c r="M1529" s="14"/>
      <c r="N1529" s="14" t="s">
        <v>49</v>
      </c>
      <c r="O1529" s="14"/>
      <c r="P1529" s="15" t="s">
        <v>1011</v>
      </c>
      <c r="Q1529" s="16">
        <v>2149</v>
      </c>
      <c r="R1529" s="17">
        <v>52.17</v>
      </c>
      <c r="S1529" s="18">
        <v>1181.9354999999998</v>
      </c>
      <c r="T1529" s="19" t="s">
        <v>117</v>
      </c>
      <c r="U1529" s="20" t="s">
        <v>1971</v>
      </c>
      <c r="V1529" s="25" t="s">
        <v>119</v>
      </c>
      <c r="W1529" s="21">
        <v>19</v>
      </c>
      <c r="X1529" s="22"/>
    </row>
    <row r="1530" spans="1:24" s="1" customFormat="1" ht="108" customHeight="1" x14ac:dyDescent="0.3">
      <c r="A1530" s="11" t="s">
        <v>1355</v>
      </c>
      <c r="B1530" s="11" t="s">
        <v>1980</v>
      </c>
      <c r="C1530" s="12" t="s">
        <v>1981</v>
      </c>
      <c r="D1530" s="24"/>
      <c r="E1530" s="69" t="str">
        <f>HYPERLINK("https://www.google.ru/search?q=281103-16BK&amp;newwindow=1&amp;tbm=isch","Еще фото")</f>
        <v>Еще фото</v>
      </c>
      <c r="F1530" s="13"/>
      <c r="G1530" s="11" t="s">
        <v>1965</v>
      </c>
      <c r="H1530" s="11" t="s">
        <v>814</v>
      </c>
      <c r="I1530" s="14" t="s">
        <v>1966</v>
      </c>
      <c r="J1530" s="14" t="s">
        <v>879</v>
      </c>
      <c r="K1530" s="15" t="s">
        <v>114</v>
      </c>
      <c r="L1530" s="14" t="s">
        <v>1977</v>
      </c>
      <c r="M1530" s="14"/>
      <c r="N1530" s="14" t="s">
        <v>49</v>
      </c>
      <c r="O1530" s="14"/>
      <c r="P1530" s="15" t="s">
        <v>1011</v>
      </c>
      <c r="Q1530" s="16">
        <v>2099</v>
      </c>
      <c r="R1530" s="17">
        <v>49.13</v>
      </c>
      <c r="S1530" s="18">
        <v>1227.9354999999998</v>
      </c>
      <c r="T1530" s="19" t="s">
        <v>117</v>
      </c>
      <c r="U1530" s="20" t="s">
        <v>1982</v>
      </c>
      <c r="V1530" s="25" t="s">
        <v>119</v>
      </c>
      <c r="W1530" s="21">
        <v>30</v>
      </c>
      <c r="X1530" s="22"/>
    </row>
    <row r="1531" spans="1:24" s="1" customFormat="1" ht="108" customHeight="1" x14ac:dyDescent="0.3">
      <c r="A1531" s="11" t="s">
        <v>1355</v>
      </c>
      <c r="B1531" s="11" t="s">
        <v>1975</v>
      </c>
      <c r="C1531" s="12" t="s">
        <v>1983</v>
      </c>
      <c r="D1531" s="24"/>
      <c r="E1531" s="69" t="str">
        <f>HYPERLINK("https://www.google.ru/search?q=281103-17GR&amp;newwindow=1&amp;tbm=isch","Еще фото")</f>
        <v>Еще фото</v>
      </c>
      <c r="F1531" s="13"/>
      <c r="G1531" s="11" t="s">
        <v>1965</v>
      </c>
      <c r="H1531" s="11" t="s">
        <v>814</v>
      </c>
      <c r="I1531" s="14" t="s">
        <v>1966</v>
      </c>
      <c r="J1531" s="14" t="s">
        <v>879</v>
      </c>
      <c r="K1531" s="15" t="s">
        <v>114</v>
      </c>
      <c r="L1531" s="14" t="s">
        <v>1977</v>
      </c>
      <c r="M1531" s="14"/>
      <c r="N1531" s="14" t="s">
        <v>41</v>
      </c>
      <c r="O1531" s="14"/>
      <c r="P1531" s="15" t="s">
        <v>1474</v>
      </c>
      <c r="Q1531" s="16">
        <v>2099</v>
      </c>
      <c r="R1531" s="17">
        <v>49.13</v>
      </c>
      <c r="S1531" s="18">
        <v>1227.9354999999998</v>
      </c>
      <c r="T1531" s="19" t="s">
        <v>117</v>
      </c>
      <c r="U1531" s="20" t="s">
        <v>1984</v>
      </c>
      <c r="V1531" s="25" t="s">
        <v>119</v>
      </c>
      <c r="W1531" s="21">
        <v>22</v>
      </c>
      <c r="X1531" s="22"/>
    </row>
    <row r="1532" spans="1:24" s="1" customFormat="1" ht="108" customHeight="1" x14ac:dyDescent="0.3">
      <c r="A1532" s="11" t="s">
        <v>1355</v>
      </c>
      <c r="B1532" s="11" t="s">
        <v>1969</v>
      </c>
      <c r="C1532" s="12" t="s">
        <v>1985</v>
      </c>
      <c r="D1532" s="24"/>
      <c r="E1532" s="69" t="str">
        <f>HYPERLINK("https://www.google.ru/search?q=281111-17WH&amp;newwindow=1&amp;tbm=isch","Еще фото")</f>
        <v>Еще фото</v>
      </c>
      <c r="F1532" s="13"/>
      <c r="G1532" s="11" t="s">
        <v>1965</v>
      </c>
      <c r="H1532" s="11" t="s">
        <v>814</v>
      </c>
      <c r="I1532" s="14" t="s">
        <v>1966</v>
      </c>
      <c r="J1532" s="14" t="s">
        <v>879</v>
      </c>
      <c r="K1532" s="15" t="s">
        <v>114</v>
      </c>
      <c r="L1532" s="14"/>
      <c r="M1532" s="14"/>
      <c r="N1532" s="14" t="s">
        <v>89</v>
      </c>
      <c r="O1532" s="14"/>
      <c r="P1532" s="15" t="s">
        <v>1011</v>
      </c>
      <c r="Q1532" s="59">
        <v>899</v>
      </c>
      <c r="R1532" s="17">
        <v>49.08</v>
      </c>
      <c r="S1532" s="29">
        <v>526.43549999999993</v>
      </c>
      <c r="T1532" s="19" t="s">
        <v>117</v>
      </c>
      <c r="U1532" s="20" t="s">
        <v>1978</v>
      </c>
      <c r="V1532" s="25" t="s">
        <v>119</v>
      </c>
      <c r="W1532" s="21">
        <v>42</v>
      </c>
      <c r="X1532" s="22"/>
    </row>
    <row r="1533" spans="1:24" s="1" customFormat="1" ht="108" customHeight="1" x14ac:dyDescent="0.3">
      <c r="A1533" s="11" t="s">
        <v>1355</v>
      </c>
      <c r="B1533" s="11" t="s">
        <v>1986</v>
      </c>
      <c r="C1533" s="12" t="s">
        <v>1987</v>
      </c>
      <c r="D1533" s="24"/>
      <c r="E1533" s="69" t="str">
        <f>HYPERLINK("https://www.google.ru/search?q=281784-16GE&amp;newwindow=1&amp;tbm=isch","Еще фото")</f>
        <v>Еще фото</v>
      </c>
      <c r="F1533" s="13"/>
      <c r="G1533" s="11" t="s">
        <v>1965</v>
      </c>
      <c r="H1533" s="11" t="s">
        <v>814</v>
      </c>
      <c r="I1533" s="14" t="s">
        <v>1966</v>
      </c>
      <c r="J1533" s="14" t="s">
        <v>879</v>
      </c>
      <c r="K1533" s="15" t="s">
        <v>114</v>
      </c>
      <c r="L1533" s="14" t="s">
        <v>1988</v>
      </c>
      <c r="M1533" s="14"/>
      <c r="N1533" s="14" t="s">
        <v>1989</v>
      </c>
      <c r="O1533" s="14"/>
      <c r="P1533" s="15" t="s">
        <v>193</v>
      </c>
      <c r="Q1533" s="16">
        <v>1699</v>
      </c>
      <c r="R1533" s="17">
        <v>45.39</v>
      </c>
      <c r="S1533" s="29">
        <v>1066.9354999999998</v>
      </c>
      <c r="T1533" s="19" t="s">
        <v>117</v>
      </c>
      <c r="U1533" s="20" t="s">
        <v>1990</v>
      </c>
      <c r="V1533" s="25" t="s">
        <v>119</v>
      </c>
      <c r="W1533" s="21">
        <v>12</v>
      </c>
      <c r="X1533" s="22"/>
    </row>
    <row r="1534" spans="1:24" s="1" customFormat="1" ht="108" customHeight="1" x14ac:dyDescent="0.3">
      <c r="A1534" s="11" t="s">
        <v>1355</v>
      </c>
      <c r="B1534" s="11" t="s">
        <v>1991</v>
      </c>
      <c r="C1534" s="12" t="s">
        <v>1992</v>
      </c>
      <c r="D1534" s="24"/>
      <c r="E1534" s="69" t="str">
        <f>HYPERLINK("https://www.google.ru/search?q=281022-16PT&amp;newwindow=1&amp;tbm=isch","Еще фото")</f>
        <v>Еще фото</v>
      </c>
      <c r="F1534" s="13"/>
      <c r="G1534" s="11" t="s">
        <v>1965</v>
      </c>
      <c r="H1534" s="11" t="s">
        <v>814</v>
      </c>
      <c r="I1534" s="14" t="s">
        <v>1966</v>
      </c>
      <c r="J1534" s="14" t="s">
        <v>879</v>
      </c>
      <c r="K1534" s="15" t="s">
        <v>114</v>
      </c>
      <c r="L1534" s="14" t="s">
        <v>1993</v>
      </c>
      <c r="M1534" s="14"/>
      <c r="N1534" s="14" t="s">
        <v>265</v>
      </c>
      <c r="O1534" s="14"/>
      <c r="P1534" s="15" t="s">
        <v>108</v>
      </c>
      <c r="Q1534" s="16">
        <v>2099</v>
      </c>
      <c r="R1534" s="17">
        <v>30</v>
      </c>
      <c r="S1534" s="18">
        <v>1689.6949999999997</v>
      </c>
      <c r="T1534" s="19" t="s">
        <v>117</v>
      </c>
      <c r="U1534" s="20" t="s">
        <v>1994</v>
      </c>
      <c r="V1534" s="25" t="s">
        <v>119</v>
      </c>
      <c r="W1534" s="21">
        <v>11</v>
      </c>
      <c r="X1534" s="22"/>
    </row>
    <row r="1535" spans="1:24" s="1" customFormat="1" ht="108" customHeight="1" x14ac:dyDescent="0.3">
      <c r="A1535" s="11" t="s">
        <v>1355</v>
      </c>
      <c r="B1535" s="11" t="s">
        <v>1995</v>
      </c>
      <c r="C1535" s="12" t="s">
        <v>1996</v>
      </c>
      <c r="D1535" s="24"/>
      <c r="E1535" s="69" t="str">
        <f>HYPERLINK("https://www.google.ru/search?q=281022-17PT&amp;newwindow=1&amp;tbm=isch","Еще фото")</f>
        <v>Еще фото</v>
      </c>
      <c r="F1535" s="13"/>
      <c r="G1535" s="11" t="s">
        <v>1965</v>
      </c>
      <c r="H1535" s="11" t="s">
        <v>814</v>
      </c>
      <c r="I1535" s="14" t="s">
        <v>1966</v>
      </c>
      <c r="J1535" s="14" t="s">
        <v>879</v>
      </c>
      <c r="K1535" s="15" t="s">
        <v>114</v>
      </c>
      <c r="L1535" s="14" t="s">
        <v>1993</v>
      </c>
      <c r="M1535" s="14"/>
      <c r="N1535" s="14" t="s">
        <v>70</v>
      </c>
      <c r="O1535" s="14"/>
      <c r="P1535" s="15" t="s">
        <v>193</v>
      </c>
      <c r="Q1535" s="16">
        <v>2099</v>
      </c>
      <c r="R1535" s="17">
        <v>30</v>
      </c>
      <c r="S1535" s="18">
        <v>1689.6949999999997</v>
      </c>
      <c r="T1535" s="19" t="s">
        <v>117</v>
      </c>
      <c r="U1535" s="20" t="s">
        <v>1997</v>
      </c>
      <c r="V1535" s="25" t="s">
        <v>119</v>
      </c>
      <c r="W1535" s="21">
        <v>25</v>
      </c>
      <c r="X1535" s="22"/>
    </row>
    <row r="1536" spans="1:24" s="1" customFormat="1" ht="108" customHeight="1" x14ac:dyDescent="0.3">
      <c r="A1536" s="11" t="s">
        <v>1355</v>
      </c>
      <c r="B1536" s="11" t="s">
        <v>1998</v>
      </c>
      <c r="C1536" s="12" t="s">
        <v>1999</v>
      </c>
      <c r="D1536" s="24"/>
      <c r="E1536" s="69" t="str">
        <f>HYPERLINK("https://www.google.ru/search?q=281023-15LNT&amp;newwindow=1&amp;tbm=isch","Еще фото")</f>
        <v>Еще фото</v>
      </c>
      <c r="F1536" s="13"/>
      <c r="G1536" s="11" t="s">
        <v>1965</v>
      </c>
      <c r="H1536" s="11" t="s">
        <v>814</v>
      </c>
      <c r="I1536" s="14" t="s">
        <v>1966</v>
      </c>
      <c r="J1536" s="14" t="s">
        <v>879</v>
      </c>
      <c r="K1536" s="15" t="s">
        <v>114</v>
      </c>
      <c r="L1536" s="14" t="s">
        <v>2000</v>
      </c>
      <c r="M1536" s="14"/>
      <c r="N1536" s="14" t="s">
        <v>41</v>
      </c>
      <c r="O1536" s="14"/>
      <c r="P1536" s="15" t="s">
        <v>108</v>
      </c>
      <c r="Q1536" s="59">
        <v>599</v>
      </c>
      <c r="R1536" s="17">
        <v>30</v>
      </c>
      <c r="S1536" s="29">
        <v>482.19499999999999</v>
      </c>
      <c r="T1536" s="19" t="s">
        <v>117</v>
      </c>
      <c r="U1536" s="20" t="s">
        <v>2001</v>
      </c>
      <c r="V1536" s="25" t="s">
        <v>1621</v>
      </c>
      <c r="W1536" s="21">
        <v>1</v>
      </c>
      <c r="X1536" s="22"/>
    </row>
    <row r="1537" spans="1:24" s="1" customFormat="1" ht="108" customHeight="1" x14ac:dyDescent="0.3">
      <c r="A1537" s="11" t="s">
        <v>1355</v>
      </c>
      <c r="B1537" s="11" t="s">
        <v>1998</v>
      </c>
      <c r="C1537" s="12" t="s">
        <v>2002</v>
      </c>
      <c r="D1537" s="24"/>
      <c r="E1537" s="69" t="str">
        <f>HYPERLINK("https://www.google.ru/search?q=281023-16LNT&amp;newwindow=1&amp;tbm=isch","Еще фото")</f>
        <v>Еще фото</v>
      </c>
      <c r="F1537" s="31" t="s">
        <v>738</v>
      </c>
      <c r="G1537" s="11" t="s">
        <v>1965</v>
      </c>
      <c r="H1537" s="11" t="s">
        <v>814</v>
      </c>
      <c r="I1537" s="14" t="s">
        <v>1966</v>
      </c>
      <c r="J1537" s="14" t="s">
        <v>879</v>
      </c>
      <c r="K1537" s="15" t="s">
        <v>114</v>
      </c>
      <c r="L1537" s="14" t="s">
        <v>2003</v>
      </c>
      <c r="M1537" s="14"/>
      <c r="N1537" s="14" t="s">
        <v>2004</v>
      </c>
      <c r="O1537" s="14"/>
      <c r="P1537" s="15" t="s">
        <v>1011</v>
      </c>
      <c r="Q1537" s="59">
        <v>499</v>
      </c>
      <c r="R1537" s="17">
        <v>30</v>
      </c>
      <c r="S1537" s="29">
        <v>401.69499999999999</v>
      </c>
      <c r="T1537" s="19" t="s">
        <v>117</v>
      </c>
      <c r="U1537" s="20" t="s">
        <v>2005</v>
      </c>
      <c r="V1537" s="25" t="s">
        <v>119</v>
      </c>
      <c r="W1537" s="21">
        <v>11</v>
      </c>
      <c r="X1537" s="22"/>
    </row>
    <row r="1538" spans="1:24" s="1" customFormat="1" ht="108" customHeight="1" x14ac:dyDescent="0.3">
      <c r="A1538" s="11" t="s">
        <v>1355</v>
      </c>
      <c r="B1538" s="11" t="s">
        <v>2006</v>
      </c>
      <c r="C1538" s="12" t="s">
        <v>2007</v>
      </c>
      <c r="D1538" s="24"/>
      <c r="E1538" s="69" t="str">
        <f>HYPERLINK("https://www.google.ru/search?q=281028-16BK&amp;newwindow=1&amp;tbm=isch","Еще фото")</f>
        <v>Еще фото</v>
      </c>
      <c r="F1538" s="13"/>
      <c r="G1538" s="11" t="s">
        <v>1965</v>
      </c>
      <c r="H1538" s="11" t="s">
        <v>814</v>
      </c>
      <c r="I1538" s="14" t="s">
        <v>1966</v>
      </c>
      <c r="J1538" s="14" t="s">
        <v>879</v>
      </c>
      <c r="K1538" s="15" t="s">
        <v>114</v>
      </c>
      <c r="L1538" s="14"/>
      <c r="M1538" s="14"/>
      <c r="N1538" s="14" t="s">
        <v>49</v>
      </c>
      <c r="O1538" s="14"/>
      <c r="P1538" s="15" t="s">
        <v>1011</v>
      </c>
      <c r="Q1538" s="16">
        <v>1249</v>
      </c>
      <c r="R1538" s="17">
        <v>30</v>
      </c>
      <c r="S1538" s="29">
        <v>1005.4449999999998</v>
      </c>
      <c r="T1538" s="19" t="s">
        <v>117</v>
      </c>
      <c r="U1538" s="20" t="s">
        <v>1982</v>
      </c>
      <c r="V1538" s="25" t="s">
        <v>119</v>
      </c>
      <c r="W1538" s="21">
        <v>34</v>
      </c>
      <c r="X1538" s="22"/>
    </row>
    <row r="1539" spans="1:24" s="1" customFormat="1" ht="108" customHeight="1" x14ac:dyDescent="0.3">
      <c r="A1539" s="11" t="s">
        <v>1355</v>
      </c>
      <c r="B1539" s="11" t="s">
        <v>2006</v>
      </c>
      <c r="C1539" s="12" t="s">
        <v>2008</v>
      </c>
      <c r="D1539" s="24"/>
      <c r="E1539" s="69" t="str">
        <f>HYPERLINK("https://www.google.ru/search?q=281028-16WH&amp;newwindow=1&amp;tbm=isch","Еще фото")</f>
        <v>Еще фото</v>
      </c>
      <c r="F1539" s="13"/>
      <c r="G1539" s="11" t="s">
        <v>1965</v>
      </c>
      <c r="H1539" s="11" t="s">
        <v>814</v>
      </c>
      <c r="I1539" s="14" t="s">
        <v>1966</v>
      </c>
      <c r="J1539" s="14" t="s">
        <v>879</v>
      </c>
      <c r="K1539" s="15" t="s">
        <v>114</v>
      </c>
      <c r="L1539" s="14" t="s">
        <v>2009</v>
      </c>
      <c r="M1539" s="14"/>
      <c r="N1539" s="14" t="s">
        <v>89</v>
      </c>
      <c r="O1539" s="14"/>
      <c r="P1539" s="15" t="s">
        <v>1011</v>
      </c>
      <c r="Q1539" s="16">
        <v>1249</v>
      </c>
      <c r="R1539" s="17">
        <v>30</v>
      </c>
      <c r="S1539" s="29">
        <v>1005.4449999999998</v>
      </c>
      <c r="T1539" s="19" t="s">
        <v>117</v>
      </c>
      <c r="U1539" s="20" t="s">
        <v>1974</v>
      </c>
      <c r="V1539" s="25" t="s">
        <v>119</v>
      </c>
      <c r="W1539" s="21">
        <v>31</v>
      </c>
      <c r="X1539" s="22"/>
    </row>
    <row r="1540" spans="1:24" s="1" customFormat="1" ht="108" customHeight="1" x14ac:dyDescent="0.3">
      <c r="A1540" s="11" t="s">
        <v>1355</v>
      </c>
      <c r="B1540" s="11" t="s">
        <v>2010</v>
      </c>
      <c r="C1540" s="12" t="s">
        <v>2011</v>
      </c>
      <c r="D1540" s="24"/>
      <c r="E1540" s="69" t="str">
        <f>HYPERLINK("https://www.google.ru/search?q=281103-16WH&amp;newwindow=1&amp;tbm=isch","Еще фото")</f>
        <v>Еще фото</v>
      </c>
      <c r="F1540" s="13"/>
      <c r="G1540" s="11" t="s">
        <v>1965</v>
      </c>
      <c r="H1540" s="11" t="s">
        <v>814</v>
      </c>
      <c r="I1540" s="14" t="s">
        <v>1966</v>
      </c>
      <c r="J1540" s="14" t="s">
        <v>879</v>
      </c>
      <c r="K1540" s="15" t="s">
        <v>114</v>
      </c>
      <c r="L1540" s="14" t="s">
        <v>1977</v>
      </c>
      <c r="M1540" s="14"/>
      <c r="N1540" s="14" t="s">
        <v>89</v>
      </c>
      <c r="O1540" s="14"/>
      <c r="P1540" s="15" t="s">
        <v>1011</v>
      </c>
      <c r="Q1540" s="16">
        <v>2149</v>
      </c>
      <c r="R1540" s="17">
        <v>30</v>
      </c>
      <c r="S1540" s="18">
        <v>1729.9449999999997</v>
      </c>
      <c r="T1540" s="19" t="s">
        <v>117</v>
      </c>
      <c r="U1540" s="20" t="s">
        <v>1974</v>
      </c>
      <c r="V1540" s="25" t="s">
        <v>119</v>
      </c>
      <c r="W1540" s="21">
        <v>1</v>
      </c>
      <c r="X1540" s="22"/>
    </row>
    <row r="1541" spans="1:24" s="1" customFormat="1" ht="108" customHeight="1" x14ac:dyDescent="0.3">
      <c r="A1541" s="11" t="s">
        <v>1355</v>
      </c>
      <c r="B1541" s="11" t="s">
        <v>1969</v>
      </c>
      <c r="C1541" s="12" t="s">
        <v>2012</v>
      </c>
      <c r="D1541" s="24"/>
      <c r="E1541" s="69" t="str">
        <f>HYPERLINK("https://www.google.ru/search?q=281111-16BK&amp;newwindow=1&amp;tbm=isch","Еще фото")</f>
        <v>Еще фото</v>
      </c>
      <c r="F1541" s="13"/>
      <c r="G1541" s="11" t="s">
        <v>1965</v>
      </c>
      <c r="H1541" s="11" t="s">
        <v>814</v>
      </c>
      <c r="I1541" s="14" t="s">
        <v>1966</v>
      </c>
      <c r="J1541" s="14" t="s">
        <v>879</v>
      </c>
      <c r="K1541" s="15" t="s">
        <v>114</v>
      </c>
      <c r="L1541" s="14" t="s">
        <v>1973</v>
      </c>
      <c r="M1541" s="14"/>
      <c r="N1541" s="14" t="s">
        <v>49</v>
      </c>
      <c r="O1541" s="14"/>
      <c r="P1541" s="15" t="s">
        <v>1011</v>
      </c>
      <c r="Q1541" s="59">
        <v>899</v>
      </c>
      <c r="R1541" s="17">
        <v>30</v>
      </c>
      <c r="S1541" s="29">
        <v>723.69499999999994</v>
      </c>
      <c r="T1541" s="19" t="s">
        <v>117</v>
      </c>
      <c r="U1541" s="20" t="s">
        <v>1982</v>
      </c>
      <c r="V1541" s="25" t="s">
        <v>119</v>
      </c>
      <c r="W1541" s="21">
        <v>4</v>
      </c>
      <c r="X1541" s="22"/>
    </row>
    <row r="1542" spans="1:24" s="1" customFormat="1" ht="108" customHeight="1" x14ac:dyDescent="0.3">
      <c r="A1542" s="11" t="s">
        <v>1355</v>
      </c>
      <c r="B1542" s="11" t="s">
        <v>1969</v>
      </c>
      <c r="C1542" s="12" t="s">
        <v>2013</v>
      </c>
      <c r="D1542" s="24"/>
      <c r="E1542" s="69" t="str">
        <f>HYPERLINK("https://www.google.ru/search?q=281111-16BL&amp;newwindow=1&amp;tbm=isch","Еще фото")</f>
        <v>Еще фото</v>
      </c>
      <c r="F1542" s="13"/>
      <c r="G1542" s="11" t="s">
        <v>1965</v>
      </c>
      <c r="H1542" s="11" t="s">
        <v>814</v>
      </c>
      <c r="I1542" s="14" t="s">
        <v>1966</v>
      </c>
      <c r="J1542" s="14" t="s">
        <v>879</v>
      </c>
      <c r="K1542" s="15" t="s">
        <v>114</v>
      </c>
      <c r="L1542" s="14" t="s">
        <v>2014</v>
      </c>
      <c r="M1542" s="14"/>
      <c r="N1542" s="14" t="s">
        <v>70</v>
      </c>
      <c r="O1542" s="14"/>
      <c r="P1542" s="15" t="s">
        <v>108</v>
      </c>
      <c r="Q1542" s="59">
        <v>899</v>
      </c>
      <c r="R1542" s="17">
        <v>30</v>
      </c>
      <c r="S1542" s="29">
        <v>723.69499999999994</v>
      </c>
      <c r="T1542" s="19" t="s">
        <v>117</v>
      </c>
      <c r="U1542" s="20" t="s">
        <v>2015</v>
      </c>
      <c r="V1542" s="25" t="s">
        <v>1621</v>
      </c>
      <c r="W1542" s="21">
        <v>1</v>
      </c>
      <c r="X1542" s="22"/>
    </row>
    <row r="1543" spans="1:24" s="1" customFormat="1" ht="108" customHeight="1" x14ac:dyDescent="0.3">
      <c r="A1543" s="11" t="s">
        <v>1355</v>
      </c>
      <c r="B1543" s="11" t="s">
        <v>1969</v>
      </c>
      <c r="C1543" s="12" t="s">
        <v>2016</v>
      </c>
      <c r="D1543" s="24"/>
      <c r="E1543" s="69" t="str">
        <f>HYPERLINK("https://www.google.ru/search?q=281111-16GD&amp;newwindow=1&amp;tbm=isch","Еще фото")</f>
        <v>Еще фото</v>
      </c>
      <c r="F1543" s="13"/>
      <c r="G1543" s="11" t="s">
        <v>1965</v>
      </c>
      <c r="H1543" s="11" t="s">
        <v>814</v>
      </c>
      <c r="I1543" s="14" t="s">
        <v>1966</v>
      </c>
      <c r="J1543" s="14" t="s">
        <v>879</v>
      </c>
      <c r="K1543" s="15" t="s">
        <v>114</v>
      </c>
      <c r="L1543" s="14" t="s">
        <v>2017</v>
      </c>
      <c r="M1543" s="14"/>
      <c r="N1543" s="14" t="s">
        <v>2018</v>
      </c>
      <c r="O1543" s="14"/>
      <c r="P1543" s="15" t="s">
        <v>108</v>
      </c>
      <c r="Q1543" s="59">
        <v>899</v>
      </c>
      <c r="R1543" s="17">
        <v>30</v>
      </c>
      <c r="S1543" s="29">
        <v>723.69499999999994</v>
      </c>
      <c r="T1543" s="19" t="s">
        <v>117</v>
      </c>
      <c r="U1543" s="20" t="s">
        <v>2019</v>
      </c>
      <c r="V1543" s="25" t="s">
        <v>1621</v>
      </c>
      <c r="W1543" s="21">
        <v>6</v>
      </c>
      <c r="X1543" s="22"/>
    </row>
    <row r="1544" spans="1:24" s="1" customFormat="1" ht="108" customHeight="1" x14ac:dyDescent="0.3">
      <c r="A1544" s="11" t="s">
        <v>1355</v>
      </c>
      <c r="B1544" s="11" t="s">
        <v>1969</v>
      </c>
      <c r="C1544" s="12" t="s">
        <v>2020</v>
      </c>
      <c r="D1544" s="24"/>
      <c r="E1544" s="69" t="str">
        <f>HYPERLINK("https://www.google.ru/search?q=281111-17YW&amp;newwindow=1&amp;tbm=isch","Еще фото")</f>
        <v>Еще фото</v>
      </c>
      <c r="F1544" s="13"/>
      <c r="G1544" s="11" t="s">
        <v>1965</v>
      </c>
      <c r="H1544" s="11" t="s">
        <v>814</v>
      </c>
      <c r="I1544" s="14" t="s">
        <v>1966</v>
      </c>
      <c r="J1544" s="14" t="s">
        <v>879</v>
      </c>
      <c r="K1544" s="15" t="s">
        <v>114</v>
      </c>
      <c r="L1544" s="14" t="s">
        <v>2014</v>
      </c>
      <c r="M1544" s="14"/>
      <c r="N1544" s="14" t="s">
        <v>313</v>
      </c>
      <c r="O1544" s="14"/>
      <c r="P1544" s="15" t="s">
        <v>108</v>
      </c>
      <c r="Q1544" s="59">
        <v>899</v>
      </c>
      <c r="R1544" s="17">
        <v>30</v>
      </c>
      <c r="S1544" s="29">
        <v>723.69499999999994</v>
      </c>
      <c r="T1544" s="19" t="s">
        <v>117</v>
      </c>
      <c r="U1544" s="20" t="s">
        <v>2021</v>
      </c>
      <c r="V1544" s="25" t="s">
        <v>119</v>
      </c>
      <c r="W1544" s="21">
        <v>1</v>
      </c>
      <c r="X1544" s="22"/>
    </row>
    <row r="1545" spans="1:24" s="1" customFormat="1" ht="108" customHeight="1" x14ac:dyDescent="0.3">
      <c r="A1545" s="11" t="s">
        <v>1355</v>
      </c>
      <c r="B1545" s="11" t="s">
        <v>2022</v>
      </c>
      <c r="C1545" s="12" t="s">
        <v>2023</v>
      </c>
      <c r="D1545" s="24"/>
      <c r="E1545" s="69" t="str">
        <f>HYPERLINK("https://www.google.ru/search?q=281204-16AN&amp;newwindow=1&amp;tbm=isch","Еще фото")</f>
        <v>Еще фото</v>
      </c>
      <c r="F1545" s="13"/>
      <c r="G1545" s="11" t="s">
        <v>1965</v>
      </c>
      <c r="H1545" s="11" t="s">
        <v>814</v>
      </c>
      <c r="I1545" s="14" t="s">
        <v>1966</v>
      </c>
      <c r="J1545" s="14" t="s">
        <v>879</v>
      </c>
      <c r="K1545" s="15" t="s">
        <v>114</v>
      </c>
      <c r="L1545" s="14"/>
      <c r="M1545" s="14"/>
      <c r="N1545" s="14" t="s">
        <v>41</v>
      </c>
      <c r="O1545" s="14"/>
      <c r="P1545" s="15" t="s">
        <v>1011</v>
      </c>
      <c r="Q1545" s="16">
        <v>2149</v>
      </c>
      <c r="R1545" s="17">
        <v>30</v>
      </c>
      <c r="S1545" s="18">
        <v>1729.9449999999997</v>
      </c>
      <c r="T1545" s="19" t="s">
        <v>117</v>
      </c>
      <c r="U1545" s="20" t="s">
        <v>2024</v>
      </c>
      <c r="V1545" s="25" t="s">
        <v>1621</v>
      </c>
      <c r="W1545" s="21">
        <v>1</v>
      </c>
      <c r="X1545" s="22"/>
    </row>
    <row r="1546" spans="1:24" s="1" customFormat="1" ht="108" customHeight="1" x14ac:dyDescent="0.3">
      <c r="A1546" s="11" t="s">
        <v>1355</v>
      </c>
      <c r="B1546" s="11" t="s">
        <v>2025</v>
      </c>
      <c r="C1546" s="12" t="s">
        <v>2026</v>
      </c>
      <c r="D1546" s="24"/>
      <c r="E1546" s="69" t="str">
        <f>HYPERLINK("https://www.google.ru/search?q=281204-17RD&amp;newwindow=1&amp;tbm=isch","Еще фото")</f>
        <v>Еще фото</v>
      </c>
      <c r="F1546" s="13"/>
      <c r="G1546" s="11" t="s">
        <v>1965</v>
      </c>
      <c r="H1546" s="11" t="s">
        <v>814</v>
      </c>
      <c r="I1546" s="14" t="s">
        <v>1966</v>
      </c>
      <c r="J1546" s="14" t="s">
        <v>879</v>
      </c>
      <c r="K1546" s="15" t="s">
        <v>114</v>
      </c>
      <c r="L1546" s="14" t="s">
        <v>2027</v>
      </c>
      <c r="M1546" s="14"/>
      <c r="N1546" s="14" t="s">
        <v>116</v>
      </c>
      <c r="O1546" s="14"/>
      <c r="P1546" s="15" t="s">
        <v>108</v>
      </c>
      <c r="Q1546" s="16">
        <v>1999</v>
      </c>
      <c r="R1546" s="17">
        <v>30</v>
      </c>
      <c r="S1546" s="18">
        <v>1609.1949999999999</v>
      </c>
      <c r="T1546" s="19" t="s">
        <v>117</v>
      </c>
      <c r="U1546" s="20" t="s">
        <v>2028</v>
      </c>
      <c r="V1546" s="25" t="s">
        <v>1621</v>
      </c>
      <c r="W1546" s="21">
        <v>7</v>
      </c>
      <c r="X1546" s="22"/>
    </row>
    <row r="1547" spans="1:24" s="1" customFormat="1" ht="108" customHeight="1" x14ac:dyDescent="0.3">
      <c r="A1547" s="11" t="s">
        <v>1355</v>
      </c>
      <c r="B1547" s="11" t="s">
        <v>2029</v>
      </c>
      <c r="C1547" s="12" t="s">
        <v>2030</v>
      </c>
      <c r="D1547" s="24"/>
      <c r="E1547" s="69" t="str">
        <f>HYPERLINK("https://www.google.ru/search?q=281404-16NT&amp;newwindow=1&amp;tbm=isch","Еще фото")</f>
        <v>Еще фото</v>
      </c>
      <c r="F1547" s="13"/>
      <c r="G1547" s="11" t="s">
        <v>1965</v>
      </c>
      <c r="H1547" s="11" t="s">
        <v>814</v>
      </c>
      <c r="I1547" s="14" t="s">
        <v>1966</v>
      </c>
      <c r="J1547" s="14" t="s">
        <v>879</v>
      </c>
      <c r="K1547" s="15" t="s">
        <v>114</v>
      </c>
      <c r="L1547" s="14" t="s">
        <v>2031</v>
      </c>
      <c r="M1547" s="14"/>
      <c r="N1547" s="14" t="s">
        <v>2004</v>
      </c>
      <c r="O1547" s="14"/>
      <c r="P1547" s="15" t="s">
        <v>1011</v>
      </c>
      <c r="Q1547" s="16">
        <v>1699</v>
      </c>
      <c r="R1547" s="17">
        <v>30</v>
      </c>
      <c r="S1547" s="18">
        <v>1367.6949999999999</v>
      </c>
      <c r="T1547" s="19" t="s">
        <v>117</v>
      </c>
      <c r="U1547" s="20" t="s">
        <v>2032</v>
      </c>
      <c r="V1547" s="25" t="s">
        <v>119</v>
      </c>
      <c r="W1547" s="21">
        <v>24</v>
      </c>
      <c r="X1547" s="22"/>
    </row>
    <row r="1548" spans="1:24" s="1" customFormat="1" ht="108" customHeight="1" x14ac:dyDescent="0.3">
      <c r="A1548" s="11" t="s">
        <v>1355</v>
      </c>
      <c r="B1548" s="11" t="s">
        <v>2029</v>
      </c>
      <c r="C1548" s="12" t="s">
        <v>2033</v>
      </c>
      <c r="D1548" s="24"/>
      <c r="E1548" s="69" t="str">
        <f>HYPERLINK("https://www.google.ru/search?q=281404-17NT&amp;newwindow=1&amp;tbm=isch","Еще фото")</f>
        <v>Еще фото</v>
      </c>
      <c r="F1548" s="13"/>
      <c r="G1548" s="11" t="s">
        <v>1965</v>
      </c>
      <c r="H1548" s="11" t="s">
        <v>814</v>
      </c>
      <c r="I1548" s="14" t="s">
        <v>1966</v>
      </c>
      <c r="J1548" s="14" t="s">
        <v>879</v>
      </c>
      <c r="K1548" s="15" t="s">
        <v>114</v>
      </c>
      <c r="L1548" s="14" t="s">
        <v>2031</v>
      </c>
      <c r="M1548" s="14"/>
      <c r="N1548" s="14" t="s">
        <v>326</v>
      </c>
      <c r="O1548" s="14"/>
      <c r="P1548" s="15" t="s">
        <v>108</v>
      </c>
      <c r="Q1548" s="16">
        <v>1699</v>
      </c>
      <c r="R1548" s="17">
        <v>30</v>
      </c>
      <c r="S1548" s="18">
        <v>1367.6949999999999</v>
      </c>
      <c r="T1548" s="19" t="s">
        <v>117</v>
      </c>
      <c r="U1548" s="20" t="s">
        <v>2034</v>
      </c>
      <c r="V1548" s="25" t="s">
        <v>119</v>
      </c>
      <c r="W1548" s="21">
        <v>32</v>
      </c>
      <c r="X1548" s="22"/>
    </row>
    <row r="1549" spans="1:24" s="1" customFormat="1" ht="108" customHeight="1" x14ac:dyDescent="0.3">
      <c r="A1549" s="11" t="s">
        <v>1355</v>
      </c>
      <c r="B1549" s="11" t="s">
        <v>2035</v>
      </c>
      <c r="C1549" s="12" t="s">
        <v>2036</v>
      </c>
      <c r="D1549" s="24"/>
      <c r="E1549" s="69" t="str">
        <f>HYPERLINK("https://www.google.ru/search?q=281784-16AN&amp;newwindow=1&amp;tbm=isch","Еще фото")</f>
        <v>Еще фото</v>
      </c>
      <c r="F1549" s="13"/>
      <c r="G1549" s="11" t="s">
        <v>1965</v>
      </c>
      <c r="H1549" s="11" t="s">
        <v>814</v>
      </c>
      <c r="I1549" s="14" t="s">
        <v>1966</v>
      </c>
      <c r="J1549" s="14" t="s">
        <v>879</v>
      </c>
      <c r="K1549" s="15" t="s">
        <v>114</v>
      </c>
      <c r="L1549" s="14"/>
      <c r="M1549" s="14"/>
      <c r="N1549" s="14" t="s">
        <v>41</v>
      </c>
      <c r="O1549" s="14"/>
      <c r="P1549" s="15" t="s">
        <v>193</v>
      </c>
      <c r="Q1549" s="16">
        <v>1699</v>
      </c>
      <c r="R1549" s="17">
        <v>30</v>
      </c>
      <c r="S1549" s="18">
        <v>1367.6949999999999</v>
      </c>
      <c r="T1549" s="19" t="s">
        <v>117</v>
      </c>
      <c r="U1549" s="20" t="s">
        <v>2024</v>
      </c>
      <c r="V1549" s="25" t="s">
        <v>1621</v>
      </c>
      <c r="W1549" s="21">
        <v>1</v>
      </c>
      <c r="X1549" s="22"/>
    </row>
    <row r="1550" spans="1:24" s="1" customFormat="1" ht="108" customHeight="1" x14ac:dyDescent="0.3">
      <c r="A1550" s="11" t="s">
        <v>1355</v>
      </c>
      <c r="B1550" s="11" t="s">
        <v>2037</v>
      </c>
      <c r="C1550" s="12" t="s">
        <v>2038</v>
      </c>
      <c r="D1550" s="24"/>
      <c r="E1550" s="69" t="str">
        <f>HYPERLINK("https://www.google.ru/search?q=281784-17BL&amp;newwindow=1&amp;tbm=isch","Еще фото")</f>
        <v>Еще фото</v>
      </c>
      <c r="F1550" s="13"/>
      <c r="G1550" s="11" t="s">
        <v>1965</v>
      </c>
      <c r="H1550" s="11" t="s">
        <v>814</v>
      </c>
      <c r="I1550" s="14" t="s">
        <v>1966</v>
      </c>
      <c r="J1550" s="14" t="s">
        <v>879</v>
      </c>
      <c r="K1550" s="15" t="s">
        <v>114</v>
      </c>
      <c r="L1550" s="14" t="s">
        <v>2039</v>
      </c>
      <c r="M1550" s="14"/>
      <c r="N1550" s="14" t="s">
        <v>265</v>
      </c>
      <c r="O1550" s="14"/>
      <c r="P1550" s="15" t="s">
        <v>108</v>
      </c>
      <c r="Q1550" s="16">
        <v>1999</v>
      </c>
      <c r="R1550" s="17">
        <v>30</v>
      </c>
      <c r="S1550" s="18">
        <v>1609.1949999999999</v>
      </c>
      <c r="T1550" s="19" t="s">
        <v>117</v>
      </c>
      <c r="U1550" s="20" t="s">
        <v>2040</v>
      </c>
      <c r="V1550" s="25" t="s">
        <v>119</v>
      </c>
      <c r="W1550" s="21">
        <v>4</v>
      </c>
      <c r="X1550" s="22"/>
    </row>
    <row r="1551" spans="1:24" s="1" customFormat="1" ht="108" customHeight="1" x14ac:dyDescent="0.3">
      <c r="A1551" s="11" t="s">
        <v>1355</v>
      </c>
      <c r="B1551" s="11" t="s">
        <v>2037</v>
      </c>
      <c r="C1551" s="12" t="s">
        <v>2041</v>
      </c>
      <c r="D1551" s="24"/>
      <c r="E1551" s="69" t="str">
        <f>HYPERLINK("https://www.google.ru/search?q=281784-17GE&amp;newwindow=1&amp;tbm=isch","Еще фото")</f>
        <v>Еще фото</v>
      </c>
      <c r="F1551" s="13"/>
      <c r="G1551" s="11" t="s">
        <v>1965</v>
      </c>
      <c r="H1551" s="11" t="s">
        <v>814</v>
      </c>
      <c r="I1551" s="14" t="s">
        <v>1966</v>
      </c>
      <c r="J1551" s="14" t="s">
        <v>879</v>
      </c>
      <c r="K1551" s="15" t="s">
        <v>114</v>
      </c>
      <c r="L1551" s="14"/>
      <c r="M1551" s="14"/>
      <c r="N1551" s="14" t="s">
        <v>41</v>
      </c>
      <c r="O1551" s="14"/>
      <c r="P1551" s="15" t="s">
        <v>193</v>
      </c>
      <c r="Q1551" s="16">
        <v>1699</v>
      </c>
      <c r="R1551" s="17">
        <v>30</v>
      </c>
      <c r="S1551" s="18">
        <v>1367.6949999999999</v>
      </c>
      <c r="T1551" s="19" t="s">
        <v>117</v>
      </c>
      <c r="U1551" s="20" t="s">
        <v>2042</v>
      </c>
      <c r="V1551" s="25" t="s">
        <v>119</v>
      </c>
      <c r="W1551" s="21">
        <v>13</v>
      </c>
      <c r="X1551" s="22"/>
    </row>
    <row r="1552" spans="1:24" s="1" customFormat="1" ht="108" customHeight="1" x14ac:dyDescent="0.3">
      <c r="A1552" s="11" t="s">
        <v>1355</v>
      </c>
      <c r="B1552" s="11" t="s">
        <v>2043</v>
      </c>
      <c r="C1552" s="12" t="s">
        <v>2044</v>
      </c>
      <c r="D1552" s="24"/>
      <c r="E1552" s="69" t="str">
        <f>HYPERLINK("https://www.google.ru/search?q=281784-17YW&amp;newwindow=1&amp;tbm=isch","Еще фото")</f>
        <v>Еще фото</v>
      </c>
      <c r="F1552" s="13"/>
      <c r="G1552" s="11" t="s">
        <v>1965</v>
      </c>
      <c r="H1552" s="11" t="s">
        <v>814</v>
      </c>
      <c r="I1552" s="14" t="s">
        <v>1966</v>
      </c>
      <c r="J1552" s="14" t="s">
        <v>879</v>
      </c>
      <c r="K1552" s="15" t="s">
        <v>114</v>
      </c>
      <c r="L1552" s="14" t="s">
        <v>2039</v>
      </c>
      <c r="M1552" s="14"/>
      <c r="N1552" s="14" t="s">
        <v>313</v>
      </c>
      <c r="O1552" s="14"/>
      <c r="P1552" s="15" t="s">
        <v>193</v>
      </c>
      <c r="Q1552" s="16">
        <v>1699</v>
      </c>
      <c r="R1552" s="17">
        <v>30</v>
      </c>
      <c r="S1552" s="18">
        <v>1367.6949999999999</v>
      </c>
      <c r="T1552" s="19" t="s">
        <v>117</v>
      </c>
      <c r="U1552" s="20" t="s">
        <v>2021</v>
      </c>
      <c r="V1552" s="25" t="s">
        <v>119</v>
      </c>
      <c r="W1552" s="21">
        <v>10</v>
      </c>
      <c r="X1552" s="22"/>
    </row>
    <row r="1553" spans="1:24" s="1" customFormat="1" ht="108" customHeight="1" x14ac:dyDescent="0.3">
      <c r="A1553" s="11" t="s">
        <v>1355</v>
      </c>
      <c r="B1553" s="11" t="s">
        <v>2045</v>
      </c>
      <c r="C1553" s="12" t="s">
        <v>2046</v>
      </c>
      <c r="D1553" s="24"/>
      <c r="E1553" s="69" t="str">
        <f>HYPERLINK("https://www.google.ru/search?q=281784-18AN&amp;newwindow=1&amp;tbm=isch","Еще фото")</f>
        <v>Еще фото</v>
      </c>
      <c r="F1553" s="13"/>
      <c r="G1553" s="11" t="s">
        <v>1965</v>
      </c>
      <c r="H1553" s="11" t="s">
        <v>814</v>
      </c>
      <c r="I1553" s="14" t="s">
        <v>1966</v>
      </c>
      <c r="J1553" s="14" t="s">
        <v>879</v>
      </c>
      <c r="K1553" s="15" t="s">
        <v>114</v>
      </c>
      <c r="L1553" s="14"/>
      <c r="M1553" s="14"/>
      <c r="N1553" s="14" t="s">
        <v>41</v>
      </c>
      <c r="O1553" s="14"/>
      <c r="P1553" s="15" t="s">
        <v>193</v>
      </c>
      <c r="Q1553" s="16">
        <v>1499</v>
      </c>
      <c r="R1553" s="17">
        <v>30</v>
      </c>
      <c r="S1553" s="18">
        <v>1206.6949999999999</v>
      </c>
      <c r="T1553" s="19" t="s">
        <v>117</v>
      </c>
      <c r="U1553" s="20" t="s">
        <v>2047</v>
      </c>
      <c r="V1553" s="25" t="s">
        <v>1621</v>
      </c>
      <c r="W1553" s="21">
        <v>9</v>
      </c>
      <c r="X1553" s="22"/>
    </row>
    <row r="1554" spans="1:24" s="1" customFormat="1" ht="108" customHeight="1" x14ac:dyDescent="0.3">
      <c r="A1554" s="11" t="s">
        <v>1355</v>
      </c>
      <c r="B1554" s="11" t="s">
        <v>2048</v>
      </c>
      <c r="C1554" s="12" t="s">
        <v>2049</v>
      </c>
      <c r="D1554" s="24"/>
      <c r="E1554" s="69" t="str">
        <f>HYPERLINK("https://www.google.ru/search?q=281790-16GR&amp;newwindow=1&amp;tbm=isch","Еще фото")</f>
        <v>Еще фото</v>
      </c>
      <c r="F1554" s="13"/>
      <c r="G1554" s="11" t="s">
        <v>1966</v>
      </c>
      <c r="H1554" s="11" t="s">
        <v>814</v>
      </c>
      <c r="I1554" s="14" t="s">
        <v>1966</v>
      </c>
      <c r="J1554" s="14" t="s">
        <v>879</v>
      </c>
      <c r="K1554" s="15" t="s">
        <v>114</v>
      </c>
      <c r="L1554" s="14" t="s">
        <v>2050</v>
      </c>
      <c r="M1554" s="14"/>
      <c r="N1554" s="14" t="s">
        <v>41</v>
      </c>
      <c r="O1554" s="14"/>
      <c r="P1554" s="15" t="s">
        <v>193</v>
      </c>
      <c r="Q1554" s="16">
        <v>1699</v>
      </c>
      <c r="R1554" s="17">
        <v>30</v>
      </c>
      <c r="S1554" s="18">
        <v>1367.6949999999999</v>
      </c>
      <c r="T1554" s="19" t="s">
        <v>117</v>
      </c>
      <c r="U1554" s="20" t="s">
        <v>1968</v>
      </c>
      <c r="V1554" s="25" t="s">
        <v>1621</v>
      </c>
      <c r="W1554" s="21">
        <v>3</v>
      </c>
      <c r="X1554" s="22"/>
    </row>
    <row r="1555" spans="1:24" s="1" customFormat="1" ht="108" customHeight="1" x14ac:dyDescent="0.3">
      <c r="A1555" s="11" t="s">
        <v>1355</v>
      </c>
      <c r="B1555" s="11" t="s">
        <v>2051</v>
      </c>
      <c r="C1555" s="12" t="s">
        <v>2052</v>
      </c>
      <c r="D1555" s="24"/>
      <c r="E1555" s="69" t="str">
        <f>HYPERLINK("https://www.google.ru/search?q=281790-16OR&amp;newwindow=1&amp;tbm=isch","Еще фото")</f>
        <v>Еще фото</v>
      </c>
      <c r="F1555" s="13"/>
      <c r="G1555" s="11" t="s">
        <v>1965</v>
      </c>
      <c r="H1555" s="11" t="s">
        <v>814</v>
      </c>
      <c r="I1555" s="14" t="s">
        <v>1966</v>
      </c>
      <c r="J1555" s="14" t="s">
        <v>879</v>
      </c>
      <c r="K1555" s="15" t="s">
        <v>114</v>
      </c>
      <c r="L1555" s="14"/>
      <c r="M1555" s="14"/>
      <c r="N1555" s="14" t="s">
        <v>636</v>
      </c>
      <c r="O1555" s="14"/>
      <c r="P1555" s="15" t="s">
        <v>108</v>
      </c>
      <c r="Q1555" s="16">
        <v>1699</v>
      </c>
      <c r="R1555" s="17">
        <v>30</v>
      </c>
      <c r="S1555" s="18">
        <v>1367.6949999999999</v>
      </c>
      <c r="T1555" s="19" t="s">
        <v>117</v>
      </c>
      <c r="U1555" s="20" t="s">
        <v>2053</v>
      </c>
      <c r="V1555" s="25" t="s">
        <v>119</v>
      </c>
      <c r="W1555" s="21">
        <v>4</v>
      </c>
      <c r="X1555" s="22"/>
    </row>
    <row r="1556" spans="1:24" s="1" customFormat="1" ht="108" customHeight="1" x14ac:dyDescent="0.3">
      <c r="A1556" s="11" t="s">
        <v>1355</v>
      </c>
      <c r="B1556" s="11" t="s">
        <v>2054</v>
      </c>
      <c r="C1556" s="12" t="s">
        <v>2055</v>
      </c>
      <c r="D1556" s="24"/>
      <c r="E1556" s="69" t="str">
        <f>HYPERLINK("https://www.google.ru/search?q=260764-BKWH&amp;newwindow=1&amp;tbm=isch","Еще фото")</f>
        <v>Еще фото</v>
      </c>
      <c r="F1556" s="13"/>
      <c r="G1556" s="11" t="s">
        <v>2056</v>
      </c>
      <c r="H1556" s="11" t="s">
        <v>536</v>
      </c>
      <c r="I1556" s="14" t="s">
        <v>1114</v>
      </c>
      <c r="J1556" s="14" t="s">
        <v>879</v>
      </c>
      <c r="K1556" s="15" t="s">
        <v>114</v>
      </c>
      <c r="L1556" s="14" t="s">
        <v>2057</v>
      </c>
      <c r="M1556" s="14"/>
      <c r="N1556" s="14" t="s">
        <v>49</v>
      </c>
      <c r="O1556" s="14"/>
      <c r="P1556" s="15" t="s">
        <v>108</v>
      </c>
      <c r="Q1556" s="16">
        <v>4799</v>
      </c>
      <c r="R1556" s="17">
        <v>78.38</v>
      </c>
      <c r="S1556" s="18">
        <v>1193.4354999999998</v>
      </c>
      <c r="T1556" s="19" t="s">
        <v>117</v>
      </c>
      <c r="U1556" s="20" t="s">
        <v>788</v>
      </c>
      <c r="V1556" s="25" t="s">
        <v>119</v>
      </c>
      <c r="W1556" s="21">
        <v>34</v>
      </c>
      <c r="X1556" s="22"/>
    </row>
    <row r="1557" spans="1:24" s="1" customFormat="1" ht="108" customHeight="1" x14ac:dyDescent="0.3">
      <c r="A1557" s="11" t="s">
        <v>1355</v>
      </c>
      <c r="B1557" s="11" t="s">
        <v>2058</v>
      </c>
      <c r="C1557" s="12" t="s">
        <v>2059</v>
      </c>
      <c r="D1557" s="24"/>
      <c r="E1557" s="69" t="str">
        <f>HYPERLINK("https://www.google.ru/search?q=260754-Monster&amp;newwindow=1&amp;tbm=isch","Еще фото")</f>
        <v>Еще фото</v>
      </c>
      <c r="F1557" s="13"/>
      <c r="G1557" s="11" t="s">
        <v>2056</v>
      </c>
      <c r="H1557" s="11" t="s">
        <v>536</v>
      </c>
      <c r="I1557" s="14" t="s">
        <v>1114</v>
      </c>
      <c r="J1557" s="14" t="s">
        <v>879</v>
      </c>
      <c r="K1557" s="15" t="s">
        <v>114</v>
      </c>
      <c r="L1557" s="14" t="s">
        <v>2060</v>
      </c>
      <c r="M1557" s="14"/>
      <c r="N1557" s="14" t="s">
        <v>1115</v>
      </c>
      <c r="O1557" s="14"/>
      <c r="P1557" s="15" t="s">
        <v>108</v>
      </c>
      <c r="Q1557" s="16">
        <v>7999</v>
      </c>
      <c r="R1557" s="17">
        <v>55.65</v>
      </c>
      <c r="S1557" s="18">
        <v>4079.9354999999996</v>
      </c>
      <c r="T1557" s="19" t="s">
        <v>117</v>
      </c>
      <c r="U1557" s="20" t="s">
        <v>788</v>
      </c>
      <c r="V1557" s="25" t="s">
        <v>119</v>
      </c>
      <c r="W1557" s="21">
        <v>22</v>
      </c>
      <c r="X1557" s="22"/>
    </row>
    <row r="1558" spans="1:24" s="1" customFormat="1" ht="108" customHeight="1" x14ac:dyDescent="0.3">
      <c r="A1558" s="11" t="s">
        <v>1355</v>
      </c>
      <c r="B1558" s="11" t="s">
        <v>2061</v>
      </c>
      <c r="C1558" s="12" t="s">
        <v>2062</v>
      </c>
      <c r="D1558" s="24"/>
      <c r="E1558" s="69" t="str">
        <f>HYPERLINK("https://www.google.ru/search?q=260774-Monster&amp;newwindow=1&amp;tbm=isch","Еще фото")</f>
        <v>Еще фото</v>
      </c>
      <c r="F1558" s="13"/>
      <c r="G1558" s="11" t="s">
        <v>2056</v>
      </c>
      <c r="H1558" s="11" t="s">
        <v>536</v>
      </c>
      <c r="I1558" s="14" t="s">
        <v>1114</v>
      </c>
      <c r="J1558" s="14" t="s">
        <v>879</v>
      </c>
      <c r="K1558" s="15" t="s">
        <v>114</v>
      </c>
      <c r="L1558" s="14" t="s">
        <v>2057</v>
      </c>
      <c r="M1558" s="14"/>
      <c r="N1558" s="14" t="s">
        <v>70</v>
      </c>
      <c r="O1558" s="14"/>
      <c r="P1558" s="15" t="s">
        <v>108</v>
      </c>
      <c r="Q1558" s="16">
        <v>4999</v>
      </c>
      <c r="R1558" s="17">
        <v>55.64</v>
      </c>
      <c r="S1558" s="18">
        <v>2550.4354999999996</v>
      </c>
      <c r="T1558" s="19" t="s">
        <v>117</v>
      </c>
      <c r="U1558" s="20" t="s">
        <v>788</v>
      </c>
      <c r="V1558" s="25" t="s">
        <v>119</v>
      </c>
      <c r="W1558" s="21">
        <v>22</v>
      </c>
      <c r="X1558" s="22"/>
    </row>
    <row r="1559" spans="1:24" s="1" customFormat="1" ht="108" customHeight="1" x14ac:dyDescent="0.3">
      <c r="A1559" s="11" t="s">
        <v>1355</v>
      </c>
      <c r="B1559" s="11" t="s">
        <v>2063</v>
      </c>
      <c r="C1559" s="12" t="s">
        <v>2064</v>
      </c>
      <c r="D1559" s="24"/>
      <c r="E1559" s="69" t="str">
        <f>HYPERLINK("https://www.google.ru/search?q=262334-BLBK&amp;newwindow=1&amp;tbm=isch","Еще фото")</f>
        <v>Еще фото</v>
      </c>
      <c r="F1559" s="13"/>
      <c r="G1559" s="11" t="s">
        <v>1113</v>
      </c>
      <c r="H1559" s="11" t="s">
        <v>536</v>
      </c>
      <c r="I1559" s="14" t="s">
        <v>1114</v>
      </c>
      <c r="J1559" s="14" t="s">
        <v>879</v>
      </c>
      <c r="K1559" s="15" t="s">
        <v>114</v>
      </c>
      <c r="L1559" s="14" t="s">
        <v>2065</v>
      </c>
      <c r="M1559" s="14"/>
      <c r="N1559" s="14" t="s">
        <v>70</v>
      </c>
      <c r="O1559" s="14"/>
      <c r="P1559" s="15" t="s">
        <v>108</v>
      </c>
      <c r="Q1559" s="16">
        <v>5699</v>
      </c>
      <c r="R1559" s="17">
        <v>52.49</v>
      </c>
      <c r="S1559" s="18">
        <v>3113.9354999999996</v>
      </c>
      <c r="T1559" s="19" t="s">
        <v>117</v>
      </c>
      <c r="U1559" s="20" t="s">
        <v>788</v>
      </c>
      <c r="V1559" s="25" t="s">
        <v>119</v>
      </c>
      <c r="W1559" s="21">
        <v>49</v>
      </c>
      <c r="X1559" s="22"/>
    </row>
    <row r="1560" spans="1:24" s="1" customFormat="1" ht="108" customHeight="1" x14ac:dyDescent="0.3">
      <c r="A1560" s="11" t="s">
        <v>1355</v>
      </c>
      <c r="B1560" s="11" t="s">
        <v>2066</v>
      </c>
      <c r="C1560" s="12" t="s">
        <v>2067</v>
      </c>
      <c r="D1560" s="24"/>
      <c r="E1560" s="69" t="str">
        <f>HYPERLINK("https://www.google.ru/search?q=261325-NV&amp;newwindow=1&amp;tbm=isch","Еще фото")</f>
        <v>Еще фото</v>
      </c>
      <c r="F1560" s="13"/>
      <c r="G1560" s="11" t="s">
        <v>1113</v>
      </c>
      <c r="H1560" s="11" t="s">
        <v>536</v>
      </c>
      <c r="I1560" s="14" t="s">
        <v>1114</v>
      </c>
      <c r="J1560" s="14" t="s">
        <v>879</v>
      </c>
      <c r="K1560" s="15" t="s">
        <v>114</v>
      </c>
      <c r="L1560" s="14" t="s">
        <v>2068</v>
      </c>
      <c r="M1560" s="14"/>
      <c r="N1560" s="14" t="s">
        <v>70</v>
      </c>
      <c r="O1560" s="14"/>
      <c r="P1560" s="15" t="s">
        <v>108</v>
      </c>
      <c r="Q1560" s="16">
        <v>5299</v>
      </c>
      <c r="R1560" s="17">
        <v>48.9</v>
      </c>
      <c r="S1560" s="18">
        <v>3113.9354999999996</v>
      </c>
      <c r="T1560" s="19" t="s">
        <v>117</v>
      </c>
      <c r="U1560" s="20" t="s">
        <v>788</v>
      </c>
      <c r="V1560" s="25" t="s">
        <v>119</v>
      </c>
      <c r="W1560" s="21">
        <v>3</v>
      </c>
      <c r="X1560" s="22"/>
    </row>
    <row r="1561" spans="1:24" s="1" customFormat="1" ht="108" customHeight="1" x14ac:dyDescent="0.3">
      <c r="A1561" s="11" t="s">
        <v>1355</v>
      </c>
      <c r="B1561" s="11" t="s">
        <v>2069</v>
      </c>
      <c r="C1561" s="12" t="s">
        <v>2070</v>
      </c>
      <c r="D1561" s="24"/>
      <c r="E1561" s="69" t="str">
        <f>HYPERLINK("https://www.google.ru/search?q=262224-BKCC&amp;newwindow=1&amp;tbm=isch","Еще фото")</f>
        <v>Еще фото</v>
      </c>
      <c r="F1561" s="13"/>
      <c r="G1561" s="11" t="s">
        <v>1113</v>
      </c>
      <c r="H1561" s="11" t="s">
        <v>536</v>
      </c>
      <c r="I1561" s="14" t="s">
        <v>1114</v>
      </c>
      <c r="J1561" s="14" t="s">
        <v>879</v>
      </c>
      <c r="K1561" s="15" t="s">
        <v>114</v>
      </c>
      <c r="L1561" s="14" t="s">
        <v>2071</v>
      </c>
      <c r="M1561" s="14"/>
      <c r="N1561" s="14" t="s">
        <v>49</v>
      </c>
      <c r="O1561" s="14"/>
      <c r="P1561" s="15" t="s">
        <v>108</v>
      </c>
      <c r="Q1561" s="16">
        <v>7599</v>
      </c>
      <c r="R1561" s="17">
        <v>45.02</v>
      </c>
      <c r="S1561" s="18">
        <v>4804.4355000000005</v>
      </c>
      <c r="T1561" s="19" t="s">
        <v>117</v>
      </c>
      <c r="U1561" s="20" t="s">
        <v>788</v>
      </c>
      <c r="V1561" s="25" t="s">
        <v>119</v>
      </c>
      <c r="W1561" s="21">
        <v>7</v>
      </c>
      <c r="X1561" s="22"/>
    </row>
    <row r="1562" spans="1:24" s="1" customFormat="1" ht="108" customHeight="1" x14ac:dyDescent="0.3">
      <c r="A1562" s="11" t="s">
        <v>1355</v>
      </c>
      <c r="B1562" s="11" t="s">
        <v>2072</v>
      </c>
      <c r="C1562" s="12" t="s">
        <v>2073</v>
      </c>
      <c r="D1562" s="24"/>
      <c r="E1562" s="69" t="str">
        <f>HYPERLINK("https://www.google.ru/search?q=262314-BLBK&amp;newwindow=1&amp;tbm=isch","Еще фото")</f>
        <v>Еще фото</v>
      </c>
      <c r="F1562" s="13"/>
      <c r="G1562" s="11" t="s">
        <v>1113</v>
      </c>
      <c r="H1562" s="11" t="s">
        <v>536</v>
      </c>
      <c r="I1562" s="14" t="s">
        <v>1114</v>
      </c>
      <c r="J1562" s="14" t="s">
        <v>879</v>
      </c>
      <c r="K1562" s="15" t="s">
        <v>114</v>
      </c>
      <c r="L1562" s="14" t="s">
        <v>2074</v>
      </c>
      <c r="M1562" s="14"/>
      <c r="N1562" s="14" t="s">
        <v>70</v>
      </c>
      <c r="O1562" s="14"/>
      <c r="P1562" s="15" t="s">
        <v>108</v>
      </c>
      <c r="Q1562" s="16">
        <v>8999</v>
      </c>
      <c r="R1562" s="17">
        <v>45.02</v>
      </c>
      <c r="S1562" s="18">
        <v>5689.9355000000005</v>
      </c>
      <c r="T1562" s="19" t="s">
        <v>117</v>
      </c>
      <c r="U1562" s="20" t="s">
        <v>788</v>
      </c>
      <c r="V1562" s="25" t="s">
        <v>119</v>
      </c>
      <c r="W1562" s="21">
        <v>35</v>
      </c>
      <c r="X1562" s="22"/>
    </row>
    <row r="1563" spans="1:24" s="1" customFormat="1" ht="108" customHeight="1" x14ac:dyDescent="0.3">
      <c r="A1563" s="11" t="s">
        <v>1355</v>
      </c>
      <c r="B1563" s="11" t="s">
        <v>2075</v>
      </c>
      <c r="C1563" s="12" t="s">
        <v>2076</v>
      </c>
      <c r="D1563" s="24"/>
      <c r="E1563" s="69" t="str">
        <f>HYPERLINK("https://www.google.ru/search?q=260015-BK&amp;newwindow=1&amp;tbm=isch","Еще фото")</f>
        <v>Еще фото</v>
      </c>
      <c r="F1563" s="13"/>
      <c r="G1563" s="11" t="s">
        <v>2077</v>
      </c>
      <c r="H1563" s="11" t="s">
        <v>536</v>
      </c>
      <c r="I1563" s="14" t="s">
        <v>1114</v>
      </c>
      <c r="J1563" s="14" t="s">
        <v>879</v>
      </c>
      <c r="K1563" s="15" t="s">
        <v>114</v>
      </c>
      <c r="L1563" s="14" t="s">
        <v>2078</v>
      </c>
      <c r="M1563" s="14"/>
      <c r="N1563" s="14" t="s">
        <v>49</v>
      </c>
      <c r="O1563" s="14"/>
      <c r="P1563" s="15" t="s">
        <v>108</v>
      </c>
      <c r="Q1563" s="16">
        <v>18499</v>
      </c>
      <c r="R1563" s="17">
        <v>30</v>
      </c>
      <c r="S1563" s="18">
        <v>14891.694999999998</v>
      </c>
      <c r="T1563" s="19" t="s">
        <v>117</v>
      </c>
      <c r="U1563" s="20" t="s">
        <v>788</v>
      </c>
      <c r="V1563" s="25" t="s">
        <v>119</v>
      </c>
      <c r="W1563" s="21">
        <v>5</v>
      </c>
      <c r="X1563" s="22"/>
    </row>
    <row r="1564" spans="1:24" s="1" customFormat="1" ht="108" customHeight="1" x14ac:dyDescent="0.3">
      <c r="A1564" s="11" t="s">
        <v>1355</v>
      </c>
      <c r="B1564" s="11" t="s">
        <v>2079</v>
      </c>
      <c r="C1564" s="12" t="s">
        <v>2080</v>
      </c>
      <c r="D1564" s="24"/>
      <c r="E1564" s="69" t="str">
        <f>HYPERLINK("https://www.google.ru/search?q=260113-BK&amp;newwindow=1&amp;tbm=isch","Еще фото")</f>
        <v>Еще фото</v>
      </c>
      <c r="F1564" s="13"/>
      <c r="G1564" s="11" t="s">
        <v>1113</v>
      </c>
      <c r="H1564" s="11" t="s">
        <v>536</v>
      </c>
      <c r="I1564" s="14" t="s">
        <v>1114</v>
      </c>
      <c r="J1564" s="14" t="s">
        <v>879</v>
      </c>
      <c r="K1564" s="15" t="s">
        <v>114</v>
      </c>
      <c r="L1564" s="14" t="s">
        <v>2081</v>
      </c>
      <c r="M1564" s="14"/>
      <c r="N1564" s="14" t="s">
        <v>49</v>
      </c>
      <c r="O1564" s="14"/>
      <c r="P1564" s="15" t="s">
        <v>108</v>
      </c>
      <c r="Q1564" s="16">
        <v>14799</v>
      </c>
      <c r="R1564" s="17">
        <v>30</v>
      </c>
      <c r="S1564" s="18">
        <v>11913.194999999998</v>
      </c>
      <c r="T1564" s="19" t="s">
        <v>117</v>
      </c>
      <c r="U1564" s="20" t="s">
        <v>788</v>
      </c>
      <c r="V1564" s="25" t="s">
        <v>119</v>
      </c>
      <c r="W1564" s="21">
        <v>3</v>
      </c>
      <c r="X1564" s="22"/>
    </row>
    <row r="1565" spans="1:24" s="1" customFormat="1" ht="108" customHeight="1" x14ac:dyDescent="0.3">
      <c r="A1565" s="11" t="s">
        <v>1355</v>
      </c>
      <c r="B1565" s="11" t="s">
        <v>2082</v>
      </c>
      <c r="C1565" s="12" t="s">
        <v>2083</v>
      </c>
      <c r="D1565" s="24"/>
      <c r="E1565" s="69" t="str">
        <f>HYPERLINK("https://www.google.ru/search?q=260326-OR&amp;newwindow=1&amp;tbm=isch","Еще фото")</f>
        <v>Еще фото</v>
      </c>
      <c r="F1565" s="31" t="s">
        <v>738</v>
      </c>
      <c r="G1565" s="11" t="s">
        <v>2084</v>
      </c>
      <c r="H1565" s="11" t="s">
        <v>536</v>
      </c>
      <c r="I1565" s="14" t="s">
        <v>1114</v>
      </c>
      <c r="J1565" s="14" t="s">
        <v>879</v>
      </c>
      <c r="K1565" s="15" t="s">
        <v>114</v>
      </c>
      <c r="L1565" s="14"/>
      <c r="M1565" s="14"/>
      <c r="N1565" s="14" t="s">
        <v>636</v>
      </c>
      <c r="O1565" s="14"/>
      <c r="P1565" s="15" t="s">
        <v>108</v>
      </c>
      <c r="Q1565" s="16">
        <v>6999</v>
      </c>
      <c r="R1565" s="17">
        <v>30</v>
      </c>
      <c r="S1565" s="18">
        <v>5634.1949999999997</v>
      </c>
      <c r="T1565" s="19" t="s">
        <v>117</v>
      </c>
      <c r="U1565" s="20" t="s">
        <v>788</v>
      </c>
      <c r="V1565" s="25" t="s">
        <v>119</v>
      </c>
      <c r="W1565" s="21">
        <v>6</v>
      </c>
      <c r="X1565" s="22"/>
    </row>
    <row r="1566" spans="1:24" s="1" customFormat="1" ht="108" customHeight="1" x14ac:dyDescent="0.3">
      <c r="A1566" s="11" t="s">
        <v>1355</v>
      </c>
      <c r="B1566" s="11" t="s">
        <v>2085</v>
      </c>
      <c r="C1566" s="12" t="s">
        <v>2086</v>
      </c>
      <c r="D1566" s="24"/>
      <c r="E1566" s="69" t="str">
        <f>HYPERLINK("https://www.google.ru/search?q=260426-PK&amp;newwindow=1&amp;tbm=isch","Еще фото")</f>
        <v>Еще фото</v>
      </c>
      <c r="F1566" s="31" t="s">
        <v>738</v>
      </c>
      <c r="G1566" s="11" t="s">
        <v>2084</v>
      </c>
      <c r="H1566" s="11" t="s">
        <v>536</v>
      </c>
      <c r="I1566" s="14" t="s">
        <v>1114</v>
      </c>
      <c r="J1566" s="14" t="s">
        <v>879</v>
      </c>
      <c r="K1566" s="15" t="s">
        <v>114</v>
      </c>
      <c r="L1566" s="14"/>
      <c r="M1566" s="14"/>
      <c r="N1566" s="14" t="s">
        <v>275</v>
      </c>
      <c r="O1566" s="14"/>
      <c r="P1566" s="15" t="s">
        <v>108</v>
      </c>
      <c r="Q1566" s="16">
        <v>6999</v>
      </c>
      <c r="R1566" s="17">
        <v>30</v>
      </c>
      <c r="S1566" s="18">
        <v>5634.1949999999997</v>
      </c>
      <c r="T1566" s="19" t="s">
        <v>117</v>
      </c>
      <c r="U1566" s="20" t="s">
        <v>788</v>
      </c>
      <c r="V1566" s="25" t="s">
        <v>119</v>
      </c>
      <c r="W1566" s="21">
        <v>6</v>
      </c>
      <c r="X1566" s="22"/>
    </row>
    <row r="1567" spans="1:24" s="1" customFormat="1" ht="108" customHeight="1" x14ac:dyDescent="0.3">
      <c r="A1567" s="11" t="s">
        <v>1355</v>
      </c>
      <c r="B1567" s="11" t="s">
        <v>2087</v>
      </c>
      <c r="C1567" s="12" t="s">
        <v>2088</v>
      </c>
      <c r="D1567" s="24"/>
      <c r="E1567" s="69" t="str">
        <f>HYPERLINK("https://www.google.ru/search?q=260506-GE&amp;newwindow=1&amp;tbm=isch","Еще фото")</f>
        <v>Еще фото</v>
      </c>
      <c r="F1567" s="13"/>
      <c r="G1567" s="11" t="s">
        <v>2084</v>
      </c>
      <c r="H1567" s="11" t="s">
        <v>536</v>
      </c>
      <c r="I1567" s="14" t="s">
        <v>1114</v>
      </c>
      <c r="J1567" s="14" t="s">
        <v>879</v>
      </c>
      <c r="K1567" s="15" t="s">
        <v>114</v>
      </c>
      <c r="L1567" s="14"/>
      <c r="M1567" s="14"/>
      <c r="N1567" s="14" t="s">
        <v>242</v>
      </c>
      <c r="O1567" s="14"/>
      <c r="P1567" s="15" t="s">
        <v>108</v>
      </c>
      <c r="Q1567" s="16">
        <v>12999</v>
      </c>
      <c r="R1567" s="17">
        <v>30</v>
      </c>
      <c r="S1567" s="18">
        <v>10464.194999999998</v>
      </c>
      <c r="T1567" s="19" t="s">
        <v>117</v>
      </c>
      <c r="U1567" s="20" t="s">
        <v>788</v>
      </c>
      <c r="V1567" s="25" t="s">
        <v>119</v>
      </c>
      <c r="W1567" s="21">
        <v>3</v>
      </c>
      <c r="X1567" s="22"/>
    </row>
    <row r="1568" spans="1:24" s="1" customFormat="1" ht="108" customHeight="1" x14ac:dyDescent="0.3">
      <c r="A1568" s="11" t="s">
        <v>1355</v>
      </c>
      <c r="B1568" s="11" t="s">
        <v>2089</v>
      </c>
      <c r="C1568" s="12" t="s">
        <v>2090</v>
      </c>
      <c r="D1568" s="24"/>
      <c r="E1568" s="69" t="str">
        <f>HYPERLINK("https://www.google.ru/search?q=260516-GE&amp;newwindow=1&amp;tbm=isch","Еще фото")</f>
        <v>Еще фото</v>
      </c>
      <c r="F1568" s="31" t="s">
        <v>738</v>
      </c>
      <c r="G1568" s="11" t="s">
        <v>2084</v>
      </c>
      <c r="H1568" s="11" t="s">
        <v>536</v>
      </c>
      <c r="I1568" s="14" t="s">
        <v>1114</v>
      </c>
      <c r="J1568" s="14" t="s">
        <v>879</v>
      </c>
      <c r="K1568" s="15" t="s">
        <v>114</v>
      </c>
      <c r="L1568" s="14"/>
      <c r="M1568" s="14"/>
      <c r="N1568" s="14" t="s">
        <v>242</v>
      </c>
      <c r="O1568" s="14"/>
      <c r="P1568" s="15" t="s">
        <v>108</v>
      </c>
      <c r="Q1568" s="16">
        <v>10999</v>
      </c>
      <c r="R1568" s="17">
        <v>30</v>
      </c>
      <c r="S1568" s="18">
        <v>8854.1949999999997</v>
      </c>
      <c r="T1568" s="19" t="s">
        <v>117</v>
      </c>
      <c r="U1568" s="20" t="s">
        <v>788</v>
      </c>
      <c r="V1568" s="25" t="s">
        <v>119</v>
      </c>
      <c r="W1568" s="21">
        <v>7</v>
      </c>
      <c r="X1568" s="22"/>
    </row>
    <row r="1569" spans="1:24" s="1" customFormat="1" ht="108" customHeight="1" x14ac:dyDescent="0.3">
      <c r="A1569" s="11" t="s">
        <v>1355</v>
      </c>
      <c r="B1569" s="11" t="s">
        <v>2091</v>
      </c>
      <c r="C1569" s="12" t="s">
        <v>2092</v>
      </c>
      <c r="D1569" s="24"/>
      <c r="E1569" s="69" t="str">
        <f>HYPERLINK("https://www.google.ru/search?q=260526-GE&amp;newwindow=1&amp;tbm=isch","Еще фото")</f>
        <v>Еще фото</v>
      </c>
      <c r="F1569" s="31" t="s">
        <v>738</v>
      </c>
      <c r="G1569" s="11" t="s">
        <v>2084</v>
      </c>
      <c r="H1569" s="11" t="s">
        <v>536</v>
      </c>
      <c r="I1569" s="14" t="s">
        <v>1114</v>
      </c>
      <c r="J1569" s="14" t="s">
        <v>879</v>
      </c>
      <c r="K1569" s="15" t="s">
        <v>114</v>
      </c>
      <c r="L1569" s="14"/>
      <c r="M1569" s="14"/>
      <c r="N1569" s="14" t="s">
        <v>242</v>
      </c>
      <c r="O1569" s="14"/>
      <c r="P1569" s="15" t="s">
        <v>108</v>
      </c>
      <c r="Q1569" s="16">
        <v>6999</v>
      </c>
      <c r="R1569" s="17">
        <v>30</v>
      </c>
      <c r="S1569" s="18">
        <v>5634.1949999999997</v>
      </c>
      <c r="T1569" s="19" t="s">
        <v>117</v>
      </c>
      <c r="U1569" s="20" t="s">
        <v>788</v>
      </c>
      <c r="V1569" s="25" t="s">
        <v>119</v>
      </c>
      <c r="W1569" s="21">
        <v>17</v>
      </c>
      <c r="X1569" s="22"/>
    </row>
    <row r="1570" spans="1:24" s="1" customFormat="1" ht="108" customHeight="1" x14ac:dyDescent="0.3">
      <c r="A1570" s="11" t="s">
        <v>1355</v>
      </c>
      <c r="B1570" s="11" t="s">
        <v>2093</v>
      </c>
      <c r="C1570" s="12" t="s">
        <v>2094</v>
      </c>
      <c r="D1570" s="24"/>
      <c r="E1570" s="69" t="str">
        <f>HYPERLINK("https://www.google.ru/search?q=260616-BL&amp;newwindow=1&amp;tbm=isch","Еще фото")</f>
        <v>Еще фото</v>
      </c>
      <c r="F1570" s="31" t="s">
        <v>738</v>
      </c>
      <c r="G1570" s="11" t="s">
        <v>2084</v>
      </c>
      <c r="H1570" s="11" t="s">
        <v>536</v>
      </c>
      <c r="I1570" s="14" t="s">
        <v>1114</v>
      </c>
      <c r="J1570" s="14" t="s">
        <v>879</v>
      </c>
      <c r="K1570" s="15" t="s">
        <v>114</v>
      </c>
      <c r="L1570" s="14"/>
      <c r="M1570" s="14"/>
      <c r="N1570" s="14" t="s">
        <v>265</v>
      </c>
      <c r="O1570" s="14"/>
      <c r="P1570" s="15" t="s">
        <v>108</v>
      </c>
      <c r="Q1570" s="16">
        <v>10999</v>
      </c>
      <c r="R1570" s="17">
        <v>30</v>
      </c>
      <c r="S1570" s="18">
        <v>8854.1949999999997</v>
      </c>
      <c r="T1570" s="19" t="s">
        <v>117</v>
      </c>
      <c r="U1570" s="20" t="s">
        <v>788</v>
      </c>
      <c r="V1570" s="25" t="s">
        <v>119</v>
      </c>
      <c r="W1570" s="21">
        <v>6</v>
      </c>
      <c r="X1570" s="22"/>
    </row>
    <row r="1571" spans="1:24" s="1" customFormat="1" ht="108" customHeight="1" x14ac:dyDescent="0.3">
      <c r="A1571" s="11" t="s">
        <v>1355</v>
      </c>
      <c r="B1571" s="11" t="s">
        <v>2095</v>
      </c>
      <c r="C1571" s="12" t="s">
        <v>2096</v>
      </c>
      <c r="D1571" s="24"/>
      <c r="E1571" s="69" t="str">
        <f>HYPERLINK("https://www.google.ru/search?q=260626-BL&amp;newwindow=1&amp;tbm=isch","Еще фото")</f>
        <v>Еще фото</v>
      </c>
      <c r="F1571" s="31" t="s">
        <v>738</v>
      </c>
      <c r="G1571" s="11" t="s">
        <v>2084</v>
      </c>
      <c r="H1571" s="11" t="s">
        <v>536</v>
      </c>
      <c r="I1571" s="14" t="s">
        <v>1114</v>
      </c>
      <c r="J1571" s="14" t="s">
        <v>879</v>
      </c>
      <c r="K1571" s="15" t="s">
        <v>114</v>
      </c>
      <c r="L1571" s="14"/>
      <c r="M1571" s="14"/>
      <c r="N1571" s="14" t="s">
        <v>265</v>
      </c>
      <c r="O1571" s="14"/>
      <c r="P1571" s="15" t="s">
        <v>108</v>
      </c>
      <c r="Q1571" s="16">
        <v>6999</v>
      </c>
      <c r="R1571" s="17">
        <v>30</v>
      </c>
      <c r="S1571" s="18">
        <v>5634.1949999999997</v>
      </c>
      <c r="T1571" s="19" t="s">
        <v>117</v>
      </c>
      <c r="U1571" s="20" t="s">
        <v>788</v>
      </c>
      <c r="V1571" s="25" t="s">
        <v>119</v>
      </c>
      <c r="W1571" s="21">
        <v>6</v>
      </c>
      <c r="X1571" s="22"/>
    </row>
    <row r="1572" spans="1:24" s="1" customFormat="1" ht="108" customHeight="1" x14ac:dyDescent="0.3">
      <c r="A1572" s="11" t="s">
        <v>1355</v>
      </c>
      <c r="B1572" s="11" t="s">
        <v>2097</v>
      </c>
      <c r="C1572" s="12" t="s">
        <v>2098</v>
      </c>
      <c r="D1572" s="24"/>
      <c r="E1572" s="69" t="str">
        <f>HYPERLINK("https://www.google.ru/search?q=260644-BKWH&amp;newwindow=1&amp;tbm=isch","Еще фото")</f>
        <v>Еще фото</v>
      </c>
      <c r="F1572" s="13"/>
      <c r="G1572" s="11" t="s">
        <v>2056</v>
      </c>
      <c r="H1572" s="11" t="s">
        <v>536</v>
      </c>
      <c r="I1572" s="14" t="s">
        <v>1114</v>
      </c>
      <c r="J1572" s="14" t="s">
        <v>879</v>
      </c>
      <c r="K1572" s="15" t="s">
        <v>114</v>
      </c>
      <c r="L1572" s="14" t="s">
        <v>2099</v>
      </c>
      <c r="M1572" s="14"/>
      <c r="N1572" s="14" t="s">
        <v>49</v>
      </c>
      <c r="O1572" s="14"/>
      <c r="P1572" s="15" t="s">
        <v>108</v>
      </c>
      <c r="Q1572" s="16">
        <v>7499</v>
      </c>
      <c r="R1572" s="17">
        <v>30</v>
      </c>
      <c r="S1572" s="18">
        <v>6036.6949999999997</v>
      </c>
      <c r="T1572" s="19" t="s">
        <v>117</v>
      </c>
      <c r="U1572" s="20" t="s">
        <v>788</v>
      </c>
      <c r="V1572" s="25" t="s">
        <v>119</v>
      </c>
      <c r="W1572" s="21">
        <v>4</v>
      </c>
      <c r="X1572" s="22"/>
    </row>
    <row r="1573" spans="1:24" s="1" customFormat="1" ht="108" customHeight="1" x14ac:dyDescent="0.3">
      <c r="A1573" s="11" t="s">
        <v>1355</v>
      </c>
      <c r="B1573" s="11" t="s">
        <v>2100</v>
      </c>
      <c r="C1573" s="12" t="s">
        <v>2101</v>
      </c>
      <c r="D1573" s="24"/>
      <c r="E1573" s="69" t="str">
        <f>HYPERLINK("https://www.google.ru/search?q=260744-BKWH&amp;newwindow=1&amp;tbm=isch","Еще фото")</f>
        <v>Еще фото</v>
      </c>
      <c r="F1573" s="13"/>
      <c r="G1573" s="11" t="s">
        <v>2056</v>
      </c>
      <c r="H1573" s="11" t="s">
        <v>536</v>
      </c>
      <c r="I1573" s="14" t="s">
        <v>1114</v>
      </c>
      <c r="J1573" s="14" t="s">
        <v>879</v>
      </c>
      <c r="K1573" s="15" t="s">
        <v>114</v>
      </c>
      <c r="L1573" s="14" t="s">
        <v>2102</v>
      </c>
      <c r="M1573" s="14"/>
      <c r="N1573" s="14" t="s">
        <v>49</v>
      </c>
      <c r="O1573" s="14"/>
      <c r="P1573" s="15" t="s">
        <v>108</v>
      </c>
      <c r="Q1573" s="16">
        <v>7999</v>
      </c>
      <c r="R1573" s="17">
        <v>30</v>
      </c>
      <c r="S1573" s="18">
        <v>6439.1949999999997</v>
      </c>
      <c r="T1573" s="19" t="s">
        <v>117</v>
      </c>
      <c r="U1573" s="20" t="s">
        <v>788</v>
      </c>
      <c r="V1573" s="25" t="s">
        <v>119</v>
      </c>
      <c r="W1573" s="21">
        <v>8</v>
      </c>
      <c r="X1573" s="22"/>
    </row>
    <row r="1574" spans="1:24" s="1" customFormat="1" ht="108" customHeight="1" x14ac:dyDescent="0.3">
      <c r="A1574" s="11" t="s">
        <v>1355</v>
      </c>
      <c r="B1574" s="11" t="s">
        <v>2103</v>
      </c>
      <c r="C1574" s="12" t="s">
        <v>2104</v>
      </c>
      <c r="D1574" s="24"/>
      <c r="E1574" s="69" t="str">
        <f>HYPERLINK("https://www.google.ru/search?q=260784-Owl&amp;newwindow=1&amp;tbm=isch","Еще фото")</f>
        <v>Еще фото</v>
      </c>
      <c r="F1574" s="13"/>
      <c r="G1574" s="11" t="s">
        <v>2056</v>
      </c>
      <c r="H1574" s="11" t="s">
        <v>536</v>
      </c>
      <c r="I1574" s="14" t="s">
        <v>1114</v>
      </c>
      <c r="J1574" s="14" t="s">
        <v>879</v>
      </c>
      <c r="K1574" s="15" t="s">
        <v>114</v>
      </c>
      <c r="L1574" s="14" t="s">
        <v>2057</v>
      </c>
      <c r="M1574" s="14"/>
      <c r="N1574" s="14" t="s">
        <v>242</v>
      </c>
      <c r="O1574" s="14"/>
      <c r="P1574" s="15" t="s">
        <v>108</v>
      </c>
      <c r="Q1574" s="16">
        <v>4999</v>
      </c>
      <c r="R1574" s="17">
        <v>30</v>
      </c>
      <c r="S1574" s="18">
        <v>4024.1949999999997</v>
      </c>
      <c r="T1574" s="19" t="s">
        <v>117</v>
      </c>
      <c r="U1574" s="20" t="s">
        <v>788</v>
      </c>
      <c r="V1574" s="25" t="s">
        <v>119</v>
      </c>
      <c r="W1574" s="21">
        <v>1</v>
      </c>
      <c r="X1574" s="22"/>
    </row>
    <row r="1575" spans="1:24" s="1" customFormat="1" ht="108" customHeight="1" x14ac:dyDescent="0.3">
      <c r="A1575" s="11" t="s">
        <v>1355</v>
      </c>
      <c r="B1575" s="11" t="s">
        <v>2105</v>
      </c>
      <c r="C1575" s="12" t="s">
        <v>2106</v>
      </c>
      <c r="D1575" s="24"/>
      <c r="E1575" s="69" t="str">
        <f>HYPERLINK("https://www.google.ru/search?q=260815-NV&amp;newwindow=1&amp;tbm=isch","Еще фото")</f>
        <v>Еще фото</v>
      </c>
      <c r="F1575" s="13"/>
      <c r="G1575" s="11" t="s">
        <v>2077</v>
      </c>
      <c r="H1575" s="11" t="s">
        <v>536</v>
      </c>
      <c r="I1575" s="14" t="s">
        <v>1114</v>
      </c>
      <c r="J1575" s="14" t="s">
        <v>879</v>
      </c>
      <c r="K1575" s="15" t="s">
        <v>114</v>
      </c>
      <c r="L1575" s="14" t="s">
        <v>2107</v>
      </c>
      <c r="M1575" s="14"/>
      <c r="N1575" s="14" t="s">
        <v>70</v>
      </c>
      <c r="O1575" s="14"/>
      <c r="P1575" s="15" t="s">
        <v>108</v>
      </c>
      <c r="Q1575" s="16">
        <v>12699</v>
      </c>
      <c r="R1575" s="17">
        <v>30</v>
      </c>
      <c r="S1575" s="18">
        <v>10222.694999999998</v>
      </c>
      <c r="T1575" s="19" t="s">
        <v>117</v>
      </c>
      <c r="U1575" s="20" t="s">
        <v>788</v>
      </c>
      <c r="V1575" s="25" t="s">
        <v>119</v>
      </c>
      <c r="W1575" s="21">
        <v>7</v>
      </c>
      <c r="X1575" s="22"/>
    </row>
    <row r="1576" spans="1:24" s="1" customFormat="1" ht="108" customHeight="1" x14ac:dyDescent="0.3">
      <c r="A1576" s="11" t="s">
        <v>1355</v>
      </c>
      <c r="B1576" s="11" t="s">
        <v>2108</v>
      </c>
      <c r="C1576" s="12" t="s">
        <v>2109</v>
      </c>
      <c r="D1576" s="24"/>
      <c r="E1576" s="69" t="str">
        <f>HYPERLINK("https://www.google.ru/search?q=260854-FO&amp;newwindow=1&amp;tbm=isch","Еще фото")</f>
        <v>Еще фото</v>
      </c>
      <c r="F1576" s="13"/>
      <c r="G1576" s="11" t="s">
        <v>2056</v>
      </c>
      <c r="H1576" s="11" t="s">
        <v>536</v>
      </c>
      <c r="I1576" s="14" t="s">
        <v>1114</v>
      </c>
      <c r="J1576" s="14" t="s">
        <v>879</v>
      </c>
      <c r="K1576" s="15" t="s">
        <v>114</v>
      </c>
      <c r="L1576" s="14" t="s">
        <v>1948</v>
      </c>
      <c r="M1576" s="14"/>
      <c r="N1576" s="14" t="s">
        <v>116</v>
      </c>
      <c r="O1576" s="14"/>
      <c r="P1576" s="15" t="s">
        <v>108</v>
      </c>
      <c r="Q1576" s="16">
        <v>8999</v>
      </c>
      <c r="R1576" s="17">
        <v>30</v>
      </c>
      <c r="S1576" s="18">
        <v>7244.1949999999997</v>
      </c>
      <c r="T1576" s="19" t="s">
        <v>117</v>
      </c>
      <c r="U1576" s="20" t="s">
        <v>788</v>
      </c>
      <c r="V1576" s="25" t="s">
        <v>119</v>
      </c>
      <c r="W1576" s="21">
        <v>36</v>
      </c>
      <c r="X1576" s="22"/>
    </row>
    <row r="1577" spans="1:24" s="1" customFormat="1" ht="108" customHeight="1" x14ac:dyDescent="0.3">
      <c r="A1577" s="11" t="s">
        <v>1355</v>
      </c>
      <c r="B1577" s="11" t="s">
        <v>2110</v>
      </c>
      <c r="C1577" s="12" t="s">
        <v>2111</v>
      </c>
      <c r="D1577" s="24"/>
      <c r="E1577" s="69" t="str">
        <f>HYPERLINK("https://www.google.ru/search?q=260914-CCTE&amp;newwindow=1&amp;tbm=isch","Еще фото")</f>
        <v>Еще фото</v>
      </c>
      <c r="F1577" s="13"/>
      <c r="G1577" s="11" t="s">
        <v>2056</v>
      </c>
      <c r="H1577" s="11" t="s">
        <v>536</v>
      </c>
      <c r="I1577" s="14" t="s">
        <v>1114</v>
      </c>
      <c r="J1577" s="14" t="s">
        <v>879</v>
      </c>
      <c r="K1577" s="15" t="s">
        <v>114</v>
      </c>
      <c r="L1577" s="14" t="s">
        <v>2112</v>
      </c>
      <c r="M1577" s="14"/>
      <c r="N1577" s="14" t="s">
        <v>41</v>
      </c>
      <c r="O1577" s="14"/>
      <c r="P1577" s="15" t="s">
        <v>108</v>
      </c>
      <c r="Q1577" s="16">
        <v>13699</v>
      </c>
      <c r="R1577" s="17">
        <v>30</v>
      </c>
      <c r="S1577" s="18">
        <v>11027.694999999998</v>
      </c>
      <c r="T1577" s="19" t="s">
        <v>117</v>
      </c>
      <c r="U1577" s="20" t="s">
        <v>788</v>
      </c>
      <c r="V1577" s="25" t="s">
        <v>119</v>
      </c>
      <c r="W1577" s="21">
        <v>2</v>
      </c>
      <c r="X1577" s="22"/>
    </row>
    <row r="1578" spans="1:24" s="1" customFormat="1" ht="108" customHeight="1" x14ac:dyDescent="0.3">
      <c r="A1578" s="11" t="s">
        <v>1355</v>
      </c>
      <c r="B1578" s="11" t="s">
        <v>2113</v>
      </c>
      <c r="C1578" s="12" t="s">
        <v>2114</v>
      </c>
      <c r="D1578" s="24"/>
      <c r="E1578" s="69" t="str">
        <f>HYPERLINK("https://www.google.ru/search?q=260926-PU&amp;newwindow=1&amp;tbm=isch","Еще фото")</f>
        <v>Еще фото</v>
      </c>
      <c r="F1578" s="31" t="s">
        <v>738</v>
      </c>
      <c r="G1578" s="11" t="s">
        <v>1113</v>
      </c>
      <c r="H1578" s="11" t="s">
        <v>536</v>
      </c>
      <c r="I1578" s="14" t="s">
        <v>1114</v>
      </c>
      <c r="J1578" s="14" t="s">
        <v>879</v>
      </c>
      <c r="K1578" s="15" t="s">
        <v>47</v>
      </c>
      <c r="L1578" s="14"/>
      <c r="M1578" s="14"/>
      <c r="N1578" s="14" t="s">
        <v>576</v>
      </c>
      <c r="O1578" s="14"/>
      <c r="P1578" s="15" t="s">
        <v>108</v>
      </c>
      <c r="Q1578" s="16">
        <v>6999</v>
      </c>
      <c r="R1578" s="17">
        <v>30</v>
      </c>
      <c r="S1578" s="18">
        <v>5634.1949999999997</v>
      </c>
      <c r="T1578" s="19" t="s">
        <v>117</v>
      </c>
      <c r="U1578" s="20" t="s">
        <v>788</v>
      </c>
      <c r="V1578" s="25" t="s">
        <v>119</v>
      </c>
      <c r="W1578" s="21">
        <v>6</v>
      </c>
      <c r="X1578" s="22"/>
    </row>
    <row r="1579" spans="1:24" s="1" customFormat="1" ht="108" customHeight="1" x14ac:dyDescent="0.3">
      <c r="A1579" s="11" t="s">
        <v>1355</v>
      </c>
      <c r="B1579" s="11" t="s">
        <v>2115</v>
      </c>
      <c r="C1579" s="12" t="s">
        <v>2116</v>
      </c>
      <c r="D1579" s="24"/>
      <c r="E1579" s="69" t="str">
        <f>HYPERLINK("https://www.google.ru/search?q=260944-CCTE&amp;newwindow=1&amp;tbm=isch","Еще фото")</f>
        <v>Еще фото</v>
      </c>
      <c r="F1579" s="13"/>
      <c r="G1579" s="11" t="s">
        <v>2056</v>
      </c>
      <c r="H1579" s="11" t="s">
        <v>536</v>
      </c>
      <c r="I1579" s="14" t="s">
        <v>1114</v>
      </c>
      <c r="J1579" s="14" t="s">
        <v>879</v>
      </c>
      <c r="K1579" s="15" t="s">
        <v>114</v>
      </c>
      <c r="L1579" s="14" t="s">
        <v>2099</v>
      </c>
      <c r="M1579" s="14"/>
      <c r="N1579" s="14" t="s">
        <v>41</v>
      </c>
      <c r="O1579" s="14"/>
      <c r="P1579" s="15" t="s">
        <v>108</v>
      </c>
      <c r="Q1579" s="16">
        <v>7499</v>
      </c>
      <c r="R1579" s="17">
        <v>30</v>
      </c>
      <c r="S1579" s="18">
        <v>6036.6949999999997</v>
      </c>
      <c r="T1579" s="19" t="s">
        <v>117</v>
      </c>
      <c r="U1579" s="20" t="s">
        <v>788</v>
      </c>
      <c r="V1579" s="25" t="s">
        <v>119</v>
      </c>
      <c r="W1579" s="21">
        <v>13</v>
      </c>
      <c r="X1579" s="22"/>
    </row>
    <row r="1580" spans="1:24" s="1" customFormat="1" ht="108" customHeight="1" x14ac:dyDescent="0.3">
      <c r="A1580" s="11" t="s">
        <v>1355</v>
      </c>
      <c r="B1580" s="11" t="s">
        <v>2117</v>
      </c>
      <c r="C1580" s="12" t="s">
        <v>2118</v>
      </c>
      <c r="D1580" s="24"/>
      <c r="E1580" s="69" t="str">
        <f>HYPERLINK("https://www.google.ru/search?q=260954-CCTE&amp;newwindow=1&amp;tbm=isch","Еще фото")</f>
        <v>Еще фото</v>
      </c>
      <c r="F1580" s="13"/>
      <c r="G1580" s="11" t="s">
        <v>2056</v>
      </c>
      <c r="H1580" s="11" t="s">
        <v>536</v>
      </c>
      <c r="I1580" s="14" t="s">
        <v>1114</v>
      </c>
      <c r="J1580" s="14" t="s">
        <v>879</v>
      </c>
      <c r="K1580" s="15" t="s">
        <v>114</v>
      </c>
      <c r="L1580" s="14" t="s">
        <v>1948</v>
      </c>
      <c r="M1580" s="14"/>
      <c r="N1580" s="14" t="s">
        <v>41</v>
      </c>
      <c r="O1580" s="14"/>
      <c r="P1580" s="15" t="s">
        <v>108</v>
      </c>
      <c r="Q1580" s="16">
        <v>8999</v>
      </c>
      <c r="R1580" s="17">
        <v>30</v>
      </c>
      <c r="S1580" s="18">
        <v>7244.1949999999997</v>
      </c>
      <c r="T1580" s="19" t="s">
        <v>117</v>
      </c>
      <c r="U1580" s="20" t="s">
        <v>788</v>
      </c>
      <c r="V1580" s="25" t="s">
        <v>119</v>
      </c>
      <c r="W1580" s="21">
        <v>23</v>
      </c>
      <c r="X1580" s="22"/>
    </row>
    <row r="1581" spans="1:24" s="1" customFormat="1" ht="108" customHeight="1" x14ac:dyDescent="0.3">
      <c r="A1581" s="11" t="s">
        <v>1355</v>
      </c>
      <c r="B1581" s="11" t="s">
        <v>2119</v>
      </c>
      <c r="C1581" s="12" t="s">
        <v>2120</v>
      </c>
      <c r="D1581" s="24"/>
      <c r="E1581" s="69" t="str">
        <f>HYPERLINK("https://www.google.ru/search?q=261016-PK&amp;newwindow=1&amp;tbm=isch","Еще фото")</f>
        <v>Еще фото</v>
      </c>
      <c r="F1581" s="31" t="s">
        <v>738</v>
      </c>
      <c r="G1581" s="11" t="s">
        <v>2084</v>
      </c>
      <c r="H1581" s="11" t="s">
        <v>536</v>
      </c>
      <c r="I1581" s="14" t="s">
        <v>1114</v>
      </c>
      <c r="J1581" s="14" t="s">
        <v>879</v>
      </c>
      <c r="K1581" s="15" t="s">
        <v>114</v>
      </c>
      <c r="L1581" s="14"/>
      <c r="M1581" s="14"/>
      <c r="N1581" s="14" t="s">
        <v>275</v>
      </c>
      <c r="O1581" s="14"/>
      <c r="P1581" s="15" t="s">
        <v>108</v>
      </c>
      <c r="Q1581" s="16">
        <v>5499</v>
      </c>
      <c r="R1581" s="17">
        <v>30</v>
      </c>
      <c r="S1581" s="18">
        <v>4426.6949999999997</v>
      </c>
      <c r="T1581" s="19" t="s">
        <v>117</v>
      </c>
      <c r="U1581" s="20" t="s">
        <v>788</v>
      </c>
      <c r="V1581" s="25" t="s">
        <v>119</v>
      </c>
      <c r="W1581" s="21">
        <v>5</v>
      </c>
      <c r="X1581" s="22"/>
    </row>
    <row r="1582" spans="1:24" s="1" customFormat="1" ht="108" customHeight="1" x14ac:dyDescent="0.3">
      <c r="A1582" s="11" t="s">
        <v>1355</v>
      </c>
      <c r="B1582" s="11" t="s">
        <v>2121</v>
      </c>
      <c r="C1582" s="12" t="s">
        <v>2122</v>
      </c>
      <c r="D1582" s="24"/>
      <c r="E1582" s="69" t="str">
        <f>HYPERLINK("https://www.google.ru/search?q=261026-PK&amp;newwindow=1&amp;tbm=isch","Еще фото")</f>
        <v>Еще фото</v>
      </c>
      <c r="F1582" s="31" t="s">
        <v>738</v>
      </c>
      <c r="G1582" s="11" t="s">
        <v>1113</v>
      </c>
      <c r="H1582" s="11" t="s">
        <v>536</v>
      </c>
      <c r="I1582" s="14" t="s">
        <v>1114</v>
      </c>
      <c r="J1582" s="14" t="s">
        <v>879</v>
      </c>
      <c r="K1582" s="15" t="s">
        <v>114</v>
      </c>
      <c r="L1582" s="14"/>
      <c r="M1582" s="14"/>
      <c r="N1582" s="14" t="s">
        <v>275</v>
      </c>
      <c r="O1582" s="14"/>
      <c r="P1582" s="15" t="s">
        <v>108</v>
      </c>
      <c r="Q1582" s="16">
        <v>3999</v>
      </c>
      <c r="R1582" s="17">
        <v>30</v>
      </c>
      <c r="S1582" s="18">
        <v>3219.1950000000002</v>
      </c>
      <c r="T1582" s="19" t="s">
        <v>117</v>
      </c>
      <c r="U1582" s="20" t="s">
        <v>788</v>
      </c>
      <c r="V1582" s="25" t="s">
        <v>119</v>
      </c>
      <c r="W1582" s="21">
        <v>3</v>
      </c>
      <c r="X1582" s="22"/>
    </row>
    <row r="1583" spans="1:24" s="1" customFormat="1" ht="108" customHeight="1" x14ac:dyDescent="0.3">
      <c r="A1583" s="11" t="s">
        <v>1355</v>
      </c>
      <c r="B1583" s="11" t="s">
        <v>2123</v>
      </c>
      <c r="C1583" s="12" t="s">
        <v>2124</v>
      </c>
      <c r="D1583" s="24"/>
      <c r="E1583" s="69" t="str">
        <f>HYPERLINK("https://www.google.ru/search?q=261205-BK&amp;newwindow=1&amp;tbm=isch","Еще фото")</f>
        <v>Еще фото</v>
      </c>
      <c r="F1583" s="31" t="s">
        <v>738</v>
      </c>
      <c r="G1583" s="11" t="s">
        <v>1113</v>
      </c>
      <c r="H1583" s="11" t="s">
        <v>536</v>
      </c>
      <c r="I1583" s="14" t="s">
        <v>1114</v>
      </c>
      <c r="J1583" s="14" t="s">
        <v>879</v>
      </c>
      <c r="K1583" s="15" t="s">
        <v>114</v>
      </c>
      <c r="L1583" s="14" t="s">
        <v>2125</v>
      </c>
      <c r="M1583" s="14"/>
      <c r="N1583" s="14" t="s">
        <v>49</v>
      </c>
      <c r="O1583" s="14"/>
      <c r="P1583" s="15" t="s">
        <v>108</v>
      </c>
      <c r="Q1583" s="16">
        <v>9199</v>
      </c>
      <c r="R1583" s="17">
        <v>30</v>
      </c>
      <c r="S1583" s="18">
        <v>7405.1949999999997</v>
      </c>
      <c r="T1583" s="19" t="s">
        <v>117</v>
      </c>
      <c r="U1583" s="20" t="s">
        <v>788</v>
      </c>
      <c r="V1583" s="25" t="s">
        <v>119</v>
      </c>
      <c r="W1583" s="21">
        <v>12</v>
      </c>
      <c r="X1583" s="22"/>
    </row>
    <row r="1584" spans="1:24" s="1" customFormat="1" ht="108" customHeight="1" x14ac:dyDescent="0.3">
      <c r="A1584" s="11" t="s">
        <v>1355</v>
      </c>
      <c r="B1584" s="11" t="s">
        <v>2126</v>
      </c>
      <c r="C1584" s="12" t="s">
        <v>2127</v>
      </c>
      <c r="D1584" s="24"/>
      <c r="E1584" s="69" t="str">
        <f>HYPERLINK("https://www.google.ru/search?q=261215-BK&amp;newwindow=1&amp;tbm=isch","Еще фото")</f>
        <v>Еще фото</v>
      </c>
      <c r="F1584" s="31" t="s">
        <v>738</v>
      </c>
      <c r="G1584" s="11" t="s">
        <v>1113</v>
      </c>
      <c r="H1584" s="11" t="s">
        <v>536</v>
      </c>
      <c r="I1584" s="14" t="s">
        <v>1114</v>
      </c>
      <c r="J1584" s="14" t="s">
        <v>879</v>
      </c>
      <c r="K1584" s="15" t="s">
        <v>114</v>
      </c>
      <c r="L1584" s="14" t="s">
        <v>2128</v>
      </c>
      <c r="M1584" s="14"/>
      <c r="N1584" s="14" t="s">
        <v>49</v>
      </c>
      <c r="O1584" s="14"/>
      <c r="P1584" s="15" t="s">
        <v>108</v>
      </c>
      <c r="Q1584" s="16">
        <v>7199</v>
      </c>
      <c r="R1584" s="17">
        <v>30</v>
      </c>
      <c r="S1584" s="18">
        <v>5795.1949999999997</v>
      </c>
      <c r="T1584" s="19" t="s">
        <v>117</v>
      </c>
      <c r="U1584" s="20" t="s">
        <v>788</v>
      </c>
      <c r="V1584" s="25" t="s">
        <v>119</v>
      </c>
      <c r="W1584" s="21">
        <v>7</v>
      </c>
      <c r="X1584" s="22"/>
    </row>
    <row r="1585" spans="1:24" s="1" customFormat="1" ht="108" customHeight="1" x14ac:dyDescent="0.3">
      <c r="A1585" s="11" t="s">
        <v>1355</v>
      </c>
      <c r="B1585" s="11" t="s">
        <v>2129</v>
      </c>
      <c r="C1585" s="12" t="s">
        <v>2130</v>
      </c>
      <c r="D1585" s="24"/>
      <c r="E1585" s="69" t="str">
        <f>HYPERLINK("https://www.google.ru/search?q=261225-BK&amp;newwindow=1&amp;tbm=isch","Еще фото")</f>
        <v>Еще фото</v>
      </c>
      <c r="F1585" s="31" t="s">
        <v>738</v>
      </c>
      <c r="G1585" s="11" t="s">
        <v>1113</v>
      </c>
      <c r="H1585" s="11" t="s">
        <v>536</v>
      </c>
      <c r="I1585" s="14" t="s">
        <v>1114</v>
      </c>
      <c r="J1585" s="14" t="s">
        <v>879</v>
      </c>
      <c r="K1585" s="15" t="s">
        <v>114</v>
      </c>
      <c r="L1585" s="14"/>
      <c r="M1585" s="14"/>
      <c r="N1585" s="14" t="s">
        <v>49</v>
      </c>
      <c r="O1585" s="14"/>
      <c r="P1585" s="15" t="s">
        <v>108</v>
      </c>
      <c r="Q1585" s="16">
        <v>4499</v>
      </c>
      <c r="R1585" s="17">
        <v>30</v>
      </c>
      <c r="S1585" s="18">
        <v>3621.6949999999997</v>
      </c>
      <c r="T1585" s="19" t="s">
        <v>117</v>
      </c>
      <c r="U1585" s="20" t="s">
        <v>788</v>
      </c>
      <c r="V1585" s="25" t="s">
        <v>119</v>
      </c>
      <c r="W1585" s="21">
        <v>36</v>
      </c>
      <c r="X1585" s="22"/>
    </row>
    <row r="1586" spans="1:24" s="1" customFormat="1" ht="108" customHeight="1" x14ac:dyDescent="0.3">
      <c r="A1586" s="11" t="s">
        <v>1355</v>
      </c>
      <c r="B1586" s="11" t="s">
        <v>2131</v>
      </c>
      <c r="C1586" s="12" t="s">
        <v>2132</v>
      </c>
      <c r="D1586" s="24"/>
      <c r="E1586" s="69" t="str">
        <f>HYPERLINK("https://www.google.ru/search?q=261305-NV&amp;newwindow=1&amp;tbm=isch","Еще фото")</f>
        <v>Еще фото</v>
      </c>
      <c r="F1586" s="31" t="s">
        <v>738</v>
      </c>
      <c r="G1586" s="11" t="s">
        <v>1113</v>
      </c>
      <c r="H1586" s="11" t="s">
        <v>536</v>
      </c>
      <c r="I1586" s="14" t="s">
        <v>1114</v>
      </c>
      <c r="J1586" s="14" t="s">
        <v>879</v>
      </c>
      <c r="K1586" s="15" t="s">
        <v>114</v>
      </c>
      <c r="L1586" s="14" t="s">
        <v>2125</v>
      </c>
      <c r="M1586" s="14"/>
      <c r="N1586" s="14" t="s">
        <v>70</v>
      </c>
      <c r="O1586" s="14"/>
      <c r="P1586" s="15" t="s">
        <v>108</v>
      </c>
      <c r="Q1586" s="16">
        <v>9199</v>
      </c>
      <c r="R1586" s="17">
        <v>30</v>
      </c>
      <c r="S1586" s="18">
        <v>7405.1949999999997</v>
      </c>
      <c r="T1586" s="19" t="s">
        <v>117</v>
      </c>
      <c r="U1586" s="20" t="s">
        <v>788</v>
      </c>
      <c r="V1586" s="25" t="s">
        <v>119</v>
      </c>
      <c r="W1586" s="21">
        <v>9</v>
      </c>
      <c r="X1586" s="22"/>
    </row>
    <row r="1587" spans="1:24" s="1" customFormat="1" ht="108" customHeight="1" x14ac:dyDescent="0.3">
      <c r="A1587" s="11" t="s">
        <v>1355</v>
      </c>
      <c r="B1587" s="11" t="s">
        <v>2133</v>
      </c>
      <c r="C1587" s="12" t="s">
        <v>2134</v>
      </c>
      <c r="D1587" s="24"/>
      <c r="E1587" s="69" t="str">
        <f>HYPERLINK("https://www.google.ru/search?q=262026-PU&amp;newwindow=1&amp;tbm=isch","Еще фото")</f>
        <v>Еще фото</v>
      </c>
      <c r="F1587" s="31" t="s">
        <v>738</v>
      </c>
      <c r="G1587" s="11" t="s">
        <v>2084</v>
      </c>
      <c r="H1587" s="11" t="s">
        <v>536</v>
      </c>
      <c r="I1587" s="14" t="s">
        <v>1114</v>
      </c>
      <c r="J1587" s="14" t="s">
        <v>879</v>
      </c>
      <c r="K1587" s="15" t="s">
        <v>114</v>
      </c>
      <c r="L1587" s="14"/>
      <c r="M1587" s="14"/>
      <c r="N1587" s="14" t="s">
        <v>576</v>
      </c>
      <c r="O1587" s="14"/>
      <c r="P1587" s="15" t="s">
        <v>108</v>
      </c>
      <c r="Q1587" s="16">
        <v>6999</v>
      </c>
      <c r="R1587" s="17">
        <v>30</v>
      </c>
      <c r="S1587" s="18">
        <v>5634.1949999999997</v>
      </c>
      <c r="T1587" s="19" t="s">
        <v>117</v>
      </c>
      <c r="U1587" s="20" t="s">
        <v>788</v>
      </c>
      <c r="V1587" s="25" t="s">
        <v>119</v>
      </c>
      <c r="W1587" s="21">
        <v>12</v>
      </c>
      <c r="X1587" s="22"/>
    </row>
    <row r="1588" spans="1:24" s="1" customFormat="1" ht="108" customHeight="1" x14ac:dyDescent="0.3">
      <c r="A1588" s="11" t="s">
        <v>1355</v>
      </c>
      <c r="B1588" s="11" t="s">
        <v>2135</v>
      </c>
      <c r="C1588" s="12" t="s">
        <v>2136</v>
      </c>
      <c r="D1588" s="24"/>
      <c r="E1588" s="69" t="str">
        <f>HYPERLINK("https://www.google.ru/search?q=262214-BKCC&amp;newwindow=1&amp;tbm=isch","Еще фото")</f>
        <v>Еще фото</v>
      </c>
      <c r="F1588" s="13"/>
      <c r="G1588" s="11" t="s">
        <v>1113</v>
      </c>
      <c r="H1588" s="11" t="s">
        <v>536</v>
      </c>
      <c r="I1588" s="14" t="s">
        <v>1114</v>
      </c>
      <c r="J1588" s="14" t="s">
        <v>879</v>
      </c>
      <c r="K1588" s="15" t="s">
        <v>114</v>
      </c>
      <c r="L1588" s="14" t="s">
        <v>2074</v>
      </c>
      <c r="M1588" s="14"/>
      <c r="N1588" s="14" t="s">
        <v>49</v>
      </c>
      <c r="O1588" s="14"/>
      <c r="P1588" s="15" t="s">
        <v>108</v>
      </c>
      <c r="Q1588" s="16">
        <v>8799</v>
      </c>
      <c r="R1588" s="17">
        <v>30</v>
      </c>
      <c r="S1588" s="18">
        <v>7083.1949999999997</v>
      </c>
      <c r="T1588" s="19" t="s">
        <v>117</v>
      </c>
      <c r="U1588" s="20" t="s">
        <v>788</v>
      </c>
      <c r="V1588" s="25" t="s">
        <v>119</v>
      </c>
      <c r="W1588" s="21">
        <v>6</v>
      </c>
      <c r="X1588" s="22"/>
    </row>
    <row r="1589" spans="1:24" s="1" customFormat="1" ht="108" customHeight="1" x14ac:dyDescent="0.3">
      <c r="A1589" s="11" t="s">
        <v>1355</v>
      </c>
      <c r="B1589" s="11" t="s">
        <v>2137</v>
      </c>
      <c r="C1589" s="12" t="s">
        <v>2138</v>
      </c>
      <c r="D1589" s="24"/>
      <c r="E1589" s="69" t="str">
        <f>HYPERLINK("https://www.google.ru/search?q=262234-BKCC&amp;newwindow=1&amp;tbm=isch","Еще фото")</f>
        <v>Еще фото</v>
      </c>
      <c r="F1589" s="13"/>
      <c r="G1589" s="11" t="s">
        <v>1113</v>
      </c>
      <c r="H1589" s="11" t="s">
        <v>536</v>
      </c>
      <c r="I1589" s="14" t="s">
        <v>1114</v>
      </c>
      <c r="J1589" s="14" t="s">
        <v>879</v>
      </c>
      <c r="K1589" s="15" t="s">
        <v>114</v>
      </c>
      <c r="L1589" s="14" t="s">
        <v>2065</v>
      </c>
      <c r="M1589" s="14"/>
      <c r="N1589" s="14" t="s">
        <v>49</v>
      </c>
      <c r="O1589" s="14"/>
      <c r="P1589" s="15" t="s">
        <v>108</v>
      </c>
      <c r="Q1589" s="16">
        <v>5699</v>
      </c>
      <c r="R1589" s="17">
        <v>30</v>
      </c>
      <c r="S1589" s="18">
        <v>4587.6949999999997</v>
      </c>
      <c r="T1589" s="19" t="s">
        <v>117</v>
      </c>
      <c r="U1589" s="20" t="s">
        <v>788</v>
      </c>
      <c r="V1589" s="25" t="s">
        <v>119</v>
      </c>
      <c r="W1589" s="21">
        <v>20</v>
      </c>
      <c r="X1589" s="22"/>
    </row>
    <row r="1590" spans="1:24" s="1" customFormat="1" ht="108" customHeight="1" x14ac:dyDescent="0.3">
      <c r="A1590" s="11" t="s">
        <v>1355</v>
      </c>
      <c r="B1590" s="11" t="s">
        <v>2139</v>
      </c>
      <c r="C1590" s="12" t="s">
        <v>2140</v>
      </c>
      <c r="D1590" s="24"/>
      <c r="E1590" s="69" t="str">
        <f>HYPERLINK("https://www.google.ru/search?q=262324-BLBK&amp;newwindow=1&amp;tbm=isch","Еще фото")</f>
        <v>Еще фото</v>
      </c>
      <c r="F1590" s="13"/>
      <c r="G1590" s="11" t="s">
        <v>1113</v>
      </c>
      <c r="H1590" s="11" t="s">
        <v>536</v>
      </c>
      <c r="I1590" s="14" t="s">
        <v>1114</v>
      </c>
      <c r="J1590" s="14" t="s">
        <v>879</v>
      </c>
      <c r="K1590" s="15" t="s">
        <v>114</v>
      </c>
      <c r="L1590" s="14" t="s">
        <v>2071</v>
      </c>
      <c r="M1590" s="14"/>
      <c r="N1590" s="14" t="s">
        <v>70</v>
      </c>
      <c r="O1590" s="14"/>
      <c r="P1590" s="15" t="s">
        <v>108</v>
      </c>
      <c r="Q1590" s="16">
        <v>7599</v>
      </c>
      <c r="R1590" s="17">
        <v>30</v>
      </c>
      <c r="S1590" s="18">
        <v>6117.1949999999997</v>
      </c>
      <c r="T1590" s="19" t="s">
        <v>117</v>
      </c>
      <c r="U1590" s="20" t="s">
        <v>788</v>
      </c>
      <c r="V1590" s="25" t="s">
        <v>119</v>
      </c>
      <c r="W1590" s="21">
        <v>14</v>
      </c>
      <c r="X1590" s="22"/>
    </row>
    <row r="1591" spans="1:24" s="1" customFormat="1" ht="108" customHeight="1" x14ac:dyDescent="0.3">
      <c r="A1591" s="11" t="s">
        <v>1355</v>
      </c>
      <c r="B1591" s="11" t="s">
        <v>2141</v>
      </c>
      <c r="C1591" s="12" t="s">
        <v>2142</v>
      </c>
      <c r="D1591" s="24"/>
      <c r="E1591" s="69" t="str">
        <f>HYPERLINK("https://www.google.ru/search?q=283432-BKMI&amp;newwindow=1&amp;tbm=isch","Еще фото")</f>
        <v>Еще фото</v>
      </c>
      <c r="F1591" s="13"/>
      <c r="G1591" s="11" t="s">
        <v>2084</v>
      </c>
      <c r="H1591" s="11" t="s">
        <v>536</v>
      </c>
      <c r="I1591" s="14" t="s">
        <v>1114</v>
      </c>
      <c r="J1591" s="14" t="s">
        <v>879</v>
      </c>
      <c r="K1591" s="15" t="s">
        <v>114</v>
      </c>
      <c r="L1591" s="14" t="s">
        <v>2143</v>
      </c>
      <c r="M1591" s="14"/>
      <c r="N1591" s="14" t="s">
        <v>49</v>
      </c>
      <c r="O1591" s="14"/>
      <c r="P1591" s="15" t="s">
        <v>108</v>
      </c>
      <c r="Q1591" s="16">
        <v>11499</v>
      </c>
      <c r="R1591" s="17">
        <v>30</v>
      </c>
      <c r="S1591" s="18">
        <v>9256.6949999999997</v>
      </c>
      <c r="T1591" s="19" t="s">
        <v>117</v>
      </c>
      <c r="U1591" s="20" t="s">
        <v>788</v>
      </c>
      <c r="V1591" s="25" t="s">
        <v>119</v>
      </c>
      <c r="W1591" s="21">
        <v>1</v>
      </c>
      <c r="X1591" s="22"/>
    </row>
    <row r="1592" spans="1:24" s="1" customFormat="1" ht="108" customHeight="1" x14ac:dyDescent="0.3">
      <c r="A1592" s="11" t="s">
        <v>1355</v>
      </c>
      <c r="B1592" s="11" t="s">
        <v>2144</v>
      </c>
      <c r="C1592" s="12" t="s">
        <v>2145</v>
      </c>
      <c r="D1592" s="24"/>
      <c r="E1592" s="69" t="str">
        <f>HYPERLINK("https://www.google.ru/search?q=283602-BLNV&amp;newwindow=1&amp;tbm=isch","Еще фото")</f>
        <v>Еще фото</v>
      </c>
      <c r="F1592" s="13"/>
      <c r="G1592" s="11" t="s">
        <v>2084</v>
      </c>
      <c r="H1592" s="11" t="s">
        <v>536</v>
      </c>
      <c r="I1592" s="14" t="s">
        <v>1114</v>
      </c>
      <c r="J1592" s="14" t="s">
        <v>879</v>
      </c>
      <c r="K1592" s="15" t="s">
        <v>114</v>
      </c>
      <c r="L1592" s="14" t="s">
        <v>2146</v>
      </c>
      <c r="M1592" s="14"/>
      <c r="N1592" s="14" t="s">
        <v>70</v>
      </c>
      <c r="O1592" s="14"/>
      <c r="P1592" s="15" t="s">
        <v>108</v>
      </c>
      <c r="Q1592" s="16">
        <v>8999</v>
      </c>
      <c r="R1592" s="17">
        <v>30</v>
      </c>
      <c r="S1592" s="18">
        <v>7244.1949999999997</v>
      </c>
      <c r="T1592" s="19" t="s">
        <v>117</v>
      </c>
      <c r="U1592" s="20" t="s">
        <v>788</v>
      </c>
      <c r="V1592" s="25" t="s">
        <v>119</v>
      </c>
      <c r="W1592" s="21">
        <v>2</v>
      </c>
      <c r="X1592" s="22"/>
    </row>
    <row r="1593" spans="1:24" s="1" customFormat="1" ht="108" customHeight="1" x14ac:dyDescent="0.3">
      <c r="A1593" s="11" t="s">
        <v>1355</v>
      </c>
      <c r="B1593" s="11" t="s">
        <v>2147</v>
      </c>
      <c r="C1593" s="12" t="s">
        <v>2148</v>
      </c>
      <c r="D1593" s="24"/>
      <c r="E1593" s="69" t="str">
        <f>HYPERLINK("https://www.google.ru/search?q=283802-BKOR&amp;newwindow=1&amp;tbm=isch","Еще фото")</f>
        <v>Еще фото</v>
      </c>
      <c r="F1593" s="13"/>
      <c r="G1593" s="11" t="s">
        <v>2056</v>
      </c>
      <c r="H1593" s="11" t="s">
        <v>536</v>
      </c>
      <c r="I1593" s="14" t="s">
        <v>1114</v>
      </c>
      <c r="J1593" s="14" t="s">
        <v>879</v>
      </c>
      <c r="K1593" s="15" t="s">
        <v>114</v>
      </c>
      <c r="L1593" s="14"/>
      <c r="M1593" s="14"/>
      <c r="N1593" s="14" t="s">
        <v>49</v>
      </c>
      <c r="O1593" s="14"/>
      <c r="P1593" s="15" t="s">
        <v>2149</v>
      </c>
      <c r="Q1593" s="16">
        <v>10699</v>
      </c>
      <c r="R1593" s="17">
        <v>30</v>
      </c>
      <c r="S1593" s="18">
        <v>8612.6949999999997</v>
      </c>
      <c r="T1593" s="19" t="s">
        <v>117</v>
      </c>
      <c r="U1593" s="20" t="s">
        <v>788</v>
      </c>
      <c r="V1593" s="25" t="s">
        <v>119</v>
      </c>
      <c r="W1593" s="21">
        <v>1</v>
      </c>
      <c r="X1593" s="22"/>
    </row>
    <row r="1594" spans="1:24" s="1" customFormat="1" ht="26.1" customHeight="1" x14ac:dyDescent="0.3">
      <c r="A1594" s="11" t="s">
        <v>1355</v>
      </c>
      <c r="B1594" s="11" t="s">
        <v>2150</v>
      </c>
      <c r="C1594" s="12" t="s">
        <v>2151</v>
      </c>
      <c r="D1594" s="83"/>
      <c r="E1594" s="69" t="str">
        <f>HYPERLINK("https://www.google.ru/search?q=811745-ROWH&amp;newwindow=1&amp;tbm=isch","Еще фото")</f>
        <v>Еще фото</v>
      </c>
      <c r="F1594" s="13"/>
      <c r="G1594" s="11" t="s">
        <v>599</v>
      </c>
      <c r="H1594" s="11" t="s">
        <v>27</v>
      </c>
      <c r="I1594" s="14" t="s">
        <v>569</v>
      </c>
      <c r="J1594" s="14" t="s">
        <v>879</v>
      </c>
      <c r="K1594" s="15" t="s">
        <v>55</v>
      </c>
      <c r="L1594" s="86" t="s">
        <v>2152</v>
      </c>
      <c r="M1594" s="14"/>
      <c r="N1594" s="14" t="s">
        <v>800</v>
      </c>
      <c r="O1594" s="14"/>
      <c r="P1594" s="15" t="s">
        <v>108</v>
      </c>
      <c r="Q1594" s="16">
        <v>7999</v>
      </c>
      <c r="R1594" s="17">
        <v>69.02</v>
      </c>
      <c r="S1594" s="18">
        <v>2849.4354999999996</v>
      </c>
      <c r="T1594" s="19" t="s">
        <v>328</v>
      </c>
      <c r="U1594" s="20" t="s">
        <v>64</v>
      </c>
      <c r="V1594" s="25" t="s">
        <v>65</v>
      </c>
      <c r="W1594" s="21">
        <v>2</v>
      </c>
      <c r="X1594" s="22"/>
    </row>
    <row r="1595" spans="1:24" s="1" customFormat="1" ht="26.1" customHeight="1" x14ac:dyDescent="0.3">
      <c r="A1595" s="23" t="s">
        <v>1355</v>
      </c>
      <c r="B1595" s="23" t="s">
        <v>2150</v>
      </c>
      <c r="C1595" s="12" t="s">
        <v>2151</v>
      </c>
      <c r="D1595" s="84"/>
      <c r="E1595" s="69" t="str">
        <f>HYPERLINK("https://www.google.ru/search?q=811745-ROWH&amp;newwindow=1&amp;tbm=isch","Еще фото")</f>
        <v>Еще фото</v>
      </c>
      <c r="F1595" s="13"/>
      <c r="G1595" s="23" t="s">
        <v>599</v>
      </c>
      <c r="H1595" s="23" t="s">
        <v>27</v>
      </c>
      <c r="I1595" s="23" t="s">
        <v>569</v>
      </c>
      <c r="J1595" s="14" t="s">
        <v>879</v>
      </c>
      <c r="K1595" s="15" t="s">
        <v>55</v>
      </c>
      <c r="L1595" s="87"/>
      <c r="M1595" s="14"/>
      <c r="N1595" s="14" t="s">
        <v>800</v>
      </c>
      <c r="O1595" s="14"/>
      <c r="P1595" s="15" t="s">
        <v>108</v>
      </c>
      <c r="Q1595" s="16">
        <v>7999</v>
      </c>
      <c r="R1595" s="17">
        <v>69.02</v>
      </c>
      <c r="S1595" s="18">
        <v>2849.4354999999996</v>
      </c>
      <c r="T1595" s="19" t="s">
        <v>328</v>
      </c>
      <c r="U1595" s="20" t="s">
        <v>66</v>
      </c>
      <c r="V1595" s="25" t="s">
        <v>67</v>
      </c>
      <c r="W1595" s="21">
        <v>4</v>
      </c>
      <c r="X1595" s="22"/>
    </row>
    <row r="1596" spans="1:24" s="1" customFormat="1" ht="26.1" customHeight="1" x14ac:dyDescent="0.3">
      <c r="A1596" s="23" t="s">
        <v>1355</v>
      </c>
      <c r="B1596" s="23" t="s">
        <v>2150</v>
      </c>
      <c r="C1596" s="12" t="s">
        <v>2151</v>
      </c>
      <c r="D1596" s="84"/>
      <c r="E1596" s="69" t="str">
        <f>HYPERLINK("https://www.google.ru/search?q=811745-ROWH&amp;newwindow=1&amp;tbm=isch","Еще фото")</f>
        <v>Еще фото</v>
      </c>
      <c r="F1596" s="13"/>
      <c r="G1596" s="23" t="s">
        <v>599</v>
      </c>
      <c r="H1596" s="23" t="s">
        <v>27</v>
      </c>
      <c r="I1596" s="23" t="s">
        <v>569</v>
      </c>
      <c r="J1596" s="14" t="s">
        <v>879</v>
      </c>
      <c r="K1596" s="15" t="s">
        <v>55</v>
      </c>
      <c r="L1596" s="87"/>
      <c r="M1596" s="14"/>
      <c r="N1596" s="14" t="s">
        <v>800</v>
      </c>
      <c r="O1596" s="14"/>
      <c r="P1596" s="15" t="s">
        <v>108</v>
      </c>
      <c r="Q1596" s="16">
        <v>7999</v>
      </c>
      <c r="R1596" s="17">
        <v>69.02</v>
      </c>
      <c r="S1596" s="18">
        <v>2849.4354999999996</v>
      </c>
      <c r="T1596" s="19" t="s">
        <v>328</v>
      </c>
      <c r="U1596" s="20" t="s">
        <v>58</v>
      </c>
      <c r="V1596" s="25" t="s">
        <v>68</v>
      </c>
      <c r="W1596" s="21">
        <v>4</v>
      </c>
      <c r="X1596" s="22"/>
    </row>
    <row r="1597" spans="1:24" s="1" customFormat="1" ht="26.1" customHeight="1" x14ac:dyDescent="0.3">
      <c r="A1597" s="23" t="s">
        <v>1355</v>
      </c>
      <c r="B1597" s="23" t="s">
        <v>2150</v>
      </c>
      <c r="C1597" s="12" t="s">
        <v>2151</v>
      </c>
      <c r="D1597" s="85"/>
      <c r="E1597" s="69" t="str">
        <f>HYPERLINK("https://www.google.ru/search?q=811745-ROWH&amp;newwindow=1&amp;tbm=isch","Еще фото")</f>
        <v>Еще фото</v>
      </c>
      <c r="F1597" s="13"/>
      <c r="G1597" s="23" t="s">
        <v>599</v>
      </c>
      <c r="H1597" s="23" t="s">
        <v>27</v>
      </c>
      <c r="I1597" s="23" t="s">
        <v>569</v>
      </c>
      <c r="J1597" s="14" t="s">
        <v>879</v>
      </c>
      <c r="K1597" s="15" t="s">
        <v>55</v>
      </c>
      <c r="L1597" s="88"/>
      <c r="M1597" s="14"/>
      <c r="N1597" s="14" t="s">
        <v>800</v>
      </c>
      <c r="O1597" s="14"/>
      <c r="P1597" s="15" t="s">
        <v>108</v>
      </c>
      <c r="Q1597" s="16">
        <v>7999</v>
      </c>
      <c r="R1597" s="17">
        <v>69.02</v>
      </c>
      <c r="S1597" s="18">
        <v>2849.4354999999996</v>
      </c>
      <c r="T1597" s="19" t="s">
        <v>328</v>
      </c>
      <c r="U1597" s="20" t="s">
        <v>52</v>
      </c>
      <c r="V1597" s="25" t="s">
        <v>53</v>
      </c>
      <c r="W1597" s="21">
        <v>1</v>
      </c>
      <c r="X1597" s="22"/>
    </row>
    <row r="1598" spans="1:24" s="1" customFormat="1" ht="51.95" customHeight="1" x14ac:dyDescent="0.3">
      <c r="A1598" s="11" t="s">
        <v>1355</v>
      </c>
      <c r="B1598" s="11" t="s">
        <v>2153</v>
      </c>
      <c r="C1598" s="12" t="s">
        <v>2154</v>
      </c>
      <c r="D1598" s="89"/>
      <c r="E1598" s="69" t="str">
        <f>HYPERLINK("https://www.google.ru/search?q=811005-NV&amp;newwindow=1&amp;tbm=isch","Еще фото")</f>
        <v>Еще фото</v>
      </c>
      <c r="F1598" s="13"/>
      <c r="G1598" s="11" t="s">
        <v>1297</v>
      </c>
      <c r="H1598" s="11" t="s">
        <v>27</v>
      </c>
      <c r="I1598" s="14" t="s">
        <v>616</v>
      </c>
      <c r="J1598" s="14" t="s">
        <v>879</v>
      </c>
      <c r="K1598" s="15" t="s">
        <v>55</v>
      </c>
      <c r="L1598" s="86" t="s">
        <v>2155</v>
      </c>
      <c r="M1598" s="14"/>
      <c r="N1598" s="14" t="s">
        <v>70</v>
      </c>
      <c r="O1598" s="14"/>
      <c r="P1598" s="15" t="s">
        <v>108</v>
      </c>
      <c r="Q1598" s="16">
        <v>10099</v>
      </c>
      <c r="R1598" s="17">
        <v>69.13</v>
      </c>
      <c r="S1598" s="18">
        <v>3585.4354999999996</v>
      </c>
      <c r="T1598" s="19" t="s">
        <v>328</v>
      </c>
      <c r="U1598" s="20" t="s">
        <v>64</v>
      </c>
      <c r="V1598" s="25" t="s">
        <v>65</v>
      </c>
      <c r="W1598" s="21">
        <v>1</v>
      </c>
      <c r="X1598" s="22"/>
    </row>
    <row r="1599" spans="1:24" s="1" customFormat="1" ht="60.95" customHeight="1" x14ac:dyDescent="0.3">
      <c r="A1599" s="23" t="s">
        <v>1355</v>
      </c>
      <c r="B1599" s="23" t="s">
        <v>2153</v>
      </c>
      <c r="C1599" s="12" t="s">
        <v>2154</v>
      </c>
      <c r="D1599" s="90"/>
      <c r="E1599" s="69" t="str">
        <f>HYPERLINK("https://www.google.ru/search?q=811005-NV&amp;newwindow=1&amp;tbm=isch","Еще фото")</f>
        <v>Еще фото</v>
      </c>
      <c r="F1599" s="13"/>
      <c r="G1599" s="23" t="s">
        <v>1297</v>
      </c>
      <c r="H1599" s="23" t="s">
        <v>27</v>
      </c>
      <c r="I1599" s="23" t="s">
        <v>616</v>
      </c>
      <c r="J1599" s="14" t="s">
        <v>879</v>
      </c>
      <c r="K1599" s="15" t="s">
        <v>55</v>
      </c>
      <c r="L1599" s="88"/>
      <c r="M1599" s="14"/>
      <c r="N1599" s="14" t="s">
        <v>70</v>
      </c>
      <c r="O1599" s="14"/>
      <c r="P1599" s="15" t="s">
        <v>108</v>
      </c>
      <c r="Q1599" s="16">
        <v>10099</v>
      </c>
      <c r="R1599" s="17">
        <v>69.13</v>
      </c>
      <c r="S1599" s="18">
        <v>3585.4354999999996</v>
      </c>
      <c r="T1599" s="19" t="s">
        <v>328</v>
      </c>
      <c r="U1599" s="20" t="s">
        <v>66</v>
      </c>
      <c r="V1599" s="25" t="s">
        <v>67</v>
      </c>
      <c r="W1599" s="21">
        <v>2</v>
      </c>
      <c r="X1599" s="22"/>
    </row>
    <row r="1600" spans="1:24" s="1" customFormat="1" ht="21" customHeight="1" x14ac:dyDescent="0.3">
      <c r="A1600" s="11" t="s">
        <v>1355</v>
      </c>
      <c r="B1600" s="11" t="s">
        <v>2156</v>
      </c>
      <c r="C1600" s="27" t="s">
        <v>2157</v>
      </c>
      <c r="D1600" s="83"/>
      <c r="E1600" s="69" t="str">
        <f>HYPERLINK("https://www.google.ru/search?q=816225-NV&amp;newwindow=1&amp;tbm=isch","Еще фото")</f>
        <v>Еще фото</v>
      </c>
      <c r="F1600" s="13"/>
      <c r="G1600" s="11" t="s">
        <v>2158</v>
      </c>
      <c r="H1600" s="11" t="s">
        <v>27</v>
      </c>
      <c r="I1600" s="14" t="s">
        <v>616</v>
      </c>
      <c r="J1600" s="14" t="s">
        <v>879</v>
      </c>
      <c r="K1600" s="15" t="s">
        <v>30</v>
      </c>
      <c r="L1600" s="86" t="s">
        <v>2159</v>
      </c>
      <c r="M1600" s="14"/>
      <c r="N1600" s="14" t="s">
        <v>70</v>
      </c>
      <c r="O1600" s="14"/>
      <c r="P1600" s="15" t="s">
        <v>108</v>
      </c>
      <c r="Q1600" s="16">
        <v>8399</v>
      </c>
      <c r="R1600" s="17">
        <v>69.069999999999993</v>
      </c>
      <c r="S1600" s="18">
        <v>2987.4354999999996</v>
      </c>
      <c r="T1600" s="19" t="s">
        <v>328</v>
      </c>
      <c r="U1600" s="20" t="s">
        <v>37</v>
      </c>
      <c r="V1600" s="21">
        <v>128</v>
      </c>
      <c r="W1600" s="21">
        <v>2</v>
      </c>
      <c r="X1600" s="22"/>
    </row>
    <row r="1601" spans="1:24" s="1" customFormat="1" ht="21" customHeight="1" x14ac:dyDescent="0.3">
      <c r="A1601" s="23" t="s">
        <v>1355</v>
      </c>
      <c r="B1601" s="23" t="s">
        <v>2156</v>
      </c>
      <c r="C1601" s="28" t="s">
        <v>2157</v>
      </c>
      <c r="D1601" s="84"/>
      <c r="E1601" s="69" t="str">
        <f>HYPERLINK("https://www.google.ru/search?q=816225-NV&amp;newwindow=1&amp;tbm=isch","Еще фото")</f>
        <v>Еще фото</v>
      </c>
      <c r="F1601" s="13"/>
      <c r="G1601" s="23" t="s">
        <v>2158</v>
      </c>
      <c r="H1601" s="23" t="s">
        <v>27</v>
      </c>
      <c r="I1601" s="23" t="s">
        <v>616</v>
      </c>
      <c r="J1601" s="14" t="s">
        <v>879</v>
      </c>
      <c r="K1601" s="15" t="s">
        <v>30</v>
      </c>
      <c r="L1601" s="87"/>
      <c r="M1601" s="14"/>
      <c r="N1601" s="14" t="s">
        <v>70</v>
      </c>
      <c r="O1601" s="14"/>
      <c r="P1601" s="15" t="s">
        <v>108</v>
      </c>
      <c r="Q1601" s="16">
        <v>8399</v>
      </c>
      <c r="R1601" s="17">
        <v>69.069999999999993</v>
      </c>
      <c r="S1601" s="18">
        <v>2987.4354999999996</v>
      </c>
      <c r="T1601" s="19" t="s">
        <v>328</v>
      </c>
      <c r="U1601" s="20" t="s">
        <v>290</v>
      </c>
      <c r="V1601" s="21">
        <v>140</v>
      </c>
      <c r="W1601" s="21">
        <v>2</v>
      </c>
      <c r="X1601" s="22"/>
    </row>
    <row r="1602" spans="1:24" s="1" customFormat="1" ht="21" customHeight="1" x14ac:dyDescent="0.3">
      <c r="A1602" s="23" t="s">
        <v>1355</v>
      </c>
      <c r="B1602" s="23" t="s">
        <v>2156</v>
      </c>
      <c r="C1602" s="28" t="s">
        <v>2157</v>
      </c>
      <c r="D1602" s="84"/>
      <c r="E1602" s="69" t="str">
        <f>HYPERLINK("https://www.google.ru/search?q=816225-NV&amp;newwindow=1&amp;tbm=isch","Еще фото")</f>
        <v>Еще фото</v>
      </c>
      <c r="F1602" s="13"/>
      <c r="G1602" s="23" t="s">
        <v>2158</v>
      </c>
      <c r="H1602" s="23" t="s">
        <v>27</v>
      </c>
      <c r="I1602" s="23" t="s">
        <v>616</v>
      </c>
      <c r="J1602" s="14" t="s">
        <v>879</v>
      </c>
      <c r="K1602" s="15" t="s">
        <v>30</v>
      </c>
      <c r="L1602" s="87"/>
      <c r="M1602" s="14"/>
      <c r="N1602" s="14" t="s">
        <v>70</v>
      </c>
      <c r="O1602" s="14"/>
      <c r="P1602" s="15" t="s">
        <v>108</v>
      </c>
      <c r="Q1602" s="16">
        <v>8399</v>
      </c>
      <c r="R1602" s="17">
        <v>69.069999999999993</v>
      </c>
      <c r="S1602" s="18">
        <v>2987.4354999999996</v>
      </c>
      <c r="T1602" s="19" t="s">
        <v>328</v>
      </c>
      <c r="U1602" s="20" t="s">
        <v>2160</v>
      </c>
      <c r="V1602" s="21">
        <v>152</v>
      </c>
      <c r="W1602" s="21">
        <v>3</v>
      </c>
      <c r="X1602" s="22"/>
    </row>
    <row r="1603" spans="1:24" s="1" customFormat="1" ht="21" customHeight="1" x14ac:dyDescent="0.3">
      <c r="A1603" s="23" t="s">
        <v>1355</v>
      </c>
      <c r="B1603" s="23" t="s">
        <v>2156</v>
      </c>
      <c r="C1603" s="28" t="s">
        <v>2157</v>
      </c>
      <c r="D1603" s="84"/>
      <c r="E1603" s="69" t="str">
        <f>HYPERLINK("https://www.google.ru/search?q=816225-NV&amp;newwindow=1&amp;tbm=isch","Еще фото")</f>
        <v>Еще фото</v>
      </c>
      <c r="F1603" s="13"/>
      <c r="G1603" s="23" t="s">
        <v>2158</v>
      </c>
      <c r="H1603" s="23" t="s">
        <v>27</v>
      </c>
      <c r="I1603" s="23" t="s">
        <v>616</v>
      </c>
      <c r="J1603" s="14" t="s">
        <v>879</v>
      </c>
      <c r="K1603" s="15" t="s">
        <v>30</v>
      </c>
      <c r="L1603" s="87"/>
      <c r="M1603" s="14"/>
      <c r="N1603" s="14" t="s">
        <v>70</v>
      </c>
      <c r="O1603" s="14"/>
      <c r="P1603" s="15" t="s">
        <v>108</v>
      </c>
      <c r="Q1603" s="16">
        <v>8399</v>
      </c>
      <c r="R1603" s="17">
        <v>69.069999999999993</v>
      </c>
      <c r="S1603" s="18">
        <v>2987.4354999999996</v>
      </c>
      <c r="T1603" s="19" t="s">
        <v>328</v>
      </c>
      <c r="U1603" s="20" t="s">
        <v>2161</v>
      </c>
      <c r="V1603" s="21">
        <v>164</v>
      </c>
      <c r="W1603" s="21">
        <v>4</v>
      </c>
      <c r="X1603" s="22"/>
    </row>
    <row r="1604" spans="1:24" s="1" customFormat="1" ht="32.1" customHeight="1" x14ac:dyDescent="0.3">
      <c r="A1604" s="23" t="s">
        <v>1355</v>
      </c>
      <c r="B1604" s="23" t="s">
        <v>2156</v>
      </c>
      <c r="C1604" s="28" t="s">
        <v>2157</v>
      </c>
      <c r="D1604" s="85"/>
      <c r="E1604" s="69" t="str">
        <f>HYPERLINK("https://www.google.ru/search?q=816225-NV&amp;newwindow=1&amp;tbm=isch","Еще фото")</f>
        <v>Еще фото</v>
      </c>
      <c r="F1604" s="13"/>
      <c r="G1604" s="23" t="s">
        <v>2158</v>
      </c>
      <c r="H1604" s="23" t="s">
        <v>27</v>
      </c>
      <c r="I1604" s="23" t="s">
        <v>616</v>
      </c>
      <c r="J1604" s="14" t="s">
        <v>879</v>
      </c>
      <c r="K1604" s="15" t="s">
        <v>30</v>
      </c>
      <c r="L1604" s="88"/>
      <c r="M1604" s="14"/>
      <c r="N1604" s="14" t="s">
        <v>70</v>
      </c>
      <c r="O1604" s="14"/>
      <c r="P1604" s="15" t="s">
        <v>108</v>
      </c>
      <c r="Q1604" s="16">
        <v>8399</v>
      </c>
      <c r="R1604" s="17">
        <v>69.069999999999993</v>
      </c>
      <c r="S1604" s="18">
        <v>2987.4354999999996</v>
      </c>
      <c r="T1604" s="19" t="s">
        <v>328</v>
      </c>
      <c r="U1604" s="20" t="s">
        <v>2162</v>
      </c>
      <c r="V1604" s="21">
        <v>176</v>
      </c>
      <c r="W1604" s="21">
        <v>1</v>
      </c>
      <c r="X1604" s="22"/>
    </row>
    <row r="1605" spans="1:24" s="1" customFormat="1" ht="26.1" customHeight="1" x14ac:dyDescent="0.3">
      <c r="A1605" s="11" t="s">
        <v>1355</v>
      </c>
      <c r="B1605" s="11" t="s">
        <v>2156</v>
      </c>
      <c r="C1605" s="12" t="s">
        <v>2163</v>
      </c>
      <c r="D1605" s="83"/>
      <c r="E1605" s="69" t="str">
        <f>HYPERLINK("https://www.google.ru/search?q=816225-ZI&amp;newwindow=1&amp;tbm=isch","Еще фото")</f>
        <v>Еще фото</v>
      </c>
      <c r="F1605" s="13"/>
      <c r="G1605" s="11" t="s">
        <v>2158</v>
      </c>
      <c r="H1605" s="11" t="s">
        <v>27</v>
      </c>
      <c r="I1605" s="14" t="s">
        <v>616</v>
      </c>
      <c r="J1605" s="14" t="s">
        <v>879</v>
      </c>
      <c r="K1605" s="15" t="s">
        <v>30</v>
      </c>
      <c r="L1605" s="86" t="s">
        <v>2159</v>
      </c>
      <c r="M1605" s="14"/>
      <c r="N1605" s="14" t="s">
        <v>275</v>
      </c>
      <c r="O1605" s="14"/>
      <c r="P1605" s="15" t="s">
        <v>108</v>
      </c>
      <c r="Q1605" s="16">
        <v>8399</v>
      </c>
      <c r="R1605" s="17">
        <v>69.069999999999993</v>
      </c>
      <c r="S1605" s="18">
        <v>2987.4354999999996</v>
      </c>
      <c r="T1605" s="19" t="s">
        <v>328</v>
      </c>
      <c r="U1605" s="20" t="s">
        <v>37</v>
      </c>
      <c r="V1605" s="21">
        <v>128</v>
      </c>
      <c r="W1605" s="21">
        <v>2</v>
      </c>
      <c r="X1605" s="22"/>
    </row>
    <row r="1606" spans="1:24" s="1" customFormat="1" ht="26.1" customHeight="1" x14ac:dyDescent="0.3">
      <c r="A1606" s="23" t="s">
        <v>1355</v>
      </c>
      <c r="B1606" s="23" t="s">
        <v>2156</v>
      </c>
      <c r="C1606" s="12" t="s">
        <v>2163</v>
      </c>
      <c r="D1606" s="84"/>
      <c r="E1606" s="69" t="str">
        <f>HYPERLINK("https://www.google.ru/search?q=816225-ZI&amp;newwindow=1&amp;tbm=isch","Еще фото")</f>
        <v>Еще фото</v>
      </c>
      <c r="F1606" s="13"/>
      <c r="G1606" s="23" t="s">
        <v>2158</v>
      </c>
      <c r="H1606" s="23" t="s">
        <v>27</v>
      </c>
      <c r="I1606" s="23" t="s">
        <v>616</v>
      </c>
      <c r="J1606" s="14" t="s">
        <v>879</v>
      </c>
      <c r="K1606" s="15" t="s">
        <v>30</v>
      </c>
      <c r="L1606" s="87"/>
      <c r="M1606" s="14"/>
      <c r="N1606" s="14" t="s">
        <v>275</v>
      </c>
      <c r="O1606" s="14"/>
      <c r="P1606" s="15" t="s">
        <v>108</v>
      </c>
      <c r="Q1606" s="16">
        <v>8399</v>
      </c>
      <c r="R1606" s="17">
        <v>69.069999999999993</v>
      </c>
      <c r="S1606" s="18">
        <v>2987.4354999999996</v>
      </c>
      <c r="T1606" s="19" t="s">
        <v>328</v>
      </c>
      <c r="U1606" s="20" t="s">
        <v>290</v>
      </c>
      <c r="V1606" s="21">
        <v>140</v>
      </c>
      <c r="W1606" s="21">
        <v>2</v>
      </c>
      <c r="X1606" s="22"/>
    </row>
    <row r="1607" spans="1:24" s="1" customFormat="1" ht="26.1" customHeight="1" x14ac:dyDescent="0.3">
      <c r="A1607" s="23" t="s">
        <v>1355</v>
      </c>
      <c r="B1607" s="23" t="s">
        <v>2156</v>
      </c>
      <c r="C1607" s="12" t="s">
        <v>2163</v>
      </c>
      <c r="D1607" s="84"/>
      <c r="E1607" s="69" t="str">
        <f>HYPERLINK("https://www.google.ru/search?q=816225-ZI&amp;newwindow=1&amp;tbm=isch","Еще фото")</f>
        <v>Еще фото</v>
      </c>
      <c r="F1607" s="13"/>
      <c r="G1607" s="23" t="s">
        <v>2158</v>
      </c>
      <c r="H1607" s="23" t="s">
        <v>27</v>
      </c>
      <c r="I1607" s="23" t="s">
        <v>616</v>
      </c>
      <c r="J1607" s="14" t="s">
        <v>879</v>
      </c>
      <c r="K1607" s="15" t="s">
        <v>30</v>
      </c>
      <c r="L1607" s="87"/>
      <c r="M1607" s="14"/>
      <c r="N1607" s="14" t="s">
        <v>275</v>
      </c>
      <c r="O1607" s="14"/>
      <c r="P1607" s="15" t="s">
        <v>108</v>
      </c>
      <c r="Q1607" s="16">
        <v>8399</v>
      </c>
      <c r="R1607" s="17">
        <v>69.069999999999993</v>
      </c>
      <c r="S1607" s="18">
        <v>2987.4354999999996</v>
      </c>
      <c r="T1607" s="19" t="s">
        <v>328</v>
      </c>
      <c r="U1607" s="20" t="s">
        <v>2160</v>
      </c>
      <c r="V1607" s="21">
        <v>152</v>
      </c>
      <c r="W1607" s="21">
        <v>3</v>
      </c>
      <c r="X1607" s="22"/>
    </row>
    <row r="1608" spans="1:24" s="1" customFormat="1" ht="26.1" customHeight="1" x14ac:dyDescent="0.3">
      <c r="A1608" s="23" t="s">
        <v>1355</v>
      </c>
      <c r="B1608" s="23" t="s">
        <v>2156</v>
      </c>
      <c r="C1608" s="12" t="s">
        <v>2163</v>
      </c>
      <c r="D1608" s="85"/>
      <c r="E1608" s="69" t="str">
        <f>HYPERLINK("https://www.google.ru/search?q=816225-ZI&amp;newwindow=1&amp;tbm=isch","Еще фото")</f>
        <v>Еще фото</v>
      </c>
      <c r="F1608" s="13"/>
      <c r="G1608" s="23" t="s">
        <v>2158</v>
      </c>
      <c r="H1608" s="23" t="s">
        <v>27</v>
      </c>
      <c r="I1608" s="23" t="s">
        <v>616</v>
      </c>
      <c r="J1608" s="14" t="s">
        <v>879</v>
      </c>
      <c r="K1608" s="15" t="s">
        <v>30</v>
      </c>
      <c r="L1608" s="88"/>
      <c r="M1608" s="14"/>
      <c r="N1608" s="14" t="s">
        <v>275</v>
      </c>
      <c r="O1608" s="14"/>
      <c r="P1608" s="15" t="s">
        <v>108</v>
      </c>
      <c r="Q1608" s="16">
        <v>8399</v>
      </c>
      <c r="R1608" s="17">
        <v>69.069999999999993</v>
      </c>
      <c r="S1608" s="18">
        <v>2987.4354999999996</v>
      </c>
      <c r="T1608" s="19" t="s">
        <v>328</v>
      </c>
      <c r="U1608" s="20" t="s">
        <v>2161</v>
      </c>
      <c r="V1608" s="21">
        <v>164</v>
      </c>
      <c r="W1608" s="21">
        <v>2</v>
      </c>
      <c r="X1608" s="22"/>
    </row>
    <row r="1609" spans="1:24" s="1" customFormat="1" ht="26.1" customHeight="1" x14ac:dyDescent="0.3">
      <c r="A1609" s="11" t="s">
        <v>1355</v>
      </c>
      <c r="B1609" s="11" t="s">
        <v>2164</v>
      </c>
      <c r="C1609" s="12" t="s">
        <v>2165</v>
      </c>
      <c r="D1609" s="83"/>
      <c r="E1609" s="69" t="str">
        <f>HYPERLINK("https://www.google.ru/search?q=814435-CE&amp;newwindow=1&amp;tbm=isch","Еще фото")</f>
        <v>Еще фото</v>
      </c>
      <c r="F1609" s="13"/>
      <c r="G1609" s="11" t="s">
        <v>2158</v>
      </c>
      <c r="H1609" s="11" t="s">
        <v>27</v>
      </c>
      <c r="I1609" s="14" t="s">
        <v>616</v>
      </c>
      <c r="J1609" s="14" t="s">
        <v>879</v>
      </c>
      <c r="K1609" s="15" t="s">
        <v>47</v>
      </c>
      <c r="L1609" s="86" t="s">
        <v>2166</v>
      </c>
      <c r="M1609" s="14"/>
      <c r="N1609" s="14" t="s">
        <v>242</v>
      </c>
      <c r="O1609" s="14"/>
      <c r="P1609" s="15" t="s">
        <v>108</v>
      </c>
      <c r="Q1609" s="16">
        <v>5999</v>
      </c>
      <c r="R1609" s="17">
        <v>69.03</v>
      </c>
      <c r="S1609" s="18">
        <v>2136.4354999999996</v>
      </c>
      <c r="T1609" s="19" t="s">
        <v>328</v>
      </c>
      <c r="U1609" s="20" t="s">
        <v>354</v>
      </c>
      <c r="V1609" s="25" t="s">
        <v>65</v>
      </c>
      <c r="W1609" s="21">
        <v>2</v>
      </c>
      <c r="X1609" s="22"/>
    </row>
    <row r="1610" spans="1:24" s="1" customFormat="1" ht="26.1" customHeight="1" x14ac:dyDescent="0.3">
      <c r="A1610" s="23" t="s">
        <v>1355</v>
      </c>
      <c r="B1610" s="23" t="s">
        <v>2164</v>
      </c>
      <c r="C1610" s="12" t="s">
        <v>2165</v>
      </c>
      <c r="D1610" s="84"/>
      <c r="E1610" s="69" t="str">
        <f>HYPERLINK("https://www.google.ru/search?q=814435-CE&amp;newwindow=1&amp;tbm=isch","Еще фото")</f>
        <v>Еще фото</v>
      </c>
      <c r="F1610" s="13"/>
      <c r="G1610" s="23" t="s">
        <v>2158</v>
      </c>
      <c r="H1610" s="23" t="s">
        <v>27</v>
      </c>
      <c r="I1610" s="23" t="s">
        <v>616</v>
      </c>
      <c r="J1610" s="14" t="s">
        <v>879</v>
      </c>
      <c r="K1610" s="15" t="s">
        <v>47</v>
      </c>
      <c r="L1610" s="87"/>
      <c r="M1610" s="14"/>
      <c r="N1610" s="14" t="s">
        <v>242</v>
      </c>
      <c r="O1610" s="14"/>
      <c r="P1610" s="15" t="s">
        <v>108</v>
      </c>
      <c r="Q1610" s="16">
        <v>5999</v>
      </c>
      <c r="R1610" s="17">
        <v>69.03</v>
      </c>
      <c r="S1610" s="18">
        <v>2136.4354999999996</v>
      </c>
      <c r="T1610" s="19" t="s">
        <v>328</v>
      </c>
      <c r="U1610" s="20" t="s">
        <v>64</v>
      </c>
      <c r="V1610" s="25" t="s">
        <v>67</v>
      </c>
      <c r="W1610" s="21">
        <v>3</v>
      </c>
      <c r="X1610" s="22"/>
    </row>
    <row r="1611" spans="1:24" s="1" customFormat="1" ht="26.1" customHeight="1" x14ac:dyDescent="0.3">
      <c r="A1611" s="23" t="s">
        <v>1355</v>
      </c>
      <c r="B1611" s="23" t="s">
        <v>2164</v>
      </c>
      <c r="C1611" s="12" t="s">
        <v>2165</v>
      </c>
      <c r="D1611" s="84"/>
      <c r="E1611" s="69" t="str">
        <f>HYPERLINK("https://www.google.ru/search?q=814435-CE&amp;newwindow=1&amp;tbm=isch","Еще фото")</f>
        <v>Еще фото</v>
      </c>
      <c r="F1611" s="13"/>
      <c r="G1611" s="23" t="s">
        <v>2158</v>
      </c>
      <c r="H1611" s="23" t="s">
        <v>27</v>
      </c>
      <c r="I1611" s="23" t="s">
        <v>616</v>
      </c>
      <c r="J1611" s="14" t="s">
        <v>879</v>
      </c>
      <c r="K1611" s="15" t="s">
        <v>47</v>
      </c>
      <c r="L1611" s="87"/>
      <c r="M1611" s="14"/>
      <c r="N1611" s="14" t="s">
        <v>242</v>
      </c>
      <c r="O1611" s="14"/>
      <c r="P1611" s="15" t="s">
        <v>108</v>
      </c>
      <c r="Q1611" s="16">
        <v>5999</v>
      </c>
      <c r="R1611" s="17">
        <v>69.03</v>
      </c>
      <c r="S1611" s="18">
        <v>2136.4354999999996</v>
      </c>
      <c r="T1611" s="19" t="s">
        <v>328</v>
      </c>
      <c r="U1611" s="20" t="s">
        <v>66</v>
      </c>
      <c r="V1611" s="25" t="s">
        <v>68</v>
      </c>
      <c r="W1611" s="21">
        <v>4</v>
      </c>
      <c r="X1611" s="22"/>
    </row>
    <row r="1612" spans="1:24" s="1" customFormat="1" ht="26.1" customHeight="1" x14ac:dyDescent="0.3">
      <c r="A1612" s="23" t="s">
        <v>1355</v>
      </c>
      <c r="B1612" s="23" t="s">
        <v>2164</v>
      </c>
      <c r="C1612" s="12" t="s">
        <v>2165</v>
      </c>
      <c r="D1612" s="85"/>
      <c r="E1612" s="69" t="str">
        <f>HYPERLINK("https://www.google.ru/search?q=814435-CE&amp;newwindow=1&amp;tbm=isch","Еще фото")</f>
        <v>Еще фото</v>
      </c>
      <c r="F1612" s="13"/>
      <c r="G1612" s="23" t="s">
        <v>2158</v>
      </c>
      <c r="H1612" s="23" t="s">
        <v>27</v>
      </c>
      <c r="I1612" s="23" t="s">
        <v>616</v>
      </c>
      <c r="J1612" s="14" t="s">
        <v>879</v>
      </c>
      <c r="K1612" s="15" t="s">
        <v>47</v>
      </c>
      <c r="L1612" s="88"/>
      <c r="M1612" s="14"/>
      <c r="N1612" s="14" t="s">
        <v>242</v>
      </c>
      <c r="O1612" s="14"/>
      <c r="P1612" s="15" t="s">
        <v>108</v>
      </c>
      <c r="Q1612" s="16">
        <v>5999</v>
      </c>
      <c r="R1612" s="17">
        <v>69.03</v>
      </c>
      <c r="S1612" s="18">
        <v>2136.4354999999996</v>
      </c>
      <c r="T1612" s="19" t="s">
        <v>328</v>
      </c>
      <c r="U1612" s="20" t="s">
        <v>58</v>
      </c>
      <c r="V1612" s="25" t="s">
        <v>53</v>
      </c>
      <c r="W1612" s="21">
        <v>1</v>
      </c>
      <c r="X1612" s="22"/>
    </row>
    <row r="1613" spans="1:24" s="1" customFormat="1" ht="26.1" customHeight="1" x14ac:dyDescent="0.3">
      <c r="A1613" s="11" t="s">
        <v>1355</v>
      </c>
      <c r="B1613" s="11" t="s">
        <v>2164</v>
      </c>
      <c r="C1613" s="12" t="s">
        <v>2167</v>
      </c>
      <c r="D1613" s="83"/>
      <c r="E1613" s="69" t="str">
        <f>HYPERLINK("https://www.google.ru/search?q=814435-WH&amp;newwindow=1&amp;tbm=isch","Еще фото")</f>
        <v>Еще фото</v>
      </c>
      <c r="F1613" s="13"/>
      <c r="G1613" s="11" t="s">
        <v>2158</v>
      </c>
      <c r="H1613" s="11" t="s">
        <v>27</v>
      </c>
      <c r="I1613" s="14" t="s">
        <v>616</v>
      </c>
      <c r="J1613" s="14" t="s">
        <v>879</v>
      </c>
      <c r="K1613" s="15" t="s">
        <v>47</v>
      </c>
      <c r="L1613" s="86" t="s">
        <v>2166</v>
      </c>
      <c r="M1613" s="14"/>
      <c r="N1613" s="14" t="s">
        <v>89</v>
      </c>
      <c r="O1613" s="14"/>
      <c r="P1613" s="15" t="s">
        <v>108</v>
      </c>
      <c r="Q1613" s="16">
        <v>5999</v>
      </c>
      <c r="R1613" s="17">
        <v>69.03</v>
      </c>
      <c r="S1613" s="18">
        <v>2136.4354999999996</v>
      </c>
      <c r="T1613" s="19" t="s">
        <v>328</v>
      </c>
      <c r="U1613" s="20" t="s">
        <v>64</v>
      </c>
      <c r="V1613" s="25" t="s">
        <v>67</v>
      </c>
      <c r="W1613" s="21">
        <v>4</v>
      </c>
      <c r="X1613" s="22"/>
    </row>
    <row r="1614" spans="1:24" s="1" customFormat="1" ht="26.1" customHeight="1" x14ac:dyDescent="0.3">
      <c r="A1614" s="23" t="s">
        <v>1355</v>
      </c>
      <c r="B1614" s="23" t="s">
        <v>2164</v>
      </c>
      <c r="C1614" s="12" t="s">
        <v>2167</v>
      </c>
      <c r="D1614" s="84"/>
      <c r="E1614" s="69" t="str">
        <f>HYPERLINK("https://www.google.ru/search?q=814435-WH&amp;newwindow=1&amp;tbm=isch","Еще фото")</f>
        <v>Еще фото</v>
      </c>
      <c r="F1614" s="13"/>
      <c r="G1614" s="23" t="s">
        <v>2158</v>
      </c>
      <c r="H1614" s="23" t="s">
        <v>27</v>
      </c>
      <c r="I1614" s="23" t="s">
        <v>616</v>
      </c>
      <c r="J1614" s="14" t="s">
        <v>879</v>
      </c>
      <c r="K1614" s="15" t="s">
        <v>47</v>
      </c>
      <c r="L1614" s="87"/>
      <c r="M1614" s="14"/>
      <c r="N1614" s="14" t="s">
        <v>89</v>
      </c>
      <c r="O1614" s="14"/>
      <c r="P1614" s="15" t="s">
        <v>108</v>
      </c>
      <c r="Q1614" s="16">
        <v>5999</v>
      </c>
      <c r="R1614" s="17">
        <v>69.03</v>
      </c>
      <c r="S1614" s="18">
        <v>2136.4354999999996</v>
      </c>
      <c r="T1614" s="19" t="s">
        <v>328</v>
      </c>
      <c r="U1614" s="20" t="s">
        <v>66</v>
      </c>
      <c r="V1614" s="25" t="s">
        <v>68</v>
      </c>
      <c r="W1614" s="21">
        <v>4</v>
      </c>
      <c r="X1614" s="22"/>
    </row>
    <row r="1615" spans="1:24" s="1" customFormat="1" ht="26.1" customHeight="1" x14ac:dyDescent="0.3">
      <c r="A1615" s="23" t="s">
        <v>1355</v>
      </c>
      <c r="B1615" s="23" t="s">
        <v>2164</v>
      </c>
      <c r="C1615" s="12" t="s">
        <v>2167</v>
      </c>
      <c r="D1615" s="84"/>
      <c r="E1615" s="69" t="str">
        <f>HYPERLINK("https://www.google.ru/search?q=814435-WH&amp;newwindow=1&amp;tbm=isch","Еще фото")</f>
        <v>Еще фото</v>
      </c>
      <c r="F1615" s="13"/>
      <c r="G1615" s="23" t="s">
        <v>2158</v>
      </c>
      <c r="H1615" s="23" t="s">
        <v>27</v>
      </c>
      <c r="I1615" s="23" t="s">
        <v>616</v>
      </c>
      <c r="J1615" s="14" t="s">
        <v>879</v>
      </c>
      <c r="K1615" s="15" t="s">
        <v>47</v>
      </c>
      <c r="L1615" s="87"/>
      <c r="M1615" s="14"/>
      <c r="N1615" s="14" t="s">
        <v>89</v>
      </c>
      <c r="O1615" s="14"/>
      <c r="P1615" s="15" t="s">
        <v>108</v>
      </c>
      <c r="Q1615" s="16">
        <v>5999</v>
      </c>
      <c r="R1615" s="17">
        <v>69.03</v>
      </c>
      <c r="S1615" s="18">
        <v>2136.4354999999996</v>
      </c>
      <c r="T1615" s="19" t="s">
        <v>328</v>
      </c>
      <c r="U1615" s="20" t="s">
        <v>58</v>
      </c>
      <c r="V1615" s="25" t="s">
        <v>53</v>
      </c>
      <c r="W1615" s="21">
        <v>2</v>
      </c>
      <c r="X1615" s="22"/>
    </row>
    <row r="1616" spans="1:24" s="1" customFormat="1" ht="26.1" customHeight="1" x14ac:dyDescent="0.3">
      <c r="A1616" s="23" t="s">
        <v>1355</v>
      </c>
      <c r="B1616" s="23" t="s">
        <v>2164</v>
      </c>
      <c r="C1616" s="12" t="s">
        <v>2167</v>
      </c>
      <c r="D1616" s="85"/>
      <c r="E1616" s="69" t="str">
        <f>HYPERLINK("https://www.google.ru/search?q=814435-WH&amp;newwindow=1&amp;tbm=isch","Еще фото")</f>
        <v>Еще фото</v>
      </c>
      <c r="F1616" s="13"/>
      <c r="G1616" s="23" t="s">
        <v>2158</v>
      </c>
      <c r="H1616" s="23" t="s">
        <v>27</v>
      </c>
      <c r="I1616" s="23" t="s">
        <v>616</v>
      </c>
      <c r="J1616" s="14" t="s">
        <v>879</v>
      </c>
      <c r="K1616" s="15" t="s">
        <v>47</v>
      </c>
      <c r="L1616" s="88"/>
      <c r="M1616" s="14"/>
      <c r="N1616" s="14" t="s">
        <v>89</v>
      </c>
      <c r="O1616" s="14"/>
      <c r="P1616" s="15" t="s">
        <v>108</v>
      </c>
      <c r="Q1616" s="16">
        <v>5999</v>
      </c>
      <c r="R1616" s="17">
        <v>69.03</v>
      </c>
      <c r="S1616" s="18">
        <v>2136.4354999999996</v>
      </c>
      <c r="T1616" s="19" t="s">
        <v>328</v>
      </c>
      <c r="U1616" s="20" t="s">
        <v>52</v>
      </c>
      <c r="V1616" s="25" t="s">
        <v>59</v>
      </c>
      <c r="W1616" s="21">
        <v>1</v>
      </c>
      <c r="X1616" s="22"/>
    </row>
    <row r="1617" spans="1:24" s="1" customFormat="1" ht="51.95" customHeight="1" x14ac:dyDescent="0.3">
      <c r="A1617" s="11" t="s">
        <v>1355</v>
      </c>
      <c r="B1617" s="11" t="s">
        <v>2168</v>
      </c>
      <c r="C1617" s="12" t="s">
        <v>2169</v>
      </c>
      <c r="D1617" s="89"/>
      <c r="E1617" s="69" t="str">
        <f>HYPERLINK("https://www.google.ru/search?q=811215-CN&amp;newwindow=1&amp;tbm=isch","Еще фото")</f>
        <v>Еще фото</v>
      </c>
      <c r="F1617" s="13"/>
      <c r="G1617" s="11" t="s">
        <v>615</v>
      </c>
      <c r="H1617" s="11" t="s">
        <v>27</v>
      </c>
      <c r="I1617" s="14" t="s">
        <v>616</v>
      </c>
      <c r="J1617" s="14" t="s">
        <v>879</v>
      </c>
      <c r="K1617" s="15" t="s">
        <v>55</v>
      </c>
      <c r="L1617" s="86" t="s">
        <v>2170</v>
      </c>
      <c r="M1617" s="14"/>
      <c r="N1617" s="14" t="s">
        <v>636</v>
      </c>
      <c r="O1617" s="14"/>
      <c r="P1617" s="15" t="s">
        <v>108</v>
      </c>
      <c r="Q1617" s="16">
        <v>6699</v>
      </c>
      <c r="R1617" s="17">
        <v>68.98</v>
      </c>
      <c r="S1617" s="18">
        <v>2389.4354999999996</v>
      </c>
      <c r="T1617" s="19" t="s">
        <v>328</v>
      </c>
      <c r="U1617" s="20" t="s">
        <v>64</v>
      </c>
      <c r="V1617" s="25" t="s">
        <v>65</v>
      </c>
      <c r="W1617" s="21">
        <v>1</v>
      </c>
      <c r="X1617" s="22"/>
    </row>
    <row r="1618" spans="1:24" s="1" customFormat="1" ht="60.95" customHeight="1" x14ac:dyDescent="0.3">
      <c r="A1618" s="23" t="s">
        <v>1355</v>
      </c>
      <c r="B1618" s="23" t="s">
        <v>2168</v>
      </c>
      <c r="C1618" s="12" t="s">
        <v>2169</v>
      </c>
      <c r="D1618" s="90"/>
      <c r="E1618" s="69" t="str">
        <f>HYPERLINK("https://www.google.ru/search?q=811215-CN&amp;newwindow=1&amp;tbm=isch","Еще фото")</f>
        <v>Еще фото</v>
      </c>
      <c r="F1618" s="13"/>
      <c r="G1618" s="23" t="s">
        <v>615</v>
      </c>
      <c r="H1618" s="23" t="s">
        <v>27</v>
      </c>
      <c r="I1618" s="23" t="s">
        <v>616</v>
      </c>
      <c r="J1618" s="14" t="s">
        <v>879</v>
      </c>
      <c r="K1618" s="15" t="s">
        <v>55</v>
      </c>
      <c r="L1618" s="88"/>
      <c r="M1618" s="14"/>
      <c r="N1618" s="14" t="s">
        <v>636</v>
      </c>
      <c r="O1618" s="14"/>
      <c r="P1618" s="15" t="s">
        <v>108</v>
      </c>
      <c r="Q1618" s="16">
        <v>6699</v>
      </c>
      <c r="R1618" s="17">
        <v>68.98</v>
      </c>
      <c r="S1618" s="18">
        <v>2389.4354999999996</v>
      </c>
      <c r="T1618" s="19" t="s">
        <v>328</v>
      </c>
      <c r="U1618" s="20" t="s">
        <v>66</v>
      </c>
      <c r="V1618" s="25" t="s">
        <v>67</v>
      </c>
      <c r="W1618" s="21">
        <v>4</v>
      </c>
      <c r="X1618" s="22"/>
    </row>
    <row r="1619" spans="1:24" s="1" customFormat="1" ht="26.1" customHeight="1" x14ac:dyDescent="0.3">
      <c r="A1619" s="11" t="s">
        <v>1355</v>
      </c>
      <c r="B1619" s="11" t="s">
        <v>2171</v>
      </c>
      <c r="C1619" s="12" t="s">
        <v>2172</v>
      </c>
      <c r="D1619" s="83"/>
      <c r="E1619" s="69" t="str">
        <f>HYPERLINK("https://www.google.ru/search?q=814225-CE&amp;newwindow=1&amp;tbm=isch","Еще фото")</f>
        <v>Еще фото</v>
      </c>
      <c r="F1619" s="13"/>
      <c r="G1619" s="11" t="s">
        <v>2158</v>
      </c>
      <c r="H1619" s="11" t="s">
        <v>27</v>
      </c>
      <c r="I1619" s="14" t="s">
        <v>616</v>
      </c>
      <c r="J1619" s="14" t="s">
        <v>879</v>
      </c>
      <c r="K1619" s="15" t="s">
        <v>47</v>
      </c>
      <c r="L1619" s="86" t="s">
        <v>2173</v>
      </c>
      <c r="M1619" s="14"/>
      <c r="N1619" s="14" t="s">
        <v>242</v>
      </c>
      <c r="O1619" s="14"/>
      <c r="P1619" s="15" t="s">
        <v>108</v>
      </c>
      <c r="Q1619" s="16">
        <v>6699</v>
      </c>
      <c r="R1619" s="17">
        <v>68.98</v>
      </c>
      <c r="S1619" s="18">
        <v>2389.4354999999996</v>
      </c>
      <c r="T1619" s="19" t="s">
        <v>328</v>
      </c>
      <c r="U1619" s="20" t="s">
        <v>354</v>
      </c>
      <c r="V1619" s="25" t="s">
        <v>65</v>
      </c>
      <c r="W1619" s="21">
        <v>2</v>
      </c>
      <c r="X1619" s="22"/>
    </row>
    <row r="1620" spans="1:24" s="1" customFormat="1" ht="26.1" customHeight="1" x14ac:dyDescent="0.3">
      <c r="A1620" s="23" t="s">
        <v>1355</v>
      </c>
      <c r="B1620" s="23" t="s">
        <v>2171</v>
      </c>
      <c r="C1620" s="12" t="s">
        <v>2172</v>
      </c>
      <c r="D1620" s="84"/>
      <c r="E1620" s="69" t="str">
        <f>HYPERLINK("https://www.google.ru/search?q=814225-CE&amp;newwindow=1&amp;tbm=isch","Еще фото")</f>
        <v>Еще фото</v>
      </c>
      <c r="F1620" s="13"/>
      <c r="G1620" s="23" t="s">
        <v>2158</v>
      </c>
      <c r="H1620" s="23" t="s">
        <v>27</v>
      </c>
      <c r="I1620" s="23" t="s">
        <v>616</v>
      </c>
      <c r="J1620" s="14" t="s">
        <v>879</v>
      </c>
      <c r="K1620" s="15" t="s">
        <v>47</v>
      </c>
      <c r="L1620" s="87"/>
      <c r="M1620" s="14"/>
      <c r="N1620" s="14" t="s">
        <v>242</v>
      </c>
      <c r="O1620" s="14"/>
      <c r="P1620" s="15" t="s">
        <v>108</v>
      </c>
      <c r="Q1620" s="16">
        <v>6699</v>
      </c>
      <c r="R1620" s="17">
        <v>68.98</v>
      </c>
      <c r="S1620" s="18">
        <v>2389.4354999999996</v>
      </c>
      <c r="T1620" s="19" t="s">
        <v>328</v>
      </c>
      <c r="U1620" s="20" t="s">
        <v>64</v>
      </c>
      <c r="V1620" s="25" t="s">
        <v>67</v>
      </c>
      <c r="W1620" s="21">
        <v>3</v>
      </c>
      <c r="X1620" s="22"/>
    </row>
    <row r="1621" spans="1:24" s="1" customFormat="1" ht="26.1" customHeight="1" x14ac:dyDescent="0.3">
      <c r="A1621" s="23" t="s">
        <v>1355</v>
      </c>
      <c r="B1621" s="23" t="s">
        <v>2171</v>
      </c>
      <c r="C1621" s="12" t="s">
        <v>2172</v>
      </c>
      <c r="D1621" s="84"/>
      <c r="E1621" s="69" t="str">
        <f>HYPERLINK("https://www.google.ru/search?q=814225-CE&amp;newwindow=1&amp;tbm=isch","Еще фото")</f>
        <v>Еще фото</v>
      </c>
      <c r="F1621" s="13"/>
      <c r="G1621" s="23" t="s">
        <v>2158</v>
      </c>
      <c r="H1621" s="23" t="s">
        <v>27</v>
      </c>
      <c r="I1621" s="23" t="s">
        <v>616</v>
      </c>
      <c r="J1621" s="14" t="s">
        <v>879</v>
      </c>
      <c r="K1621" s="15" t="s">
        <v>47</v>
      </c>
      <c r="L1621" s="87"/>
      <c r="M1621" s="14"/>
      <c r="N1621" s="14" t="s">
        <v>242</v>
      </c>
      <c r="O1621" s="14"/>
      <c r="P1621" s="15" t="s">
        <v>108</v>
      </c>
      <c r="Q1621" s="16">
        <v>6699</v>
      </c>
      <c r="R1621" s="17">
        <v>68.98</v>
      </c>
      <c r="S1621" s="18">
        <v>2389.4354999999996</v>
      </c>
      <c r="T1621" s="19" t="s">
        <v>328</v>
      </c>
      <c r="U1621" s="20" t="s">
        <v>66</v>
      </c>
      <c r="V1621" s="25" t="s">
        <v>68</v>
      </c>
      <c r="W1621" s="21">
        <v>3</v>
      </c>
      <c r="X1621" s="22"/>
    </row>
    <row r="1622" spans="1:24" s="1" customFormat="1" ht="26.1" customHeight="1" x14ac:dyDescent="0.3">
      <c r="A1622" s="23" t="s">
        <v>1355</v>
      </c>
      <c r="B1622" s="23" t="s">
        <v>2171</v>
      </c>
      <c r="C1622" s="12" t="s">
        <v>2172</v>
      </c>
      <c r="D1622" s="85"/>
      <c r="E1622" s="69" t="str">
        <f>HYPERLINK("https://www.google.ru/search?q=814225-CE&amp;newwindow=1&amp;tbm=isch","Еще фото")</f>
        <v>Еще фото</v>
      </c>
      <c r="F1622" s="13"/>
      <c r="G1622" s="23" t="s">
        <v>2158</v>
      </c>
      <c r="H1622" s="23" t="s">
        <v>27</v>
      </c>
      <c r="I1622" s="23" t="s">
        <v>616</v>
      </c>
      <c r="J1622" s="14" t="s">
        <v>879</v>
      </c>
      <c r="K1622" s="15" t="s">
        <v>47</v>
      </c>
      <c r="L1622" s="88"/>
      <c r="M1622" s="14"/>
      <c r="N1622" s="14" t="s">
        <v>242</v>
      </c>
      <c r="O1622" s="14"/>
      <c r="P1622" s="15" t="s">
        <v>108</v>
      </c>
      <c r="Q1622" s="16">
        <v>6699</v>
      </c>
      <c r="R1622" s="17">
        <v>68.98</v>
      </c>
      <c r="S1622" s="18">
        <v>2389.4354999999996</v>
      </c>
      <c r="T1622" s="19" t="s">
        <v>328</v>
      </c>
      <c r="U1622" s="20" t="s">
        <v>58</v>
      </c>
      <c r="V1622" s="25" t="s">
        <v>53</v>
      </c>
      <c r="W1622" s="21">
        <v>2</v>
      </c>
      <c r="X1622" s="22"/>
    </row>
    <row r="1623" spans="1:24" s="1" customFormat="1" ht="51.95" customHeight="1" x14ac:dyDescent="0.3">
      <c r="A1623" s="11" t="s">
        <v>1355</v>
      </c>
      <c r="B1623" s="11" t="s">
        <v>2171</v>
      </c>
      <c r="C1623" s="12" t="s">
        <v>2174</v>
      </c>
      <c r="D1623" s="89"/>
      <c r="E1623" s="69" t="str">
        <f>HYPERLINK("https://www.google.ru/search?q=814225-ZI&amp;newwindow=1&amp;tbm=isch","Еще фото")</f>
        <v>Еще фото</v>
      </c>
      <c r="F1623" s="13"/>
      <c r="G1623" s="11" t="s">
        <v>2158</v>
      </c>
      <c r="H1623" s="11" t="s">
        <v>27</v>
      </c>
      <c r="I1623" s="14" t="s">
        <v>616</v>
      </c>
      <c r="J1623" s="14" t="s">
        <v>879</v>
      </c>
      <c r="K1623" s="15" t="s">
        <v>47</v>
      </c>
      <c r="L1623" s="86" t="s">
        <v>2173</v>
      </c>
      <c r="M1623" s="14"/>
      <c r="N1623" s="14" t="s">
        <v>275</v>
      </c>
      <c r="O1623" s="14"/>
      <c r="P1623" s="15" t="s">
        <v>108</v>
      </c>
      <c r="Q1623" s="16">
        <v>6699</v>
      </c>
      <c r="R1623" s="17">
        <v>68.98</v>
      </c>
      <c r="S1623" s="18">
        <v>2389.4354999999996</v>
      </c>
      <c r="T1623" s="19" t="s">
        <v>328</v>
      </c>
      <c r="U1623" s="20" t="s">
        <v>66</v>
      </c>
      <c r="V1623" s="25" t="s">
        <v>68</v>
      </c>
      <c r="W1623" s="21">
        <v>1</v>
      </c>
      <c r="X1623" s="22"/>
    </row>
    <row r="1624" spans="1:24" s="1" customFormat="1" ht="60.95" customHeight="1" x14ac:dyDescent="0.3">
      <c r="A1624" s="23" t="s">
        <v>1355</v>
      </c>
      <c r="B1624" s="23" t="s">
        <v>2171</v>
      </c>
      <c r="C1624" s="12" t="s">
        <v>2174</v>
      </c>
      <c r="D1624" s="90"/>
      <c r="E1624" s="69" t="str">
        <f>HYPERLINK("https://www.google.ru/search?q=814225-ZI&amp;newwindow=1&amp;tbm=isch","Еще фото")</f>
        <v>Еще фото</v>
      </c>
      <c r="F1624" s="13"/>
      <c r="G1624" s="23" t="s">
        <v>2158</v>
      </c>
      <c r="H1624" s="23" t="s">
        <v>27</v>
      </c>
      <c r="I1624" s="23" t="s">
        <v>616</v>
      </c>
      <c r="J1624" s="14" t="s">
        <v>879</v>
      </c>
      <c r="K1624" s="15" t="s">
        <v>47</v>
      </c>
      <c r="L1624" s="88"/>
      <c r="M1624" s="14"/>
      <c r="N1624" s="14" t="s">
        <v>275</v>
      </c>
      <c r="O1624" s="14"/>
      <c r="P1624" s="15" t="s">
        <v>108</v>
      </c>
      <c r="Q1624" s="16">
        <v>6699</v>
      </c>
      <c r="R1624" s="17">
        <v>68.98</v>
      </c>
      <c r="S1624" s="18">
        <v>2389.4354999999996</v>
      </c>
      <c r="T1624" s="19" t="s">
        <v>328</v>
      </c>
      <c r="U1624" s="20" t="s">
        <v>52</v>
      </c>
      <c r="V1624" s="25" t="s">
        <v>59</v>
      </c>
      <c r="W1624" s="21">
        <v>1</v>
      </c>
      <c r="X1624" s="22"/>
    </row>
    <row r="1625" spans="1:24" s="1" customFormat="1" ht="26.1" customHeight="1" x14ac:dyDescent="0.3">
      <c r="A1625" s="11" t="s">
        <v>1355</v>
      </c>
      <c r="B1625" s="11" t="s">
        <v>2175</v>
      </c>
      <c r="C1625" s="12" t="s">
        <v>2176</v>
      </c>
      <c r="D1625" s="83"/>
      <c r="E1625" s="69" t="str">
        <f>HYPERLINK("https://www.google.ru/search?q=814725-NV&amp;newwindow=1&amp;tbm=isch","Еще фото")</f>
        <v>Еще фото</v>
      </c>
      <c r="F1625" s="13"/>
      <c r="G1625" s="11" t="s">
        <v>615</v>
      </c>
      <c r="H1625" s="11" t="s">
        <v>27</v>
      </c>
      <c r="I1625" s="14" t="s">
        <v>616</v>
      </c>
      <c r="J1625" s="14" t="s">
        <v>879</v>
      </c>
      <c r="K1625" s="15" t="s">
        <v>47</v>
      </c>
      <c r="L1625" s="86" t="s">
        <v>2177</v>
      </c>
      <c r="M1625" s="14"/>
      <c r="N1625" s="14" t="s">
        <v>70</v>
      </c>
      <c r="O1625" s="14"/>
      <c r="P1625" s="15" t="s">
        <v>108</v>
      </c>
      <c r="Q1625" s="16">
        <v>4699</v>
      </c>
      <c r="R1625" s="17">
        <v>68.98</v>
      </c>
      <c r="S1625" s="18">
        <v>1676.4354999999998</v>
      </c>
      <c r="T1625" s="19" t="s">
        <v>328</v>
      </c>
      <c r="U1625" s="20" t="s">
        <v>354</v>
      </c>
      <c r="V1625" s="25" t="s">
        <v>65</v>
      </c>
      <c r="W1625" s="21">
        <v>2</v>
      </c>
      <c r="X1625" s="22"/>
    </row>
    <row r="1626" spans="1:24" s="1" customFormat="1" ht="26.1" customHeight="1" x14ac:dyDescent="0.3">
      <c r="A1626" s="23" t="s">
        <v>1355</v>
      </c>
      <c r="B1626" s="23" t="s">
        <v>2175</v>
      </c>
      <c r="C1626" s="12" t="s">
        <v>2176</v>
      </c>
      <c r="D1626" s="84"/>
      <c r="E1626" s="69" t="str">
        <f>HYPERLINK("https://www.google.ru/search?q=814725-NV&amp;newwindow=1&amp;tbm=isch","Еще фото")</f>
        <v>Еще фото</v>
      </c>
      <c r="F1626" s="13"/>
      <c r="G1626" s="23" t="s">
        <v>615</v>
      </c>
      <c r="H1626" s="23" t="s">
        <v>27</v>
      </c>
      <c r="I1626" s="23" t="s">
        <v>616</v>
      </c>
      <c r="J1626" s="14" t="s">
        <v>879</v>
      </c>
      <c r="K1626" s="15" t="s">
        <v>47</v>
      </c>
      <c r="L1626" s="87"/>
      <c r="M1626" s="14"/>
      <c r="N1626" s="14" t="s">
        <v>70</v>
      </c>
      <c r="O1626" s="14"/>
      <c r="P1626" s="15" t="s">
        <v>108</v>
      </c>
      <c r="Q1626" s="16">
        <v>4699</v>
      </c>
      <c r="R1626" s="17">
        <v>68.98</v>
      </c>
      <c r="S1626" s="18">
        <v>1676.4354999999998</v>
      </c>
      <c r="T1626" s="19" t="s">
        <v>328</v>
      </c>
      <c r="U1626" s="20" t="s">
        <v>64</v>
      </c>
      <c r="V1626" s="25" t="s">
        <v>67</v>
      </c>
      <c r="W1626" s="21">
        <v>5</v>
      </c>
      <c r="X1626" s="22"/>
    </row>
    <row r="1627" spans="1:24" s="1" customFormat="1" ht="26.1" customHeight="1" x14ac:dyDescent="0.3">
      <c r="A1627" s="23" t="s">
        <v>1355</v>
      </c>
      <c r="B1627" s="23" t="s">
        <v>2175</v>
      </c>
      <c r="C1627" s="12" t="s">
        <v>2176</v>
      </c>
      <c r="D1627" s="84"/>
      <c r="E1627" s="69" t="str">
        <f>HYPERLINK("https://www.google.ru/search?q=814725-NV&amp;newwindow=1&amp;tbm=isch","Еще фото")</f>
        <v>Еще фото</v>
      </c>
      <c r="F1627" s="13"/>
      <c r="G1627" s="23" t="s">
        <v>615</v>
      </c>
      <c r="H1627" s="23" t="s">
        <v>27</v>
      </c>
      <c r="I1627" s="23" t="s">
        <v>616</v>
      </c>
      <c r="J1627" s="14" t="s">
        <v>879</v>
      </c>
      <c r="K1627" s="15" t="s">
        <v>47</v>
      </c>
      <c r="L1627" s="87"/>
      <c r="M1627" s="14"/>
      <c r="N1627" s="14" t="s">
        <v>70</v>
      </c>
      <c r="O1627" s="14"/>
      <c r="P1627" s="15" t="s">
        <v>108</v>
      </c>
      <c r="Q1627" s="16">
        <v>4699</v>
      </c>
      <c r="R1627" s="17">
        <v>68.98</v>
      </c>
      <c r="S1627" s="18">
        <v>1676.4354999999998</v>
      </c>
      <c r="T1627" s="19" t="s">
        <v>328</v>
      </c>
      <c r="U1627" s="20" t="s">
        <v>66</v>
      </c>
      <c r="V1627" s="25" t="s">
        <v>68</v>
      </c>
      <c r="W1627" s="21">
        <v>4</v>
      </c>
      <c r="X1627" s="22"/>
    </row>
    <row r="1628" spans="1:24" s="1" customFormat="1" ht="26.1" customHeight="1" x14ac:dyDescent="0.3">
      <c r="A1628" s="23" t="s">
        <v>1355</v>
      </c>
      <c r="B1628" s="23" t="s">
        <v>2175</v>
      </c>
      <c r="C1628" s="12" t="s">
        <v>2176</v>
      </c>
      <c r="D1628" s="85"/>
      <c r="E1628" s="69" t="str">
        <f>HYPERLINK("https://www.google.ru/search?q=814725-NV&amp;newwindow=1&amp;tbm=isch","Еще фото")</f>
        <v>Еще фото</v>
      </c>
      <c r="F1628" s="13"/>
      <c r="G1628" s="23" t="s">
        <v>615</v>
      </c>
      <c r="H1628" s="23" t="s">
        <v>27</v>
      </c>
      <c r="I1628" s="23" t="s">
        <v>616</v>
      </c>
      <c r="J1628" s="14" t="s">
        <v>879</v>
      </c>
      <c r="K1628" s="15" t="s">
        <v>47</v>
      </c>
      <c r="L1628" s="88"/>
      <c r="M1628" s="14"/>
      <c r="N1628" s="14" t="s">
        <v>70</v>
      </c>
      <c r="O1628" s="14"/>
      <c r="P1628" s="15" t="s">
        <v>108</v>
      </c>
      <c r="Q1628" s="16">
        <v>4699</v>
      </c>
      <c r="R1628" s="17">
        <v>68.98</v>
      </c>
      <c r="S1628" s="18">
        <v>1676.4354999999998</v>
      </c>
      <c r="T1628" s="19" t="s">
        <v>328</v>
      </c>
      <c r="U1628" s="20" t="s">
        <v>58</v>
      </c>
      <c r="V1628" s="25" t="s">
        <v>53</v>
      </c>
      <c r="W1628" s="21">
        <v>3</v>
      </c>
      <c r="X1628" s="22"/>
    </row>
    <row r="1629" spans="1:24" s="1" customFormat="1" ht="26.1" customHeight="1" x14ac:dyDescent="0.3">
      <c r="A1629" s="11" t="s">
        <v>1355</v>
      </c>
      <c r="B1629" s="11" t="s">
        <v>2175</v>
      </c>
      <c r="C1629" s="12" t="s">
        <v>2178</v>
      </c>
      <c r="D1629" s="83"/>
      <c r="E1629" s="69" t="str">
        <f>HYPERLINK("https://www.google.ru/search?q=814725-NVWH&amp;newwindow=1&amp;tbm=isch","Еще фото")</f>
        <v>Еще фото</v>
      </c>
      <c r="F1629" s="13"/>
      <c r="G1629" s="11" t="s">
        <v>615</v>
      </c>
      <c r="H1629" s="11" t="s">
        <v>27</v>
      </c>
      <c r="I1629" s="14" t="s">
        <v>616</v>
      </c>
      <c r="J1629" s="14" t="s">
        <v>879</v>
      </c>
      <c r="K1629" s="15" t="s">
        <v>47</v>
      </c>
      <c r="L1629" s="86" t="s">
        <v>2177</v>
      </c>
      <c r="M1629" s="14"/>
      <c r="N1629" s="14" t="s">
        <v>800</v>
      </c>
      <c r="O1629" s="14"/>
      <c r="P1629" s="15" t="s">
        <v>108</v>
      </c>
      <c r="Q1629" s="16">
        <v>4699</v>
      </c>
      <c r="R1629" s="17">
        <v>68.98</v>
      </c>
      <c r="S1629" s="18">
        <v>1676.4354999999998</v>
      </c>
      <c r="T1629" s="19" t="s">
        <v>328</v>
      </c>
      <c r="U1629" s="20" t="s">
        <v>354</v>
      </c>
      <c r="V1629" s="25" t="s">
        <v>65</v>
      </c>
      <c r="W1629" s="21">
        <v>1</v>
      </c>
      <c r="X1629" s="22"/>
    </row>
    <row r="1630" spans="1:24" s="1" customFormat="1" ht="26.1" customHeight="1" x14ac:dyDescent="0.3">
      <c r="A1630" s="23" t="s">
        <v>1355</v>
      </c>
      <c r="B1630" s="23" t="s">
        <v>2175</v>
      </c>
      <c r="C1630" s="12" t="s">
        <v>2178</v>
      </c>
      <c r="D1630" s="84"/>
      <c r="E1630" s="69" t="str">
        <f>HYPERLINK("https://www.google.ru/search?q=814725-NVWH&amp;newwindow=1&amp;tbm=isch","Еще фото")</f>
        <v>Еще фото</v>
      </c>
      <c r="F1630" s="13"/>
      <c r="G1630" s="23" t="s">
        <v>615</v>
      </c>
      <c r="H1630" s="23" t="s">
        <v>27</v>
      </c>
      <c r="I1630" s="23" t="s">
        <v>616</v>
      </c>
      <c r="J1630" s="14" t="s">
        <v>879</v>
      </c>
      <c r="K1630" s="15" t="s">
        <v>47</v>
      </c>
      <c r="L1630" s="87"/>
      <c r="M1630" s="14"/>
      <c r="N1630" s="14" t="s">
        <v>800</v>
      </c>
      <c r="O1630" s="14"/>
      <c r="P1630" s="15" t="s">
        <v>108</v>
      </c>
      <c r="Q1630" s="16">
        <v>4699</v>
      </c>
      <c r="R1630" s="17">
        <v>68.98</v>
      </c>
      <c r="S1630" s="18">
        <v>1676.4354999999998</v>
      </c>
      <c r="T1630" s="19" t="s">
        <v>328</v>
      </c>
      <c r="U1630" s="20" t="s">
        <v>64</v>
      </c>
      <c r="V1630" s="25" t="s">
        <v>67</v>
      </c>
      <c r="W1630" s="21">
        <v>4</v>
      </c>
      <c r="X1630" s="22"/>
    </row>
    <row r="1631" spans="1:24" s="1" customFormat="1" ht="26.1" customHeight="1" x14ac:dyDescent="0.3">
      <c r="A1631" s="23" t="s">
        <v>1355</v>
      </c>
      <c r="B1631" s="23" t="s">
        <v>2175</v>
      </c>
      <c r="C1631" s="12" t="s">
        <v>2178</v>
      </c>
      <c r="D1631" s="84"/>
      <c r="E1631" s="69" t="str">
        <f>HYPERLINK("https://www.google.ru/search?q=814725-NVWH&amp;newwindow=1&amp;tbm=isch","Еще фото")</f>
        <v>Еще фото</v>
      </c>
      <c r="F1631" s="13"/>
      <c r="G1631" s="23" t="s">
        <v>615</v>
      </c>
      <c r="H1631" s="23" t="s">
        <v>27</v>
      </c>
      <c r="I1631" s="23" t="s">
        <v>616</v>
      </c>
      <c r="J1631" s="14" t="s">
        <v>879</v>
      </c>
      <c r="K1631" s="15" t="s">
        <v>47</v>
      </c>
      <c r="L1631" s="87"/>
      <c r="M1631" s="14"/>
      <c r="N1631" s="14" t="s">
        <v>800</v>
      </c>
      <c r="O1631" s="14"/>
      <c r="P1631" s="15" t="s">
        <v>108</v>
      </c>
      <c r="Q1631" s="16">
        <v>4699</v>
      </c>
      <c r="R1631" s="17">
        <v>68.98</v>
      </c>
      <c r="S1631" s="18">
        <v>1676.4354999999998</v>
      </c>
      <c r="T1631" s="19" t="s">
        <v>328</v>
      </c>
      <c r="U1631" s="20" t="s">
        <v>66</v>
      </c>
      <c r="V1631" s="25" t="s">
        <v>68</v>
      </c>
      <c r="W1631" s="21">
        <v>1</v>
      </c>
      <c r="X1631" s="22"/>
    </row>
    <row r="1632" spans="1:24" s="1" customFormat="1" ht="26.1" customHeight="1" x14ac:dyDescent="0.3">
      <c r="A1632" s="23" t="s">
        <v>1355</v>
      </c>
      <c r="B1632" s="23" t="s">
        <v>2175</v>
      </c>
      <c r="C1632" s="12" t="s">
        <v>2178</v>
      </c>
      <c r="D1632" s="85"/>
      <c r="E1632" s="69" t="str">
        <f>HYPERLINK("https://www.google.ru/search?q=814725-NVWH&amp;newwindow=1&amp;tbm=isch","Еще фото")</f>
        <v>Еще фото</v>
      </c>
      <c r="F1632" s="13"/>
      <c r="G1632" s="23" t="s">
        <v>615</v>
      </c>
      <c r="H1632" s="23" t="s">
        <v>27</v>
      </c>
      <c r="I1632" s="23" t="s">
        <v>616</v>
      </c>
      <c r="J1632" s="14" t="s">
        <v>879</v>
      </c>
      <c r="K1632" s="15" t="s">
        <v>47</v>
      </c>
      <c r="L1632" s="88"/>
      <c r="M1632" s="14"/>
      <c r="N1632" s="14" t="s">
        <v>800</v>
      </c>
      <c r="O1632" s="14"/>
      <c r="P1632" s="15" t="s">
        <v>108</v>
      </c>
      <c r="Q1632" s="16">
        <v>4699</v>
      </c>
      <c r="R1632" s="17">
        <v>68.98</v>
      </c>
      <c r="S1632" s="18">
        <v>1676.4354999999998</v>
      </c>
      <c r="T1632" s="19" t="s">
        <v>328</v>
      </c>
      <c r="U1632" s="20" t="s">
        <v>58</v>
      </c>
      <c r="V1632" s="25" t="s">
        <v>53</v>
      </c>
      <c r="W1632" s="21">
        <v>1</v>
      </c>
      <c r="X1632" s="22"/>
    </row>
    <row r="1633" spans="1:24" s="1" customFormat="1" ht="35.1" customHeight="1" x14ac:dyDescent="0.3">
      <c r="A1633" s="11" t="s">
        <v>1355</v>
      </c>
      <c r="B1633" s="11" t="s">
        <v>2175</v>
      </c>
      <c r="C1633" s="12" t="s">
        <v>2179</v>
      </c>
      <c r="D1633" s="83"/>
      <c r="E1633" s="69" t="str">
        <f>HYPERLINK("https://www.google.ru/search?q=814725-WH&amp;newwindow=1&amp;tbm=isch","Еще фото")</f>
        <v>Еще фото</v>
      </c>
      <c r="F1633" s="13"/>
      <c r="G1633" s="11" t="s">
        <v>615</v>
      </c>
      <c r="H1633" s="11" t="s">
        <v>27</v>
      </c>
      <c r="I1633" s="14" t="s">
        <v>616</v>
      </c>
      <c r="J1633" s="14" t="s">
        <v>879</v>
      </c>
      <c r="K1633" s="15" t="s">
        <v>47</v>
      </c>
      <c r="L1633" s="86" t="s">
        <v>2177</v>
      </c>
      <c r="M1633" s="14"/>
      <c r="N1633" s="14" t="s">
        <v>89</v>
      </c>
      <c r="O1633" s="14"/>
      <c r="P1633" s="15" t="s">
        <v>108</v>
      </c>
      <c r="Q1633" s="16">
        <v>4699</v>
      </c>
      <c r="R1633" s="17">
        <v>68.98</v>
      </c>
      <c r="S1633" s="18">
        <v>1676.4354999999998</v>
      </c>
      <c r="T1633" s="19" t="s">
        <v>328</v>
      </c>
      <c r="U1633" s="20" t="s">
        <v>354</v>
      </c>
      <c r="V1633" s="25" t="s">
        <v>65</v>
      </c>
      <c r="W1633" s="21">
        <v>3</v>
      </c>
      <c r="X1633" s="22"/>
    </row>
    <row r="1634" spans="1:24" s="1" customFormat="1" ht="35.1" customHeight="1" x14ac:dyDescent="0.3">
      <c r="A1634" s="23" t="s">
        <v>1355</v>
      </c>
      <c r="B1634" s="23" t="s">
        <v>2175</v>
      </c>
      <c r="C1634" s="12" t="s">
        <v>2179</v>
      </c>
      <c r="D1634" s="84"/>
      <c r="E1634" s="69" t="str">
        <f>HYPERLINK("https://www.google.ru/search?q=814725-WH&amp;newwindow=1&amp;tbm=isch","Еще фото")</f>
        <v>Еще фото</v>
      </c>
      <c r="F1634" s="13"/>
      <c r="G1634" s="23" t="s">
        <v>615</v>
      </c>
      <c r="H1634" s="23" t="s">
        <v>27</v>
      </c>
      <c r="I1634" s="23" t="s">
        <v>616</v>
      </c>
      <c r="J1634" s="14" t="s">
        <v>879</v>
      </c>
      <c r="K1634" s="15" t="s">
        <v>47</v>
      </c>
      <c r="L1634" s="87"/>
      <c r="M1634" s="14"/>
      <c r="N1634" s="14" t="s">
        <v>89</v>
      </c>
      <c r="O1634" s="14"/>
      <c r="P1634" s="15" t="s">
        <v>108</v>
      </c>
      <c r="Q1634" s="16">
        <v>4699</v>
      </c>
      <c r="R1634" s="17">
        <v>68.98</v>
      </c>
      <c r="S1634" s="18">
        <v>1676.4354999999998</v>
      </c>
      <c r="T1634" s="19" t="s">
        <v>328</v>
      </c>
      <c r="U1634" s="20" t="s">
        <v>64</v>
      </c>
      <c r="V1634" s="25" t="s">
        <v>67</v>
      </c>
      <c r="W1634" s="21">
        <v>5</v>
      </c>
      <c r="X1634" s="22"/>
    </row>
    <row r="1635" spans="1:24" s="1" customFormat="1" ht="36.950000000000003" customHeight="1" x14ac:dyDescent="0.3">
      <c r="A1635" s="23" t="s">
        <v>1355</v>
      </c>
      <c r="B1635" s="23" t="s">
        <v>2175</v>
      </c>
      <c r="C1635" s="12" t="s">
        <v>2179</v>
      </c>
      <c r="D1635" s="85"/>
      <c r="E1635" s="69" t="str">
        <f>HYPERLINK("https://www.google.ru/search?q=814725-WH&amp;newwindow=1&amp;tbm=isch","Еще фото")</f>
        <v>Еще фото</v>
      </c>
      <c r="F1635" s="13"/>
      <c r="G1635" s="23" t="s">
        <v>615</v>
      </c>
      <c r="H1635" s="23" t="s">
        <v>27</v>
      </c>
      <c r="I1635" s="23" t="s">
        <v>616</v>
      </c>
      <c r="J1635" s="14" t="s">
        <v>879</v>
      </c>
      <c r="K1635" s="15" t="s">
        <v>47</v>
      </c>
      <c r="L1635" s="88"/>
      <c r="M1635" s="14"/>
      <c r="N1635" s="14" t="s">
        <v>89</v>
      </c>
      <c r="O1635" s="14"/>
      <c r="P1635" s="15" t="s">
        <v>108</v>
      </c>
      <c r="Q1635" s="16">
        <v>4699</v>
      </c>
      <c r="R1635" s="17">
        <v>68.98</v>
      </c>
      <c r="S1635" s="18">
        <v>1676.4354999999998</v>
      </c>
      <c r="T1635" s="19" t="s">
        <v>328</v>
      </c>
      <c r="U1635" s="20" t="s">
        <v>66</v>
      </c>
      <c r="V1635" s="25" t="s">
        <v>68</v>
      </c>
      <c r="W1635" s="21">
        <v>6</v>
      </c>
      <c r="X1635" s="22"/>
    </row>
    <row r="1636" spans="1:24" s="1" customFormat="1" ht="35.1" customHeight="1" x14ac:dyDescent="0.3">
      <c r="A1636" s="11" t="s">
        <v>1355</v>
      </c>
      <c r="B1636" s="11" t="s">
        <v>2180</v>
      </c>
      <c r="C1636" s="12" t="s">
        <v>2181</v>
      </c>
      <c r="D1636" s="83"/>
      <c r="E1636" s="69" t="str">
        <f>HYPERLINK("https://www.google.ru/search?q=816215-NV&amp;newwindow=1&amp;tbm=isch","Еще фото")</f>
        <v>Еще фото</v>
      </c>
      <c r="F1636" s="13"/>
      <c r="G1636" s="11" t="s">
        <v>615</v>
      </c>
      <c r="H1636" s="11" t="s">
        <v>27</v>
      </c>
      <c r="I1636" s="14" t="s">
        <v>616</v>
      </c>
      <c r="J1636" s="14" t="s">
        <v>879</v>
      </c>
      <c r="K1636" s="15" t="s">
        <v>30</v>
      </c>
      <c r="L1636" s="86" t="s">
        <v>2182</v>
      </c>
      <c r="M1636" s="14"/>
      <c r="N1636" s="14" t="s">
        <v>70</v>
      </c>
      <c r="O1636" s="14"/>
      <c r="P1636" s="15" t="s">
        <v>108</v>
      </c>
      <c r="Q1636" s="16">
        <v>5499</v>
      </c>
      <c r="R1636" s="17">
        <v>68.94</v>
      </c>
      <c r="S1636" s="18">
        <v>1963.9354999999998</v>
      </c>
      <c r="T1636" s="19" t="s">
        <v>328</v>
      </c>
      <c r="U1636" s="20" t="s">
        <v>37</v>
      </c>
      <c r="V1636" s="21">
        <v>128</v>
      </c>
      <c r="W1636" s="21">
        <v>2</v>
      </c>
      <c r="X1636" s="22"/>
    </row>
    <row r="1637" spans="1:24" s="1" customFormat="1" ht="35.1" customHeight="1" x14ac:dyDescent="0.3">
      <c r="A1637" s="23" t="s">
        <v>1355</v>
      </c>
      <c r="B1637" s="23" t="s">
        <v>2180</v>
      </c>
      <c r="C1637" s="12" t="s">
        <v>2181</v>
      </c>
      <c r="D1637" s="84"/>
      <c r="E1637" s="69" t="str">
        <f>HYPERLINK("https://www.google.ru/search?q=816215-NV&amp;newwindow=1&amp;tbm=isch","Еще фото")</f>
        <v>Еще фото</v>
      </c>
      <c r="F1637" s="13"/>
      <c r="G1637" s="23" t="s">
        <v>615</v>
      </c>
      <c r="H1637" s="23" t="s">
        <v>27</v>
      </c>
      <c r="I1637" s="23" t="s">
        <v>616</v>
      </c>
      <c r="J1637" s="14" t="s">
        <v>879</v>
      </c>
      <c r="K1637" s="15" t="s">
        <v>30</v>
      </c>
      <c r="L1637" s="87"/>
      <c r="M1637" s="14"/>
      <c r="N1637" s="14" t="s">
        <v>70</v>
      </c>
      <c r="O1637" s="14"/>
      <c r="P1637" s="15" t="s">
        <v>108</v>
      </c>
      <c r="Q1637" s="16">
        <v>5499</v>
      </c>
      <c r="R1637" s="17">
        <v>68.94</v>
      </c>
      <c r="S1637" s="18">
        <v>1963.9354999999998</v>
      </c>
      <c r="T1637" s="19" t="s">
        <v>328</v>
      </c>
      <c r="U1637" s="20" t="s">
        <v>290</v>
      </c>
      <c r="V1637" s="21">
        <v>140</v>
      </c>
      <c r="W1637" s="21">
        <v>1</v>
      </c>
      <c r="X1637" s="22"/>
    </row>
    <row r="1638" spans="1:24" s="1" customFormat="1" ht="36.950000000000003" customHeight="1" x14ac:dyDescent="0.3">
      <c r="A1638" s="23" t="s">
        <v>1355</v>
      </c>
      <c r="B1638" s="23" t="s">
        <v>2180</v>
      </c>
      <c r="C1638" s="12" t="s">
        <v>2181</v>
      </c>
      <c r="D1638" s="85"/>
      <c r="E1638" s="69" t="str">
        <f>HYPERLINK("https://www.google.ru/search?q=816215-NV&amp;newwindow=1&amp;tbm=isch","Еще фото")</f>
        <v>Еще фото</v>
      </c>
      <c r="F1638" s="13"/>
      <c r="G1638" s="23" t="s">
        <v>615</v>
      </c>
      <c r="H1638" s="23" t="s">
        <v>27</v>
      </c>
      <c r="I1638" s="23" t="s">
        <v>616</v>
      </c>
      <c r="J1638" s="14" t="s">
        <v>879</v>
      </c>
      <c r="K1638" s="15" t="s">
        <v>30</v>
      </c>
      <c r="L1638" s="88"/>
      <c r="M1638" s="14"/>
      <c r="N1638" s="14" t="s">
        <v>70</v>
      </c>
      <c r="O1638" s="14"/>
      <c r="P1638" s="15" t="s">
        <v>108</v>
      </c>
      <c r="Q1638" s="16">
        <v>5499</v>
      </c>
      <c r="R1638" s="17">
        <v>68.94</v>
      </c>
      <c r="S1638" s="18">
        <v>1963.9354999999998</v>
      </c>
      <c r="T1638" s="19" t="s">
        <v>328</v>
      </c>
      <c r="U1638" s="20" t="s">
        <v>2160</v>
      </c>
      <c r="V1638" s="21">
        <v>152</v>
      </c>
      <c r="W1638" s="21">
        <v>3</v>
      </c>
      <c r="X1638" s="22"/>
    </row>
    <row r="1639" spans="1:24" s="1" customFormat="1" ht="51.95" customHeight="1" x14ac:dyDescent="0.3">
      <c r="A1639" s="11" t="s">
        <v>1355</v>
      </c>
      <c r="B1639" s="11" t="s">
        <v>2183</v>
      </c>
      <c r="C1639" s="12" t="s">
        <v>2184</v>
      </c>
      <c r="D1639" s="89"/>
      <c r="E1639" s="69" t="str">
        <f>HYPERLINK("https://www.google.ru/search?q=814845-RO&amp;newwindow=1&amp;tbm=isch","Еще фото")</f>
        <v>Еще фото</v>
      </c>
      <c r="F1639" s="13"/>
      <c r="G1639" s="11" t="s">
        <v>615</v>
      </c>
      <c r="H1639" s="11" t="s">
        <v>27</v>
      </c>
      <c r="I1639" s="14" t="s">
        <v>616</v>
      </c>
      <c r="J1639" s="14" t="s">
        <v>879</v>
      </c>
      <c r="K1639" s="15" t="s">
        <v>47</v>
      </c>
      <c r="L1639" s="86" t="s">
        <v>2185</v>
      </c>
      <c r="M1639" s="14"/>
      <c r="N1639" s="14" t="s">
        <v>70</v>
      </c>
      <c r="O1639" s="14"/>
      <c r="P1639" s="15" t="s">
        <v>2186</v>
      </c>
      <c r="Q1639" s="16">
        <v>3499</v>
      </c>
      <c r="R1639" s="17">
        <v>68.91</v>
      </c>
      <c r="S1639" s="18">
        <v>1250.9354999999998</v>
      </c>
      <c r="T1639" s="19" t="s">
        <v>328</v>
      </c>
      <c r="U1639" s="20" t="s">
        <v>354</v>
      </c>
      <c r="V1639" s="25" t="s">
        <v>65</v>
      </c>
      <c r="W1639" s="21">
        <v>1</v>
      </c>
      <c r="X1639" s="22"/>
    </row>
    <row r="1640" spans="1:24" s="1" customFormat="1" ht="60.95" customHeight="1" x14ac:dyDescent="0.3">
      <c r="A1640" s="23" t="s">
        <v>1355</v>
      </c>
      <c r="B1640" s="23" t="s">
        <v>2183</v>
      </c>
      <c r="C1640" s="12" t="s">
        <v>2184</v>
      </c>
      <c r="D1640" s="90"/>
      <c r="E1640" s="69" t="str">
        <f>HYPERLINK("https://www.google.ru/search?q=814845-RO&amp;newwindow=1&amp;tbm=isch","Еще фото")</f>
        <v>Еще фото</v>
      </c>
      <c r="F1640" s="13"/>
      <c r="G1640" s="23" t="s">
        <v>615</v>
      </c>
      <c r="H1640" s="23" t="s">
        <v>27</v>
      </c>
      <c r="I1640" s="23" t="s">
        <v>616</v>
      </c>
      <c r="J1640" s="14" t="s">
        <v>879</v>
      </c>
      <c r="K1640" s="15" t="s">
        <v>47</v>
      </c>
      <c r="L1640" s="88"/>
      <c r="M1640" s="14"/>
      <c r="N1640" s="14" t="s">
        <v>70</v>
      </c>
      <c r="O1640" s="14"/>
      <c r="P1640" s="15" t="s">
        <v>2186</v>
      </c>
      <c r="Q1640" s="16">
        <v>3499</v>
      </c>
      <c r="R1640" s="17">
        <v>68.91</v>
      </c>
      <c r="S1640" s="18">
        <v>1250.9354999999998</v>
      </c>
      <c r="T1640" s="19" t="s">
        <v>328</v>
      </c>
      <c r="U1640" s="20" t="s">
        <v>64</v>
      </c>
      <c r="V1640" s="25" t="s">
        <v>67</v>
      </c>
      <c r="W1640" s="21">
        <v>4</v>
      </c>
      <c r="X1640" s="22"/>
    </row>
    <row r="1641" spans="1:24" s="1" customFormat="1" ht="35.1" customHeight="1" x14ac:dyDescent="0.3">
      <c r="A1641" s="11" t="s">
        <v>1355</v>
      </c>
      <c r="B1641" s="11" t="s">
        <v>2187</v>
      </c>
      <c r="C1641" s="12" t="s">
        <v>2188</v>
      </c>
      <c r="D1641" s="83"/>
      <c r="E1641" s="69" t="str">
        <f>HYPERLINK("https://www.google.ru/search?q=814735-NV&amp;newwindow=1&amp;tbm=isch","Еще фото")</f>
        <v>Еще фото</v>
      </c>
      <c r="F1641" s="13"/>
      <c r="G1641" s="11" t="s">
        <v>2158</v>
      </c>
      <c r="H1641" s="11" t="s">
        <v>27</v>
      </c>
      <c r="I1641" s="14" t="s">
        <v>616</v>
      </c>
      <c r="J1641" s="14" t="s">
        <v>879</v>
      </c>
      <c r="K1641" s="15" t="s">
        <v>47</v>
      </c>
      <c r="L1641" s="86" t="s">
        <v>2189</v>
      </c>
      <c r="M1641" s="14"/>
      <c r="N1641" s="14" t="s">
        <v>70</v>
      </c>
      <c r="O1641" s="14"/>
      <c r="P1641" s="15" t="s">
        <v>108</v>
      </c>
      <c r="Q1641" s="16">
        <v>3999</v>
      </c>
      <c r="R1641" s="17">
        <v>68.8</v>
      </c>
      <c r="S1641" s="18">
        <v>1434.9354999999998</v>
      </c>
      <c r="T1641" s="19" t="s">
        <v>328</v>
      </c>
      <c r="U1641" s="20" t="s">
        <v>354</v>
      </c>
      <c r="V1641" s="25" t="s">
        <v>65</v>
      </c>
      <c r="W1641" s="21">
        <v>1</v>
      </c>
      <c r="X1641" s="22"/>
    </row>
    <row r="1642" spans="1:24" s="1" customFormat="1" ht="35.1" customHeight="1" x14ac:dyDescent="0.3">
      <c r="A1642" s="23" t="s">
        <v>1355</v>
      </c>
      <c r="B1642" s="23" t="s">
        <v>2187</v>
      </c>
      <c r="C1642" s="12" t="s">
        <v>2188</v>
      </c>
      <c r="D1642" s="84"/>
      <c r="E1642" s="69" t="str">
        <f>HYPERLINK("https://www.google.ru/search?q=814735-NV&amp;newwindow=1&amp;tbm=isch","Еще фото")</f>
        <v>Еще фото</v>
      </c>
      <c r="F1642" s="13"/>
      <c r="G1642" s="23" t="s">
        <v>2158</v>
      </c>
      <c r="H1642" s="23" t="s">
        <v>27</v>
      </c>
      <c r="I1642" s="23" t="s">
        <v>616</v>
      </c>
      <c r="J1642" s="14" t="s">
        <v>879</v>
      </c>
      <c r="K1642" s="15" t="s">
        <v>47</v>
      </c>
      <c r="L1642" s="87"/>
      <c r="M1642" s="14"/>
      <c r="N1642" s="14" t="s">
        <v>70</v>
      </c>
      <c r="O1642" s="14"/>
      <c r="P1642" s="15" t="s">
        <v>108</v>
      </c>
      <c r="Q1642" s="16">
        <v>3999</v>
      </c>
      <c r="R1642" s="17">
        <v>68.8</v>
      </c>
      <c r="S1642" s="18">
        <v>1434.9354999999998</v>
      </c>
      <c r="T1642" s="19" t="s">
        <v>328</v>
      </c>
      <c r="U1642" s="20" t="s">
        <v>64</v>
      </c>
      <c r="V1642" s="25" t="s">
        <v>67</v>
      </c>
      <c r="W1642" s="21">
        <v>5</v>
      </c>
      <c r="X1642" s="22"/>
    </row>
    <row r="1643" spans="1:24" s="1" customFormat="1" ht="36.950000000000003" customHeight="1" x14ac:dyDescent="0.3">
      <c r="A1643" s="23" t="s">
        <v>1355</v>
      </c>
      <c r="B1643" s="23" t="s">
        <v>2187</v>
      </c>
      <c r="C1643" s="12" t="s">
        <v>2188</v>
      </c>
      <c r="D1643" s="85"/>
      <c r="E1643" s="69" t="str">
        <f>HYPERLINK("https://www.google.ru/search?q=814735-NV&amp;newwindow=1&amp;tbm=isch","Еще фото")</f>
        <v>Еще фото</v>
      </c>
      <c r="F1643" s="13"/>
      <c r="G1643" s="23" t="s">
        <v>2158</v>
      </c>
      <c r="H1643" s="23" t="s">
        <v>27</v>
      </c>
      <c r="I1643" s="23" t="s">
        <v>616</v>
      </c>
      <c r="J1643" s="14" t="s">
        <v>879</v>
      </c>
      <c r="K1643" s="15" t="s">
        <v>47</v>
      </c>
      <c r="L1643" s="88"/>
      <c r="M1643" s="14"/>
      <c r="N1643" s="14" t="s">
        <v>70</v>
      </c>
      <c r="O1643" s="14"/>
      <c r="P1643" s="15" t="s">
        <v>108</v>
      </c>
      <c r="Q1643" s="16">
        <v>3999</v>
      </c>
      <c r="R1643" s="17">
        <v>68.8</v>
      </c>
      <c r="S1643" s="18">
        <v>1434.9354999999998</v>
      </c>
      <c r="T1643" s="19" t="s">
        <v>328</v>
      </c>
      <c r="U1643" s="20" t="s">
        <v>66</v>
      </c>
      <c r="V1643" s="25" t="s">
        <v>68</v>
      </c>
      <c r="W1643" s="21">
        <v>2</v>
      </c>
      <c r="X1643" s="22"/>
    </row>
    <row r="1644" spans="1:24" s="1" customFormat="1" ht="26.1" customHeight="1" x14ac:dyDescent="0.3">
      <c r="A1644" s="11" t="s">
        <v>1355</v>
      </c>
      <c r="B1644" s="11" t="s">
        <v>2187</v>
      </c>
      <c r="C1644" s="12" t="s">
        <v>2190</v>
      </c>
      <c r="D1644" s="83"/>
      <c r="E1644" s="69" t="str">
        <f>HYPERLINK("https://www.google.ru/search?q=814735-RDWH&amp;newwindow=1&amp;tbm=isch","Еще фото")</f>
        <v>Еще фото</v>
      </c>
      <c r="F1644" s="13"/>
      <c r="G1644" s="11" t="s">
        <v>2158</v>
      </c>
      <c r="H1644" s="11" t="s">
        <v>27</v>
      </c>
      <c r="I1644" s="14" t="s">
        <v>616</v>
      </c>
      <c r="J1644" s="14" t="s">
        <v>879</v>
      </c>
      <c r="K1644" s="15" t="s">
        <v>47</v>
      </c>
      <c r="L1644" s="86" t="s">
        <v>2189</v>
      </c>
      <c r="M1644" s="14"/>
      <c r="N1644" s="14" t="s">
        <v>89</v>
      </c>
      <c r="O1644" s="14"/>
      <c r="P1644" s="15" t="s">
        <v>108</v>
      </c>
      <c r="Q1644" s="16">
        <v>3999</v>
      </c>
      <c r="R1644" s="17">
        <v>68.8</v>
      </c>
      <c r="S1644" s="18">
        <v>1434.9354999999998</v>
      </c>
      <c r="T1644" s="19" t="s">
        <v>328</v>
      </c>
      <c r="U1644" s="20" t="s">
        <v>354</v>
      </c>
      <c r="V1644" s="25" t="s">
        <v>65</v>
      </c>
      <c r="W1644" s="21">
        <v>2</v>
      </c>
      <c r="X1644" s="22"/>
    </row>
    <row r="1645" spans="1:24" s="1" customFormat="1" ht="26.1" customHeight="1" x14ac:dyDescent="0.3">
      <c r="A1645" s="23" t="s">
        <v>1355</v>
      </c>
      <c r="B1645" s="23" t="s">
        <v>2187</v>
      </c>
      <c r="C1645" s="12" t="s">
        <v>2190</v>
      </c>
      <c r="D1645" s="84"/>
      <c r="E1645" s="69" t="str">
        <f>HYPERLINK("https://www.google.ru/search?q=814735-RDWH&amp;newwindow=1&amp;tbm=isch","Еще фото")</f>
        <v>Еще фото</v>
      </c>
      <c r="F1645" s="13"/>
      <c r="G1645" s="23" t="s">
        <v>2158</v>
      </c>
      <c r="H1645" s="23" t="s">
        <v>27</v>
      </c>
      <c r="I1645" s="23" t="s">
        <v>616</v>
      </c>
      <c r="J1645" s="14" t="s">
        <v>879</v>
      </c>
      <c r="K1645" s="15" t="s">
        <v>47</v>
      </c>
      <c r="L1645" s="87"/>
      <c r="M1645" s="14"/>
      <c r="N1645" s="14" t="s">
        <v>89</v>
      </c>
      <c r="O1645" s="14"/>
      <c r="P1645" s="15" t="s">
        <v>108</v>
      </c>
      <c r="Q1645" s="16">
        <v>3999</v>
      </c>
      <c r="R1645" s="17">
        <v>68.8</v>
      </c>
      <c r="S1645" s="18">
        <v>1434.9354999999998</v>
      </c>
      <c r="T1645" s="19" t="s">
        <v>328</v>
      </c>
      <c r="U1645" s="20" t="s">
        <v>64</v>
      </c>
      <c r="V1645" s="25" t="s">
        <v>67</v>
      </c>
      <c r="W1645" s="21">
        <v>5</v>
      </c>
      <c r="X1645" s="22"/>
    </row>
    <row r="1646" spans="1:24" s="1" customFormat="1" ht="26.1" customHeight="1" x14ac:dyDescent="0.3">
      <c r="A1646" s="23" t="s">
        <v>1355</v>
      </c>
      <c r="B1646" s="23" t="s">
        <v>2187</v>
      </c>
      <c r="C1646" s="12" t="s">
        <v>2190</v>
      </c>
      <c r="D1646" s="84"/>
      <c r="E1646" s="69" t="str">
        <f>HYPERLINK("https://www.google.ru/search?q=814735-RDWH&amp;newwindow=1&amp;tbm=isch","Еще фото")</f>
        <v>Еще фото</v>
      </c>
      <c r="F1646" s="13"/>
      <c r="G1646" s="23" t="s">
        <v>2158</v>
      </c>
      <c r="H1646" s="23" t="s">
        <v>27</v>
      </c>
      <c r="I1646" s="23" t="s">
        <v>616</v>
      </c>
      <c r="J1646" s="14" t="s">
        <v>879</v>
      </c>
      <c r="K1646" s="15" t="s">
        <v>47</v>
      </c>
      <c r="L1646" s="87"/>
      <c r="M1646" s="14"/>
      <c r="N1646" s="14" t="s">
        <v>89</v>
      </c>
      <c r="O1646" s="14"/>
      <c r="P1646" s="15" t="s">
        <v>108</v>
      </c>
      <c r="Q1646" s="16">
        <v>3999</v>
      </c>
      <c r="R1646" s="17">
        <v>68.8</v>
      </c>
      <c r="S1646" s="18">
        <v>1434.9354999999998</v>
      </c>
      <c r="T1646" s="19" t="s">
        <v>328</v>
      </c>
      <c r="U1646" s="20" t="s">
        <v>66</v>
      </c>
      <c r="V1646" s="25" t="s">
        <v>68</v>
      </c>
      <c r="W1646" s="21">
        <v>3</v>
      </c>
      <c r="X1646" s="22"/>
    </row>
    <row r="1647" spans="1:24" s="1" customFormat="1" ht="26.1" customHeight="1" x14ac:dyDescent="0.3">
      <c r="A1647" s="23" t="s">
        <v>1355</v>
      </c>
      <c r="B1647" s="23" t="s">
        <v>2187</v>
      </c>
      <c r="C1647" s="12" t="s">
        <v>2190</v>
      </c>
      <c r="D1647" s="85"/>
      <c r="E1647" s="69" t="str">
        <f>HYPERLINK("https://www.google.ru/search?q=814735-RDWH&amp;newwindow=1&amp;tbm=isch","Еще фото")</f>
        <v>Еще фото</v>
      </c>
      <c r="F1647" s="13"/>
      <c r="G1647" s="23" t="s">
        <v>2158</v>
      </c>
      <c r="H1647" s="23" t="s">
        <v>27</v>
      </c>
      <c r="I1647" s="23" t="s">
        <v>616</v>
      </c>
      <c r="J1647" s="14" t="s">
        <v>879</v>
      </c>
      <c r="K1647" s="15" t="s">
        <v>47</v>
      </c>
      <c r="L1647" s="88"/>
      <c r="M1647" s="14"/>
      <c r="N1647" s="14" t="s">
        <v>89</v>
      </c>
      <c r="O1647" s="14"/>
      <c r="P1647" s="15" t="s">
        <v>108</v>
      </c>
      <c r="Q1647" s="16">
        <v>3999</v>
      </c>
      <c r="R1647" s="17">
        <v>68.8</v>
      </c>
      <c r="S1647" s="18">
        <v>1434.9354999999998</v>
      </c>
      <c r="T1647" s="19" t="s">
        <v>328</v>
      </c>
      <c r="U1647" s="20" t="s">
        <v>58</v>
      </c>
      <c r="V1647" s="25" t="s">
        <v>53</v>
      </c>
      <c r="W1647" s="21">
        <v>2</v>
      </c>
      <c r="X1647" s="22"/>
    </row>
    <row r="1648" spans="1:24" s="1" customFormat="1" ht="108" customHeight="1" x14ac:dyDescent="0.3">
      <c r="A1648" s="11" t="s">
        <v>1355</v>
      </c>
      <c r="B1648" s="11" t="s">
        <v>2187</v>
      </c>
      <c r="C1648" s="12" t="s">
        <v>2191</v>
      </c>
      <c r="D1648" s="24"/>
      <c r="E1648" s="69" t="str">
        <f>HYPERLINK("https://www.google.ru/search?q=814735-ROWH&amp;newwindow=1&amp;tbm=isch","Еще фото")</f>
        <v>Еще фото</v>
      </c>
      <c r="F1648" s="13"/>
      <c r="G1648" s="11" t="s">
        <v>2158</v>
      </c>
      <c r="H1648" s="11" t="s">
        <v>27</v>
      </c>
      <c r="I1648" s="14" t="s">
        <v>616</v>
      </c>
      <c r="J1648" s="14" t="s">
        <v>879</v>
      </c>
      <c r="K1648" s="15" t="s">
        <v>47</v>
      </c>
      <c r="L1648" s="14" t="s">
        <v>2189</v>
      </c>
      <c r="M1648" s="14"/>
      <c r="N1648" s="14" t="s">
        <v>800</v>
      </c>
      <c r="O1648" s="14"/>
      <c r="P1648" s="15" t="s">
        <v>108</v>
      </c>
      <c r="Q1648" s="16">
        <v>3999</v>
      </c>
      <c r="R1648" s="17">
        <v>68.8</v>
      </c>
      <c r="S1648" s="18">
        <v>1434.9354999999998</v>
      </c>
      <c r="T1648" s="19" t="s">
        <v>328</v>
      </c>
      <c r="U1648" s="20" t="s">
        <v>64</v>
      </c>
      <c r="V1648" s="25" t="s">
        <v>67</v>
      </c>
      <c r="W1648" s="21">
        <v>5</v>
      </c>
      <c r="X1648" s="22"/>
    </row>
    <row r="1649" spans="1:24" s="1" customFormat="1" ht="35.1" customHeight="1" x14ac:dyDescent="0.3">
      <c r="A1649" s="11" t="s">
        <v>1355</v>
      </c>
      <c r="B1649" s="11" t="s">
        <v>2192</v>
      </c>
      <c r="C1649" s="12" t="s">
        <v>2193</v>
      </c>
      <c r="D1649" s="83"/>
      <c r="E1649" s="69" t="str">
        <f>HYPERLINK("https://www.google.ru/search?q=816725-NV&amp;newwindow=1&amp;tbm=isch","Еще фото")</f>
        <v>Еще фото</v>
      </c>
      <c r="F1649" s="13"/>
      <c r="G1649" s="11" t="s">
        <v>615</v>
      </c>
      <c r="H1649" s="11" t="s">
        <v>27</v>
      </c>
      <c r="I1649" s="14" t="s">
        <v>616</v>
      </c>
      <c r="J1649" s="14" t="s">
        <v>879</v>
      </c>
      <c r="K1649" s="15" t="s">
        <v>30</v>
      </c>
      <c r="L1649" s="86" t="s">
        <v>2194</v>
      </c>
      <c r="M1649" s="14"/>
      <c r="N1649" s="14" t="s">
        <v>70</v>
      </c>
      <c r="O1649" s="14"/>
      <c r="P1649" s="15" t="s">
        <v>108</v>
      </c>
      <c r="Q1649" s="16">
        <v>3999</v>
      </c>
      <c r="R1649" s="17">
        <v>68.8</v>
      </c>
      <c r="S1649" s="18">
        <v>1434.9354999999998</v>
      </c>
      <c r="T1649" s="19" t="s">
        <v>328</v>
      </c>
      <c r="U1649" s="20" t="s">
        <v>290</v>
      </c>
      <c r="V1649" s="21">
        <v>140</v>
      </c>
      <c r="W1649" s="21">
        <v>4</v>
      </c>
      <c r="X1649" s="22"/>
    </row>
    <row r="1650" spans="1:24" s="1" customFormat="1" ht="35.1" customHeight="1" x14ac:dyDescent="0.3">
      <c r="A1650" s="23" t="s">
        <v>1355</v>
      </c>
      <c r="B1650" s="23" t="s">
        <v>2192</v>
      </c>
      <c r="C1650" s="12" t="s">
        <v>2193</v>
      </c>
      <c r="D1650" s="84"/>
      <c r="E1650" s="69" t="str">
        <f>HYPERLINK("https://www.google.ru/search?q=816725-NV&amp;newwindow=1&amp;tbm=isch","Еще фото")</f>
        <v>Еще фото</v>
      </c>
      <c r="F1650" s="13"/>
      <c r="G1650" s="23" t="s">
        <v>615</v>
      </c>
      <c r="H1650" s="23" t="s">
        <v>27</v>
      </c>
      <c r="I1650" s="23" t="s">
        <v>616</v>
      </c>
      <c r="J1650" s="14" t="s">
        <v>879</v>
      </c>
      <c r="K1650" s="15" t="s">
        <v>30</v>
      </c>
      <c r="L1650" s="87"/>
      <c r="M1650" s="14"/>
      <c r="N1650" s="14" t="s">
        <v>70</v>
      </c>
      <c r="O1650" s="14"/>
      <c r="P1650" s="15" t="s">
        <v>108</v>
      </c>
      <c r="Q1650" s="16">
        <v>3999</v>
      </c>
      <c r="R1650" s="17">
        <v>68.8</v>
      </c>
      <c r="S1650" s="18">
        <v>1434.9354999999998</v>
      </c>
      <c r="T1650" s="19" t="s">
        <v>328</v>
      </c>
      <c r="U1650" s="20" t="s">
        <v>2160</v>
      </c>
      <c r="V1650" s="21">
        <v>152</v>
      </c>
      <c r="W1650" s="21">
        <v>1</v>
      </c>
      <c r="X1650" s="22"/>
    </row>
    <row r="1651" spans="1:24" s="1" customFormat="1" ht="36.950000000000003" customHeight="1" x14ac:dyDescent="0.3">
      <c r="A1651" s="23" t="s">
        <v>1355</v>
      </c>
      <c r="B1651" s="23" t="s">
        <v>2192</v>
      </c>
      <c r="C1651" s="12" t="s">
        <v>2193</v>
      </c>
      <c r="D1651" s="85"/>
      <c r="E1651" s="69" t="str">
        <f>HYPERLINK("https://www.google.ru/search?q=816725-NV&amp;newwindow=1&amp;tbm=isch","Еще фото")</f>
        <v>Еще фото</v>
      </c>
      <c r="F1651" s="13"/>
      <c r="G1651" s="23" t="s">
        <v>615</v>
      </c>
      <c r="H1651" s="23" t="s">
        <v>27</v>
      </c>
      <c r="I1651" s="23" t="s">
        <v>616</v>
      </c>
      <c r="J1651" s="14" t="s">
        <v>879</v>
      </c>
      <c r="K1651" s="15" t="s">
        <v>30</v>
      </c>
      <c r="L1651" s="88"/>
      <c r="M1651" s="14"/>
      <c r="N1651" s="14" t="s">
        <v>70</v>
      </c>
      <c r="O1651" s="14"/>
      <c r="P1651" s="15" t="s">
        <v>108</v>
      </c>
      <c r="Q1651" s="16">
        <v>3999</v>
      </c>
      <c r="R1651" s="17">
        <v>68.8</v>
      </c>
      <c r="S1651" s="18">
        <v>1434.9354999999998</v>
      </c>
      <c r="T1651" s="19" t="s">
        <v>328</v>
      </c>
      <c r="U1651" s="20" t="s">
        <v>2161</v>
      </c>
      <c r="V1651" s="21">
        <v>164</v>
      </c>
      <c r="W1651" s="21">
        <v>3</v>
      </c>
      <c r="X1651" s="22"/>
    </row>
    <row r="1652" spans="1:24" s="1" customFormat="1" ht="21" customHeight="1" x14ac:dyDescent="0.3">
      <c r="A1652" s="11" t="s">
        <v>1355</v>
      </c>
      <c r="B1652" s="11" t="s">
        <v>2195</v>
      </c>
      <c r="C1652" s="27" t="s">
        <v>2196</v>
      </c>
      <c r="D1652" s="83"/>
      <c r="E1652" s="69" t="str">
        <f>HYPERLINK("https://www.google.ru/search?q=816735-NVWH&amp;newwindow=1&amp;tbm=isch","Еще фото")</f>
        <v>Еще фото</v>
      </c>
      <c r="F1652" s="13"/>
      <c r="G1652" s="11" t="s">
        <v>2158</v>
      </c>
      <c r="H1652" s="11" t="s">
        <v>27</v>
      </c>
      <c r="I1652" s="14" t="s">
        <v>616</v>
      </c>
      <c r="J1652" s="14" t="s">
        <v>879</v>
      </c>
      <c r="K1652" s="15" t="s">
        <v>30</v>
      </c>
      <c r="L1652" s="86" t="s">
        <v>2197</v>
      </c>
      <c r="M1652" s="14"/>
      <c r="N1652" s="14" t="s">
        <v>800</v>
      </c>
      <c r="O1652" s="14"/>
      <c r="P1652" s="15" t="s">
        <v>108</v>
      </c>
      <c r="Q1652" s="16">
        <v>3999</v>
      </c>
      <c r="R1652" s="17">
        <v>68.8</v>
      </c>
      <c r="S1652" s="18">
        <v>1434.9354999999998</v>
      </c>
      <c r="T1652" s="19" t="s">
        <v>328</v>
      </c>
      <c r="U1652" s="20" t="s">
        <v>37</v>
      </c>
      <c r="V1652" s="21">
        <v>128</v>
      </c>
      <c r="W1652" s="21">
        <v>1</v>
      </c>
      <c r="X1652" s="22"/>
    </row>
    <row r="1653" spans="1:24" s="1" customFormat="1" ht="21" customHeight="1" x14ac:dyDescent="0.3">
      <c r="A1653" s="23" t="s">
        <v>1355</v>
      </c>
      <c r="B1653" s="23" t="s">
        <v>2195</v>
      </c>
      <c r="C1653" s="28" t="s">
        <v>2196</v>
      </c>
      <c r="D1653" s="84"/>
      <c r="E1653" s="69" t="str">
        <f>HYPERLINK("https://www.google.ru/search?q=816735-NVWH&amp;newwindow=1&amp;tbm=isch","Еще фото")</f>
        <v>Еще фото</v>
      </c>
      <c r="F1653" s="13"/>
      <c r="G1653" s="23" t="s">
        <v>2158</v>
      </c>
      <c r="H1653" s="23" t="s">
        <v>27</v>
      </c>
      <c r="I1653" s="23" t="s">
        <v>616</v>
      </c>
      <c r="J1653" s="14" t="s">
        <v>879</v>
      </c>
      <c r="K1653" s="15" t="s">
        <v>30</v>
      </c>
      <c r="L1653" s="87"/>
      <c r="M1653" s="14"/>
      <c r="N1653" s="14" t="s">
        <v>800</v>
      </c>
      <c r="O1653" s="14"/>
      <c r="P1653" s="15" t="s">
        <v>108</v>
      </c>
      <c r="Q1653" s="16">
        <v>3999</v>
      </c>
      <c r="R1653" s="17">
        <v>68.8</v>
      </c>
      <c r="S1653" s="18">
        <v>1434.9354999999998</v>
      </c>
      <c r="T1653" s="19" t="s">
        <v>328</v>
      </c>
      <c r="U1653" s="20" t="s">
        <v>290</v>
      </c>
      <c r="V1653" s="21">
        <v>140</v>
      </c>
      <c r="W1653" s="21">
        <v>1</v>
      </c>
      <c r="X1653" s="22"/>
    </row>
    <row r="1654" spans="1:24" s="1" customFormat="1" ht="21" customHeight="1" x14ac:dyDescent="0.3">
      <c r="A1654" s="23" t="s">
        <v>1355</v>
      </c>
      <c r="B1654" s="23" t="s">
        <v>2195</v>
      </c>
      <c r="C1654" s="28" t="s">
        <v>2196</v>
      </c>
      <c r="D1654" s="84"/>
      <c r="E1654" s="69" t="str">
        <f>HYPERLINK("https://www.google.ru/search?q=816735-NVWH&amp;newwindow=1&amp;tbm=isch","Еще фото")</f>
        <v>Еще фото</v>
      </c>
      <c r="F1654" s="13"/>
      <c r="G1654" s="23" t="s">
        <v>2158</v>
      </c>
      <c r="H1654" s="23" t="s">
        <v>27</v>
      </c>
      <c r="I1654" s="23" t="s">
        <v>616</v>
      </c>
      <c r="J1654" s="14" t="s">
        <v>879</v>
      </c>
      <c r="K1654" s="15" t="s">
        <v>30</v>
      </c>
      <c r="L1654" s="87"/>
      <c r="M1654" s="14"/>
      <c r="N1654" s="14" t="s">
        <v>800</v>
      </c>
      <c r="O1654" s="14"/>
      <c r="P1654" s="15" t="s">
        <v>108</v>
      </c>
      <c r="Q1654" s="16">
        <v>3999</v>
      </c>
      <c r="R1654" s="17">
        <v>68.8</v>
      </c>
      <c r="S1654" s="18">
        <v>1434.9354999999998</v>
      </c>
      <c r="T1654" s="19" t="s">
        <v>328</v>
      </c>
      <c r="U1654" s="20" t="s">
        <v>2160</v>
      </c>
      <c r="V1654" s="21">
        <v>152</v>
      </c>
      <c r="W1654" s="21">
        <v>2</v>
      </c>
      <c r="X1654" s="22"/>
    </row>
    <row r="1655" spans="1:24" s="1" customFormat="1" ht="21" customHeight="1" x14ac:dyDescent="0.3">
      <c r="A1655" s="23" t="s">
        <v>1355</v>
      </c>
      <c r="B1655" s="23" t="s">
        <v>2195</v>
      </c>
      <c r="C1655" s="28" t="s">
        <v>2196</v>
      </c>
      <c r="D1655" s="84"/>
      <c r="E1655" s="69" t="str">
        <f>HYPERLINK("https://www.google.ru/search?q=816735-NVWH&amp;newwindow=1&amp;tbm=isch","Еще фото")</f>
        <v>Еще фото</v>
      </c>
      <c r="F1655" s="13"/>
      <c r="G1655" s="23" t="s">
        <v>2158</v>
      </c>
      <c r="H1655" s="23" t="s">
        <v>27</v>
      </c>
      <c r="I1655" s="23" t="s">
        <v>616</v>
      </c>
      <c r="J1655" s="14" t="s">
        <v>879</v>
      </c>
      <c r="K1655" s="15" t="s">
        <v>30</v>
      </c>
      <c r="L1655" s="87"/>
      <c r="M1655" s="14"/>
      <c r="N1655" s="14" t="s">
        <v>800</v>
      </c>
      <c r="O1655" s="14"/>
      <c r="P1655" s="15" t="s">
        <v>108</v>
      </c>
      <c r="Q1655" s="16">
        <v>3999</v>
      </c>
      <c r="R1655" s="17">
        <v>68.8</v>
      </c>
      <c r="S1655" s="18">
        <v>1434.9354999999998</v>
      </c>
      <c r="T1655" s="19" t="s">
        <v>328</v>
      </c>
      <c r="U1655" s="20" t="s">
        <v>2161</v>
      </c>
      <c r="V1655" s="21">
        <v>164</v>
      </c>
      <c r="W1655" s="21">
        <v>3</v>
      </c>
      <c r="X1655" s="22"/>
    </row>
    <row r="1656" spans="1:24" s="1" customFormat="1" ht="32.1" customHeight="1" x14ac:dyDescent="0.3">
      <c r="A1656" s="23" t="s">
        <v>1355</v>
      </c>
      <c r="B1656" s="23" t="s">
        <v>2195</v>
      </c>
      <c r="C1656" s="28" t="s">
        <v>2196</v>
      </c>
      <c r="D1656" s="85"/>
      <c r="E1656" s="69" t="str">
        <f>HYPERLINK("https://www.google.ru/search?q=816735-NVWH&amp;newwindow=1&amp;tbm=isch","Еще фото")</f>
        <v>Еще фото</v>
      </c>
      <c r="F1656" s="13"/>
      <c r="G1656" s="23" t="s">
        <v>2158</v>
      </c>
      <c r="H1656" s="23" t="s">
        <v>27</v>
      </c>
      <c r="I1656" s="23" t="s">
        <v>616</v>
      </c>
      <c r="J1656" s="14" t="s">
        <v>879</v>
      </c>
      <c r="K1656" s="15" t="s">
        <v>30</v>
      </c>
      <c r="L1656" s="88"/>
      <c r="M1656" s="14"/>
      <c r="N1656" s="14" t="s">
        <v>800</v>
      </c>
      <c r="O1656" s="14"/>
      <c r="P1656" s="15" t="s">
        <v>108</v>
      </c>
      <c r="Q1656" s="16">
        <v>3999</v>
      </c>
      <c r="R1656" s="17">
        <v>68.8</v>
      </c>
      <c r="S1656" s="18">
        <v>1434.9354999999998</v>
      </c>
      <c r="T1656" s="19" t="s">
        <v>328</v>
      </c>
      <c r="U1656" s="20" t="s">
        <v>2162</v>
      </c>
      <c r="V1656" s="21">
        <v>176</v>
      </c>
      <c r="W1656" s="21">
        <v>1</v>
      </c>
      <c r="X1656" s="22"/>
    </row>
    <row r="1657" spans="1:24" s="1" customFormat="1" ht="35.1" customHeight="1" x14ac:dyDescent="0.3">
      <c r="A1657" s="11" t="s">
        <v>1355</v>
      </c>
      <c r="B1657" s="11" t="s">
        <v>2195</v>
      </c>
      <c r="C1657" s="12" t="s">
        <v>2198</v>
      </c>
      <c r="D1657" s="83"/>
      <c r="E1657" s="69" t="str">
        <f>HYPERLINK("https://www.google.ru/search?q=816735-WH&amp;newwindow=1&amp;tbm=isch","Еще фото")</f>
        <v>Еще фото</v>
      </c>
      <c r="F1657" s="13"/>
      <c r="G1657" s="11" t="s">
        <v>2158</v>
      </c>
      <c r="H1657" s="11" t="s">
        <v>27</v>
      </c>
      <c r="I1657" s="14" t="s">
        <v>616</v>
      </c>
      <c r="J1657" s="14" t="s">
        <v>879</v>
      </c>
      <c r="K1657" s="15" t="s">
        <v>30</v>
      </c>
      <c r="L1657" s="86" t="s">
        <v>2197</v>
      </c>
      <c r="M1657" s="14"/>
      <c r="N1657" s="14" t="s">
        <v>89</v>
      </c>
      <c r="O1657" s="14"/>
      <c r="P1657" s="15" t="s">
        <v>108</v>
      </c>
      <c r="Q1657" s="16">
        <v>3999</v>
      </c>
      <c r="R1657" s="17">
        <v>68.8</v>
      </c>
      <c r="S1657" s="18">
        <v>1434.9354999999998</v>
      </c>
      <c r="T1657" s="19" t="s">
        <v>328</v>
      </c>
      <c r="U1657" s="20" t="s">
        <v>290</v>
      </c>
      <c r="V1657" s="21">
        <v>140</v>
      </c>
      <c r="W1657" s="21">
        <v>4</v>
      </c>
      <c r="X1657" s="22"/>
    </row>
    <row r="1658" spans="1:24" s="1" customFormat="1" ht="35.1" customHeight="1" x14ac:dyDescent="0.3">
      <c r="A1658" s="23" t="s">
        <v>1355</v>
      </c>
      <c r="B1658" s="23" t="s">
        <v>2195</v>
      </c>
      <c r="C1658" s="12" t="s">
        <v>2198</v>
      </c>
      <c r="D1658" s="84"/>
      <c r="E1658" s="69" t="str">
        <f>HYPERLINK("https://www.google.ru/search?q=816735-WH&amp;newwindow=1&amp;tbm=isch","Еще фото")</f>
        <v>Еще фото</v>
      </c>
      <c r="F1658" s="13"/>
      <c r="G1658" s="23" t="s">
        <v>2158</v>
      </c>
      <c r="H1658" s="23" t="s">
        <v>27</v>
      </c>
      <c r="I1658" s="23" t="s">
        <v>616</v>
      </c>
      <c r="J1658" s="14" t="s">
        <v>879</v>
      </c>
      <c r="K1658" s="15" t="s">
        <v>30</v>
      </c>
      <c r="L1658" s="87"/>
      <c r="M1658" s="14"/>
      <c r="N1658" s="14" t="s">
        <v>89</v>
      </c>
      <c r="O1658" s="14"/>
      <c r="P1658" s="15" t="s">
        <v>108</v>
      </c>
      <c r="Q1658" s="16">
        <v>3999</v>
      </c>
      <c r="R1658" s="17">
        <v>68.8</v>
      </c>
      <c r="S1658" s="18">
        <v>1434.9354999999998</v>
      </c>
      <c r="T1658" s="19" t="s">
        <v>328</v>
      </c>
      <c r="U1658" s="20" t="s">
        <v>2160</v>
      </c>
      <c r="V1658" s="21">
        <v>152</v>
      </c>
      <c r="W1658" s="21">
        <v>2</v>
      </c>
      <c r="X1658" s="22"/>
    </row>
    <row r="1659" spans="1:24" s="1" customFormat="1" ht="36.950000000000003" customHeight="1" x14ac:dyDescent="0.3">
      <c r="A1659" s="23" t="s">
        <v>1355</v>
      </c>
      <c r="B1659" s="23" t="s">
        <v>2195</v>
      </c>
      <c r="C1659" s="12" t="s">
        <v>2198</v>
      </c>
      <c r="D1659" s="85"/>
      <c r="E1659" s="69" t="str">
        <f>HYPERLINK("https://www.google.ru/search?q=816735-WH&amp;newwindow=1&amp;tbm=isch","Еще фото")</f>
        <v>Еще фото</v>
      </c>
      <c r="F1659" s="13"/>
      <c r="G1659" s="23" t="s">
        <v>2158</v>
      </c>
      <c r="H1659" s="23" t="s">
        <v>27</v>
      </c>
      <c r="I1659" s="23" t="s">
        <v>616</v>
      </c>
      <c r="J1659" s="14" t="s">
        <v>879</v>
      </c>
      <c r="K1659" s="15" t="s">
        <v>30</v>
      </c>
      <c r="L1659" s="88"/>
      <c r="M1659" s="14"/>
      <c r="N1659" s="14" t="s">
        <v>89</v>
      </c>
      <c r="O1659" s="14"/>
      <c r="P1659" s="15" t="s">
        <v>108</v>
      </c>
      <c r="Q1659" s="16">
        <v>3999</v>
      </c>
      <c r="R1659" s="17">
        <v>68.8</v>
      </c>
      <c r="S1659" s="18">
        <v>1434.9354999999998</v>
      </c>
      <c r="T1659" s="19" t="s">
        <v>328</v>
      </c>
      <c r="U1659" s="20" t="s">
        <v>2161</v>
      </c>
      <c r="V1659" s="21">
        <v>164</v>
      </c>
      <c r="W1659" s="21">
        <v>3</v>
      </c>
      <c r="X1659" s="22"/>
    </row>
    <row r="1660" spans="1:24" s="1" customFormat="1" ht="35.1" customHeight="1" x14ac:dyDescent="0.3">
      <c r="A1660" s="11" t="s">
        <v>1355</v>
      </c>
      <c r="B1660" s="11" t="s">
        <v>2199</v>
      </c>
      <c r="C1660" s="12" t="s">
        <v>2200</v>
      </c>
      <c r="D1660" s="83"/>
      <c r="E1660" s="69" t="str">
        <f>HYPERLINK("https://www.google.ru/search?q=816765-NV&amp;newwindow=1&amp;tbm=isch","Еще фото")</f>
        <v>Еще фото</v>
      </c>
      <c r="F1660" s="13"/>
      <c r="G1660" s="11" t="s">
        <v>615</v>
      </c>
      <c r="H1660" s="11" t="s">
        <v>27</v>
      </c>
      <c r="I1660" s="14" t="s">
        <v>616</v>
      </c>
      <c r="J1660" s="14" t="s">
        <v>879</v>
      </c>
      <c r="K1660" s="15" t="s">
        <v>30</v>
      </c>
      <c r="L1660" s="86" t="s">
        <v>2201</v>
      </c>
      <c r="M1660" s="14"/>
      <c r="N1660" s="14" t="s">
        <v>70</v>
      </c>
      <c r="O1660" s="14"/>
      <c r="P1660" s="15" t="s">
        <v>108</v>
      </c>
      <c r="Q1660" s="16">
        <v>3999</v>
      </c>
      <c r="R1660" s="17">
        <v>68.8</v>
      </c>
      <c r="S1660" s="18">
        <v>1434.9354999999998</v>
      </c>
      <c r="T1660" s="19" t="s">
        <v>328</v>
      </c>
      <c r="U1660" s="20" t="s">
        <v>37</v>
      </c>
      <c r="V1660" s="21">
        <v>128</v>
      </c>
      <c r="W1660" s="21">
        <v>4</v>
      </c>
      <c r="X1660" s="22"/>
    </row>
    <row r="1661" spans="1:24" s="1" customFormat="1" ht="35.1" customHeight="1" x14ac:dyDescent="0.3">
      <c r="A1661" s="23" t="s">
        <v>1355</v>
      </c>
      <c r="B1661" s="23" t="s">
        <v>2199</v>
      </c>
      <c r="C1661" s="12" t="s">
        <v>2200</v>
      </c>
      <c r="D1661" s="84"/>
      <c r="E1661" s="69" t="str">
        <f>HYPERLINK("https://www.google.ru/search?q=816765-NV&amp;newwindow=1&amp;tbm=isch","Еще фото")</f>
        <v>Еще фото</v>
      </c>
      <c r="F1661" s="13"/>
      <c r="G1661" s="23" t="s">
        <v>615</v>
      </c>
      <c r="H1661" s="23" t="s">
        <v>27</v>
      </c>
      <c r="I1661" s="23" t="s">
        <v>616</v>
      </c>
      <c r="J1661" s="14" t="s">
        <v>879</v>
      </c>
      <c r="K1661" s="15" t="s">
        <v>30</v>
      </c>
      <c r="L1661" s="87"/>
      <c r="M1661" s="14"/>
      <c r="N1661" s="14" t="s">
        <v>70</v>
      </c>
      <c r="O1661" s="14"/>
      <c r="P1661" s="15" t="s">
        <v>108</v>
      </c>
      <c r="Q1661" s="16">
        <v>3999</v>
      </c>
      <c r="R1661" s="17">
        <v>68.8</v>
      </c>
      <c r="S1661" s="18">
        <v>1434.9354999999998</v>
      </c>
      <c r="T1661" s="19" t="s">
        <v>328</v>
      </c>
      <c r="U1661" s="20" t="s">
        <v>290</v>
      </c>
      <c r="V1661" s="21">
        <v>140</v>
      </c>
      <c r="W1661" s="21">
        <v>4</v>
      </c>
      <c r="X1661" s="22"/>
    </row>
    <row r="1662" spans="1:24" s="1" customFormat="1" ht="36.950000000000003" customHeight="1" x14ac:dyDescent="0.3">
      <c r="A1662" s="23" t="s">
        <v>1355</v>
      </c>
      <c r="B1662" s="23" t="s">
        <v>2199</v>
      </c>
      <c r="C1662" s="12" t="s">
        <v>2200</v>
      </c>
      <c r="D1662" s="85"/>
      <c r="E1662" s="69" t="str">
        <f>HYPERLINK("https://www.google.ru/search?q=816765-NV&amp;newwindow=1&amp;tbm=isch","Еще фото")</f>
        <v>Еще фото</v>
      </c>
      <c r="F1662" s="13"/>
      <c r="G1662" s="23" t="s">
        <v>615</v>
      </c>
      <c r="H1662" s="23" t="s">
        <v>27</v>
      </c>
      <c r="I1662" s="23" t="s">
        <v>616</v>
      </c>
      <c r="J1662" s="14" t="s">
        <v>879</v>
      </c>
      <c r="K1662" s="15" t="s">
        <v>30</v>
      </c>
      <c r="L1662" s="88"/>
      <c r="M1662" s="14"/>
      <c r="N1662" s="14" t="s">
        <v>70</v>
      </c>
      <c r="O1662" s="14"/>
      <c r="P1662" s="15" t="s">
        <v>108</v>
      </c>
      <c r="Q1662" s="16">
        <v>3999</v>
      </c>
      <c r="R1662" s="17">
        <v>68.8</v>
      </c>
      <c r="S1662" s="18">
        <v>1434.9354999999998</v>
      </c>
      <c r="T1662" s="19" t="s">
        <v>328</v>
      </c>
      <c r="U1662" s="20" t="s">
        <v>2160</v>
      </c>
      <c r="V1662" s="21">
        <v>152</v>
      </c>
      <c r="W1662" s="21">
        <v>2</v>
      </c>
      <c r="X1662" s="22"/>
    </row>
    <row r="1663" spans="1:24" s="1" customFormat="1" ht="26.1" customHeight="1" x14ac:dyDescent="0.3">
      <c r="A1663" s="11" t="s">
        <v>1355</v>
      </c>
      <c r="B1663" s="11" t="s">
        <v>2202</v>
      </c>
      <c r="C1663" s="12" t="s">
        <v>2203</v>
      </c>
      <c r="D1663" s="83"/>
      <c r="E1663" s="69" t="str">
        <f>HYPERLINK("https://www.google.ru/search?q=816785-BK&amp;newwindow=1&amp;tbm=isch","Еще фото")</f>
        <v>Еще фото</v>
      </c>
      <c r="F1663" s="13"/>
      <c r="G1663" s="11" t="s">
        <v>615</v>
      </c>
      <c r="H1663" s="11" t="s">
        <v>27</v>
      </c>
      <c r="I1663" s="14" t="s">
        <v>616</v>
      </c>
      <c r="J1663" s="14" t="s">
        <v>879</v>
      </c>
      <c r="K1663" s="15" t="s">
        <v>30</v>
      </c>
      <c r="L1663" s="86" t="s">
        <v>2204</v>
      </c>
      <c r="M1663" s="14"/>
      <c r="N1663" s="14" t="s">
        <v>49</v>
      </c>
      <c r="O1663" s="14"/>
      <c r="P1663" s="15" t="s">
        <v>2186</v>
      </c>
      <c r="Q1663" s="16">
        <v>2899</v>
      </c>
      <c r="R1663" s="17">
        <v>68.69</v>
      </c>
      <c r="S1663" s="29">
        <v>1043.9354999999998</v>
      </c>
      <c r="T1663" s="19" t="s">
        <v>328</v>
      </c>
      <c r="U1663" s="20" t="s">
        <v>94</v>
      </c>
      <c r="V1663" s="21">
        <v>104</v>
      </c>
      <c r="W1663" s="21">
        <v>2</v>
      </c>
      <c r="X1663" s="22"/>
    </row>
    <row r="1664" spans="1:24" s="1" customFormat="1" ht="26.1" customHeight="1" x14ac:dyDescent="0.3">
      <c r="A1664" s="23" t="s">
        <v>1355</v>
      </c>
      <c r="B1664" s="23" t="s">
        <v>2202</v>
      </c>
      <c r="C1664" s="12" t="s">
        <v>2203</v>
      </c>
      <c r="D1664" s="84"/>
      <c r="E1664" s="69" t="str">
        <f>HYPERLINK("https://www.google.ru/search?q=816785-BK&amp;newwindow=1&amp;tbm=isch","Еще фото")</f>
        <v>Еще фото</v>
      </c>
      <c r="F1664" s="13"/>
      <c r="G1664" s="23" t="s">
        <v>615</v>
      </c>
      <c r="H1664" s="23" t="s">
        <v>27</v>
      </c>
      <c r="I1664" s="23" t="s">
        <v>616</v>
      </c>
      <c r="J1664" s="14" t="s">
        <v>879</v>
      </c>
      <c r="K1664" s="15" t="s">
        <v>30</v>
      </c>
      <c r="L1664" s="87"/>
      <c r="M1664" s="14"/>
      <c r="N1664" s="14" t="s">
        <v>49</v>
      </c>
      <c r="O1664" s="14"/>
      <c r="P1664" s="15" t="s">
        <v>2186</v>
      </c>
      <c r="Q1664" s="16">
        <v>2899</v>
      </c>
      <c r="R1664" s="17">
        <v>68.69</v>
      </c>
      <c r="S1664" s="29">
        <v>1043.9354999999998</v>
      </c>
      <c r="T1664" s="19" t="s">
        <v>328</v>
      </c>
      <c r="U1664" s="20" t="s">
        <v>43</v>
      </c>
      <c r="V1664" s="21">
        <v>110</v>
      </c>
      <c r="W1664" s="21">
        <v>1</v>
      </c>
      <c r="X1664" s="22"/>
    </row>
    <row r="1665" spans="1:24" s="1" customFormat="1" ht="26.1" customHeight="1" x14ac:dyDescent="0.3">
      <c r="A1665" s="23" t="s">
        <v>1355</v>
      </c>
      <c r="B1665" s="23" t="s">
        <v>2202</v>
      </c>
      <c r="C1665" s="12" t="s">
        <v>2203</v>
      </c>
      <c r="D1665" s="84"/>
      <c r="E1665" s="69" t="str">
        <f>HYPERLINK("https://www.google.ru/search?q=816785-BK&amp;newwindow=1&amp;tbm=isch","Еще фото")</f>
        <v>Еще фото</v>
      </c>
      <c r="F1665" s="13"/>
      <c r="G1665" s="23" t="s">
        <v>615</v>
      </c>
      <c r="H1665" s="23" t="s">
        <v>27</v>
      </c>
      <c r="I1665" s="23" t="s">
        <v>616</v>
      </c>
      <c r="J1665" s="14" t="s">
        <v>879</v>
      </c>
      <c r="K1665" s="15" t="s">
        <v>30</v>
      </c>
      <c r="L1665" s="87"/>
      <c r="M1665" s="14"/>
      <c r="N1665" s="14" t="s">
        <v>49</v>
      </c>
      <c r="O1665" s="14"/>
      <c r="P1665" s="15" t="s">
        <v>2186</v>
      </c>
      <c r="Q1665" s="16">
        <v>2899</v>
      </c>
      <c r="R1665" s="17">
        <v>68.69</v>
      </c>
      <c r="S1665" s="29">
        <v>1043.9354999999998</v>
      </c>
      <c r="T1665" s="19" t="s">
        <v>328</v>
      </c>
      <c r="U1665" s="20" t="s">
        <v>35</v>
      </c>
      <c r="V1665" s="21">
        <v>116</v>
      </c>
      <c r="W1665" s="21">
        <v>4</v>
      </c>
      <c r="X1665" s="22"/>
    </row>
    <row r="1666" spans="1:24" s="1" customFormat="1" ht="26.1" customHeight="1" x14ac:dyDescent="0.3">
      <c r="A1666" s="23" t="s">
        <v>1355</v>
      </c>
      <c r="B1666" s="23" t="s">
        <v>2202</v>
      </c>
      <c r="C1666" s="12" t="s">
        <v>2203</v>
      </c>
      <c r="D1666" s="85"/>
      <c r="E1666" s="69" t="str">
        <f>HYPERLINK("https://www.google.ru/search?q=816785-BK&amp;newwindow=1&amp;tbm=isch","Еще фото")</f>
        <v>Еще фото</v>
      </c>
      <c r="F1666" s="13"/>
      <c r="G1666" s="23" t="s">
        <v>615</v>
      </c>
      <c r="H1666" s="23" t="s">
        <v>27</v>
      </c>
      <c r="I1666" s="23" t="s">
        <v>616</v>
      </c>
      <c r="J1666" s="14" t="s">
        <v>879</v>
      </c>
      <c r="K1666" s="15" t="s">
        <v>30</v>
      </c>
      <c r="L1666" s="88"/>
      <c r="M1666" s="14"/>
      <c r="N1666" s="14" t="s">
        <v>49</v>
      </c>
      <c r="O1666" s="14"/>
      <c r="P1666" s="15" t="s">
        <v>2186</v>
      </c>
      <c r="Q1666" s="16">
        <v>2899</v>
      </c>
      <c r="R1666" s="17">
        <v>68.69</v>
      </c>
      <c r="S1666" s="29">
        <v>1043.9354999999998</v>
      </c>
      <c r="T1666" s="19" t="s">
        <v>328</v>
      </c>
      <c r="U1666" s="20" t="s">
        <v>36</v>
      </c>
      <c r="V1666" s="21">
        <v>122</v>
      </c>
      <c r="W1666" s="21">
        <v>1</v>
      </c>
      <c r="X1666" s="22"/>
    </row>
    <row r="1667" spans="1:24" s="1" customFormat="1" ht="51.95" customHeight="1" x14ac:dyDescent="0.3">
      <c r="A1667" s="11" t="s">
        <v>1355</v>
      </c>
      <c r="B1667" s="11" t="s">
        <v>2183</v>
      </c>
      <c r="C1667" s="12" t="s">
        <v>2205</v>
      </c>
      <c r="D1667" s="89"/>
      <c r="E1667" s="69" t="str">
        <f>HYPERLINK("https://www.google.ru/search?q=814845-WH&amp;newwindow=1&amp;tbm=isch","Еще фото")</f>
        <v>Еще фото</v>
      </c>
      <c r="F1667" s="13"/>
      <c r="G1667" s="11" t="s">
        <v>615</v>
      </c>
      <c r="H1667" s="11" t="s">
        <v>27</v>
      </c>
      <c r="I1667" s="14" t="s">
        <v>616</v>
      </c>
      <c r="J1667" s="14" t="s">
        <v>879</v>
      </c>
      <c r="K1667" s="15" t="s">
        <v>47</v>
      </c>
      <c r="L1667" s="86" t="s">
        <v>2185</v>
      </c>
      <c r="M1667" s="14"/>
      <c r="N1667" s="14" t="s">
        <v>89</v>
      </c>
      <c r="O1667" s="14"/>
      <c r="P1667" s="15" t="s">
        <v>2186</v>
      </c>
      <c r="Q1667" s="16">
        <v>3499</v>
      </c>
      <c r="R1667" s="17">
        <v>66.63</v>
      </c>
      <c r="S1667" s="18">
        <v>1342.9354999999998</v>
      </c>
      <c r="T1667" s="19" t="s">
        <v>328</v>
      </c>
      <c r="U1667" s="20" t="s">
        <v>64</v>
      </c>
      <c r="V1667" s="25" t="s">
        <v>67</v>
      </c>
      <c r="W1667" s="21">
        <v>5</v>
      </c>
      <c r="X1667" s="22"/>
    </row>
    <row r="1668" spans="1:24" s="1" customFormat="1" ht="60.95" customHeight="1" x14ac:dyDescent="0.3">
      <c r="A1668" s="23" t="s">
        <v>1355</v>
      </c>
      <c r="B1668" s="23" t="s">
        <v>2183</v>
      </c>
      <c r="C1668" s="12" t="s">
        <v>2205</v>
      </c>
      <c r="D1668" s="90"/>
      <c r="E1668" s="69" t="str">
        <f>HYPERLINK("https://www.google.ru/search?q=814845-WH&amp;newwindow=1&amp;tbm=isch","Еще фото")</f>
        <v>Еще фото</v>
      </c>
      <c r="F1668" s="13"/>
      <c r="G1668" s="23" t="s">
        <v>615</v>
      </c>
      <c r="H1668" s="23" t="s">
        <v>27</v>
      </c>
      <c r="I1668" s="23" t="s">
        <v>616</v>
      </c>
      <c r="J1668" s="14" t="s">
        <v>879</v>
      </c>
      <c r="K1668" s="15" t="s">
        <v>47</v>
      </c>
      <c r="L1668" s="88"/>
      <c r="M1668" s="14"/>
      <c r="N1668" s="14" t="s">
        <v>89</v>
      </c>
      <c r="O1668" s="14"/>
      <c r="P1668" s="15" t="s">
        <v>2186</v>
      </c>
      <c r="Q1668" s="16">
        <v>3499</v>
      </c>
      <c r="R1668" s="17">
        <v>66.63</v>
      </c>
      <c r="S1668" s="18">
        <v>1342.9354999999998</v>
      </c>
      <c r="T1668" s="19" t="s">
        <v>328</v>
      </c>
      <c r="U1668" s="20" t="s">
        <v>66</v>
      </c>
      <c r="V1668" s="25" t="s">
        <v>68</v>
      </c>
      <c r="W1668" s="21">
        <v>3</v>
      </c>
      <c r="X1668" s="22"/>
    </row>
    <row r="1669" spans="1:24" s="1" customFormat="1" ht="108" customHeight="1" x14ac:dyDescent="0.3">
      <c r="A1669" s="11" t="s">
        <v>1355</v>
      </c>
      <c r="B1669" s="11" t="s">
        <v>2180</v>
      </c>
      <c r="C1669" s="12" t="s">
        <v>2206</v>
      </c>
      <c r="D1669" s="24"/>
      <c r="E1669" s="69" t="str">
        <f>HYPERLINK("https://www.google.ru/search?q=816215-CN&amp;newwindow=1&amp;tbm=isch","Еще фото")</f>
        <v>Еще фото</v>
      </c>
      <c r="F1669" s="13"/>
      <c r="G1669" s="11" t="s">
        <v>615</v>
      </c>
      <c r="H1669" s="11" t="s">
        <v>27</v>
      </c>
      <c r="I1669" s="14" t="s">
        <v>616</v>
      </c>
      <c r="J1669" s="14" t="s">
        <v>879</v>
      </c>
      <c r="K1669" s="15" t="s">
        <v>30</v>
      </c>
      <c r="L1669" s="14" t="s">
        <v>2182</v>
      </c>
      <c r="M1669" s="14"/>
      <c r="N1669" s="14" t="s">
        <v>636</v>
      </c>
      <c r="O1669" s="14"/>
      <c r="P1669" s="15" t="s">
        <v>108</v>
      </c>
      <c r="Q1669" s="16">
        <v>5499</v>
      </c>
      <c r="R1669" s="17">
        <v>52.4</v>
      </c>
      <c r="S1669" s="18">
        <v>3010.4354999999996</v>
      </c>
      <c r="T1669" s="19" t="s">
        <v>328</v>
      </c>
      <c r="U1669" s="20" t="s">
        <v>37</v>
      </c>
      <c r="V1669" s="21">
        <v>128</v>
      </c>
      <c r="W1669" s="21">
        <v>2</v>
      </c>
      <c r="X1669" s="22"/>
    </row>
    <row r="1670" spans="1:24" s="1" customFormat="1" ht="108" customHeight="1" x14ac:dyDescent="0.3">
      <c r="A1670" s="11" t="s">
        <v>1355</v>
      </c>
      <c r="B1670" s="11" t="s">
        <v>2207</v>
      </c>
      <c r="C1670" s="12" t="s">
        <v>2208</v>
      </c>
      <c r="D1670" s="24"/>
      <c r="E1670" s="69" t="str">
        <f>HYPERLINK("https://www.google.ru/search?q=816046-NVXV&amp;newwindow=1&amp;tbm=isch","Еще фото")</f>
        <v>Еще фото</v>
      </c>
      <c r="F1670" s="13"/>
      <c r="G1670" s="11" t="s">
        <v>615</v>
      </c>
      <c r="H1670" s="11" t="s">
        <v>27</v>
      </c>
      <c r="I1670" s="14" t="s">
        <v>616</v>
      </c>
      <c r="J1670" s="14" t="s">
        <v>879</v>
      </c>
      <c r="K1670" s="15" t="s">
        <v>30</v>
      </c>
      <c r="L1670" s="14" t="s">
        <v>2209</v>
      </c>
      <c r="M1670" s="14"/>
      <c r="N1670" s="14" t="s">
        <v>816</v>
      </c>
      <c r="O1670" s="14"/>
      <c r="P1670" s="15" t="s">
        <v>108</v>
      </c>
      <c r="Q1670" s="16">
        <v>4999</v>
      </c>
      <c r="R1670" s="17">
        <v>48.83</v>
      </c>
      <c r="S1670" s="18">
        <v>2941.4354999999996</v>
      </c>
      <c r="T1670" s="19" t="s">
        <v>328</v>
      </c>
      <c r="U1670" s="20" t="s">
        <v>2160</v>
      </c>
      <c r="V1670" s="21">
        <v>152</v>
      </c>
      <c r="W1670" s="21">
        <v>3</v>
      </c>
      <c r="X1670" s="22"/>
    </row>
    <row r="1671" spans="1:24" s="1" customFormat="1" ht="108" customHeight="1" x14ac:dyDescent="0.3">
      <c r="A1671" s="11" t="s">
        <v>1355</v>
      </c>
      <c r="B1671" s="11" t="s">
        <v>2210</v>
      </c>
      <c r="C1671" s="12" t="s">
        <v>2211</v>
      </c>
      <c r="D1671" s="24"/>
      <c r="E1671" s="69" t="str">
        <f>HYPERLINK("https://www.google.ru/search?q=811725-NV&amp;newwindow=1&amp;tbm=isch","Еще фото")</f>
        <v>Еще фото</v>
      </c>
      <c r="F1671" s="13"/>
      <c r="G1671" s="11" t="s">
        <v>615</v>
      </c>
      <c r="H1671" s="11" t="s">
        <v>27</v>
      </c>
      <c r="I1671" s="14" t="s">
        <v>616</v>
      </c>
      <c r="J1671" s="14" t="s">
        <v>879</v>
      </c>
      <c r="K1671" s="15" t="s">
        <v>55</v>
      </c>
      <c r="L1671" s="14" t="s">
        <v>2212</v>
      </c>
      <c r="M1671" s="14"/>
      <c r="N1671" s="14" t="s">
        <v>70</v>
      </c>
      <c r="O1671" s="14"/>
      <c r="P1671" s="15" t="s">
        <v>108</v>
      </c>
      <c r="Q1671" s="16">
        <v>4699</v>
      </c>
      <c r="R1671" s="17">
        <v>46.8</v>
      </c>
      <c r="S1671" s="18">
        <v>2874.9884999999995</v>
      </c>
      <c r="T1671" s="19" t="s">
        <v>328</v>
      </c>
      <c r="U1671" s="20" t="s">
        <v>64</v>
      </c>
      <c r="V1671" s="25" t="s">
        <v>65</v>
      </c>
      <c r="W1671" s="21">
        <v>1</v>
      </c>
      <c r="X1671" s="22"/>
    </row>
    <row r="1672" spans="1:24" s="1" customFormat="1" ht="108" customHeight="1" x14ac:dyDescent="0.3">
      <c r="A1672" s="11" t="s">
        <v>1355</v>
      </c>
      <c r="B1672" s="11" t="s">
        <v>2210</v>
      </c>
      <c r="C1672" s="12" t="s">
        <v>2213</v>
      </c>
      <c r="D1672" s="24"/>
      <c r="E1672" s="69" t="str">
        <f>HYPERLINK("https://www.google.ru/search?q=811725-WH&amp;newwindow=1&amp;tbm=isch","Еще фото")</f>
        <v>Еще фото</v>
      </c>
      <c r="F1672" s="13"/>
      <c r="G1672" s="11" t="s">
        <v>615</v>
      </c>
      <c r="H1672" s="11" t="s">
        <v>27</v>
      </c>
      <c r="I1672" s="14" t="s">
        <v>616</v>
      </c>
      <c r="J1672" s="14" t="s">
        <v>879</v>
      </c>
      <c r="K1672" s="15" t="s">
        <v>55</v>
      </c>
      <c r="L1672" s="14" t="s">
        <v>2212</v>
      </c>
      <c r="M1672" s="14"/>
      <c r="N1672" s="14" t="s">
        <v>89</v>
      </c>
      <c r="O1672" s="14"/>
      <c r="P1672" s="15" t="s">
        <v>108</v>
      </c>
      <c r="Q1672" s="16">
        <v>4699</v>
      </c>
      <c r="R1672" s="17">
        <v>46.8</v>
      </c>
      <c r="S1672" s="18">
        <v>2874.9884999999995</v>
      </c>
      <c r="T1672" s="19" t="s">
        <v>328</v>
      </c>
      <c r="U1672" s="20" t="s">
        <v>64</v>
      </c>
      <c r="V1672" s="25" t="s">
        <v>65</v>
      </c>
      <c r="W1672" s="21">
        <v>1</v>
      </c>
      <c r="X1672" s="22"/>
    </row>
    <row r="1673" spans="1:24" s="1" customFormat="1" ht="108" customHeight="1" x14ac:dyDescent="0.3">
      <c r="A1673" s="11" t="s">
        <v>1355</v>
      </c>
      <c r="B1673" s="11" t="s">
        <v>2214</v>
      </c>
      <c r="C1673" s="12" t="s">
        <v>2215</v>
      </c>
      <c r="D1673" s="24"/>
      <c r="E1673" s="69" t="str">
        <f>HYPERLINK("https://www.google.ru/search?q=811265-TE&amp;newwindow=1&amp;tbm=isch","Еще фото")</f>
        <v>Еще фото</v>
      </c>
      <c r="F1673" s="13"/>
      <c r="G1673" s="11" t="s">
        <v>615</v>
      </c>
      <c r="H1673" s="11" t="s">
        <v>27</v>
      </c>
      <c r="I1673" s="14" t="s">
        <v>616</v>
      </c>
      <c r="J1673" s="14" t="s">
        <v>879</v>
      </c>
      <c r="K1673" s="15" t="s">
        <v>55</v>
      </c>
      <c r="L1673" s="14" t="s">
        <v>2216</v>
      </c>
      <c r="M1673" s="14"/>
      <c r="N1673" s="14" t="s">
        <v>70</v>
      </c>
      <c r="O1673" s="14"/>
      <c r="P1673" s="15" t="s">
        <v>108</v>
      </c>
      <c r="Q1673" s="16">
        <v>5999</v>
      </c>
      <c r="R1673" s="17">
        <v>46.66</v>
      </c>
      <c r="S1673" s="18">
        <v>3679.9884999999995</v>
      </c>
      <c r="T1673" s="19" t="s">
        <v>328</v>
      </c>
      <c r="U1673" s="20" t="s">
        <v>64</v>
      </c>
      <c r="V1673" s="25" t="s">
        <v>65</v>
      </c>
      <c r="W1673" s="21">
        <v>1</v>
      </c>
      <c r="X1673" s="22"/>
    </row>
    <row r="1674" spans="1:24" s="1" customFormat="1" ht="108" customHeight="1" x14ac:dyDescent="0.3">
      <c r="A1674" s="11" t="s">
        <v>1355</v>
      </c>
      <c r="B1674" s="11" t="s">
        <v>2217</v>
      </c>
      <c r="C1674" s="12" t="s">
        <v>2218</v>
      </c>
      <c r="D1674" s="24"/>
      <c r="E1674" s="69" t="str">
        <f>HYPERLINK("https://www.google.ru/search?q=814431-WHDB&amp;newwindow=1&amp;tbm=isch","Еще фото")</f>
        <v>Еще фото</v>
      </c>
      <c r="F1674" s="13"/>
      <c r="G1674" s="11" t="s">
        <v>615</v>
      </c>
      <c r="H1674" s="11" t="s">
        <v>27</v>
      </c>
      <c r="I1674" s="14" t="s">
        <v>616</v>
      </c>
      <c r="J1674" s="14" t="s">
        <v>879</v>
      </c>
      <c r="K1674" s="15" t="s">
        <v>47</v>
      </c>
      <c r="L1674" s="14" t="s">
        <v>2219</v>
      </c>
      <c r="M1674" s="14"/>
      <c r="N1674" s="14" t="s">
        <v>89</v>
      </c>
      <c r="O1674" s="14"/>
      <c r="P1674" s="15" t="s">
        <v>2220</v>
      </c>
      <c r="Q1674" s="16">
        <v>4499</v>
      </c>
      <c r="R1674" s="17">
        <v>46.66</v>
      </c>
      <c r="S1674" s="18">
        <v>2759.9884999999995</v>
      </c>
      <c r="T1674" s="19" t="s">
        <v>328</v>
      </c>
      <c r="U1674" s="20" t="s">
        <v>58</v>
      </c>
      <c r="V1674" s="25" t="s">
        <v>53</v>
      </c>
      <c r="W1674" s="21">
        <v>1</v>
      </c>
      <c r="X1674" s="22"/>
    </row>
    <row r="1675" spans="1:24" s="1" customFormat="1" ht="108" customHeight="1" x14ac:dyDescent="0.3">
      <c r="A1675" s="11" t="s">
        <v>1355</v>
      </c>
      <c r="B1675" s="11" t="s">
        <v>2221</v>
      </c>
      <c r="C1675" s="12" t="s">
        <v>2222</v>
      </c>
      <c r="D1675" s="24"/>
      <c r="E1675" s="69" t="str">
        <f>HYPERLINK("https://www.google.ru/search?q=811715-NV&amp;newwindow=1&amp;tbm=isch","Еще фото")</f>
        <v>Еще фото</v>
      </c>
      <c r="F1675" s="13"/>
      <c r="G1675" s="11" t="s">
        <v>1297</v>
      </c>
      <c r="H1675" s="11" t="s">
        <v>27</v>
      </c>
      <c r="I1675" s="14" t="s">
        <v>616</v>
      </c>
      <c r="J1675" s="14" t="s">
        <v>879</v>
      </c>
      <c r="K1675" s="15" t="s">
        <v>55</v>
      </c>
      <c r="L1675" s="14" t="s">
        <v>2223</v>
      </c>
      <c r="M1675" s="14"/>
      <c r="N1675" s="14" t="s">
        <v>70</v>
      </c>
      <c r="O1675" s="14"/>
      <c r="P1675" s="15" t="s">
        <v>108</v>
      </c>
      <c r="Q1675" s="16">
        <v>5799</v>
      </c>
      <c r="R1675" s="17">
        <v>46.54</v>
      </c>
      <c r="S1675" s="18">
        <v>3564.9884999999995</v>
      </c>
      <c r="T1675" s="19" t="s">
        <v>328</v>
      </c>
      <c r="U1675" s="20" t="s">
        <v>64</v>
      </c>
      <c r="V1675" s="25" t="s">
        <v>65</v>
      </c>
      <c r="W1675" s="21">
        <v>1</v>
      </c>
      <c r="X1675" s="22"/>
    </row>
    <row r="1676" spans="1:24" s="1" customFormat="1" ht="108" customHeight="1" x14ac:dyDescent="0.3">
      <c r="A1676" s="11" t="s">
        <v>1355</v>
      </c>
      <c r="B1676" s="11" t="s">
        <v>2224</v>
      </c>
      <c r="C1676" s="12" t="s">
        <v>2225</v>
      </c>
      <c r="D1676" s="24"/>
      <c r="E1676" s="69" t="str">
        <f>HYPERLINK("https://www.google.ru/search?q=811855-NV&amp;newwindow=1&amp;tbm=isch","Еще фото")</f>
        <v>Еще фото</v>
      </c>
      <c r="F1676" s="13"/>
      <c r="G1676" s="11" t="s">
        <v>615</v>
      </c>
      <c r="H1676" s="11" t="s">
        <v>27</v>
      </c>
      <c r="I1676" s="14" t="s">
        <v>616</v>
      </c>
      <c r="J1676" s="14" t="s">
        <v>879</v>
      </c>
      <c r="K1676" s="15" t="s">
        <v>55</v>
      </c>
      <c r="L1676" s="14" t="s">
        <v>2226</v>
      </c>
      <c r="M1676" s="14"/>
      <c r="N1676" s="14" t="s">
        <v>70</v>
      </c>
      <c r="O1676" s="14"/>
      <c r="P1676" s="15" t="s">
        <v>2186</v>
      </c>
      <c r="Q1676" s="16">
        <v>3499</v>
      </c>
      <c r="R1676" s="17">
        <v>45.7</v>
      </c>
      <c r="S1676" s="18">
        <v>2184.9884999999999</v>
      </c>
      <c r="T1676" s="19" t="s">
        <v>328</v>
      </c>
      <c r="U1676" s="20" t="s">
        <v>64</v>
      </c>
      <c r="V1676" s="25" t="s">
        <v>65</v>
      </c>
      <c r="W1676" s="21">
        <v>1</v>
      </c>
      <c r="X1676" s="22"/>
    </row>
    <row r="1677" spans="1:24" s="1" customFormat="1" ht="108" customHeight="1" x14ac:dyDescent="0.3">
      <c r="A1677" s="11" t="s">
        <v>1355</v>
      </c>
      <c r="B1677" s="11" t="s">
        <v>2227</v>
      </c>
      <c r="C1677" s="12" t="s">
        <v>2228</v>
      </c>
      <c r="D1677" s="24"/>
      <c r="E1677" s="69" t="str">
        <f>HYPERLINK("https://www.google.ru/search?q=811395-NV&amp;newwindow=1&amp;tbm=isch","Еще фото")</f>
        <v>Еще фото</v>
      </c>
      <c r="F1677" s="13"/>
      <c r="G1677" s="11" t="s">
        <v>615</v>
      </c>
      <c r="H1677" s="11" t="s">
        <v>27</v>
      </c>
      <c r="I1677" s="14" t="s">
        <v>616</v>
      </c>
      <c r="J1677" s="14" t="s">
        <v>879</v>
      </c>
      <c r="K1677" s="15" t="s">
        <v>55</v>
      </c>
      <c r="L1677" s="14" t="s">
        <v>2229</v>
      </c>
      <c r="M1677" s="14"/>
      <c r="N1677" s="14" t="s">
        <v>70</v>
      </c>
      <c r="O1677" s="14"/>
      <c r="P1677" s="15" t="s">
        <v>2186</v>
      </c>
      <c r="Q1677" s="16">
        <v>5499</v>
      </c>
      <c r="R1677" s="17">
        <v>45.44</v>
      </c>
      <c r="S1677" s="18">
        <v>3449.9884999999995</v>
      </c>
      <c r="T1677" s="19" t="s">
        <v>328</v>
      </c>
      <c r="U1677" s="20" t="s">
        <v>64</v>
      </c>
      <c r="V1677" s="25" t="s">
        <v>65</v>
      </c>
      <c r="W1677" s="21">
        <v>1</v>
      </c>
      <c r="X1677" s="22"/>
    </row>
    <row r="1678" spans="1:24" s="1" customFormat="1" ht="108" customHeight="1" x14ac:dyDescent="0.3">
      <c r="A1678" s="11" t="s">
        <v>1355</v>
      </c>
      <c r="B1678" s="11" t="s">
        <v>2227</v>
      </c>
      <c r="C1678" s="12" t="s">
        <v>2230</v>
      </c>
      <c r="D1678" s="24"/>
      <c r="E1678" s="69" t="str">
        <f>HYPERLINK("https://www.google.ru/search?q=811395-TE&amp;newwindow=1&amp;tbm=isch","Еще фото")</f>
        <v>Еще фото</v>
      </c>
      <c r="F1678" s="13"/>
      <c r="G1678" s="11" t="s">
        <v>615</v>
      </c>
      <c r="H1678" s="11" t="s">
        <v>27</v>
      </c>
      <c r="I1678" s="14" t="s">
        <v>616</v>
      </c>
      <c r="J1678" s="14" t="s">
        <v>879</v>
      </c>
      <c r="K1678" s="15" t="s">
        <v>55</v>
      </c>
      <c r="L1678" s="14" t="s">
        <v>2229</v>
      </c>
      <c r="M1678" s="14"/>
      <c r="N1678" s="14" t="s">
        <v>70</v>
      </c>
      <c r="O1678" s="14"/>
      <c r="P1678" s="15" t="s">
        <v>2186</v>
      </c>
      <c r="Q1678" s="16">
        <v>5499</v>
      </c>
      <c r="R1678" s="17">
        <v>45.44</v>
      </c>
      <c r="S1678" s="18">
        <v>3449.9884999999995</v>
      </c>
      <c r="T1678" s="19" t="s">
        <v>328</v>
      </c>
      <c r="U1678" s="20" t="s">
        <v>64</v>
      </c>
      <c r="V1678" s="25" t="s">
        <v>65</v>
      </c>
      <c r="W1678" s="21">
        <v>3</v>
      </c>
      <c r="X1678" s="22"/>
    </row>
    <row r="1679" spans="1:24" s="1" customFormat="1" ht="51.95" customHeight="1" x14ac:dyDescent="0.3">
      <c r="A1679" s="11" t="s">
        <v>1355</v>
      </c>
      <c r="B1679" s="11" t="s">
        <v>2217</v>
      </c>
      <c r="C1679" s="12" t="s">
        <v>2231</v>
      </c>
      <c r="D1679" s="89"/>
      <c r="E1679" s="69" t="str">
        <f>HYPERLINK("https://www.google.ru/search?q=814431-WH&amp;newwindow=1&amp;tbm=isch","Еще фото")</f>
        <v>Еще фото</v>
      </c>
      <c r="F1679" s="13"/>
      <c r="G1679" s="11" t="s">
        <v>615</v>
      </c>
      <c r="H1679" s="11" t="s">
        <v>27</v>
      </c>
      <c r="I1679" s="14" t="s">
        <v>616</v>
      </c>
      <c r="J1679" s="14" t="s">
        <v>879</v>
      </c>
      <c r="K1679" s="15" t="s">
        <v>47</v>
      </c>
      <c r="L1679" s="86" t="s">
        <v>2219</v>
      </c>
      <c r="M1679" s="14"/>
      <c r="N1679" s="14" t="s">
        <v>89</v>
      </c>
      <c r="O1679" s="14"/>
      <c r="P1679" s="15" t="s">
        <v>2220</v>
      </c>
      <c r="Q1679" s="16">
        <v>4299</v>
      </c>
      <c r="R1679" s="17">
        <v>45.16</v>
      </c>
      <c r="S1679" s="18">
        <v>2711.4354999999996</v>
      </c>
      <c r="T1679" s="19" t="s">
        <v>328</v>
      </c>
      <c r="U1679" s="20" t="s">
        <v>64</v>
      </c>
      <c r="V1679" s="25" t="s">
        <v>67</v>
      </c>
      <c r="W1679" s="21">
        <v>1</v>
      </c>
      <c r="X1679" s="22"/>
    </row>
    <row r="1680" spans="1:24" s="1" customFormat="1" ht="60.95" customHeight="1" x14ac:dyDescent="0.3">
      <c r="A1680" s="23" t="s">
        <v>1355</v>
      </c>
      <c r="B1680" s="23" t="s">
        <v>2217</v>
      </c>
      <c r="C1680" s="12" t="s">
        <v>2231</v>
      </c>
      <c r="D1680" s="90"/>
      <c r="E1680" s="69" t="str">
        <f>HYPERLINK("https://www.google.ru/search?q=814431-WH&amp;newwindow=1&amp;tbm=isch","Еще фото")</f>
        <v>Еще фото</v>
      </c>
      <c r="F1680" s="13"/>
      <c r="G1680" s="23" t="s">
        <v>615</v>
      </c>
      <c r="H1680" s="23" t="s">
        <v>27</v>
      </c>
      <c r="I1680" s="23" t="s">
        <v>616</v>
      </c>
      <c r="J1680" s="14" t="s">
        <v>879</v>
      </c>
      <c r="K1680" s="15" t="s">
        <v>47</v>
      </c>
      <c r="L1680" s="88"/>
      <c r="M1680" s="14"/>
      <c r="N1680" s="14" t="s">
        <v>89</v>
      </c>
      <c r="O1680" s="14"/>
      <c r="P1680" s="15" t="s">
        <v>2220</v>
      </c>
      <c r="Q1680" s="16">
        <v>4299</v>
      </c>
      <c r="R1680" s="17">
        <v>45.16</v>
      </c>
      <c r="S1680" s="18">
        <v>2711.4354999999996</v>
      </c>
      <c r="T1680" s="19" t="s">
        <v>328</v>
      </c>
      <c r="U1680" s="20" t="s">
        <v>58</v>
      </c>
      <c r="V1680" s="25" t="s">
        <v>53</v>
      </c>
      <c r="W1680" s="21">
        <v>1</v>
      </c>
      <c r="X1680" s="22"/>
    </row>
    <row r="1681" spans="1:24" s="1" customFormat="1" ht="108" customHeight="1" x14ac:dyDescent="0.3">
      <c r="A1681" s="11" t="s">
        <v>1355</v>
      </c>
      <c r="B1681" s="11" t="s">
        <v>2232</v>
      </c>
      <c r="C1681" s="12" t="s">
        <v>2233</v>
      </c>
      <c r="D1681" s="24"/>
      <c r="E1681" s="69" t="str">
        <f>HYPERLINK("https://www.google.ru/search?q=814256-LB&amp;newwindow=1&amp;tbm=isch","Еще фото")</f>
        <v>Еще фото</v>
      </c>
      <c r="F1681" s="13"/>
      <c r="G1681" s="11" t="s">
        <v>2158</v>
      </c>
      <c r="H1681" s="11" t="s">
        <v>27</v>
      </c>
      <c r="I1681" s="14" t="s">
        <v>616</v>
      </c>
      <c r="J1681" s="14" t="s">
        <v>879</v>
      </c>
      <c r="K1681" s="15" t="s">
        <v>47</v>
      </c>
      <c r="L1681" s="14" t="s">
        <v>2234</v>
      </c>
      <c r="M1681" s="14"/>
      <c r="N1681" s="14" t="s">
        <v>265</v>
      </c>
      <c r="O1681" s="14"/>
      <c r="P1681" s="15" t="s">
        <v>108</v>
      </c>
      <c r="Q1681" s="16">
        <v>7899</v>
      </c>
      <c r="R1681" s="17">
        <v>45.08</v>
      </c>
      <c r="S1681" s="18">
        <v>4988.4355000000005</v>
      </c>
      <c r="T1681" s="19" t="s">
        <v>328</v>
      </c>
      <c r="U1681" s="20" t="s">
        <v>66</v>
      </c>
      <c r="V1681" s="25" t="s">
        <v>68</v>
      </c>
      <c r="W1681" s="21">
        <v>2</v>
      </c>
      <c r="X1681" s="22"/>
    </row>
    <row r="1682" spans="1:24" s="1" customFormat="1" ht="21" customHeight="1" x14ac:dyDescent="0.3">
      <c r="A1682" s="11" t="s">
        <v>1355</v>
      </c>
      <c r="B1682" s="11" t="s">
        <v>2180</v>
      </c>
      <c r="C1682" s="27" t="s">
        <v>2235</v>
      </c>
      <c r="D1682" s="83"/>
      <c r="E1682" s="69" t="str">
        <f>HYPERLINK("https://www.google.ru/search?q=816036-ABWH&amp;newwindow=1&amp;tbm=isch","Еще фото")</f>
        <v>Еще фото</v>
      </c>
      <c r="F1682" s="13"/>
      <c r="G1682" s="11" t="s">
        <v>615</v>
      </c>
      <c r="H1682" s="11" t="s">
        <v>27</v>
      </c>
      <c r="I1682" s="14" t="s">
        <v>616</v>
      </c>
      <c r="J1682" s="14" t="s">
        <v>879</v>
      </c>
      <c r="K1682" s="15" t="s">
        <v>30</v>
      </c>
      <c r="L1682" s="86" t="s">
        <v>2236</v>
      </c>
      <c r="M1682" s="14"/>
      <c r="N1682" s="14" t="s">
        <v>70</v>
      </c>
      <c r="O1682" s="14"/>
      <c r="P1682" s="15" t="s">
        <v>108</v>
      </c>
      <c r="Q1682" s="16">
        <v>4999</v>
      </c>
      <c r="R1682" s="17">
        <v>45.03</v>
      </c>
      <c r="S1682" s="18">
        <v>3159.9354999999996</v>
      </c>
      <c r="T1682" s="19" t="s">
        <v>328</v>
      </c>
      <c r="U1682" s="20" t="s">
        <v>37</v>
      </c>
      <c r="V1682" s="21">
        <v>128</v>
      </c>
      <c r="W1682" s="21">
        <v>1</v>
      </c>
      <c r="X1682" s="22"/>
    </row>
    <row r="1683" spans="1:24" s="1" customFormat="1" ht="21" customHeight="1" x14ac:dyDescent="0.3">
      <c r="A1683" s="23" t="s">
        <v>1355</v>
      </c>
      <c r="B1683" s="23" t="s">
        <v>2180</v>
      </c>
      <c r="C1683" s="28" t="s">
        <v>2235</v>
      </c>
      <c r="D1683" s="84"/>
      <c r="E1683" s="69" t="str">
        <f>HYPERLINK("https://www.google.ru/search?q=816036-ABWH&amp;newwindow=1&amp;tbm=isch","Еще фото")</f>
        <v>Еще фото</v>
      </c>
      <c r="F1683" s="13"/>
      <c r="G1683" s="23" t="s">
        <v>615</v>
      </c>
      <c r="H1683" s="23" t="s">
        <v>27</v>
      </c>
      <c r="I1683" s="23" t="s">
        <v>616</v>
      </c>
      <c r="J1683" s="14" t="s">
        <v>879</v>
      </c>
      <c r="K1683" s="15" t="s">
        <v>30</v>
      </c>
      <c r="L1683" s="87"/>
      <c r="M1683" s="14"/>
      <c r="N1683" s="14" t="s">
        <v>70</v>
      </c>
      <c r="O1683" s="14"/>
      <c r="P1683" s="15" t="s">
        <v>108</v>
      </c>
      <c r="Q1683" s="16">
        <v>4999</v>
      </c>
      <c r="R1683" s="17">
        <v>45.03</v>
      </c>
      <c r="S1683" s="18">
        <v>3159.9354999999996</v>
      </c>
      <c r="T1683" s="19" t="s">
        <v>328</v>
      </c>
      <c r="U1683" s="20" t="s">
        <v>290</v>
      </c>
      <c r="V1683" s="21">
        <v>140</v>
      </c>
      <c r="W1683" s="21">
        <v>1</v>
      </c>
      <c r="X1683" s="22"/>
    </row>
    <row r="1684" spans="1:24" s="1" customFormat="1" ht="21" customHeight="1" x14ac:dyDescent="0.3">
      <c r="A1684" s="23" t="s">
        <v>1355</v>
      </c>
      <c r="B1684" s="23" t="s">
        <v>2180</v>
      </c>
      <c r="C1684" s="28" t="s">
        <v>2235</v>
      </c>
      <c r="D1684" s="84"/>
      <c r="E1684" s="69" t="str">
        <f>HYPERLINK("https://www.google.ru/search?q=816036-ABWH&amp;newwindow=1&amp;tbm=isch","Еще фото")</f>
        <v>Еще фото</v>
      </c>
      <c r="F1684" s="13"/>
      <c r="G1684" s="23" t="s">
        <v>615</v>
      </c>
      <c r="H1684" s="23" t="s">
        <v>27</v>
      </c>
      <c r="I1684" s="23" t="s">
        <v>616</v>
      </c>
      <c r="J1684" s="14" t="s">
        <v>879</v>
      </c>
      <c r="K1684" s="15" t="s">
        <v>30</v>
      </c>
      <c r="L1684" s="87"/>
      <c r="M1684" s="14"/>
      <c r="N1684" s="14" t="s">
        <v>70</v>
      </c>
      <c r="O1684" s="14"/>
      <c r="P1684" s="15" t="s">
        <v>108</v>
      </c>
      <c r="Q1684" s="16">
        <v>4999</v>
      </c>
      <c r="R1684" s="17">
        <v>45.03</v>
      </c>
      <c r="S1684" s="18">
        <v>3159.9354999999996</v>
      </c>
      <c r="T1684" s="19" t="s">
        <v>328</v>
      </c>
      <c r="U1684" s="20" t="s">
        <v>2160</v>
      </c>
      <c r="V1684" s="21">
        <v>152</v>
      </c>
      <c r="W1684" s="21">
        <v>5</v>
      </c>
      <c r="X1684" s="22"/>
    </row>
    <row r="1685" spans="1:24" s="1" customFormat="1" ht="21" customHeight="1" x14ac:dyDescent="0.3">
      <c r="A1685" s="23" t="s">
        <v>1355</v>
      </c>
      <c r="B1685" s="23" t="s">
        <v>2180</v>
      </c>
      <c r="C1685" s="28" t="s">
        <v>2235</v>
      </c>
      <c r="D1685" s="84"/>
      <c r="E1685" s="69" t="str">
        <f>HYPERLINK("https://www.google.ru/search?q=816036-ABWH&amp;newwindow=1&amp;tbm=isch","Еще фото")</f>
        <v>Еще фото</v>
      </c>
      <c r="F1685" s="13"/>
      <c r="G1685" s="23" t="s">
        <v>615</v>
      </c>
      <c r="H1685" s="23" t="s">
        <v>27</v>
      </c>
      <c r="I1685" s="23" t="s">
        <v>616</v>
      </c>
      <c r="J1685" s="14" t="s">
        <v>879</v>
      </c>
      <c r="K1685" s="15" t="s">
        <v>30</v>
      </c>
      <c r="L1685" s="87"/>
      <c r="M1685" s="14"/>
      <c r="N1685" s="14" t="s">
        <v>70</v>
      </c>
      <c r="O1685" s="14"/>
      <c r="P1685" s="15" t="s">
        <v>108</v>
      </c>
      <c r="Q1685" s="16">
        <v>4999</v>
      </c>
      <c r="R1685" s="17">
        <v>45.03</v>
      </c>
      <c r="S1685" s="18">
        <v>3159.9354999999996</v>
      </c>
      <c r="T1685" s="19" t="s">
        <v>328</v>
      </c>
      <c r="U1685" s="20" t="s">
        <v>2161</v>
      </c>
      <c r="V1685" s="21">
        <v>164</v>
      </c>
      <c r="W1685" s="21">
        <v>2</v>
      </c>
      <c r="X1685" s="22"/>
    </row>
    <row r="1686" spans="1:24" s="1" customFormat="1" ht="32.1" customHeight="1" x14ac:dyDescent="0.3">
      <c r="A1686" s="23" t="s">
        <v>1355</v>
      </c>
      <c r="B1686" s="23" t="s">
        <v>2180</v>
      </c>
      <c r="C1686" s="28" t="s">
        <v>2235</v>
      </c>
      <c r="D1686" s="85"/>
      <c r="E1686" s="69" t="str">
        <f>HYPERLINK("https://www.google.ru/search?q=816036-ABWH&amp;newwindow=1&amp;tbm=isch","Еще фото")</f>
        <v>Еще фото</v>
      </c>
      <c r="F1686" s="13"/>
      <c r="G1686" s="23" t="s">
        <v>615</v>
      </c>
      <c r="H1686" s="23" t="s">
        <v>27</v>
      </c>
      <c r="I1686" s="23" t="s">
        <v>616</v>
      </c>
      <c r="J1686" s="14" t="s">
        <v>879</v>
      </c>
      <c r="K1686" s="15" t="s">
        <v>30</v>
      </c>
      <c r="L1686" s="88"/>
      <c r="M1686" s="14"/>
      <c r="N1686" s="14" t="s">
        <v>70</v>
      </c>
      <c r="O1686" s="14"/>
      <c r="P1686" s="15" t="s">
        <v>108</v>
      </c>
      <c r="Q1686" s="16">
        <v>4999</v>
      </c>
      <c r="R1686" s="17">
        <v>45.03</v>
      </c>
      <c r="S1686" s="18">
        <v>3159.9354999999996</v>
      </c>
      <c r="T1686" s="19" t="s">
        <v>328</v>
      </c>
      <c r="U1686" s="20" t="s">
        <v>2162</v>
      </c>
      <c r="V1686" s="21">
        <v>176</v>
      </c>
      <c r="W1686" s="21">
        <v>1</v>
      </c>
      <c r="X1686" s="22"/>
    </row>
    <row r="1687" spans="1:24" s="1" customFormat="1" ht="26.1" customHeight="1" x14ac:dyDescent="0.3">
      <c r="A1687" s="11" t="s">
        <v>1355</v>
      </c>
      <c r="B1687" s="11" t="s">
        <v>2171</v>
      </c>
      <c r="C1687" s="12" t="s">
        <v>2237</v>
      </c>
      <c r="D1687" s="83"/>
      <c r="E1687" s="69" t="str">
        <f>HYPERLINK("https://www.google.ru/search?q=814226-APLB&amp;newwindow=1&amp;tbm=isch","Еще фото")</f>
        <v>Еще фото</v>
      </c>
      <c r="F1687" s="13"/>
      <c r="G1687" s="11" t="s">
        <v>2158</v>
      </c>
      <c r="H1687" s="11" t="s">
        <v>27</v>
      </c>
      <c r="I1687" s="14" t="s">
        <v>616</v>
      </c>
      <c r="J1687" s="14" t="s">
        <v>879</v>
      </c>
      <c r="K1687" s="15" t="s">
        <v>47</v>
      </c>
      <c r="L1687" s="86" t="s">
        <v>2238</v>
      </c>
      <c r="M1687" s="14"/>
      <c r="N1687" s="14" t="s">
        <v>313</v>
      </c>
      <c r="O1687" s="14"/>
      <c r="P1687" s="15" t="s">
        <v>108</v>
      </c>
      <c r="Q1687" s="16">
        <v>5999</v>
      </c>
      <c r="R1687" s="17">
        <v>45.03</v>
      </c>
      <c r="S1687" s="18">
        <v>3792.4354999999996</v>
      </c>
      <c r="T1687" s="19" t="s">
        <v>328</v>
      </c>
      <c r="U1687" s="20" t="s">
        <v>64</v>
      </c>
      <c r="V1687" s="25" t="s">
        <v>67</v>
      </c>
      <c r="W1687" s="21">
        <v>2</v>
      </c>
      <c r="X1687" s="22"/>
    </row>
    <row r="1688" spans="1:24" s="1" customFormat="1" ht="26.1" customHeight="1" x14ac:dyDescent="0.3">
      <c r="A1688" s="23" t="s">
        <v>1355</v>
      </c>
      <c r="B1688" s="23" t="s">
        <v>2171</v>
      </c>
      <c r="C1688" s="12" t="s">
        <v>2237</v>
      </c>
      <c r="D1688" s="84"/>
      <c r="E1688" s="69" t="str">
        <f>HYPERLINK("https://www.google.ru/search?q=814226-APLB&amp;newwindow=1&amp;tbm=isch","Еще фото")</f>
        <v>Еще фото</v>
      </c>
      <c r="F1688" s="13"/>
      <c r="G1688" s="23" t="s">
        <v>2158</v>
      </c>
      <c r="H1688" s="23" t="s">
        <v>27</v>
      </c>
      <c r="I1688" s="23" t="s">
        <v>616</v>
      </c>
      <c r="J1688" s="14" t="s">
        <v>879</v>
      </c>
      <c r="K1688" s="15" t="s">
        <v>47</v>
      </c>
      <c r="L1688" s="87"/>
      <c r="M1688" s="14"/>
      <c r="N1688" s="14" t="s">
        <v>313</v>
      </c>
      <c r="O1688" s="14"/>
      <c r="P1688" s="15" t="s">
        <v>108</v>
      </c>
      <c r="Q1688" s="16">
        <v>5999</v>
      </c>
      <c r="R1688" s="17">
        <v>45.03</v>
      </c>
      <c r="S1688" s="18">
        <v>3792.4354999999996</v>
      </c>
      <c r="T1688" s="19" t="s">
        <v>328</v>
      </c>
      <c r="U1688" s="20" t="s">
        <v>66</v>
      </c>
      <c r="V1688" s="25" t="s">
        <v>68</v>
      </c>
      <c r="W1688" s="21">
        <v>5</v>
      </c>
      <c r="X1688" s="22"/>
    </row>
    <row r="1689" spans="1:24" s="1" customFormat="1" ht="26.1" customHeight="1" x14ac:dyDescent="0.3">
      <c r="A1689" s="23" t="s">
        <v>1355</v>
      </c>
      <c r="B1689" s="23" t="s">
        <v>2171</v>
      </c>
      <c r="C1689" s="12" t="s">
        <v>2237</v>
      </c>
      <c r="D1689" s="84"/>
      <c r="E1689" s="69" t="str">
        <f>HYPERLINK("https://www.google.ru/search?q=814226-APLB&amp;newwindow=1&amp;tbm=isch","Еще фото")</f>
        <v>Еще фото</v>
      </c>
      <c r="F1689" s="13"/>
      <c r="G1689" s="23" t="s">
        <v>2158</v>
      </c>
      <c r="H1689" s="23" t="s">
        <v>27</v>
      </c>
      <c r="I1689" s="23" t="s">
        <v>616</v>
      </c>
      <c r="J1689" s="14" t="s">
        <v>879</v>
      </c>
      <c r="K1689" s="15" t="s">
        <v>47</v>
      </c>
      <c r="L1689" s="87"/>
      <c r="M1689" s="14"/>
      <c r="N1689" s="14" t="s">
        <v>313</v>
      </c>
      <c r="O1689" s="14"/>
      <c r="P1689" s="15" t="s">
        <v>108</v>
      </c>
      <c r="Q1689" s="16">
        <v>5999</v>
      </c>
      <c r="R1689" s="17">
        <v>45.03</v>
      </c>
      <c r="S1689" s="18">
        <v>3792.4354999999996</v>
      </c>
      <c r="T1689" s="19" t="s">
        <v>328</v>
      </c>
      <c r="U1689" s="20" t="s">
        <v>58</v>
      </c>
      <c r="V1689" s="25" t="s">
        <v>53</v>
      </c>
      <c r="W1689" s="21">
        <v>4</v>
      </c>
      <c r="X1689" s="22"/>
    </row>
    <row r="1690" spans="1:24" s="1" customFormat="1" ht="26.1" customHeight="1" x14ac:dyDescent="0.3">
      <c r="A1690" s="23" t="s">
        <v>1355</v>
      </c>
      <c r="B1690" s="23" t="s">
        <v>2171</v>
      </c>
      <c r="C1690" s="12" t="s">
        <v>2237</v>
      </c>
      <c r="D1690" s="85"/>
      <c r="E1690" s="69" t="str">
        <f>HYPERLINK("https://www.google.ru/search?q=814226-APLB&amp;newwindow=1&amp;tbm=isch","Еще фото")</f>
        <v>Еще фото</v>
      </c>
      <c r="F1690" s="13"/>
      <c r="G1690" s="23" t="s">
        <v>2158</v>
      </c>
      <c r="H1690" s="23" t="s">
        <v>27</v>
      </c>
      <c r="I1690" s="23" t="s">
        <v>616</v>
      </c>
      <c r="J1690" s="14" t="s">
        <v>879</v>
      </c>
      <c r="K1690" s="15" t="s">
        <v>47</v>
      </c>
      <c r="L1690" s="88"/>
      <c r="M1690" s="14"/>
      <c r="N1690" s="14" t="s">
        <v>313</v>
      </c>
      <c r="O1690" s="14"/>
      <c r="P1690" s="15" t="s">
        <v>108</v>
      </c>
      <c r="Q1690" s="16">
        <v>5999</v>
      </c>
      <c r="R1690" s="17">
        <v>45.03</v>
      </c>
      <c r="S1690" s="18">
        <v>3792.4354999999996</v>
      </c>
      <c r="T1690" s="19" t="s">
        <v>328</v>
      </c>
      <c r="U1690" s="20" t="s">
        <v>52</v>
      </c>
      <c r="V1690" s="25" t="s">
        <v>59</v>
      </c>
      <c r="W1690" s="21">
        <v>2</v>
      </c>
      <c r="X1690" s="22"/>
    </row>
    <row r="1691" spans="1:24" s="1" customFormat="1" ht="51.95" customHeight="1" x14ac:dyDescent="0.3">
      <c r="A1691" s="11" t="s">
        <v>1355</v>
      </c>
      <c r="B1691" s="11" t="s">
        <v>2239</v>
      </c>
      <c r="C1691" s="12" t="s">
        <v>2240</v>
      </c>
      <c r="D1691" s="89"/>
      <c r="E1691" s="69" t="str">
        <f>HYPERLINK("https://www.google.ru/search?q=811136-ROXV&amp;newwindow=1&amp;tbm=isch","Еще фото")</f>
        <v>Еще фото</v>
      </c>
      <c r="F1691" s="13"/>
      <c r="G1691" s="11" t="s">
        <v>615</v>
      </c>
      <c r="H1691" s="11" t="s">
        <v>27</v>
      </c>
      <c r="I1691" s="14" t="s">
        <v>616</v>
      </c>
      <c r="J1691" s="14" t="s">
        <v>879</v>
      </c>
      <c r="K1691" s="15" t="s">
        <v>55</v>
      </c>
      <c r="L1691" s="86" t="s">
        <v>2241</v>
      </c>
      <c r="M1691" s="14"/>
      <c r="N1691" s="14" t="s">
        <v>2242</v>
      </c>
      <c r="O1691" s="14"/>
      <c r="P1691" s="15" t="s">
        <v>108</v>
      </c>
      <c r="Q1691" s="16">
        <v>6599</v>
      </c>
      <c r="R1691" s="17">
        <v>45.03</v>
      </c>
      <c r="S1691" s="18">
        <v>4171.9354999999996</v>
      </c>
      <c r="T1691" s="19" t="s">
        <v>328</v>
      </c>
      <c r="U1691" s="20" t="s">
        <v>64</v>
      </c>
      <c r="V1691" s="25" t="s">
        <v>65</v>
      </c>
      <c r="W1691" s="21">
        <v>4</v>
      </c>
      <c r="X1691" s="22"/>
    </row>
    <row r="1692" spans="1:24" s="1" customFormat="1" ht="60.95" customHeight="1" x14ac:dyDescent="0.3">
      <c r="A1692" s="23" t="s">
        <v>1355</v>
      </c>
      <c r="B1692" s="23" t="s">
        <v>2239</v>
      </c>
      <c r="C1692" s="12" t="s">
        <v>2240</v>
      </c>
      <c r="D1692" s="90"/>
      <c r="E1692" s="69" t="str">
        <f>HYPERLINK("https://www.google.ru/search?q=811136-ROXV&amp;newwindow=1&amp;tbm=isch","Еще фото")</f>
        <v>Еще фото</v>
      </c>
      <c r="F1692" s="13"/>
      <c r="G1692" s="23" t="s">
        <v>615</v>
      </c>
      <c r="H1692" s="23" t="s">
        <v>27</v>
      </c>
      <c r="I1692" s="23" t="s">
        <v>616</v>
      </c>
      <c r="J1692" s="14" t="s">
        <v>879</v>
      </c>
      <c r="K1692" s="15" t="s">
        <v>55</v>
      </c>
      <c r="L1692" s="88"/>
      <c r="M1692" s="14"/>
      <c r="N1692" s="14" t="s">
        <v>2242</v>
      </c>
      <c r="O1692" s="14"/>
      <c r="P1692" s="15" t="s">
        <v>108</v>
      </c>
      <c r="Q1692" s="16">
        <v>6599</v>
      </c>
      <c r="R1692" s="17">
        <v>45.03</v>
      </c>
      <c r="S1692" s="18">
        <v>4171.9354999999996</v>
      </c>
      <c r="T1692" s="19" t="s">
        <v>328</v>
      </c>
      <c r="U1692" s="20" t="s">
        <v>66</v>
      </c>
      <c r="V1692" s="25" t="s">
        <v>67</v>
      </c>
      <c r="W1692" s="21">
        <v>5</v>
      </c>
      <c r="X1692" s="22"/>
    </row>
    <row r="1693" spans="1:24" s="1" customFormat="1" ht="26.1" customHeight="1" x14ac:dyDescent="0.3">
      <c r="A1693" s="11" t="s">
        <v>1355</v>
      </c>
      <c r="B1693" s="11" t="s">
        <v>2243</v>
      </c>
      <c r="C1693" s="12" t="s">
        <v>2244</v>
      </c>
      <c r="D1693" s="83"/>
      <c r="E1693" s="69" t="str">
        <f>HYPERLINK("https://www.google.ru/search?q=814206-APLB&amp;newwindow=1&amp;tbm=isch","Еще фото")</f>
        <v>Еще фото</v>
      </c>
      <c r="F1693" s="13"/>
      <c r="G1693" s="11" t="s">
        <v>615</v>
      </c>
      <c r="H1693" s="11" t="s">
        <v>27</v>
      </c>
      <c r="I1693" s="14" t="s">
        <v>616</v>
      </c>
      <c r="J1693" s="14" t="s">
        <v>879</v>
      </c>
      <c r="K1693" s="15" t="s">
        <v>47</v>
      </c>
      <c r="L1693" s="86" t="s">
        <v>2245</v>
      </c>
      <c r="M1693" s="14"/>
      <c r="N1693" s="14" t="s">
        <v>313</v>
      </c>
      <c r="O1693" s="14"/>
      <c r="P1693" s="15" t="s">
        <v>108</v>
      </c>
      <c r="Q1693" s="16">
        <v>6599</v>
      </c>
      <c r="R1693" s="17">
        <v>45.03</v>
      </c>
      <c r="S1693" s="18">
        <v>4171.9354999999996</v>
      </c>
      <c r="T1693" s="19" t="s">
        <v>328</v>
      </c>
      <c r="U1693" s="20" t="s">
        <v>64</v>
      </c>
      <c r="V1693" s="25" t="s">
        <v>67</v>
      </c>
      <c r="W1693" s="21">
        <v>1</v>
      </c>
      <c r="X1693" s="22"/>
    </row>
    <row r="1694" spans="1:24" s="1" customFormat="1" ht="26.1" customHeight="1" x14ac:dyDescent="0.3">
      <c r="A1694" s="23" t="s">
        <v>1355</v>
      </c>
      <c r="B1694" s="23" t="s">
        <v>2243</v>
      </c>
      <c r="C1694" s="12" t="s">
        <v>2244</v>
      </c>
      <c r="D1694" s="84"/>
      <c r="E1694" s="69" t="str">
        <f>HYPERLINK("https://www.google.ru/search?q=814206-APLB&amp;newwindow=1&amp;tbm=isch","Еще фото")</f>
        <v>Еще фото</v>
      </c>
      <c r="F1694" s="13"/>
      <c r="G1694" s="23" t="s">
        <v>615</v>
      </c>
      <c r="H1694" s="23" t="s">
        <v>27</v>
      </c>
      <c r="I1694" s="23" t="s">
        <v>616</v>
      </c>
      <c r="J1694" s="14" t="s">
        <v>879</v>
      </c>
      <c r="K1694" s="15" t="s">
        <v>47</v>
      </c>
      <c r="L1694" s="87"/>
      <c r="M1694" s="14"/>
      <c r="N1694" s="14" t="s">
        <v>313</v>
      </c>
      <c r="O1694" s="14"/>
      <c r="P1694" s="15" t="s">
        <v>108</v>
      </c>
      <c r="Q1694" s="16">
        <v>6599</v>
      </c>
      <c r="R1694" s="17">
        <v>45.03</v>
      </c>
      <c r="S1694" s="18">
        <v>4171.9354999999996</v>
      </c>
      <c r="T1694" s="19" t="s">
        <v>328</v>
      </c>
      <c r="U1694" s="20" t="s">
        <v>66</v>
      </c>
      <c r="V1694" s="25" t="s">
        <v>68</v>
      </c>
      <c r="W1694" s="21">
        <v>6</v>
      </c>
      <c r="X1694" s="22"/>
    </row>
    <row r="1695" spans="1:24" s="1" customFormat="1" ht="26.1" customHeight="1" x14ac:dyDescent="0.3">
      <c r="A1695" s="23" t="s">
        <v>1355</v>
      </c>
      <c r="B1695" s="23" t="s">
        <v>2243</v>
      </c>
      <c r="C1695" s="12" t="s">
        <v>2244</v>
      </c>
      <c r="D1695" s="84"/>
      <c r="E1695" s="69" t="str">
        <f>HYPERLINK("https://www.google.ru/search?q=814206-APLB&amp;newwindow=1&amp;tbm=isch","Еще фото")</f>
        <v>Еще фото</v>
      </c>
      <c r="F1695" s="13"/>
      <c r="G1695" s="23" t="s">
        <v>615</v>
      </c>
      <c r="H1695" s="23" t="s">
        <v>27</v>
      </c>
      <c r="I1695" s="23" t="s">
        <v>616</v>
      </c>
      <c r="J1695" s="14" t="s">
        <v>879</v>
      </c>
      <c r="K1695" s="15" t="s">
        <v>47</v>
      </c>
      <c r="L1695" s="87"/>
      <c r="M1695" s="14"/>
      <c r="N1695" s="14" t="s">
        <v>313</v>
      </c>
      <c r="O1695" s="14"/>
      <c r="P1695" s="15" t="s">
        <v>108</v>
      </c>
      <c r="Q1695" s="16">
        <v>6599</v>
      </c>
      <c r="R1695" s="17">
        <v>45.03</v>
      </c>
      <c r="S1695" s="18">
        <v>4171.9354999999996</v>
      </c>
      <c r="T1695" s="19" t="s">
        <v>328</v>
      </c>
      <c r="U1695" s="20" t="s">
        <v>58</v>
      </c>
      <c r="V1695" s="25" t="s">
        <v>53</v>
      </c>
      <c r="W1695" s="21">
        <v>4</v>
      </c>
      <c r="X1695" s="22"/>
    </row>
    <row r="1696" spans="1:24" s="1" customFormat="1" ht="26.1" customHeight="1" x14ac:dyDescent="0.3">
      <c r="A1696" s="23" t="s">
        <v>1355</v>
      </c>
      <c r="B1696" s="23" t="s">
        <v>2243</v>
      </c>
      <c r="C1696" s="12" t="s">
        <v>2244</v>
      </c>
      <c r="D1696" s="85"/>
      <c r="E1696" s="69" t="str">
        <f>HYPERLINK("https://www.google.ru/search?q=814206-APLB&amp;newwindow=1&amp;tbm=isch","Еще фото")</f>
        <v>Еще фото</v>
      </c>
      <c r="F1696" s="13"/>
      <c r="G1696" s="23" t="s">
        <v>615</v>
      </c>
      <c r="H1696" s="23" t="s">
        <v>27</v>
      </c>
      <c r="I1696" s="23" t="s">
        <v>616</v>
      </c>
      <c r="J1696" s="14" t="s">
        <v>879</v>
      </c>
      <c r="K1696" s="15" t="s">
        <v>47</v>
      </c>
      <c r="L1696" s="88"/>
      <c r="M1696" s="14"/>
      <c r="N1696" s="14" t="s">
        <v>313</v>
      </c>
      <c r="O1696" s="14"/>
      <c r="P1696" s="15" t="s">
        <v>108</v>
      </c>
      <c r="Q1696" s="16">
        <v>6599</v>
      </c>
      <c r="R1696" s="17">
        <v>45.03</v>
      </c>
      <c r="S1696" s="18">
        <v>4171.9354999999996</v>
      </c>
      <c r="T1696" s="19" t="s">
        <v>328</v>
      </c>
      <c r="U1696" s="20" t="s">
        <v>52</v>
      </c>
      <c r="V1696" s="25" t="s">
        <v>59</v>
      </c>
      <c r="W1696" s="21">
        <v>1</v>
      </c>
      <c r="X1696" s="22"/>
    </row>
    <row r="1697" spans="1:24" s="1" customFormat="1" ht="35.1" customHeight="1" x14ac:dyDescent="0.3">
      <c r="A1697" s="11" t="s">
        <v>1355</v>
      </c>
      <c r="B1697" s="11" t="s">
        <v>2243</v>
      </c>
      <c r="C1697" s="12" t="s">
        <v>2246</v>
      </c>
      <c r="D1697" s="83"/>
      <c r="E1697" s="69" t="str">
        <f>HYPERLINK("https://www.google.ru/search?q=814206-LBWH&amp;newwindow=1&amp;tbm=isch","Еще фото")</f>
        <v>Еще фото</v>
      </c>
      <c r="F1697" s="13"/>
      <c r="G1697" s="11" t="s">
        <v>615</v>
      </c>
      <c r="H1697" s="11" t="s">
        <v>27</v>
      </c>
      <c r="I1697" s="14" t="s">
        <v>616</v>
      </c>
      <c r="J1697" s="14" t="s">
        <v>879</v>
      </c>
      <c r="K1697" s="15" t="s">
        <v>47</v>
      </c>
      <c r="L1697" s="86" t="s">
        <v>2245</v>
      </c>
      <c r="M1697" s="14"/>
      <c r="N1697" s="14" t="s">
        <v>265</v>
      </c>
      <c r="O1697" s="14"/>
      <c r="P1697" s="15" t="s">
        <v>108</v>
      </c>
      <c r="Q1697" s="16">
        <v>6599</v>
      </c>
      <c r="R1697" s="17">
        <v>45.03</v>
      </c>
      <c r="S1697" s="18">
        <v>4171.9354999999996</v>
      </c>
      <c r="T1697" s="19" t="s">
        <v>328</v>
      </c>
      <c r="U1697" s="20" t="s">
        <v>64</v>
      </c>
      <c r="V1697" s="25" t="s">
        <v>67</v>
      </c>
      <c r="W1697" s="21">
        <v>1</v>
      </c>
      <c r="X1697" s="22"/>
    </row>
    <row r="1698" spans="1:24" s="1" customFormat="1" ht="35.1" customHeight="1" x14ac:dyDescent="0.3">
      <c r="A1698" s="23" t="s">
        <v>1355</v>
      </c>
      <c r="B1698" s="23" t="s">
        <v>2243</v>
      </c>
      <c r="C1698" s="12" t="s">
        <v>2246</v>
      </c>
      <c r="D1698" s="84"/>
      <c r="E1698" s="69" t="str">
        <f>HYPERLINK("https://www.google.ru/search?q=814206-LBWH&amp;newwindow=1&amp;tbm=isch","Еще фото")</f>
        <v>Еще фото</v>
      </c>
      <c r="F1698" s="13"/>
      <c r="G1698" s="23" t="s">
        <v>615</v>
      </c>
      <c r="H1698" s="23" t="s">
        <v>27</v>
      </c>
      <c r="I1698" s="23" t="s">
        <v>616</v>
      </c>
      <c r="J1698" s="14" t="s">
        <v>879</v>
      </c>
      <c r="K1698" s="15" t="s">
        <v>47</v>
      </c>
      <c r="L1698" s="87"/>
      <c r="M1698" s="14"/>
      <c r="N1698" s="14" t="s">
        <v>265</v>
      </c>
      <c r="O1698" s="14"/>
      <c r="P1698" s="15" t="s">
        <v>108</v>
      </c>
      <c r="Q1698" s="16">
        <v>6599</v>
      </c>
      <c r="R1698" s="17">
        <v>45.03</v>
      </c>
      <c r="S1698" s="18">
        <v>4171.9354999999996</v>
      </c>
      <c r="T1698" s="19" t="s">
        <v>328</v>
      </c>
      <c r="U1698" s="20" t="s">
        <v>66</v>
      </c>
      <c r="V1698" s="25" t="s">
        <v>68</v>
      </c>
      <c r="W1698" s="21">
        <v>3</v>
      </c>
      <c r="X1698" s="22"/>
    </row>
    <row r="1699" spans="1:24" s="1" customFormat="1" ht="36.950000000000003" customHeight="1" x14ac:dyDescent="0.3">
      <c r="A1699" s="23" t="s">
        <v>1355</v>
      </c>
      <c r="B1699" s="23" t="s">
        <v>2243</v>
      </c>
      <c r="C1699" s="12" t="s">
        <v>2246</v>
      </c>
      <c r="D1699" s="85"/>
      <c r="E1699" s="69" t="str">
        <f>HYPERLINK("https://www.google.ru/search?q=814206-LBWH&amp;newwindow=1&amp;tbm=isch","Еще фото")</f>
        <v>Еще фото</v>
      </c>
      <c r="F1699" s="13"/>
      <c r="G1699" s="23" t="s">
        <v>615</v>
      </c>
      <c r="H1699" s="23" t="s">
        <v>27</v>
      </c>
      <c r="I1699" s="23" t="s">
        <v>616</v>
      </c>
      <c r="J1699" s="14" t="s">
        <v>879</v>
      </c>
      <c r="K1699" s="15" t="s">
        <v>47</v>
      </c>
      <c r="L1699" s="88"/>
      <c r="M1699" s="14"/>
      <c r="N1699" s="14" t="s">
        <v>265</v>
      </c>
      <c r="O1699" s="14"/>
      <c r="P1699" s="15" t="s">
        <v>108</v>
      </c>
      <c r="Q1699" s="16">
        <v>6599</v>
      </c>
      <c r="R1699" s="17">
        <v>45.03</v>
      </c>
      <c r="S1699" s="18">
        <v>4171.9354999999996</v>
      </c>
      <c r="T1699" s="19" t="s">
        <v>328</v>
      </c>
      <c r="U1699" s="20" t="s">
        <v>58</v>
      </c>
      <c r="V1699" s="25" t="s">
        <v>53</v>
      </c>
      <c r="W1699" s="21">
        <v>1</v>
      </c>
      <c r="X1699" s="22"/>
    </row>
    <row r="1700" spans="1:24" s="1" customFormat="1" ht="108" customHeight="1" x14ac:dyDescent="0.3">
      <c r="A1700" s="11" t="s">
        <v>1355</v>
      </c>
      <c r="B1700" s="11" t="s">
        <v>2239</v>
      </c>
      <c r="C1700" s="12" t="s">
        <v>2247</v>
      </c>
      <c r="D1700" s="24"/>
      <c r="E1700" s="69" t="str">
        <f>HYPERLINK("https://www.google.ru/search?q=811136-NVXV&amp;newwindow=1&amp;tbm=isch","Еще фото")</f>
        <v>Еще фото</v>
      </c>
      <c r="F1700" s="13"/>
      <c r="G1700" s="11" t="s">
        <v>615</v>
      </c>
      <c r="H1700" s="11" t="s">
        <v>27</v>
      </c>
      <c r="I1700" s="14" t="s">
        <v>616</v>
      </c>
      <c r="J1700" s="14" t="s">
        <v>879</v>
      </c>
      <c r="K1700" s="15" t="s">
        <v>55</v>
      </c>
      <c r="L1700" s="14" t="s">
        <v>2241</v>
      </c>
      <c r="M1700" s="14"/>
      <c r="N1700" s="14" t="s">
        <v>70</v>
      </c>
      <c r="O1700" s="14"/>
      <c r="P1700" s="15" t="s">
        <v>108</v>
      </c>
      <c r="Q1700" s="16">
        <v>6599</v>
      </c>
      <c r="R1700" s="17">
        <v>30</v>
      </c>
      <c r="S1700" s="18">
        <v>5312.1949999999997</v>
      </c>
      <c r="T1700" s="19" t="s">
        <v>328</v>
      </c>
      <c r="U1700" s="20" t="s">
        <v>66</v>
      </c>
      <c r="V1700" s="25" t="s">
        <v>67</v>
      </c>
      <c r="W1700" s="21">
        <v>1</v>
      </c>
      <c r="X1700" s="22"/>
    </row>
    <row r="1701" spans="1:24" s="1" customFormat="1" ht="51.95" customHeight="1" x14ac:dyDescent="0.3">
      <c r="A1701" s="11" t="s">
        <v>1355</v>
      </c>
      <c r="B1701" s="11" t="s">
        <v>2248</v>
      </c>
      <c r="C1701" s="12" t="s">
        <v>2249</v>
      </c>
      <c r="D1701" s="89"/>
      <c r="E1701" s="69" t="str">
        <f>HYPERLINK("https://www.google.ru/search?q=811146-ROXU&amp;newwindow=1&amp;tbm=isch","Еще фото")</f>
        <v>Еще фото</v>
      </c>
      <c r="F1701" s="13"/>
      <c r="G1701" s="11" t="s">
        <v>615</v>
      </c>
      <c r="H1701" s="11" t="s">
        <v>27</v>
      </c>
      <c r="I1701" s="14" t="s">
        <v>616</v>
      </c>
      <c r="J1701" s="14" t="s">
        <v>879</v>
      </c>
      <c r="K1701" s="15" t="s">
        <v>55</v>
      </c>
      <c r="L1701" s="86" t="s">
        <v>2250</v>
      </c>
      <c r="M1701" s="14"/>
      <c r="N1701" s="14" t="s">
        <v>2251</v>
      </c>
      <c r="O1701" s="14"/>
      <c r="P1701" s="15" t="s">
        <v>108</v>
      </c>
      <c r="Q1701" s="16">
        <v>5499</v>
      </c>
      <c r="R1701" s="17">
        <v>30</v>
      </c>
      <c r="S1701" s="18">
        <v>4426.6949999999997</v>
      </c>
      <c r="T1701" s="19" t="s">
        <v>328</v>
      </c>
      <c r="U1701" s="20" t="s">
        <v>64</v>
      </c>
      <c r="V1701" s="25" t="s">
        <v>65</v>
      </c>
      <c r="W1701" s="21">
        <v>2</v>
      </c>
      <c r="X1701" s="22"/>
    </row>
    <row r="1702" spans="1:24" s="1" customFormat="1" ht="60.95" customHeight="1" x14ac:dyDescent="0.3">
      <c r="A1702" s="23" t="s">
        <v>1355</v>
      </c>
      <c r="B1702" s="23" t="s">
        <v>2248</v>
      </c>
      <c r="C1702" s="12" t="s">
        <v>2249</v>
      </c>
      <c r="D1702" s="90"/>
      <c r="E1702" s="69" t="str">
        <f>HYPERLINK("https://www.google.ru/search?q=811146-ROXU&amp;newwindow=1&amp;tbm=isch","Еще фото")</f>
        <v>Еще фото</v>
      </c>
      <c r="F1702" s="13"/>
      <c r="G1702" s="23" t="s">
        <v>615</v>
      </c>
      <c r="H1702" s="23" t="s">
        <v>27</v>
      </c>
      <c r="I1702" s="23" t="s">
        <v>616</v>
      </c>
      <c r="J1702" s="14" t="s">
        <v>879</v>
      </c>
      <c r="K1702" s="15" t="s">
        <v>55</v>
      </c>
      <c r="L1702" s="88"/>
      <c r="M1702" s="14"/>
      <c r="N1702" s="14" t="s">
        <v>2251</v>
      </c>
      <c r="O1702" s="14"/>
      <c r="P1702" s="15" t="s">
        <v>108</v>
      </c>
      <c r="Q1702" s="16">
        <v>5499</v>
      </c>
      <c r="R1702" s="17">
        <v>30</v>
      </c>
      <c r="S1702" s="18">
        <v>4426.6949999999997</v>
      </c>
      <c r="T1702" s="19" t="s">
        <v>328</v>
      </c>
      <c r="U1702" s="20" t="s">
        <v>66</v>
      </c>
      <c r="V1702" s="25" t="s">
        <v>67</v>
      </c>
      <c r="W1702" s="21">
        <v>4</v>
      </c>
      <c r="X1702" s="22"/>
    </row>
    <row r="1703" spans="1:24" s="1" customFormat="1" ht="51.95" customHeight="1" x14ac:dyDescent="0.3">
      <c r="A1703" s="11" t="s">
        <v>1355</v>
      </c>
      <c r="B1703" s="11" t="s">
        <v>2168</v>
      </c>
      <c r="C1703" s="12" t="s">
        <v>2252</v>
      </c>
      <c r="D1703" s="89"/>
      <c r="E1703" s="69" t="str">
        <f>HYPERLINK("https://www.google.ru/search?q=811215-NV&amp;newwindow=1&amp;tbm=isch","Еще фото")</f>
        <v>Еще фото</v>
      </c>
      <c r="F1703" s="13"/>
      <c r="G1703" s="11" t="s">
        <v>615</v>
      </c>
      <c r="H1703" s="11" t="s">
        <v>27</v>
      </c>
      <c r="I1703" s="14" t="s">
        <v>616</v>
      </c>
      <c r="J1703" s="14" t="s">
        <v>879</v>
      </c>
      <c r="K1703" s="15" t="s">
        <v>55</v>
      </c>
      <c r="L1703" s="86" t="s">
        <v>2170</v>
      </c>
      <c r="M1703" s="14"/>
      <c r="N1703" s="14" t="s">
        <v>70</v>
      </c>
      <c r="O1703" s="14"/>
      <c r="P1703" s="15" t="s">
        <v>108</v>
      </c>
      <c r="Q1703" s="16">
        <v>6699</v>
      </c>
      <c r="R1703" s="17">
        <v>30</v>
      </c>
      <c r="S1703" s="18">
        <v>5392.6949999999997</v>
      </c>
      <c r="T1703" s="19" t="s">
        <v>328</v>
      </c>
      <c r="U1703" s="20" t="s">
        <v>64</v>
      </c>
      <c r="V1703" s="25" t="s">
        <v>65</v>
      </c>
      <c r="W1703" s="21">
        <v>1</v>
      </c>
      <c r="X1703" s="22"/>
    </row>
    <row r="1704" spans="1:24" s="1" customFormat="1" ht="60.95" customHeight="1" x14ac:dyDescent="0.3">
      <c r="A1704" s="23" t="s">
        <v>1355</v>
      </c>
      <c r="B1704" s="23" t="s">
        <v>2168</v>
      </c>
      <c r="C1704" s="12" t="s">
        <v>2252</v>
      </c>
      <c r="D1704" s="90"/>
      <c r="E1704" s="69" t="str">
        <f>HYPERLINK("https://www.google.ru/search?q=811215-NV&amp;newwindow=1&amp;tbm=isch","Еще фото")</f>
        <v>Еще фото</v>
      </c>
      <c r="F1704" s="13"/>
      <c r="G1704" s="23" t="s">
        <v>615</v>
      </c>
      <c r="H1704" s="23" t="s">
        <v>27</v>
      </c>
      <c r="I1704" s="23" t="s">
        <v>616</v>
      </c>
      <c r="J1704" s="14" t="s">
        <v>879</v>
      </c>
      <c r="K1704" s="15" t="s">
        <v>55</v>
      </c>
      <c r="L1704" s="88"/>
      <c r="M1704" s="14"/>
      <c r="N1704" s="14" t="s">
        <v>70</v>
      </c>
      <c r="O1704" s="14"/>
      <c r="P1704" s="15" t="s">
        <v>108</v>
      </c>
      <c r="Q1704" s="16">
        <v>6699</v>
      </c>
      <c r="R1704" s="17">
        <v>30</v>
      </c>
      <c r="S1704" s="18">
        <v>5392.6949999999997</v>
      </c>
      <c r="T1704" s="19" t="s">
        <v>328</v>
      </c>
      <c r="U1704" s="20" t="s">
        <v>66</v>
      </c>
      <c r="V1704" s="25" t="s">
        <v>67</v>
      </c>
      <c r="W1704" s="21">
        <v>1</v>
      </c>
      <c r="X1704" s="22"/>
    </row>
    <row r="1705" spans="1:24" s="1" customFormat="1" ht="51.95" customHeight="1" x14ac:dyDescent="0.3">
      <c r="A1705" s="11" t="s">
        <v>1355</v>
      </c>
      <c r="B1705" s="11" t="s">
        <v>2227</v>
      </c>
      <c r="C1705" s="12" t="s">
        <v>2253</v>
      </c>
      <c r="D1705" s="89"/>
      <c r="E1705" s="69" t="str">
        <f>HYPERLINK("https://www.google.ru/search?q=811395-WH&amp;newwindow=1&amp;tbm=isch","Еще фото")</f>
        <v>Еще фото</v>
      </c>
      <c r="F1705" s="13"/>
      <c r="G1705" s="11" t="s">
        <v>615</v>
      </c>
      <c r="H1705" s="11" t="s">
        <v>27</v>
      </c>
      <c r="I1705" s="14" t="s">
        <v>616</v>
      </c>
      <c r="J1705" s="14" t="s">
        <v>879</v>
      </c>
      <c r="K1705" s="15" t="s">
        <v>55</v>
      </c>
      <c r="L1705" s="86" t="s">
        <v>2229</v>
      </c>
      <c r="M1705" s="14"/>
      <c r="N1705" s="14" t="s">
        <v>89</v>
      </c>
      <c r="O1705" s="14"/>
      <c r="P1705" s="15" t="s">
        <v>2186</v>
      </c>
      <c r="Q1705" s="16">
        <v>5499</v>
      </c>
      <c r="R1705" s="17">
        <v>30</v>
      </c>
      <c r="S1705" s="18">
        <v>4426.6949999999997</v>
      </c>
      <c r="T1705" s="19" t="s">
        <v>328</v>
      </c>
      <c r="U1705" s="20" t="s">
        <v>66</v>
      </c>
      <c r="V1705" s="25" t="s">
        <v>67</v>
      </c>
      <c r="W1705" s="21">
        <v>1</v>
      </c>
      <c r="X1705" s="22"/>
    </row>
    <row r="1706" spans="1:24" s="1" customFormat="1" ht="60.95" customHeight="1" x14ac:dyDescent="0.3">
      <c r="A1706" s="23" t="s">
        <v>1355</v>
      </c>
      <c r="B1706" s="23" t="s">
        <v>2227</v>
      </c>
      <c r="C1706" s="12" t="s">
        <v>2253</v>
      </c>
      <c r="D1706" s="90"/>
      <c r="E1706" s="69" t="str">
        <f>HYPERLINK("https://www.google.ru/search?q=811395-WH&amp;newwindow=1&amp;tbm=isch","Еще фото")</f>
        <v>Еще фото</v>
      </c>
      <c r="F1706" s="13"/>
      <c r="G1706" s="23" t="s">
        <v>615</v>
      </c>
      <c r="H1706" s="23" t="s">
        <v>27</v>
      </c>
      <c r="I1706" s="23" t="s">
        <v>616</v>
      </c>
      <c r="J1706" s="14" t="s">
        <v>879</v>
      </c>
      <c r="K1706" s="15" t="s">
        <v>55</v>
      </c>
      <c r="L1706" s="88"/>
      <c r="M1706" s="14"/>
      <c r="N1706" s="14" t="s">
        <v>89</v>
      </c>
      <c r="O1706" s="14"/>
      <c r="P1706" s="15" t="s">
        <v>2186</v>
      </c>
      <c r="Q1706" s="16">
        <v>5499</v>
      </c>
      <c r="R1706" s="17">
        <v>30</v>
      </c>
      <c r="S1706" s="18">
        <v>4426.6949999999997</v>
      </c>
      <c r="T1706" s="19" t="s">
        <v>328</v>
      </c>
      <c r="U1706" s="20" t="s">
        <v>58</v>
      </c>
      <c r="V1706" s="25" t="s">
        <v>68</v>
      </c>
      <c r="W1706" s="21">
        <v>1</v>
      </c>
      <c r="X1706" s="22"/>
    </row>
    <row r="1707" spans="1:24" s="1" customFormat="1" ht="108" customHeight="1" x14ac:dyDescent="0.3">
      <c r="A1707" s="11" t="s">
        <v>1355</v>
      </c>
      <c r="B1707" s="11" t="s">
        <v>2217</v>
      </c>
      <c r="C1707" s="12" t="s">
        <v>2254</v>
      </c>
      <c r="D1707" s="24"/>
      <c r="E1707" s="69" t="str">
        <f>HYPERLINK("https://www.google.ru/search?q=814431-DB&amp;newwindow=1&amp;tbm=isch","Еще фото")</f>
        <v>Еще фото</v>
      </c>
      <c r="F1707" s="13"/>
      <c r="G1707" s="11" t="s">
        <v>615</v>
      </c>
      <c r="H1707" s="11" t="s">
        <v>27</v>
      </c>
      <c r="I1707" s="14" t="s">
        <v>616</v>
      </c>
      <c r="J1707" s="14" t="s">
        <v>879</v>
      </c>
      <c r="K1707" s="15" t="s">
        <v>47</v>
      </c>
      <c r="L1707" s="14" t="s">
        <v>2219</v>
      </c>
      <c r="M1707" s="14"/>
      <c r="N1707" s="14" t="s">
        <v>140</v>
      </c>
      <c r="O1707" s="14"/>
      <c r="P1707" s="15" t="s">
        <v>2220</v>
      </c>
      <c r="Q1707" s="16">
        <v>4299</v>
      </c>
      <c r="R1707" s="17">
        <v>30</v>
      </c>
      <c r="S1707" s="18">
        <v>3460.6950000000002</v>
      </c>
      <c r="T1707" s="19" t="s">
        <v>328</v>
      </c>
      <c r="U1707" s="20" t="s">
        <v>66</v>
      </c>
      <c r="V1707" s="25" t="s">
        <v>68</v>
      </c>
      <c r="W1707" s="21">
        <v>3</v>
      </c>
      <c r="X1707" s="22"/>
    </row>
    <row r="1708" spans="1:24" s="1" customFormat="1" ht="108" customHeight="1" x14ac:dyDescent="0.3">
      <c r="A1708" s="11" t="s">
        <v>1355</v>
      </c>
      <c r="B1708" s="11" t="s">
        <v>2255</v>
      </c>
      <c r="C1708" s="12" t="s">
        <v>2256</v>
      </c>
      <c r="D1708" s="24"/>
      <c r="E1708" s="69" t="str">
        <f>HYPERLINK("https://www.google.ru/search?q=814516-WH&amp;newwindow=1&amp;tbm=isch","Еще фото")</f>
        <v>Еще фото</v>
      </c>
      <c r="F1708" s="13"/>
      <c r="G1708" s="11" t="s">
        <v>2158</v>
      </c>
      <c r="H1708" s="11" t="s">
        <v>27</v>
      </c>
      <c r="I1708" s="14" t="s">
        <v>616</v>
      </c>
      <c r="J1708" s="14" t="s">
        <v>879</v>
      </c>
      <c r="K1708" s="15" t="s">
        <v>47</v>
      </c>
      <c r="L1708" s="14" t="s">
        <v>2257</v>
      </c>
      <c r="M1708" s="14"/>
      <c r="N1708" s="14" t="s">
        <v>89</v>
      </c>
      <c r="O1708" s="14"/>
      <c r="P1708" s="15" t="s">
        <v>108</v>
      </c>
      <c r="Q1708" s="16">
        <v>5999</v>
      </c>
      <c r="R1708" s="17">
        <v>30</v>
      </c>
      <c r="S1708" s="18">
        <v>4829.1949999999997</v>
      </c>
      <c r="T1708" s="19" t="s">
        <v>328</v>
      </c>
      <c r="U1708" s="20" t="s">
        <v>64</v>
      </c>
      <c r="V1708" s="25" t="s">
        <v>67</v>
      </c>
      <c r="W1708" s="21">
        <v>1</v>
      </c>
      <c r="X1708" s="22"/>
    </row>
    <row r="1709" spans="1:24" s="1" customFormat="1" ht="108" customHeight="1" x14ac:dyDescent="0.3">
      <c r="A1709" s="11" t="s">
        <v>1355</v>
      </c>
      <c r="B1709" s="11" t="s">
        <v>2183</v>
      </c>
      <c r="C1709" s="12" t="s">
        <v>2258</v>
      </c>
      <c r="D1709" s="24"/>
      <c r="E1709" s="69" t="str">
        <f>HYPERLINK("https://www.google.ru/search?q=814845-BK&amp;newwindow=1&amp;tbm=isch","Еще фото")</f>
        <v>Еще фото</v>
      </c>
      <c r="F1709" s="13"/>
      <c r="G1709" s="11" t="s">
        <v>615</v>
      </c>
      <c r="H1709" s="11" t="s">
        <v>27</v>
      </c>
      <c r="I1709" s="14" t="s">
        <v>616</v>
      </c>
      <c r="J1709" s="14" t="s">
        <v>879</v>
      </c>
      <c r="K1709" s="15" t="s">
        <v>47</v>
      </c>
      <c r="L1709" s="14" t="s">
        <v>2185</v>
      </c>
      <c r="M1709" s="14"/>
      <c r="N1709" s="14" t="s">
        <v>49</v>
      </c>
      <c r="O1709" s="14"/>
      <c r="P1709" s="15" t="s">
        <v>2186</v>
      </c>
      <c r="Q1709" s="16">
        <v>3499</v>
      </c>
      <c r="R1709" s="17">
        <v>30</v>
      </c>
      <c r="S1709" s="18">
        <v>2816.6950000000002</v>
      </c>
      <c r="T1709" s="19" t="s">
        <v>328</v>
      </c>
      <c r="U1709" s="20" t="s">
        <v>64</v>
      </c>
      <c r="V1709" s="25" t="s">
        <v>67</v>
      </c>
      <c r="W1709" s="21">
        <v>3</v>
      </c>
      <c r="X1709" s="22"/>
    </row>
    <row r="1710" spans="1:24" s="1" customFormat="1" ht="51.95" customHeight="1" x14ac:dyDescent="0.3">
      <c r="A1710" s="11" t="s">
        <v>1355</v>
      </c>
      <c r="B1710" s="11" t="s">
        <v>2207</v>
      </c>
      <c r="C1710" s="12" t="s">
        <v>2259</v>
      </c>
      <c r="D1710" s="89"/>
      <c r="E1710" s="69" t="str">
        <f>HYPERLINK("https://www.google.ru/search?q=816046-ROXV&amp;newwindow=1&amp;tbm=isch","Еще фото")</f>
        <v>Еще фото</v>
      </c>
      <c r="F1710" s="13"/>
      <c r="G1710" s="11" t="s">
        <v>615</v>
      </c>
      <c r="H1710" s="11" t="s">
        <v>27</v>
      </c>
      <c r="I1710" s="14" t="s">
        <v>616</v>
      </c>
      <c r="J1710" s="14" t="s">
        <v>879</v>
      </c>
      <c r="K1710" s="15" t="s">
        <v>30</v>
      </c>
      <c r="L1710" s="86" t="s">
        <v>2209</v>
      </c>
      <c r="M1710" s="14"/>
      <c r="N1710" s="14" t="s">
        <v>2260</v>
      </c>
      <c r="O1710" s="14"/>
      <c r="P1710" s="15" t="s">
        <v>108</v>
      </c>
      <c r="Q1710" s="16">
        <v>4999</v>
      </c>
      <c r="R1710" s="17">
        <v>30</v>
      </c>
      <c r="S1710" s="18">
        <v>4024.1949999999997</v>
      </c>
      <c r="T1710" s="19" t="s">
        <v>328</v>
      </c>
      <c r="U1710" s="20" t="s">
        <v>2160</v>
      </c>
      <c r="V1710" s="21">
        <v>152</v>
      </c>
      <c r="W1710" s="21">
        <v>2</v>
      </c>
      <c r="X1710" s="22"/>
    </row>
    <row r="1711" spans="1:24" s="1" customFormat="1" ht="60.95" customHeight="1" x14ac:dyDescent="0.3">
      <c r="A1711" s="23" t="s">
        <v>1355</v>
      </c>
      <c r="B1711" s="23" t="s">
        <v>2207</v>
      </c>
      <c r="C1711" s="12" t="s">
        <v>2259</v>
      </c>
      <c r="D1711" s="90"/>
      <c r="E1711" s="69" t="str">
        <f>HYPERLINK("https://www.google.ru/search?q=816046-ROXV&amp;newwindow=1&amp;tbm=isch","Еще фото")</f>
        <v>Еще фото</v>
      </c>
      <c r="F1711" s="13"/>
      <c r="G1711" s="23" t="s">
        <v>615</v>
      </c>
      <c r="H1711" s="23" t="s">
        <v>27</v>
      </c>
      <c r="I1711" s="23" t="s">
        <v>616</v>
      </c>
      <c r="J1711" s="14" t="s">
        <v>879</v>
      </c>
      <c r="K1711" s="15" t="s">
        <v>30</v>
      </c>
      <c r="L1711" s="88"/>
      <c r="M1711" s="14"/>
      <c r="N1711" s="14" t="s">
        <v>2260</v>
      </c>
      <c r="O1711" s="14"/>
      <c r="P1711" s="15" t="s">
        <v>108</v>
      </c>
      <c r="Q1711" s="16">
        <v>4999</v>
      </c>
      <c r="R1711" s="17">
        <v>30</v>
      </c>
      <c r="S1711" s="18">
        <v>4024.1949999999997</v>
      </c>
      <c r="T1711" s="19" t="s">
        <v>328</v>
      </c>
      <c r="U1711" s="20" t="s">
        <v>2161</v>
      </c>
      <c r="V1711" s="21">
        <v>164</v>
      </c>
      <c r="W1711" s="21">
        <v>3</v>
      </c>
      <c r="X1711" s="22"/>
    </row>
    <row r="1712" spans="1:24" s="1" customFormat="1" ht="108" customHeight="1" x14ac:dyDescent="0.3">
      <c r="A1712" s="11" t="s">
        <v>1355</v>
      </c>
      <c r="B1712" s="11" t="s">
        <v>2261</v>
      </c>
      <c r="C1712" s="12" t="s">
        <v>2262</v>
      </c>
      <c r="D1712" s="24"/>
      <c r="E1712" s="69" t="str">
        <f>HYPERLINK("https://www.google.ru/search?q=816499-MA&amp;newwindow=1&amp;tbm=isch","Еще фото")</f>
        <v>Еще фото</v>
      </c>
      <c r="F1712" s="13"/>
      <c r="G1712" s="11" t="s">
        <v>675</v>
      </c>
      <c r="H1712" s="11" t="s">
        <v>27</v>
      </c>
      <c r="I1712" s="14" t="s">
        <v>675</v>
      </c>
      <c r="J1712" s="14" t="s">
        <v>879</v>
      </c>
      <c r="K1712" s="15" t="s">
        <v>30</v>
      </c>
      <c r="L1712" s="14" t="s">
        <v>2263</v>
      </c>
      <c r="M1712" s="14"/>
      <c r="N1712" s="14" t="s">
        <v>275</v>
      </c>
      <c r="O1712" s="14"/>
      <c r="P1712" s="15" t="s">
        <v>2264</v>
      </c>
      <c r="Q1712" s="16">
        <v>3699</v>
      </c>
      <c r="R1712" s="17">
        <v>88.71</v>
      </c>
      <c r="S1712" s="29">
        <v>480.43549999999993</v>
      </c>
      <c r="T1712" s="19" t="s">
        <v>328</v>
      </c>
      <c r="U1712" s="20" t="s">
        <v>2162</v>
      </c>
      <c r="V1712" s="21">
        <v>176</v>
      </c>
      <c r="W1712" s="21">
        <v>2</v>
      </c>
      <c r="X1712" s="22"/>
    </row>
    <row r="1713" spans="1:24" s="1" customFormat="1" ht="51.95" customHeight="1" x14ac:dyDescent="0.3">
      <c r="A1713" s="11" t="s">
        <v>1355</v>
      </c>
      <c r="B1713" s="11" t="s">
        <v>2265</v>
      </c>
      <c r="C1713" s="12" t="s">
        <v>2266</v>
      </c>
      <c r="D1713" s="89"/>
      <c r="E1713" s="69" t="str">
        <f>HYPERLINK("https://www.google.ru/search?q=814379-RO&amp;newwindow=1&amp;tbm=isch","Еще фото")</f>
        <v>Еще фото</v>
      </c>
      <c r="F1713" s="13"/>
      <c r="G1713" s="11" t="s">
        <v>675</v>
      </c>
      <c r="H1713" s="11" t="s">
        <v>27</v>
      </c>
      <c r="I1713" s="14" t="s">
        <v>675</v>
      </c>
      <c r="J1713" s="14" t="s">
        <v>879</v>
      </c>
      <c r="K1713" s="15" t="s">
        <v>47</v>
      </c>
      <c r="L1713" s="86" t="s">
        <v>2267</v>
      </c>
      <c r="M1713" s="14"/>
      <c r="N1713" s="14" t="s">
        <v>70</v>
      </c>
      <c r="O1713" s="14"/>
      <c r="P1713" s="15" t="s">
        <v>108</v>
      </c>
      <c r="Q1713" s="16">
        <v>5199</v>
      </c>
      <c r="R1713" s="17">
        <v>69.08</v>
      </c>
      <c r="S1713" s="18">
        <v>1848.9354999999998</v>
      </c>
      <c r="T1713" s="19" t="s">
        <v>328</v>
      </c>
      <c r="U1713" s="20" t="s">
        <v>64</v>
      </c>
      <c r="V1713" s="25" t="s">
        <v>67</v>
      </c>
      <c r="W1713" s="21">
        <v>4</v>
      </c>
      <c r="X1713" s="22"/>
    </row>
    <row r="1714" spans="1:24" s="1" customFormat="1" ht="60.95" customHeight="1" x14ac:dyDescent="0.3">
      <c r="A1714" s="23" t="s">
        <v>1355</v>
      </c>
      <c r="B1714" s="23" t="s">
        <v>2265</v>
      </c>
      <c r="C1714" s="12" t="s">
        <v>2266</v>
      </c>
      <c r="D1714" s="90"/>
      <c r="E1714" s="69" t="str">
        <f>HYPERLINK("https://www.google.ru/search?q=814379-RO&amp;newwindow=1&amp;tbm=isch","Еще фото")</f>
        <v>Еще фото</v>
      </c>
      <c r="F1714" s="13"/>
      <c r="G1714" s="23" t="s">
        <v>675</v>
      </c>
      <c r="H1714" s="23" t="s">
        <v>27</v>
      </c>
      <c r="I1714" s="23" t="s">
        <v>675</v>
      </c>
      <c r="J1714" s="14" t="s">
        <v>879</v>
      </c>
      <c r="K1714" s="15" t="s">
        <v>47</v>
      </c>
      <c r="L1714" s="88"/>
      <c r="M1714" s="14"/>
      <c r="N1714" s="14" t="s">
        <v>70</v>
      </c>
      <c r="O1714" s="14"/>
      <c r="P1714" s="15" t="s">
        <v>108</v>
      </c>
      <c r="Q1714" s="16">
        <v>5199</v>
      </c>
      <c r="R1714" s="17">
        <v>69.08</v>
      </c>
      <c r="S1714" s="18">
        <v>1848.9354999999998</v>
      </c>
      <c r="T1714" s="19" t="s">
        <v>328</v>
      </c>
      <c r="U1714" s="20" t="s">
        <v>66</v>
      </c>
      <c r="V1714" s="25" t="s">
        <v>68</v>
      </c>
      <c r="W1714" s="21">
        <v>5</v>
      </c>
      <c r="X1714" s="22"/>
    </row>
    <row r="1715" spans="1:24" s="1" customFormat="1" ht="26.1" customHeight="1" x14ac:dyDescent="0.3">
      <c r="A1715" s="11" t="s">
        <v>1355</v>
      </c>
      <c r="B1715" s="11" t="s">
        <v>2268</v>
      </c>
      <c r="C1715" s="12" t="s">
        <v>2269</v>
      </c>
      <c r="D1715" s="83"/>
      <c r="E1715" s="69" t="str">
        <f>HYPERLINK("https://www.google.ru/search?q=814305-CE&amp;newwindow=1&amp;tbm=isch","Еще фото")</f>
        <v>Еще фото</v>
      </c>
      <c r="F1715" s="13"/>
      <c r="G1715" s="11" t="s">
        <v>675</v>
      </c>
      <c r="H1715" s="11" t="s">
        <v>27</v>
      </c>
      <c r="I1715" s="14" t="s">
        <v>675</v>
      </c>
      <c r="J1715" s="14" t="s">
        <v>879</v>
      </c>
      <c r="K1715" s="15" t="s">
        <v>47</v>
      </c>
      <c r="L1715" s="86" t="s">
        <v>2270</v>
      </c>
      <c r="M1715" s="14"/>
      <c r="N1715" s="14" t="s">
        <v>242</v>
      </c>
      <c r="O1715" s="14"/>
      <c r="P1715" s="15" t="s">
        <v>2271</v>
      </c>
      <c r="Q1715" s="16">
        <v>7299</v>
      </c>
      <c r="R1715" s="17">
        <v>69.069999999999993</v>
      </c>
      <c r="S1715" s="18">
        <v>2596.4354999999996</v>
      </c>
      <c r="T1715" s="19" t="s">
        <v>328</v>
      </c>
      <c r="U1715" s="20" t="s">
        <v>354</v>
      </c>
      <c r="V1715" s="25" t="s">
        <v>65</v>
      </c>
      <c r="W1715" s="21">
        <v>2</v>
      </c>
      <c r="X1715" s="22"/>
    </row>
    <row r="1716" spans="1:24" s="1" customFormat="1" ht="26.1" customHeight="1" x14ac:dyDescent="0.3">
      <c r="A1716" s="23" t="s">
        <v>1355</v>
      </c>
      <c r="B1716" s="23" t="s">
        <v>2268</v>
      </c>
      <c r="C1716" s="12" t="s">
        <v>2269</v>
      </c>
      <c r="D1716" s="84"/>
      <c r="E1716" s="69" t="str">
        <f>HYPERLINK("https://www.google.ru/search?q=814305-CE&amp;newwindow=1&amp;tbm=isch","Еще фото")</f>
        <v>Еще фото</v>
      </c>
      <c r="F1716" s="13"/>
      <c r="G1716" s="23" t="s">
        <v>675</v>
      </c>
      <c r="H1716" s="23" t="s">
        <v>27</v>
      </c>
      <c r="I1716" s="23" t="s">
        <v>675</v>
      </c>
      <c r="J1716" s="14" t="s">
        <v>879</v>
      </c>
      <c r="K1716" s="15" t="s">
        <v>47</v>
      </c>
      <c r="L1716" s="87"/>
      <c r="M1716" s="14"/>
      <c r="N1716" s="14" t="s">
        <v>242</v>
      </c>
      <c r="O1716" s="14"/>
      <c r="P1716" s="15" t="s">
        <v>2271</v>
      </c>
      <c r="Q1716" s="16">
        <v>7299</v>
      </c>
      <c r="R1716" s="17">
        <v>69.069999999999993</v>
      </c>
      <c r="S1716" s="18">
        <v>2596.4354999999996</v>
      </c>
      <c r="T1716" s="19" t="s">
        <v>328</v>
      </c>
      <c r="U1716" s="20" t="s">
        <v>64</v>
      </c>
      <c r="V1716" s="25" t="s">
        <v>67</v>
      </c>
      <c r="W1716" s="21">
        <v>4</v>
      </c>
      <c r="X1716" s="22"/>
    </row>
    <row r="1717" spans="1:24" s="1" customFormat="1" ht="26.1" customHeight="1" x14ac:dyDescent="0.3">
      <c r="A1717" s="23" t="s">
        <v>1355</v>
      </c>
      <c r="B1717" s="23" t="s">
        <v>2268</v>
      </c>
      <c r="C1717" s="12" t="s">
        <v>2269</v>
      </c>
      <c r="D1717" s="84"/>
      <c r="E1717" s="69" t="str">
        <f>HYPERLINK("https://www.google.ru/search?q=814305-CE&amp;newwindow=1&amp;tbm=isch","Еще фото")</f>
        <v>Еще фото</v>
      </c>
      <c r="F1717" s="13"/>
      <c r="G1717" s="23" t="s">
        <v>675</v>
      </c>
      <c r="H1717" s="23" t="s">
        <v>27</v>
      </c>
      <c r="I1717" s="23" t="s">
        <v>675</v>
      </c>
      <c r="J1717" s="14" t="s">
        <v>879</v>
      </c>
      <c r="K1717" s="15" t="s">
        <v>47</v>
      </c>
      <c r="L1717" s="87"/>
      <c r="M1717" s="14"/>
      <c r="N1717" s="14" t="s">
        <v>242</v>
      </c>
      <c r="O1717" s="14"/>
      <c r="P1717" s="15" t="s">
        <v>2271</v>
      </c>
      <c r="Q1717" s="16">
        <v>7299</v>
      </c>
      <c r="R1717" s="17">
        <v>69.069999999999993</v>
      </c>
      <c r="S1717" s="18">
        <v>2596.4354999999996</v>
      </c>
      <c r="T1717" s="19" t="s">
        <v>328</v>
      </c>
      <c r="U1717" s="20" t="s">
        <v>66</v>
      </c>
      <c r="V1717" s="25" t="s">
        <v>68</v>
      </c>
      <c r="W1717" s="21">
        <v>3</v>
      </c>
      <c r="X1717" s="22"/>
    </row>
    <row r="1718" spans="1:24" s="1" customFormat="1" ht="26.1" customHeight="1" x14ac:dyDescent="0.3">
      <c r="A1718" s="23" t="s">
        <v>1355</v>
      </c>
      <c r="B1718" s="23" t="s">
        <v>2268</v>
      </c>
      <c r="C1718" s="12" t="s">
        <v>2269</v>
      </c>
      <c r="D1718" s="85"/>
      <c r="E1718" s="69" t="str">
        <f>HYPERLINK("https://www.google.ru/search?q=814305-CE&amp;newwindow=1&amp;tbm=isch","Еще фото")</f>
        <v>Еще фото</v>
      </c>
      <c r="F1718" s="13"/>
      <c r="G1718" s="23" t="s">
        <v>675</v>
      </c>
      <c r="H1718" s="23" t="s">
        <v>27</v>
      </c>
      <c r="I1718" s="23" t="s">
        <v>675</v>
      </c>
      <c r="J1718" s="14" t="s">
        <v>879</v>
      </c>
      <c r="K1718" s="15" t="s">
        <v>47</v>
      </c>
      <c r="L1718" s="88"/>
      <c r="M1718" s="14"/>
      <c r="N1718" s="14" t="s">
        <v>242</v>
      </c>
      <c r="O1718" s="14"/>
      <c r="P1718" s="15" t="s">
        <v>2271</v>
      </c>
      <c r="Q1718" s="16">
        <v>7299</v>
      </c>
      <c r="R1718" s="17">
        <v>69.069999999999993</v>
      </c>
      <c r="S1718" s="18">
        <v>2596.4354999999996</v>
      </c>
      <c r="T1718" s="19" t="s">
        <v>328</v>
      </c>
      <c r="U1718" s="20" t="s">
        <v>58</v>
      </c>
      <c r="V1718" s="25" t="s">
        <v>53</v>
      </c>
      <c r="W1718" s="21">
        <v>1</v>
      </c>
      <c r="X1718" s="22"/>
    </row>
    <row r="1719" spans="1:24" s="1" customFormat="1" ht="26.1" customHeight="1" x14ac:dyDescent="0.3">
      <c r="A1719" s="11" t="s">
        <v>1355</v>
      </c>
      <c r="B1719" s="11" t="s">
        <v>2268</v>
      </c>
      <c r="C1719" s="12" t="s">
        <v>2272</v>
      </c>
      <c r="D1719" s="83"/>
      <c r="E1719" s="69" t="str">
        <f>HYPERLINK("https://www.google.ru/search?q=814305-NV&amp;newwindow=1&amp;tbm=isch","Еще фото")</f>
        <v>Еще фото</v>
      </c>
      <c r="F1719" s="13"/>
      <c r="G1719" s="11" t="s">
        <v>675</v>
      </c>
      <c r="H1719" s="11" t="s">
        <v>27</v>
      </c>
      <c r="I1719" s="14" t="s">
        <v>675</v>
      </c>
      <c r="J1719" s="14" t="s">
        <v>879</v>
      </c>
      <c r="K1719" s="15" t="s">
        <v>47</v>
      </c>
      <c r="L1719" s="86" t="s">
        <v>2270</v>
      </c>
      <c r="M1719" s="14"/>
      <c r="N1719" s="14" t="s">
        <v>70</v>
      </c>
      <c r="O1719" s="14"/>
      <c r="P1719" s="15" t="s">
        <v>2271</v>
      </c>
      <c r="Q1719" s="16">
        <v>7299</v>
      </c>
      <c r="R1719" s="17">
        <v>69.069999999999993</v>
      </c>
      <c r="S1719" s="18">
        <v>2596.4354999999996</v>
      </c>
      <c r="T1719" s="19" t="s">
        <v>328</v>
      </c>
      <c r="U1719" s="20" t="s">
        <v>354</v>
      </c>
      <c r="V1719" s="25" t="s">
        <v>65</v>
      </c>
      <c r="W1719" s="21">
        <v>2</v>
      </c>
      <c r="X1719" s="22"/>
    </row>
    <row r="1720" spans="1:24" s="1" customFormat="1" ht="26.1" customHeight="1" x14ac:dyDescent="0.3">
      <c r="A1720" s="23" t="s">
        <v>1355</v>
      </c>
      <c r="B1720" s="23" t="s">
        <v>2268</v>
      </c>
      <c r="C1720" s="12" t="s">
        <v>2272</v>
      </c>
      <c r="D1720" s="84"/>
      <c r="E1720" s="69" t="str">
        <f>HYPERLINK("https://www.google.ru/search?q=814305-NV&amp;newwindow=1&amp;tbm=isch","Еще фото")</f>
        <v>Еще фото</v>
      </c>
      <c r="F1720" s="13"/>
      <c r="G1720" s="23" t="s">
        <v>675</v>
      </c>
      <c r="H1720" s="23" t="s">
        <v>27</v>
      </c>
      <c r="I1720" s="23" t="s">
        <v>675</v>
      </c>
      <c r="J1720" s="14" t="s">
        <v>879</v>
      </c>
      <c r="K1720" s="15" t="s">
        <v>47</v>
      </c>
      <c r="L1720" s="87"/>
      <c r="M1720" s="14"/>
      <c r="N1720" s="14" t="s">
        <v>70</v>
      </c>
      <c r="O1720" s="14"/>
      <c r="P1720" s="15" t="s">
        <v>2271</v>
      </c>
      <c r="Q1720" s="16">
        <v>7299</v>
      </c>
      <c r="R1720" s="17">
        <v>69.069999999999993</v>
      </c>
      <c r="S1720" s="18">
        <v>2596.4354999999996</v>
      </c>
      <c r="T1720" s="19" t="s">
        <v>328</v>
      </c>
      <c r="U1720" s="20" t="s">
        <v>64</v>
      </c>
      <c r="V1720" s="25" t="s">
        <v>67</v>
      </c>
      <c r="W1720" s="21">
        <v>4</v>
      </c>
      <c r="X1720" s="22"/>
    </row>
    <row r="1721" spans="1:24" s="1" customFormat="1" ht="26.1" customHeight="1" x14ac:dyDescent="0.3">
      <c r="A1721" s="23" t="s">
        <v>1355</v>
      </c>
      <c r="B1721" s="23" t="s">
        <v>2268</v>
      </c>
      <c r="C1721" s="12" t="s">
        <v>2272</v>
      </c>
      <c r="D1721" s="84"/>
      <c r="E1721" s="69" t="str">
        <f>HYPERLINK("https://www.google.ru/search?q=814305-NV&amp;newwindow=1&amp;tbm=isch","Еще фото")</f>
        <v>Еще фото</v>
      </c>
      <c r="F1721" s="13"/>
      <c r="G1721" s="23" t="s">
        <v>675</v>
      </c>
      <c r="H1721" s="23" t="s">
        <v>27</v>
      </c>
      <c r="I1721" s="23" t="s">
        <v>675</v>
      </c>
      <c r="J1721" s="14" t="s">
        <v>879</v>
      </c>
      <c r="K1721" s="15" t="s">
        <v>47</v>
      </c>
      <c r="L1721" s="87"/>
      <c r="M1721" s="14"/>
      <c r="N1721" s="14" t="s">
        <v>70</v>
      </c>
      <c r="O1721" s="14"/>
      <c r="P1721" s="15" t="s">
        <v>2271</v>
      </c>
      <c r="Q1721" s="16">
        <v>7299</v>
      </c>
      <c r="R1721" s="17">
        <v>69.069999999999993</v>
      </c>
      <c r="S1721" s="18">
        <v>2596.4354999999996</v>
      </c>
      <c r="T1721" s="19" t="s">
        <v>328</v>
      </c>
      <c r="U1721" s="20" t="s">
        <v>66</v>
      </c>
      <c r="V1721" s="25" t="s">
        <v>68</v>
      </c>
      <c r="W1721" s="21">
        <v>3</v>
      </c>
      <c r="X1721" s="22"/>
    </row>
    <row r="1722" spans="1:24" s="1" customFormat="1" ht="26.1" customHeight="1" x14ac:dyDescent="0.3">
      <c r="A1722" s="23" t="s">
        <v>1355</v>
      </c>
      <c r="B1722" s="23" t="s">
        <v>2268</v>
      </c>
      <c r="C1722" s="12" t="s">
        <v>2272</v>
      </c>
      <c r="D1722" s="85"/>
      <c r="E1722" s="69" t="str">
        <f>HYPERLINK("https://www.google.ru/search?q=814305-NV&amp;newwindow=1&amp;tbm=isch","Еще фото")</f>
        <v>Еще фото</v>
      </c>
      <c r="F1722" s="13"/>
      <c r="G1722" s="23" t="s">
        <v>675</v>
      </c>
      <c r="H1722" s="23" t="s">
        <v>27</v>
      </c>
      <c r="I1722" s="23" t="s">
        <v>675</v>
      </c>
      <c r="J1722" s="14" t="s">
        <v>879</v>
      </c>
      <c r="K1722" s="15" t="s">
        <v>47</v>
      </c>
      <c r="L1722" s="88"/>
      <c r="M1722" s="14"/>
      <c r="N1722" s="14" t="s">
        <v>70</v>
      </c>
      <c r="O1722" s="14"/>
      <c r="P1722" s="15" t="s">
        <v>2271</v>
      </c>
      <c r="Q1722" s="16">
        <v>7299</v>
      </c>
      <c r="R1722" s="17">
        <v>69.069999999999993</v>
      </c>
      <c r="S1722" s="18">
        <v>2596.4354999999996</v>
      </c>
      <c r="T1722" s="19" t="s">
        <v>328</v>
      </c>
      <c r="U1722" s="20" t="s">
        <v>58</v>
      </c>
      <c r="V1722" s="25" t="s">
        <v>53</v>
      </c>
      <c r="W1722" s="21">
        <v>1</v>
      </c>
      <c r="X1722" s="22"/>
    </row>
    <row r="1723" spans="1:24" s="1" customFormat="1" ht="26.1" customHeight="1" x14ac:dyDescent="0.3">
      <c r="A1723" s="11" t="s">
        <v>1355</v>
      </c>
      <c r="B1723" s="11" t="s">
        <v>2268</v>
      </c>
      <c r="C1723" s="12" t="s">
        <v>2273</v>
      </c>
      <c r="D1723" s="83"/>
      <c r="E1723" s="69" t="str">
        <f>HYPERLINK("https://www.google.ru/search?q=814305-WH&amp;newwindow=1&amp;tbm=isch","Еще фото")</f>
        <v>Еще фото</v>
      </c>
      <c r="F1723" s="13"/>
      <c r="G1723" s="11" t="s">
        <v>675</v>
      </c>
      <c r="H1723" s="11" t="s">
        <v>27</v>
      </c>
      <c r="I1723" s="14" t="s">
        <v>675</v>
      </c>
      <c r="J1723" s="14" t="s">
        <v>879</v>
      </c>
      <c r="K1723" s="15" t="s">
        <v>47</v>
      </c>
      <c r="L1723" s="86" t="s">
        <v>2270</v>
      </c>
      <c r="M1723" s="14"/>
      <c r="N1723" s="14" t="s">
        <v>89</v>
      </c>
      <c r="O1723" s="14"/>
      <c r="P1723" s="15" t="s">
        <v>2271</v>
      </c>
      <c r="Q1723" s="16">
        <v>7299</v>
      </c>
      <c r="R1723" s="17">
        <v>69.069999999999993</v>
      </c>
      <c r="S1723" s="18">
        <v>2596.4354999999996</v>
      </c>
      <c r="T1723" s="19" t="s">
        <v>328</v>
      </c>
      <c r="U1723" s="20" t="s">
        <v>354</v>
      </c>
      <c r="V1723" s="25" t="s">
        <v>65</v>
      </c>
      <c r="W1723" s="21">
        <v>2</v>
      </c>
      <c r="X1723" s="22"/>
    </row>
    <row r="1724" spans="1:24" s="1" customFormat="1" ht="26.1" customHeight="1" x14ac:dyDescent="0.3">
      <c r="A1724" s="23" t="s">
        <v>1355</v>
      </c>
      <c r="B1724" s="23" t="s">
        <v>2268</v>
      </c>
      <c r="C1724" s="12" t="s">
        <v>2273</v>
      </c>
      <c r="D1724" s="84"/>
      <c r="E1724" s="69" t="str">
        <f>HYPERLINK("https://www.google.ru/search?q=814305-WH&amp;newwindow=1&amp;tbm=isch","Еще фото")</f>
        <v>Еще фото</v>
      </c>
      <c r="F1724" s="13"/>
      <c r="G1724" s="23" t="s">
        <v>675</v>
      </c>
      <c r="H1724" s="23" t="s">
        <v>27</v>
      </c>
      <c r="I1724" s="23" t="s">
        <v>675</v>
      </c>
      <c r="J1724" s="14" t="s">
        <v>879</v>
      </c>
      <c r="K1724" s="15" t="s">
        <v>47</v>
      </c>
      <c r="L1724" s="87"/>
      <c r="M1724" s="14"/>
      <c r="N1724" s="14" t="s">
        <v>89</v>
      </c>
      <c r="O1724" s="14"/>
      <c r="P1724" s="15" t="s">
        <v>2271</v>
      </c>
      <c r="Q1724" s="16">
        <v>7299</v>
      </c>
      <c r="R1724" s="17">
        <v>69.069999999999993</v>
      </c>
      <c r="S1724" s="18">
        <v>2596.4354999999996</v>
      </c>
      <c r="T1724" s="19" t="s">
        <v>328</v>
      </c>
      <c r="U1724" s="20" t="s">
        <v>64</v>
      </c>
      <c r="V1724" s="25" t="s">
        <v>67</v>
      </c>
      <c r="W1724" s="21">
        <v>4</v>
      </c>
      <c r="X1724" s="22"/>
    </row>
    <row r="1725" spans="1:24" s="1" customFormat="1" ht="26.1" customHeight="1" x14ac:dyDescent="0.3">
      <c r="A1725" s="23" t="s">
        <v>1355</v>
      </c>
      <c r="B1725" s="23" t="s">
        <v>2268</v>
      </c>
      <c r="C1725" s="12" t="s">
        <v>2273</v>
      </c>
      <c r="D1725" s="84"/>
      <c r="E1725" s="69" t="str">
        <f>HYPERLINK("https://www.google.ru/search?q=814305-WH&amp;newwindow=1&amp;tbm=isch","Еще фото")</f>
        <v>Еще фото</v>
      </c>
      <c r="F1725" s="13"/>
      <c r="G1725" s="23" t="s">
        <v>675</v>
      </c>
      <c r="H1725" s="23" t="s">
        <v>27</v>
      </c>
      <c r="I1725" s="23" t="s">
        <v>675</v>
      </c>
      <c r="J1725" s="14" t="s">
        <v>879</v>
      </c>
      <c r="K1725" s="15" t="s">
        <v>47</v>
      </c>
      <c r="L1725" s="87"/>
      <c r="M1725" s="14"/>
      <c r="N1725" s="14" t="s">
        <v>89</v>
      </c>
      <c r="O1725" s="14"/>
      <c r="P1725" s="15" t="s">
        <v>2271</v>
      </c>
      <c r="Q1725" s="16">
        <v>7299</v>
      </c>
      <c r="R1725" s="17">
        <v>69.069999999999993</v>
      </c>
      <c r="S1725" s="18">
        <v>2596.4354999999996</v>
      </c>
      <c r="T1725" s="19" t="s">
        <v>328</v>
      </c>
      <c r="U1725" s="20" t="s">
        <v>66</v>
      </c>
      <c r="V1725" s="25" t="s">
        <v>68</v>
      </c>
      <c r="W1725" s="21">
        <v>3</v>
      </c>
      <c r="X1725" s="22"/>
    </row>
    <row r="1726" spans="1:24" s="1" customFormat="1" ht="26.1" customHeight="1" x14ac:dyDescent="0.3">
      <c r="A1726" s="23" t="s">
        <v>1355</v>
      </c>
      <c r="B1726" s="23" t="s">
        <v>2268</v>
      </c>
      <c r="C1726" s="12" t="s">
        <v>2273</v>
      </c>
      <c r="D1726" s="85"/>
      <c r="E1726" s="69" t="str">
        <f>HYPERLINK("https://www.google.ru/search?q=814305-WH&amp;newwindow=1&amp;tbm=isch","Еще фото")</f>
        <v>Еще фото</v>
      </c>
      <c r="F1726" s="13"/>
      <c r="G1726" s="23" t="s">
        <v>675</v>
      </c>
      <c r="H1726" s="23" t="s">
        <v>27</v>
      </c>
      <c r="I1726" s="23" t="s">
        <v>675</v>
      </c>
      <c r="J1726" s="14" t="s">
        <v>879</v>
      </c>
      <c r="K1726" s="15" t="s">
        <v>47</v>
      </c>
      <c r="L1726" s="88"/>
      <c r="M1726" s="14"/>
      <c r="N1726" s="14" t="s">
        <v>89</v>
      </c>
      <c r="O1726" s="14"/>
      <c r="P1726" s="15" t="s">
        <v>2271</v>
      </c>
      <c r="Q1726" s="16">
        <v>7299</v>
      </c>
      <c r="R1726" s="17">
        <v>69.069999999999993</v>
      </c>
      <c r="S1726" s="18">
        <v>2596.4354999999996</v>
      </c>
      <c r="T1726" s="19" t="s">
        <v>328</v>
      </c>
      <c r="U1726" s="20" t="s">
        <v>58</v>
      </c>
      <c r="V1726" s="25" t="s">
        <v>53</v>
      </c>
      <c r="W1726" s="21">
        <v>2</v>
      </c>
      <c r="X1726" s="22"/>
    </row>
    <row r="1727" spans="1:24" s="1" customFormat="1" ht="26.1" customHeight="1" x14ac:dyDescent="0.3">
      <c r="A1727" s="11" t="s">
        <v>1355</v>
      </c>
      <c r="B1727" s="11" t="s">
        <v>2268</v>
      </c>
      <c r="C1727" s="12" t="s">
        <v>2274</v>
      </c>
      <c r="D1727" s="83"/>
      <c r="E1727" s="69" t="str">
        <f>HYPERLINK("https://www.google.ru/search?q=814305-ZI&amp;newwindow=1&amp;tbm=isch","Еще фото")</f>
        <v>Еще фото</v>
      </c>
      <c r="F1727" s="13"/>
      <c r="G1727" s="11" t="s">
        <v>675</v>
      </c>
      <c r="H1727" s="11" t="s">
        <v>27</v>
      </c>
      <c r="I1727" s="14" t="s">
        <v>675</v>
      </c>
      <c r="J1727" s="14" t="s">
        <v>879</v>
      </c>
      <c r="K1727" s="15" t="s">
        <v>47</v>
      </c>
      <c r="L1727" s="86" t="s">
        <v>2270</v>
      </c>
      <c r="M1727" s="14"/>
      <c r="N1727" s="14" t="s">
        <v>275</v>
      </c>
      <c r="O1727" s="14"/>
      <c r="P1727" s="15" t="s">
        <v>2271</v>
      </c>
      <c r="Q1727" s="16">
        <v>7299</v>
      </c>
      <c r="R1727" s="17">
        <v>69.069999999999993</v>
      </c>
      <c r="S1727" s="18">
        <v>2596.4354999999996</v>
      </c>
      <c r="T1727" s="19" t="s">
        <v>328</v>
      </c>
      <c r="U1727" s="20" t="s">
        <v>354</v>
      </c>
      <c r="V1727" s="25" t="s">
        <v>65</v>
      </c>
      <c r="W1727" s="21">
        <v>2</v>
      </c>
      <c r="X1727" s="22"/>
    </row>
    <row r="1728" spans="1:24" s="1" customFormat="1" ht="26.1" customHeight="1" x14ac:dyDescent="0.3">
      <c r="A1728" s="23" t="s">
        <v>1355</v>
      </c>
      <c r="B1728" s="23" t="s">
        <v>2268</v>
      </c>
      <c r="C1728" s="12" t="s">
        <v>2274</v>
      </c>
      <c r="D1728" s="84"/>
      <c r="E1728" s="69" t="str">
        <f>HYPERLINK("https://www.google.ru/search?q=814305-ZI&amp;newwindow=1&amp;tbm=isch","Еще фото")</f>
        <v>Еще фото</v>
      </c>
      <c r="F1728" s="13"/>
      <c r="G1728" s="23" t="s">
        <v>675</v>
      </c>
      <c r="H1728" s="23" t="s">
        <v>27</v>
      </c>
      <c r="I1728" s="23" t="s">
        <v>675</v>
      </c>
      <c r="J1728" s="14" t="s">
        <v>879</v>
      </c>
      <c r="K1728" s="15" t="s">
        <v>47</v>
      </c>
      <c r="L1728" s="87"/>
      <c r="M1728" s="14"/>
      <c r="N1728" s="14" t="s">
        <v>275</v>
      </c>
      <c r="O1728" s="14"/>
      <c r="P1728" s="15" t="s">
        <v>2271</v>
      </c>
      <c r="Q1728" s="16">
        <v>7299</v>
      </c>
      <c r="R1728" s="17">
        <v>69.069999999999993</v>
      </c>
      <c r="S1728" s="18">
        <v>2596.4354999999996</v>
      </c>
      <c r="T1728" s="19" t="s">
        <v>328</v>
      </c>
      <c r="U1728" s="20" t="s">
        <v>64</v>
      </c>
      <c r="V1728" s="25" t="s">
        <v>67</v>
      </c>
      <c r="W1728" s="21">
        <v>3</v>
      </c>
      <c r="X1728" s="22"/>
    </row>
    <row r="1729" spans="1:24" s="1" customFormat="1" ht="26.1" customHeight="1" x14ac:dyDescent="0.3">
      <c r="A1729" s="23" t="s">
        <v>1355</v>
      </c>
      <c r="B1729" s="23" t="s">
        <v>2268</v>
      </c>
      <c r="C1729" s="12" t="s">
        <v>2274</v>
      </c>
      <c r="D1729" s="84"/>
      <c r="E1729" s="69" t="str">
        <f>HYPERLINK("https://www.google.ru/search?q=814305-ZI&amp;newwindow=1&amp;tbm=isch","Еще фото")</f>
        <v>Еще фото</v>
      </c>
      <c r="F1729" s="13"/>
      <c r="G1729" s="23" t="s">
        <v>675</v>
      </c>
      <c r="H1729" s="23" t="s">
        <v>27</v>
      </c>
      <c r="I1729" s="23" t="s">
        <v>675</v>
      </c>
      <c r="J1729" s="14" t="s">
        <v>879</v>
      </c>
      <c r="K1729" s="15" t="s">
        <v>47</v>
      </c>
      <c r="L1729" s="87"/>
      <c r="M1729" s="14"/>
      <c r="N1729" s="14" t="s">
        <v>275</v>
      </c>
      <c r="O1729" s="14"/>
      <c r="P1729" s="15" t="s">
        <v>2271</v>
      </c>
      <c r="Q1729" s="16">
        <v>7299</v>
      </c>
      <c r="R1729" s="17">
        <v>69.069999999999993</v>
      </c>
      <c r="S1729" s="18">
        <v>2596.4354999999996</v>
      </c>
      <c r="T1729" s="19" t="s">
        <v>328</v>
      </c>
      <c r="U1729" s="20" t="s">
        <v>66</v>
      </c>
      <c r="V1729" s="25" t="s">
        <v>68</v>
      </c>
      <c r="W1729" s="21">
        <v>3</v>
      </c>
      <c r="X1729" s="22"/>
    </row>
    <row r="1730" spans="1:24" s="1" customFormat="1" ht="26.1" customHeight="1" x14ac:dyDescent="0.3">
      <c r="A1730" s="23" t="s">
        <v>1355</v>
      </c>
      <c r="B1730" s="23" t="s">
        <v>2268</v>
      </c>
      <c r="C1730" s="12" t="s">
        <v>2274</v>
      </c>
      <c r="D1730" s="85"/>
      <c r="E1730" s="69" t="str">
        <f>HYPERLINK("https://www.google.ru/search?q=814305-ZI&amp;newwindow=1&amp;tbm=isch","Еще фото")</f>
        <v>Еще фото</v>
      </c>
      <c r="F1730" s="13"/>
      <c r="G1730" s="23" t="s">
        <v>675</v>
      </c>
      <c r="H1730" s="23" t="s">
        <v>27</v>
      </c>
      <c r="I1730" s="23" t="s">
        <v>675</v>
      </c>
      <c r="J1730" s="14" t="s">
        <v>879</v>
      </c>
      <c r="K1730" s="15" t="s">
        <v>47</v>
      </c>
      <c r="L1730" s="88"/>
      <c r="M1730" s="14"/>
      <c r="N1730" s="14" t="s">
        <v>275</v>
      </c>
      <c r="O1730" s="14"/>
      <c r="P1730" s="15" t="s">
        <v>2271</v>
      </c>
      <c r="Q1730" s="16">
        <v>7299</v>
      </c>
      <c r="R1730" s="17">
        <v>69.069999999999993</v>
      </c>
      <c r="S1730" s="18">
        <v>2596.4354999999996</v>
      </c>
      <c r="T1730" s="19" t="s">
        <v>328</v>
      </c>
      <c r="U1730" s="20" t="s">
        <v>58</v>
      </c>
      <c r="V1730" s="25" t="s">
        <v>53</v>
      </c>
      <c r="W1730" s="21">
        <v>1</v>
      </c>
      <c r="X1730" s="22"/>
    </row>
    <row r="1731" spans="1:24" s="1" customFormat="1" ht="35.1" customHeight="1" x14ac:dyDescent="0.3">
      <c r="A1731" s="11" t="s">
        <v>1355</v>
      </c>
      <c r="B1731" s="11" t="s">
        <v>2275</v>
      </c>
      <c r="C1731" s="12" t="s">
        <v>2276</v>
      </c>
      <c r="D1731" s="83"/>
      <c r="E1731" s="69" t="str">
        <f>HYPERLINK("https://www.google.ru/search?q=811125-WH&amp;newwindow=1&amp;tbm=isch","Еще фото")</f>
        <v>Еще фото</v>
      </c>
      <c r="F1731" s="13"/>
      <c r="G1731" s="11" t="s">
        <v>675</v>
      </c>
      <c r="H1731" s="11" t="s">
        <v>27</v>
      </c>
      <c r="I1731" s="14" t="s">
        <v>675</v>
      </c>
      <c r="J1731" s="14" t="s">
        <v>879</v>
      </c>
      <c r="K1731" s="15" t="s">
        <v>55</v>
      </c>
      <c r="L1731" s="86" t="s">
        <v>2277</v>
      </c>
      <c r="M1731" s="14"/>
      <c r="N1731" s="14" t="s">
        <v>89</v>
      </c>
      <c r="O1731" s="14"/>
      <c r="P1731" s="15" t="s">
        <v>2278</v>
      </c>
      <c r="Q1731" s="16">
        <v>7999</v>
      </c>
      <c r="R1731" s="17">
        <v>69.02</v>
      </c>
      <c r="S1731" s="18">
        <v>2849.4354999999996</v>
      </c>
      <c r="T1731" s="19" t="s">
        <v>328</v>
      </c>
      <c r="U1731" s="20" t="s">
        <v>64</v>
      </c>
      <c r="V1731" s="25" t="s">
        <v>65</v>
      </c>
      <c r="W1731" s="21">
        <v>2</v>
      </c>
      <c r="X1731" s="22"/>
    </row>
    <row r="1732" spans="1:24" s="1" customFormat="1" ht="35.1" customHeight="1" x14ac:dyDescent="0.3">
      <c r="A1732" s="23" t="s">
        <v>1355</v>
      </c>
      <c r="B1732" s="23" t="s">
        <v>2275</v>
      </c>
      <c r="C1732" s="12" t="s">
        <v>2276</v>
      </c>
      <c r="D1732" s="84"/>
      <c r="E1732" s="69" t="str">
        <f>HYPERLINK("https://www.google.ru/search?q=811125-WH&amp;newwindow=1&amp;tbm=isch","Еще фото")</f>
        <v>Еще фото</v>
      </c>
      <c r="F1732" s="13"/>
      <c r="G1732" s="23" t="s">
        <v>675</v>
      </c>
      <c r="H1732" s="23" t="s">
        <v>27</v>
      </c>
      <c r="I1732" s="23" t="s">
        <v>675</v>
      </c>
      <c r="J1732" s="14" t="s">
        <v>879</v>
      </c>
      <c r="K1732" s="15" t="s">
        <v>55</v>
      </c>
      <c r="L1732" s="87"/>
      <c r="M1732" s="14"/>
      <c r="N1732" s="14" t="s">
        <v>89</v>
      </c>
      <c r="O1732" s="14"/>
      <c r="P1732" s="15" t="s">
        <v>2278</v>
      </c>
      <c r="Q1732" s="16">
        <v>7999</v>
      </c>
      <c r="R1732" s="17">
        <v>69.02</v>
      </c>
      <c r="S1732" s="18">
        <v>2849.4354999999996</v>
      </c>
      <c r="T1732" s="19" t="s">
        <v>328</v>
      </c>
      <c r="U1732" s="20" t="s">
        <v>66</v>
      </c>
      <c r="V1732" s="25" t="s">
        <v>67</v>
      </c>
      <c r="W1732" s="21">
        <v>2</v>
      </c>
      <c r="X1732" s="22"/>
    </row>
    <row r="1733" spans="1:24" s="1" customFormat="1" ht="36.950000000000003" customHeight="1" x14ac:dyDescent="0.3">
      <c r="A1733" s="23" t="s">
        <v>1355</v>
      </c>
      <c r="B1733" s="23" t="s">
        <v>2275</v>
      </c>
      <c r="C1733" s="12" t="s">
        <v>2276</v>
      </c>
      <c r="D1733" s="85"/>
      <c r="E1733" s="69" t="str">
        <f>HYPERLINK("https://www.google.ru/search?q=811125-WH&amp;newwindow=1&amp;tbm=isch","Еще фото")</f>
        <v>Еще фото</v>
      </c>
      <c r="F1733" s="13"/>
      <c r="G1733" s="23" t="s">
        <v>675</v>
      </c>
      <c r="H1733" s="23" t="s">
        <v>27</v>
      </c>
      <c r="I1733" s="23" t="s">
        <v>675</v>
      </c>
      <c r="J1733" s="14" t="s">
        <v>879</v>
      </c>
      <c r="K1733" s="15" t="s">
        <v>55</v>
      </c>
      <c r="L1733" s="88"/>
      <c r="M1733" s="14"/>
      <c r="N1733" s="14" t="s">
        <v>89</v>
      </c>
      <c r="O1733" s="14"/>
      <c r="P1733" s="15" t="s">
        <v>2278</v>
      </c>
      <c r="Q1733" s="16">
        <v>7999</v>
      </c>
      <c r="R1733" s="17">
        <v>69.02</v>
      </c>
      <c r="S1733" s="18">
        <v>2849.4354999999996</v>
      </c>
      <c r="T1733" s="19" t="s">
        <v>328</v>
      </c>
      <c r="U1733" s="20" t="s">
        <v>58</v>
      </c>
      <c r="V1733" s="25" t="s">
        <v>68</v>
      </c>
      <c r="W1733" s="21">
        <v>2</v>
      </c>
      <c r="X1733" s="22"/>
    </row>
    <row r="1734" spans="1:24" s="1" customFormat="1" ht="51.95" customHeight="1" x14ac:dyDescent="0.3">
      <c r="A1734" s="11" t="s">
        <v>1355</v>
      </c>
      <c r="B1734" s="11" t="s">
        <v>2279</v>
      </c>
      <c r="C1734" s="12" t="s">
        <v>2280</v>
      </c>
      <c r="D1734" s="89"/>
      <c r="E1734" s="69" t="str">
        <f>HYPERLINK("https://www.google.ru/search?q=811389-RD&amp;newwindow=1&amp;tbm=isch","Еще фото")</f>
        <v>Еще фото</v>
      </c>
      <c r="F1734" s="13"/>
      <c r="G1734" s="11" t="s">
        <v>675</v>
      </c>
      <c r="H1734" s="11" t="s">
        <v>27</v>
      </c>
      <c r="I1734" s="14" t="s">
        <v>675</v>
      </c>
      <c r="J1734" s="14" t="s">
        <v>879</v>
      </c>
      <c r="K1734" s="15" t="s">
        <v>55</v>
      </c>
      <c r="L1734" s="86" t="s">
        <v>2281</v>
      </c>
      <c r="M1734" s="14"/>
      <c r="N1734" s="14" t="s">
        <v>116</v>
      </c>
      <c r="O1734" s="14"/>
      <c r="P1734" s="15" t="s">
        <v>108</v>
      </c>
      <c r="Q1734" s="16">
        <v>5799</v>
      </c>
      <c r="R1734" s="17">
        <v>68.83</v>
      </c>
      <c r="S1734" s="18">
        <v>2078.9354999999996</v>
      </c>
      <c r="T1734" s="19" t="s">
        <v>328</v>
      </c>
      <c r="U1734" s="20" t="s">
        <v>64</v>
      </c>
      <c r="V1734" s="25" t="s">
        <v>65</v>
      </c>
      <c r="W1734" s="21">
        <v>1</v>
      </c>
      <c r="X1734" s="22"/>
    </row>
    <row r="1735" spans="1:24" s="1" customFormat="1" ht="60.95" customHeight="1" x14ac:dyDescent="0.3">
      <c r="A1735" s="23" t="s">
        <v>1355</v>
      </c>
      <c r="B1735" s="23" t="s">
        <v>2279</v>
      </c>
      <c r="C1735" s="12" t="s">
        <v>2280</v>
      </c>
      <c r="D1735" s="90"/>
      <c r="E1735" s="69" t="str">
        <f>HYPERLINK("https://www.google.ru/search?q=811389-RD&amp;newwindow=1&amp;tbm=isch","Еще фото")</f>
        <v>Еще фото</v>
      </c>
      <c r="F1735" s="13"/>
      <c r="G1735" s="23" t="s">
        <v>675</v>
      </c>
      <c r="H1735" s="23" t="s">
        <v>27</v>
      </c>
      <c r="I1735" s="23" t="s">
        <v>675</v>
      </c>
      <c r="J1735" s="14" t="s">
        <v>879</v>
      </c>
      <c r="K1735" s="15" t="s">
        <v>55</v>
      </c>
      <c r="L1735" s="88"/>
      <c r="M1735" s="14"/>
      <c r="N1735" s="14" t="s">
        <v>116</v>
      </c>
      <c r="O1735" s="14"/>
      <c r="P1735" s="15" t="s">
        <v>108</v>
      </c>
      <c r="Q1735" s="16">
        <v>5799</v>
      </c>
      <c r="R1735" s="17">
        <v>68.83</v>
      </c>
      <c r="S1735" s="18">
        <v>2078.9354999999996</v>
      </c>
      <c r="T1735" s="19" t="s">
        <v>328</v>
      </c>
      <c r="U1735" s="20" t="s">
        <v>66</v>
      </c>
      <c r="V1735" s="25" t="s">
        <v>67</v>
      </c>
      <c r="W1735" s="21">
        <v>1</v>
      </c>
      <c r="X1735" s="22"/>
    </row>
    <row r="1736" spans="1:24" s="1" customFormat="1" ht="35.1" customHeight="1" x14ac:dyDescent="0.3">
      <c r="A1736" s="11" t="s">
        <v>1355</v>
      </c>
      <c r="B1736" s="11" t="s">
        <v>2279</v>
      </c>
      <c r="C1736" s="12" t="s">
        <v>2282</v>
      </c>
      <c r="D1736" s="83"/>
      <c r="E1736" s="69" t="str">
        <f>HYPERLINK("https://www.google.ru/search?q=811389-WH&amp;newwindow=1&amp;tbm=isch","Еще фото")</f>
        <v>Еще фото</v>
      </c>
      <c r="F1736" s="13"/>
      <c r="G1736" s="11" t="s">
        <v>675</v>
      </c>
      <c r="H1736" s="11" t="s">
        <v>27</v>
      </c>
      <c r="I1736" s="14" t="s">
        <v>675</v>
      </c>
      <c r="J1736" s="14" t="s">
        <v>879</v>
      </c>
      <c r="K1736" s="15" t="s">
        <v>55</v>
      </c>
      <c r="L1736" s="86" t="s">
        <v>2281</v>
      </c>
      <c r="M1736" s="14"/>
      <c r="N1736" s="14" t="s">
        <v>89</v>
      </c>
      <c r="O1736" s="14"/>
      <c r="P1736" s="15" t="s">
        <v>108</v>
      </c>
      <c r="Q1736" s="16">
        <v>5799</v>
      </c>
      <c r="R1736" s="17">
        <v>68.83</v>
      </c>
      <c r="S1736" s="18">
        <v>2078.9354999999996</v>
      </c>
      <c r="T1736" s="19" t="s">
        <v>328</v>
      </c>
      <c r="U1736" s="20" t="s">
        <v>66</v>
      </c>
      <c r="V1736" s="25" t="s">
        <v>67</v>
      </c>
      <c r="W1736" s="21">
        <v>4</v>
      </c>
      <c r="X1736" s="22"/>
    </row>
    <row r="1737" spans="1:24" s="1" customFormat="1" ht="35.1" customHeight="1" x14ac:dyDescent="0.3">
      <c r="A1737" s="23" t="s">
        <v>1355</v>
      </c>
      <c r="B1737" s="23" t="s">
        <v>2279</v>
      </c>
      <c r="C1737" s="12" t="s">
        <v>2282</v>
      </c>
      <c r="D1737" s="84"/>
      <c r="E1737" s="69" t="str">
        <f>HYPERLINK("https://www.google.ru/search?q=811389-WH&amp;newwindow=1&amp;tbm=isch","Еще фото")</f>
        <v>Еще фото</v>
      </c>
      <c r="F1737" s="13"/>
      <c r="G1737" s="23" t="s">
        <v>675</v>
      </c>
      <c r="H1737" s="23" t="s">
        <v>27</v>
      </c>
      <c r="I1737" s="23" t="s">
        <v>675</v>
      </c>
      <c r="J1737" s="14" t="s">
        <v>879</v>
      </c>
      <c r="K1737" s="15" t="s">
        <v>55</v>
      </c>
      <c r="L1737" s="87"/>
      <c r="M1737" s="14"/>
      <c r="N1737" s="14" t="s">
        <v>89</v>
      </c>
      <c r="O1737" s="14"/>
      <c r="P1737" s="15" t="s">
        <v>108</v>
      </c>
      <c r="Q1737" s="16">
        <v>5799</v>
      </c>
      <c r="R1737" s="17">
        <v>68.83</v>
      </c>
      <c r="S1737" s="18">
        <v>2078.9354999999996</v>
      </c>
      <c r="T1737" s="19" t="s">
        <v>328</v>
      </c>
      <c r="U1737" s="20" t="s">
        <v>58</v>
      </c>
      <c r="V1737" s="25" t="s">
        <v>68</v>
      </c>
      <c r="W1737" s="21">
        <v>1</v>
      </c>
      <c r="X1737" s="22"/>
    </row>
    <row r="1738" spans="1:24" s="1" customFormat="1" ht="36.950000000000003" customHeight="1" x14ac:dyDescent="0.3">
      <c r="A1738" s="23" t="s">
        <v>1355</v>
      </c>
      <c r="B1738" s="23" t="s">
        <v>2279</v>
      </c>
      <c r="C1738" s="12" t="s">
        <v>2282</v>
      </c>
      <c r="D1738" s="85"/>
      <c r="E1738" s="69" t="str">
        <f>HYPERLINK("https://www.google.ru/search?q=811389-WH&amp;newwindow=1&amp;tbm=isch","Еще фото")</f>
        <v>Еще фото</v>
      </c>
      <c r="F1738" s="13"/>
      <c r="G1738" s="23" t="s">
        <v>675</v>
      </c>
      <c r="H1738" s="23" t="s">
        <v>27</v>
      </c>
      <c r="I1738" s="23" t="s">
        <v>675</v>
      </c>
      <c r="J1738" s="14" t="s">
        <v>879</v>
      </c>
      <c r="K1738" s="15" t="s">
        <v>55</v>
      </c>
      <c r="L1738" s="88"/>
      <c r="M1738" s="14"/>
      <c r="N1738" s="14" t="s">
        <v>89</v>
      </c>
      <c r="O1738" s="14"/>
      <c r="P1738" s="15" t="s">
        <v>108</v>
      </c>
      <c r="Q1738" s="16">
        <v>5799</v>
      </c>
      <c r="R1738" s="17">
        <v>68.83</v>
      </c>
      <c r="S1738" s="18">
        <v>2078.9354999999996</v>
      </c>
      <c r="T1738" s="19" t="s">
        <v>328</v>
      </c>
      <c r="U1738" s="20" t="s">
        <v>596</v>
      </c>
      <c r="V1738" s="25" t="s">
        <v>59</v>
      </c>
      <c r="W1738" s="21">
        <v>2</v>
      </c>
      <c r="X1738" s="22"/>
    </row>
    <row r="1739" spans="1:24" s="1" customFormat="1" ht="35.1" customHeight="1" x14ac:dyDescent="0.3">
      <c r="A1739" s="11" t="s">
        <v>1355</v>
      </c>
      <c r="B1739" s="11" t="s">
        <v>2283</v>
      </c>
      <c r="C1739" s="12" t="s">
        <v>2284</v>
      </c>
      <c r="D1739" s="83"/>
      <c r="E1739" s="69" t="str">
        <f>HYPERLINK("https://www.google.ru/search?q=816349-RD&amp;newwindow=1&amp;tbm=isch","Еще фото")</f>
        <v>Еще фото</v>
      </c>
      <c r="F1739" s="13"/>
      <c r="G1739" s="11" t="s">
        <v>675</v>
      </c>
      <c r="H1739" s="11" t="s">
        <v>27</v>
      </c>
      <c r="I1739" s="14" t="s">
        <v>675</v>
      </c>
      <c r="J1739" s="14" t="s">
        <v>879</v>
      </c>
      <c r="K1739" s="15" t="s">
        <v>30</v>
      </c>
      <c r="L1739" s="86" t="s">
        <v>2281</v>
      </c>
      <c r="M1739" s="14"/>
      <c r="N1739" s="14" t="s">
        <v>116</v>
      </c>
      <c r="O1739" s="14"/>
      <c r="P1739" s="15" t="s">
        <v>108</v>
      </c>
      <c r="Q1739" s="16">
        <v>3999</v>
      </c>
      <c r="R1739" s="17">
        <v>68.8</v>
      </c>
      <c r="S1739" s="18">
        <v>1434.9354999999998</v>
      </c>
      <c r="T1739" s="19" t="s">
        <v>328</v>
      </c>
      <c r="U1739" s="20" t="s">
        <v>290</v>
      </c>
      <c r="V1739" s="21">
        <v>140</v>
      </c>
      <c r="W1739" s="21">
        <v>3</v>
      </c>
      <c r="X1739" s="22"/>
    </row>
    <row r="1740" spans="1:24" s="1" customFormat="1" ht="35.1" customHeight="1" x14ac:dyDescent="0.3">
      <c r="A1740" s="23" t="s">
        <v>1355</v>
      </c>
      <c r="B1740" s="23" t="s">
        <v>2283</v>
      </c>
      <c r="C1740" s="12" t="s">
        <v>2284</v>
      </c>
      <c r="D1740" s="84"/>
      <c r="E1740" s="69" t="str">
        <f>HYPERLINK("https://www.google.ru/search?q=816349-RD&amp;newwindow=1&amp;tbm=isch","Еще фото")</f>
        <v>Еще фото</v>
      </c>
      <c r="F1740" s="13"/>
      <c r="G1740" s="23" t="s">
        <v>675</v>
      </c>
      <c r="H1740" s="23" t="s">
        <v>27</v>
      </c>
      <c r="I1740" s="23" t="s">
        <v>675</v>
      </c>
      <c r="J1740" s="14" t="s">
        <v>879</v>
      </c>
      <c r="K1740" s="15" t="s">
        <v>30</v>
      </c>
      <c r="L1740" s="87"/>
      <c r="M1740" s="14"/>
      <c r="N1740" s="14" t="s">
        <v>116</v>
      </c>
      <c r="O1740" s="14"/>
      <c r="P1740" s="15" t="s">
        <v>108</v>
      </c>
      <c r="Q1740" s="16">
        <v>3999</v>
      </c>
      <c r="R1740" s="17">
        <v>68.8</v>
      </c>
      <c r="S1740" s="18">
        <v>1434.9354999999998</v>
      </c>
      <c r="T1740" s="19" t="s">
        <v>328</v>
      </c>
      <c r="U1740" s="20" t="s">
        <v>2160</v>
      </c>
      <c r="V1740" s="21">
        <v>152</v>
      </c>
      <c r="W1740" s="21">
        <v>6</v>
      </c>
      <c r="X1740" s="22"/>
    </row>
    <row r="1741" spans="1:24" s="1" customFormat="1" ht="36.950000000000003" customHeight="1" x14ac:dyDescent="0.3">
      <c r="A1741" s="23" t="s">
        <v>1355</v>
      </c>
      <c r="B1741" s="23" t="s">
        <v>2283</v>
      </c>
      <c r="C1741" s="12" t="s">
        <v>2284</v>
      </c>
      <c r="D1741" s="85"/>
      <c r="E1741" s="69" t="str">
        <f>HYPERLINK("https://www.google.ru/search?q=816349-RD&amp;newwindow=1&amp;tbm=isch","Еще фото")</f>
        <v>Еще фото</v>
      </c>
      <c r="F1741" s="13"/>
      <c r="G1741" s="23" t="s">
        <v>675</v>
      </c>
      <c r="H1741" s="23" t="s">
        <v>27</v>
      </c>
      <c r="I1741" s="23" t="s">
        <v>675</v>
      </c>
      <c r="J1741" s="14" t="s">
        <v>879</v>
      </c>
      <c r="K1741" s="15" t="s">
        <v>30</v>
      </c>
      <c r="L1741" s="88"/>
      <c r="M1741" s="14"/>
      <c r="N1741" s="14" t="s">
        <v>116</v>
      </c>
      <c r="O1741" s="14"/>
      <c r="P1741" s="15" t="s">
        <v>108</v>
      </c>
      <c r="Q1741" s="16">
        <v>3999</v>
      </c>
      <c r="R1741" s="17">
        <v>68.8</v>
      </c>
      <c r="S1741" s="18">
        <v>1434.9354999999998</v>
      </c>
      <c r="T1741" s="19" t="s">
        <v>328</v>
      </c>
      <c r="U1741" s="20" t="s">
        <v>2162</v>
      </c>
      <c r="V1741" s="21">
        <v>176</v>
      </c>
      <c r="W1741" s="21">
        <v>1</v>
      </c>
      <c r="X1741" s="22"/>
    </row>
    <row r="1742" spans="1:24" s="1" customFormat="1" ht="26.1" customHeight="1" x14ac:dyDescent="0.3">
      <c r="A1742" s="11" t="s">
        <v>1355</v>
      </c>
      <c r="B1742" s="11" t="s">
        <v>2261</v>
      </c>
      <c r="C1742" s="12" t="s">
        <v>2285</v>
      </c>
      <c r="D1742" s="83"/>
      <c r="E1742" s="69" t="str">
        <f>HYPERLINK("https://www.google.ru/search?q=816499-DB&amp;newwindow=1&amp;tbm=isch","Еще фото")</f>
        <v>Еще фото</v>
      </c>
      <c r="F1742" s="13"/>
      <c r="G1742" s="11" t="s">
        <v>675</v>
      </c>
      <c r="H1742" s="11" t="s">
        <v>27</v>
      </c>
      <c r="I1742" s="14" t="s">
        <v>675</v>
      </c>
      <c r="J1742" s="14" t="s">
        <v>879</v>
      </c>
      <c r="K1742" s="15" t="s">
        <v>30</v>
      </c>
      <c r="L1742" s="86" t="s">
        <v>2263</v>
      </c>
      <c r="M1742" s="14"/>
      <c r="N1742" s="14" t="s">
        <v>140</v>
      </c>
      <c r="O1742" s="14"/>
      <c r="P1742" s="15" t="s">
        <v>2264</v>
      </c>
      <c r="Q1742" s="16">
        <v>3699</v>
      </c>
      <c r="R1742" s="17">
        <v>68.7</v>
      </c>
      <c r="S1742" s="18">
        <v>1331.4354999999998</v>
      </c>
      <c r="T1742" s="19" t="s">
        <v>328</v>
      </c>
      <c r="U1742" s="20" t="s">
        <v>37</v>
      </c>
      <c r="V1742" s="21">
        <v>128</v>
      </c>
      <c r="W1742" s="21">
        <v>1</v>
      </c>
      <c r="X1742" s="22"/>
    </row>
    <row r="1743" spans="1:24" s="1" customFormat="1" ht="26.1" customHeight="1" x14ac:dyDescent="0.3">
      <c r="A1743" s="23" t="s">
        <v>1355</v>
      </c>
      <c r="B1743" s="23" t="s">
        <v>2261</v>
      </c>
      <c r="C1743" s="12" t="s">
        <v>2285</v>
      </c>
      <c r="D1743" s="84"/>
      <c r="E1743" s="69" t="str">
        <f>HYPERLINK("https://www.google.ru/search?q=816499-DB&amp;newwindow=1&amp;tbm=isch","Еще фото")</f>
        <v>Еще фото</v>
      </c>
      <c r="F1743" s="13"/>
      <c r="G1743" s="23" t="s">
        <v>675</v>
      </c>
      <c r="H1743" s="23" t="s">
        <v>27</v>
      </c>
      <c r="I1743" s="23" t="s">
        <v>675</v>
      </c>
      <c r="J1743" s="14" t="s">
        <v>879</v>
      </c>
      <c r="K1743" s="15" t="s">
        <v>30</v>
      </c>
      <c r="L1743" s="87"/>
      <c r="M1743" s="14"/>
      <c r="N1743" s="14" t="s">
        <v>140</v>
      </c>
      <c r="O1743" s="14"/>
      <c r="P1743" s="15" t="s">
        <v>2264</v>
      </c>
      <c r="Q1743" s="16">
        <v>3699</v>
      </c>
      <c r="R1743" s="17">
        <v>68.7</v>
      </c>
      <c r="S1743" s="18">
        <v>1331.4354999999998</v>
      </c>
      <c r="T1743" s="19" t="s">
        <v>328</v>
      </c>
      <c r="U1743" s="20" t="s">
        <v>2160</v>
      </c>
      <c r="V1743" s="21">
        <v>152</v>
      </c>
      <c r="W1743" s="21">
        <v>1</v>
      </c>
      <c r="X1743" s="22"/>
    </row>
    <row r="1744" spans="1:24" s="1" customFormat="1" ht="26.1" customHeight="1" x14ac:dyDescent="0.3">
      <c r="A1744" s="23" t="s">
        <v>1355</v>
      </c>
      <c r="B1744" s="23" t="s">
        <v>2261</v>
      </c>
      <c r="C1744" s="12" t="s">
        <v>2285</v>
      </c>
      <c r="D1744" s="84"/>
      <c r="E1744" s="69" t="str">
        <f>HYPERLINK("https://www.google.ru/search?q=816499-DB&amp;newwindow=1&amp;tbm=isch","Еще фото")</f>
        <v>Еще фото</v>
      </c>
      <c r="F1744" s="13"/>
      <c r="G1744" s="23" t="s">
        <v>675</v>
      </c>
      <c r="H1744" s="23" t="s">
        <v>27</v>
      </c>
      <c r="I1744" s="23" t="s">
        <v>675</v>
      </c>
      <c r="J1744" s="14" t="s">
        <v>879</v>
      </c>
      <c r="K1744" s="15" t="s">
        <v>30</v>
      </c>
      <c r="L1744" s="87"/>
      <c r="M1744" s="14"/>
      <c r="N1744" s="14" t="s">
        <v>140</v>
      </c>
      <c r="O1744" s="14"/>
      <c r="P1744" s="15" t="s">
        <v>2264</v>
      </c>
      <c r="Q1744" s="16">
        <v>3699</v>
      </c>
      <c r="R1744" s="17">
        <v>68.7</v>
      </c>
      <c r="S1744" s="18">
        <v>1331.4354999999998</v>
      </c>
      <c r="T1744" s="19" t="s">
        <v>328</v>
      </c>
      <c r="U1744" s="20" t="s">
        <v>2161</v>
      </c>
      <c r="V1744" s="21">
        <v>164</v>
      </c>
      <c r="W1744" s="21">
        <v>2</v>
      </c>
      <c r="X1744" s="22"/>
    </row>
    <row r="1745" spans="1:24" s="1" customFormat="1" ht="26.1" customHeight="1" x14ac:dyDescent="0.3">
      <c r="A1745" s="23" t="s">
        <v>1355</v>
      </c>
      <c r="B1745" s="23" t="s">
        <v>2261</v>
      </c>
      <c r="C1745" s="12" t="s">
        <v>2285</v>
      </c>
      <c r="D1745" s="85"/>
      <c r="E1745" s="69" t="str">
        <f>HYPERLINK("https://www.google.ru/search?q=816499-DB&amp;newwindow=1&amp;tbm=isch","Еще фото")</f>
        <v>Еще фото</v>
      </c>
      <c r="F1745" s="13"/>
      <c r="G1745" s="23" t="s">
        <v>675</v>
      </c>
      <c r="H1745" s="23" t="s">
        <v>27</v>
      </c>
      <c r="I1745" s="23" t="s">
        <v>675</v>
      </c>
      <c r="J1745" s="14" t="s">
        <v>879</v>
      </c>
      <c r="K1745" s="15" t="s">
        <v>30</v>
      </c>
      <c r="L1745" s="88"/>
      <c r="M1745" s="14"/>
      <c r="N1745" s="14" t="s">
        <v>140</v>
      </c>
      <c r="O1745" s="14"/>
      <c r="P1745" s="15" t="s">
        <v>2264</v>
      </c>
      <c r="Q1745" s="16">
        <v>3699</v>
      </c>
      <c r="R1745" s="17">
        <v>68.7</v>
      </c>
      <c r="S1745" s="18">
        <v>1331.4354999999998</v>
      </c>
      <c r="T1745" s="19" t="s">
        <v>328</v>
      </c>
      <c r="U1745" s="20" t="s">
        <v>2162</v>
      </c>
      <c r="V1745" s="21">
        <v>176</v>
      </c>
      <c r="W1745" s="21">
        <v>2</v>
      </c>
      <c r="X1745" s="22"/>
    </row>
    <row r="1746" spans="1:24" s="1" customFormat="1" ht="35.1" customHeight="1" x14ac:dyDescent="0.3">
      <c r="A1746" s="11" t="s">
        <v>1355</v>
      </c>
      <c r="B1746" s="11" t="s">
        <v>2286</v>
      </c>
      <c r="C1746" s="12" t="s">
        <v>2287</v>
      </c>
      <c r="D1746" s="83"/>
      <c r="E1746" s="69" t="str">
        <f>HYPERLINK("https://www.google.ru/search?q=814874-NV&amp;newwindow=1&amp;tbm=isch","Еще фото")</f>
        <v>Еще фото</v>
      </c>
      <c r="F1746" s="13"/>
      <c r="G1746" s="11" t="s">
        <v>675</v>
      </c>
      <c r="H1746" s="11" t="s">
        <v>27</v>
      </c>
      <c r="I1746" s="14" t="s">
        <v>675</v>
      </c>
      <c r="J1746" s="14" t="s">
        <v>879</v>
      </c>
      <c r="K1746" s="15" t="s">
        <v>47</v>
      </c>
      <c r="L1746" s="86" t="s">
        <v>2288</v>
      </c>
      <c r="M1746" s="14"/>
      <c r="N1746" s="14" t="s">
        <v>70</v>
      </c>
      <c r="O1746" s="14"/>
      <c r="P1746" s="15" t="s">
        <v>2278</v>
      </c>
      <c r="Q1746" s="16">
        <v>7999</v>
      </c>
      <c r="R1746" s="17">
        <v>66.77</v>
      </c>
      <c r="S1746" s="18">
        <v>3056.4354999999996</v>
      </c>
      <c r="T1746" s="19" t="s">
        <v>328</v>
      </c>
      <c r="U1746" s="20" t="s">
        <v>354</v>
      </c>
      <c r="V1746" s="25" t="s">
        <v>65</v>
      </c>
      <c r="W1746" s="21">
        <v>2</v>
      </c>
      <c r="X1746" s="22"/>
    </row>
    <row r="1747" spans="1:24" s="1" customFormat="1" ht="35.1" customHeight="1" x14ac:dyDescent="0.3">
      <c r="A1747" s="23" t="s">
        <v>1355</v>
      </c>
      <c r="B1747" s="23" t="s">
        <v>2286</v>
      </c>
      <c r="C1747" s="12" t="s">
        <v>2287</v>
      </c>
      <c r="D1747" s="84"/>
      <c r="E1747" s="69" t="str">
        <f>HYPERLINK("https://www.google.ru/search?q=814874-NV&amp;newwindow=1&amp;tbm=isch","Еще фото")</f>
        <v>Еще фото</v>
      </c>
      <c r="F1747" s="13"/>
      <c r="G1747" s="23" t="s">
        <v>675</v>
      </c>
      <c r="H1747" s="23" t="s">
        <v>27</v>
      </c>
      <c r="I1747" s="23" t="s">
        <v>675</v>
      </c>
      <c r="J1747" s="14" t="s">
        <v>879</v>
      </c>
      <c r="K1747" s="15" t="s">
        <v>47</v>
      </c>
      <c r="L1747" s="87"/>
      <c r="M1747" s="14"/>
      <c r="N1747" s="14" t="s">
        <v>70</v>
      </c>
      <c r="O1747" s="14"/>
      <c r="P1747" s="15" t="s">
        <v>2278</v>
      </c>
      <c r="Q1747" s="16">
        <v>7999</v>
      </c>
      <c r="R1747" s="17">
        <v>66.77</v>
      </c>
      <c r="S1747" s="18">
        <v>3056.4354999999996</v>
      </c>
      <c r="T1747" s="19" t="s">
        <v>328</v>
      </c>
      <c r="U1747" s="20" t="s">
        <v>64</v>
      </c>
      <c r="V1747" s="25" t="s">
        <v>67</v>
      </c>
      <c r="W1747" s="21">
        <v>3</v>
      </c>
      <c r="X1747" s="22"/>
    </row>
    <row r="1748" spans="1:24" s="1" customFormat="1" ht="36.950000000000003" customHeight="1" x14ac:dyDescent="0.3">
      <c r="A1748" s="23" t="s">
        <v>1355</v>
      </c>
      <c r="B1748" s="23" t="s">
        <v>2286</v>
      </c>
      <c r="C1748" s="12" t="s">
        <v>2287</v>
      </c>
      <c r="D1748" s="85"/>
      <c r="E1748" s="69" t="str">
        <f>HYPERLINK("https://www.google.ru/search?q=814874-NV&amp;newwindow=1&amp;tbm=isch","Еще фото")</f>
        <v>Еще фото</v>
      </c>
      <c r="F1748" s="13"/>
      <c r="G1748" s="23" t="s">
        <v>675</v>
      </c>
      <c r="H1748" s="23" t="s">
        <v>27</v>
      </c>
      <c r="I1748" s="23" t="s">
        <v>675</v>
      </c>
      <c r="J1748" s="14" t="s">
        <v>879</v>
      </c>
      <c r="K1748" s="15" t="s">
        <v>47</v>
      </c>
      <c r="L1748" s="88"/>
      <c r="M1748" s="14"/>
      <c r="N1748" s="14" t="s">
        <v>70</v>
      </c>
      <c r="O1748" s="14"/>
      <c r="P1748" s="15" t="s">
        <v>2278</v>
      </c>
      <c r="Q1748" s="16">
        <v>7999</v>
      </c>
      <c r="R1748" s="17">
        <v>66.77</v>
      </c>
      <c r="S1748" s="18">
        <v>3056.4354999999996</v>
      </c>
      <c r="T1748" s="19" t="s">
        <v>328</v>
      </c>
      <c r="U1748" s="20" t="s">
        <v>66</v>
      </c>
      <c r="V1748" s="25" t="s">
        <v>68</v>
      </c>
      <c r="W1748" s="21">
        <v>1</v>
      </c>
      <c r="X1748" s="22"/>
    </row>
    <row r="1749" spans="1:24" s="1" customFormat="1" ht="35.1" customHeight="1" x14ac:dyDescent="0.3">
      <c r="A1749" s="11" t="s">
        <v>1355</v>
      </c>
      <c r="B1749" s="11" t="s">
        <v>2261</v>
      </c>
      <c r="C1749" s="12" t="s">
        <v>2289</v>
      </c>
      <c r="D1749" s="83"/>
      <c r="E1749" s="69" t="str">
        <f>HYPERLINK("https://www.google.ru/search?q=816499-BK&amp;newwindow=1&amp;tbm=isch","Еще фото")</f>
        <v>Еще фото</v>
      </c>
      <c r="F1749" s="13"/>
      <c r="G1749" s="11" t="s">
        <v>675</v>
      </c>
      <c r="H1749" s="11" t="s">
        <v>27</v>
      </c>
      <c r="I1749" s="14" t="s">
        <v>675</v>
      </c>
      <c r="J1749" s="14" t="s">
        <v>879</v>
      </c>
      <c r="K1749" s="15" t="s">
        <v>30</v>
      </c>
      <c r="L1749" s="86" t="s">
        <v>2263</v>
      </c>
      <c r="M1749" s="14"/>
      <c r="N1749" s="14" t="s">
        <v>49</v>
      </c>
      <c r="O1749" s="14"/>
      <c r="P1749" s="15" t="s">
        <v>2264</v>
      </c>
      <c r="Q1749" s="16">
        <v>3699</v>
      </c>
      <c r="R1749" s="17">
        <v>66.540000000000006</v>
      </c>
      <c r="S1749" s="18">
        <v>1423.4354999999998</v>
      </c>
      <c r="T1749" s="19" t="s">
        <v>328</v>
      </c>
      <c r="U1749" s="20" t="s">
        <v>37</v>
      </c>
      <c r="V1749" s="21">
        <v>128</v>
      </c>
      <c r="W1749" s="21">
        <v>1</v>
      </c>
      <c r="X1749" s="22"/>
    </row>
    <row r="1750" spans="1:24" s="1" customFormat="1" ht="35.1" customHeight="1" x14ac:dyDescent="0.3">
      <c r="A1750" s="23" t="s">
        <v>1355</v>
      </c>
      <c r="B1750" s="23" t="s">
        <v>2261</v>
      </c>
      <c r="C1750" s="12" t="s">
        <v>2289</v>
      </c>
      <c r="D1750" s="84"/>
      <c r="E1750" s="69" t="str">
        <f>HYPERLINK("https://www.google.ru/search?q=816499-BK&amp;newwindow=1&amp;tbm=isch","Еще фото")</f>
        <v>Еще фото</v>
      </c>
      <c r="F1750" s="13"/>
      <c r="G1750" s="23" t="s">
        <v>675</v>
      </c>
      <c r="H1750" s="23" t="s">
        <v>27</v>
      </c>
      <c r="I1750" s="23" t="s">
        <v>675</v>
      </c>
      <c r="J1750" s="14" t="s">
        <v>879</v>
      </c>
      <c r="K1750" s="15" t="s">
        <v>30</v>
      </c>
      <c r="L1750" s="87"/>
      <c r="M1750" s="14"/>
      <c r="N1750" s="14" t="s">
        <v>49</v>
      </c>
      <c r="O1750" s="14"/>
      <c r="P1750" s="15" t="s">
        <v>2264</v>
      </c>
      <c r="Q1750" s="16">
        <v>3699</v>
      </c>
      <c r="R1750" s="17">
        <v>66.540000000000006</v>
      </c>
      <c r="S1750" s="18">
        <v>1423.4354999999998</v>
      </c>
      <c r="T1750" s="19" t="s">
        <v>328</v>
      </c>
      <c r="U1750" s="20" t="s">
        <v>290</v>
      </c>
      <c r="V1750" s="21">
        <v>140</v>
      </c>
      <c r="W1750" s="21">
        <v>1</v>
      </c>
      <c r="X1750" s="22"/>
    </row>
    <row r="1751" spans="1:24" s="1" customFormat="1" ht="36.950000000000003" customHeight="1" x14ac:dyDescent="0.3">
      <c r="A1751" s="23" t="s">
        <v>1355</v>
      </c>
      <c r="B1751" s="23" t="s">
        <v>2261</v>
      </c>
      <c r="C1751" s="12" t="s">
        <v>2289</v>
      </c>
      <c r="D1751" s="85"/>
      <c r="E1751" s="69" t="str">
        <f>HYPERLINK("https://www.google.ru/search?q=816499-BK&amp;newwindow=1&amp;tbm=isch","Еще фото")</f>
        <v>Еще фото</v>
      </c>
      <c r="F1751" s="13"/>
      <c r="G1751" s="23" t="s">
        <v>675</v>
      </c>
      <c r="H1751" s="23" t="s">
        <v>27</v>
      </c>
      <c r="I1751" s="23" t="s">
        <v>675</v>
      </c>
      <c r="J1751" s="14" t="s">
        <v>879</v>
      </c>
      <c r="K1751" s="15" t="s">
        <v>30</v>
      </c>
      <c r="L1751" s="88"/>
      <c r="M1751" s="14"/>
      <c r="N1751" s="14" t="s">
        <v>49</v>
      </c>
      <c r="O1751" s="14"/>
      <c r="P1751" s="15" t="s">
        <v>2264</v>
      </c>
      <c r="Q1751" s="16">
        <v>3699</v>
      </c>
      <c r="R1751" s="17">
        <v>66.540000000000006</v>
      </c>
      <c r="S1751" s="18">
        <v>1423.4354999999998</v>
      </c>
      <c r="T1751" s="19" t="s">
        <v>328</v>
      </c>
      <c r="U1751" s="20" t="s">
        <v>2162</v>
      </c>
      <c r="V1751" s="21">
        <v>176</v>
      </c>
      <c r="W1751" s="21">
        <v>2</v>
      </c>
      <c r="X1751" s="22"/>
    </row>
    <row r="1752" spans="1:24" s="1" customFormat="1" ht="35.1" customHeight="1" x14ac:dyDescent="0.3">
      <c r="A1752" s="11" t="s">
        <v>1355</v>
      </c>
      <c r="B1752" s="11" t="s">
        <v>2290</v>
      </c>
      <c r="C1752" s="12" t="s">
        <v>2291</v>
      </c>
      <c r="D1752" s="83"/>
      <c r="E1752" s="69" t="str">
        <f>HYPERLINK("https://www.google.ru/search?q=816795-BK&amp;newwindow=1&amp;tbm=isch","Еще фото")</f>
        <v>Еще фото</v>
      </c>
      <c r="F1752" s="13"/>
      <c r="G1752" s="11" t="s">
        <v>675</v>
      </c>
      <c r="H1752" s="11" t="s">
        <v>27</v>
      </c>
      <c r="I1752" s="14" t="s">
        <v>675</v>
      </c>
      <c r="J1752" s="14" t="s">
        <v>879</v>
      </c>
      <c r="K1752" s="15" t="s">
        <v>30</v>
      </c>
      <c r="L1752" s="86" t="s">
        <v>2292</v>
      </c>
      <c r="M1752" s="14"/>
      <c r="N1752" s="14" t="s">
        <v>49</v>
      </c>
      <c r="O1752" s="14"/>
      <c r="P1752" s="15" t="s">
        <v>1294</v>
      </c>
      <c r="Q1752" s="16">
        <v>3999</v>
      </c>
      <c r="R1752" s="17">
        <v>61.3</v>
      </c>
      <c r="S1752" s="18">
        <v>1779.9354999999998</v>
      </c>
      <c r="T1752" s="19" t="s">
        <v>328</v>
      </c>
      <c r="U1752" s="20" t="s">
        <v>37</v>
      </c>
      <c r="V1752" s="21">
        <v>128</v>
      </c>
      <c r="W1752" s="21">
        <v>1</v>
      </c>
      <c r="X1752" s="22"/>
    </row>
    <row r="1753" spans="1:24" s="1" customFormat="1" ht="35.1" customHeight="1" x14ac:dyDescent="0.3">
      <c r="A1753" s="23" t="s">
        <v>1355</v>
      </c>
      <c r="B1753" s="23" t="s">
        <v>2290</v>
      </c>
      <c r="C1753" s="12" t="s">
        <v>2291</v>
      </c>
      <c r="D1753" s="84"/>
      <c r="E1753" s="69" t="str">
        <f>HYPERLINK("https://www.google.ru/search?q=816795-BK&amp;newwindow=1&amp;tbm=isch","Еще фото")</f>
        <v>Еще фото</v>
      </c>
      <c r="F1753" s="13"/>
      <c r="G1753" s="23" t="s">
        <v>675</v>
      </c>
      <c r="H1753" s="23" t="s">
        <v>27</v>
      </c>
      <c r="I1753" s="23" t="s">
        <v>675</v>
      </c>
      <c r="J1753" s="14" t="s">
        <v>879</v>
      </c>
      <c r="K1753" s="15" t="s">
        <v>30</v>
      </c>
      <c r="L1753" s="87"/>
      <c r="M1753" s="14"/>
      <c r="N1753" s="14" t="s">
        <v>49</v>
      </c>
      <c r="O1753" s="14"/>
      <c r="P1753" s="15" t="s">
        <v>1294</v>
      </c>
      <c r="Q1753" s="16">
        <v>3999</v>
      </c>
      <c r="R1753" s="17">
        <v>61.3</v>
      </c>
      <c r="S1753" s="18">
        <v>1779.9354999999998</v>
      </c>
      <c r="T1753" s="19" t="s">
        <v>328</v>
      </c>
      <c r="U1753" s="20" t="s">
        <v>290</v>
      </c>
      <c r="V1753" s="21">
        <v>140</v>
      </c>
      <c r="W1753" s="21">
        <v>1</v>
      </c>
      <c r="X1753" s="22"/>
    </row>
    <row r="1754" spans="1:24" s="1" customFormat="1" ht="36.950000000000003" customHeight="1" x14ac:dyDescent="0.3">
      <c r="A1754" s="23" t="s">
        <v>1355</v>
      </c>
      <c r="B1754" s="23" t="s">
        <v>2290</v>
      </c>
      <c r="C1754" s="12" t="s">
        <v>2291</v>
      </c>
      <c r="D1754" s="85"/>
      <c r="E1754" s="69" t="str">
        <f>HYPERLINK("https://www.google.ru/search?q=816795-BK&amp;newwindow=1&amp;tbm=isch","Еще фото")</f>
        <v>Еще фото</v>
      </c>
      <c r="F1754" s="13"/>
      <c r="G1754" s="23" t="s">
        <v>675</v>
      </c>
      <c r="H1754" s="23" t="s">
        <v>27</v>
      </c>
      <c r="I1754" s="23" t="s">
        <v>675</v>
      </c>
      <c r="J1754" s="14" t="s">
        <v>879</v>
      </c>
      <c r="K1754" s="15" t="s">
        <v>30</v>
      </c>
      <c r="L1754" s="88"/>
      <c r="M1754" s="14"/>
      <c r="N1754" s="14" t="s">
        <v>49</v>
      </c>
      <c r="O1754" s="14"/>
      <c r="P1754" s="15" t="s">
        <v>1294</v>
      </c>
      <c r="Q1754" s="16">
        <v>3999</v>
      </c>
      <c r="R1754" s="17">
        <v>61.3</v>
      </c>
      <c r="S1754" s="18">
        <v>1779.9354999999998</v>
      </c>
      <c r="T1754" s="19" t="s">
        <v>328</v>
      </c>
      <c r="U1754" s="20" t="s">
        <v>2160</v>
      </c>
      <c r="V1754" s="21">
        <v>152</v>
      </c>
      <c r="W1754" s="21">
        <v>1</v>
      </c>
      <c r="X1754" s="22"/>
    </row>
    <row r="1755" spans="1:24" s="1" customFormat="1" ht="108" customHeight="1" x14ac:dyDescent="0.3">
      <c r="A1755" s="11" t="s">
        <v>1355</v>
      </c>
      <c r="B1755" s="11" t="s">
        <v>2293</v>
      </c>
      <c r="C1755" s="12" t="s">
        <v>2294</v>
      </c>
      <c r="D1755" s="24"/>
      <c r="E1755" s="69" t="str">
        <f>HYPERLINK("https://www.google.ru/search?q=811379-RD&amp;newwindow=1&amp;tbm=isch","Еще фото")</f>
        <v>Еще фото</v>
      </c>
      <c r="F1755" s="13"/>
      <c r="G1755" s="11" t="s">
        <v>675</v>
      </c>
      <c r="H1755" s="11" t="s">
        <v>27</v>
      </c>
      <c r="I1755" s="14" t="s">
        <v>675</v>
      </c>
      <c r="J1755" s="14" t="s">
        <v>879</v>
      </c>
      <c r="K1755" s="15" t="s">
        <v>55</v>
      </c>
      <c r="L1755" s="14" t="s">
        <v>2267</v>
      </c>
      <c r="M1755" s="14"/>
      <c r="N1755" s="14" t="s">
        <v>116</v>
      </c>
      <c r="O1755" s="14"/>
      <c r="P1755" s="15" t="s">
        <v>108</v>
      </c>
      <c r="Q1755" s="16">
        <v>5199</v>
      </c>
      <c r="R1755" s="17">
        <v>46.14</v>
      </c>
      <c r="S1755" s="18">
        <v>3219.9884999999995</v>
      </c>
      <c r="T1755" s="19" t="s">
        <v>328</v>
      </c>
      <c r="U1755" s="20" t="s">
        <v>64</v>
      </c>
      <c r="V1755" s="25" t="s">
        <v>65</v>
      </c>
      <c r="W1755" s="21">
        <v>1</v>
      </c>
      <c r="X1755" s="22"/>
    </row>
    <row r="1756" spans="1:24" s="1" customFormat="1" ht="108" customHeight="1" x14ac:dyDescent="0.3">
      <c r="A1756" s="11" t="s">
        <v>1355</v>
      </c>
      <c r="B1756" s="11" t="s">
        <v>2293</v>
      </c>
      <c r="C1756" s="12" t="s">
        <v>2295</v>
      </c>
      <c r="D1756" s="24"/>
      <c r="E1756" s="69" t="str">
        <f>HYPERLINK("https://www.google.ru/search?q=811379-RO&amp;newwindow=1&amp;tbm=isch","Еще фото")</f>
        <v>Еще фото</v>
      </c>
      <c r="F1756" s="13"/>
      <c r="G1756" s="11" t="s">
        <v>675</v>
      </c>
      <c r="H1756" s="11" t="s">
        <v>27</v>
      </c>
      <c r="I1756" s="14" t="s">
        <v>675</v>
      </c>
      <c r="J1756" s="14" t="s">
        <v>879</v>
      </c>
      <c r="K1756" s="15" t="s">
        <v>55</v>
      </c>
      <c r="L1756" s="14" t="s">
        <v>2267</v>
      </c>
      <c r="M1756" s="14"/>
      <c r="N1756" s="14" t="s">
        <v>70</v>
      </c>
      <c r="O1756" s="14"/>
      <c r="P1756" s="15" t="s">
        <v>108</v>
      </c>
      <c r="Q1756" s="16">
        <v>5199</v>
      </c>
      <c r="R1756" s="17">
        <v>46.14</v>
      </c>
      <c r="S1756" s="18">
        <v>3219.9884999999995</v>
      </c>
      <c r="T1756" s="19" t="s">
        <v>328</v>
      </c>
      <c r="U1756" s="20" t="s">
        <v>64</v>
      </c>
      <c r="V1756" s="25" t="s">
        <v>65</v>
      </c>
      <c r="W1756" s="21">
        <v>1</v>
      </c>
      <c r="X1756" s="22"/>
    </row>
    <row r="1757" spans="1:24" s="1" customFormat="1" ht="51.95" customHeight="1" x14ac:dyDescent="0.3">
      <c r="A1757" s="11" t="s">
        <v>1355</v>
      </c>
      <c r="B1757" s="11" t="s">
        <v>2293</v>
      </c>
      <c r="C1757" s="12" t="s">
        <v>2296</v>
      </c>
      <c r="D1757" s="89"/>
      <c r="E1757" s="69" t="str">
        <f>HYPERLINK("https://www.google.ru/search?q=811379-WH&amp;newwindow=1&amp;tbm=isch","Еще фото")</f>
        <v>Еще фото</v>
      </c>
      <c r="F1757" s="13"/>
      <c r="G1757" s="11" t="s">
        <v>675</v>
      </c>
      <c r="H1757" s="11" t="s">
        <v>27</v>
      </c>
      <c r="I1757" s="14" t="s">
        <v>675</v>
      </c>
      <c r="J1757" s="14" t="s">
        <v>879</v>
      </c>
      <c r="K1757" s="15" t="s">
        <v>55</v>
      </c>
      <c r="L1757" s="86" t="s">
        <v>2267</v>
      </c>
      <c r="M1757" s="14"/>
      <c r="N1757" s="14" t="s">
        <v>89</v>
      </c>
      <c r="O1757" s="14"/>
      <c r="P1757" s="15" t="s">
        <v>108</v>
      </c>
      <c r="Q1757" s="16">
        <v>5199</v>
      </c>
      <c r="R1757" s="17">
        <v>46.14</v>
      </c>
      <c r="S1757" s="18">
        <v>3219.9884999999995</v>
      </c>
      <c r="T1757" s="19" t="s">
        <v>328</v>
      </c>
      <c r="U1757" s="20" t="s">
        <v>64</v>
      </c>
      <c r="V1757" s="25" t="s">
        <v>65</v>
      </c>
      <c r="W1757" s="21">
        <v>1</v>
      </c>
      <c r="X1757" s="22"/>
    </row>
    <row r="1758" spans="1:24" s="1" customFormat="1" ht="60.95" customHeight="1" x14ac:dyDescent="0.3">
      <c r="A1758" s="23" t="s">
        <v>1355</v>
      </c>
      <c r="B1758" s="23" t="s">
        <v>2293</v>
      </c>
      <c r="C1758" s="12" t="s">
        <v>2296</v>
      </c>
      <c r="D1758" s="90"/>
      <c r="E1758" s="69" t="str">
        <f>HYPERLINK("https://www.google.ru/search?q=811379-WH&amp;newwindow=1&amp;tbm=isch","Еще фото")</f>
        <v>Еще фото</v>
      </c>
      <c r="F1758" s="13"/>
      <c r="G1758" s="23" t="s">
        <v>675</v>
      </c>
      <c r="H1758" s="23" t="s">
        <v>27</v>
      </c>
      <c r="I1758" s="23" t="s">
        <v>675</v>
      </c>
      <c r="J1758" s="14" t="s">
        <v>879</v>
      </c>
      <c r="K1758" s="15" t="s">
        <v>55</v>
      </c>
      <c r="L1758" s="88"/>
      <c r="M1758" s="14"/>
      <c r="N1758" s="14" t="s">
        <v>89</v>
      </c>
      <c r="O1758" s="14"/>
      <c r="P1758" s="15" t="s">
        <v>108</v>
      </c>
      <c r="Q1758" s="16">
        <v>5199</v>
      </c>
      <c r="R1758" s="17">
        <v>46.14</v>
      </c>
      <c r="S1758" s="18">
        <v>3219.9884999999995</v>
      </c>
      <c r="T1758" s="19" t="s">
        <v>328</v>
      </c>
      <c r="U1758" s="20" t="s">
        <v>595</v>
      </c>
      <c r="V1758" s="25" t="s">
        <v>60</v>
      </c>
      <c r="W1758" s="21">
        <v>1</v>
      </c>
      <c r="X1758" s="22"/>
    </row>
    <row r="1759" spans="1:24" s="1" customFormat="1" ht="108" customHeight="1" x14ac:dyDescent="0.3">
      <c r="A1759" s="11" t="s">
        <v>1355</v>
      </c>
      <c r="B1759" s="11" t="s">
        <v>2297</v>
      </c>
      <c r="C1759" s="12" t="s">
        <v>2298</v>
      </c>
      <c r="D1759" s="24"/>
      <c r="E1759" s="69" t="str">
        <f>HYPERLINK("https://www.google.ru/search?q=814379-AN&amp;newwindow=1&amp;tbm=isch","Еще фото")</f>
        <v>Еще фото</v>
      </c>
      <c r="F1759" s="13"/>
      <c r="G1759" s="11" t="s">
        <v>675</v>
      </c>
      <c r="H1759" s="11" t="s">
        <v>27</v>
      </c>
      <c r="I1759" s="14" t="s">
        <v>675</v>
      </c>
      <c r="J1759" s="14" t="s">
        <v>879</v>
      </c>
      <c r="K1759" s="15" t="s">
        <v>47</v>
      </c>
      <c r="L1759" s="14" t="s">
        <v>2267</v>
      </c>
      <c r="M1759" s="14"/>
      <c r="N1759" s="14" t="s">
        <v>41</v>
      </c>
      <c r="O1759" s="14"/>
      <c r="P1759" s="15" t="s">
        <v>108</v>
      </c>
      <c r="Q1759" s="16">
        <v>5199</v>
      </c>
      <c r="R1759" s="17">
        <v>46.14</v>
      </c>
      <c r="S1759" s="18">
        <v>3219.9884999999995</v>
      </c>
      <c r="T1759" s="19" t="s">
        <v>328</v>
      </c>
      <c r="U1759" s="20" t="s">
        <v>354</v>
      </c>
      <c r="V1759" s="25" t="s">
        <v>65</v>
      </c>
      <c r="W1759" s="21">
        <v>1</v>
      </c>
      <c r="X1759" s="22"/>
    </row>
    <row r="1760" spans="1:24" s="1" customFormat="1" ht="108" customHeight="1" x14ac:dyDescent="0.3">
      <c r="A1760" s="11" t="s">
        <v>1355</v>
      </c>
      <c r="B1760" s="11" t="s">
        <v>2299</v>
      </c>
      <c r="C1760" s="12" t="s">
        <v>2300</v>
      </c>
      <c r="D1760" s="24"/>
      <c r="E1760" s="69" t="str">
        <f>HYPERLINK("https://www.google.ru/search?q=811504-NV&amp;newwindow=1&amp;tbm=isch","Еще фото")</f>
        <v>Еще фото</v>
      </c>
      <c r="F1760" s="13"/>
      <c r="G1760" s="11" t="s">
        <v>675</v>
      </c>
      <c r="H1760" s="11" t="s">
        <v>27</v>
      </c>
      <c r="I1760" s="14" t="s">
        <v>675</v>
      </c>
      <c r="J1760" s="14" t="s">
        <v>879</v>
      </c>
      <c r="K1760" s="15" t="s">
        <v>55</v>
      </c>
      <c r="L1760" s="14" t="s">
        <v>2301</v>
      </c>
      <c r="M1760" s="14"/>
      <c r="N1760" s="14" t="s">
        <v>70</v>
      </c>
      <c r="O1760" s="14"/>
      <c r="P1760" s="15" t="s">
        <v>2271</v>
      </c>
      <c r="Q1760" s="16">
        <v>10099</v>
      </c>
      <c r="R1760" s="17">
        <v>45.54</v>
      </c>
      <c r="S1760" s="18">
        <v>6324.9884999999995</v>
      </c>
      <c r="T1760" s="19" t="s">
        <v>328</v>
      </c>
      <c r="U1760" s="20" t="s">
        <v>64</v>
      </c>
      <c r="V1760" s="25" t="s">
        <v>65</v>
      </c>
      <c r="W1760" s="21">
        <v>1</v>
      </c>
      <c r="X1760" s="22"/>
    </row>
    <row r="1761" spans="1:24" s="1" customFormat="1" ht="35.1" customHeight="1" x14ac:dyDescent="0.3">
      <c r="A1761" s="11" t="s">
        <v>1355</v>
      </c>
      <c r="B1761" s="11" t="s">
        <v>2265</v>
      </c>
      <c r="C1761" s="12" t="s">
        <v>2302</v>
      </c>
      <c r="D1761" s="83"/>
      <c r="E1761" s="69" t="str">
        <f>HYPERLINK("https://www.google.ru/search?q=814379-WH&amp;newwindow=1&amp;tbm=isch","Еще фото")</f>
        <v>Еще фото</v>
      </c>
      <c r="F1761" s="13"/>
      <c r="G1761" s="11" t="s">
        <v>675</v>
      </c>
      <c r="H1761" s="11" t="s">
        <v>27</v>
      </c>
      <c r="I1761" s="14" t="s">
        <v>675</v>
      </c>
      <c r="J1761" s="14" t="s">
        <v>879</v>
      </c>
      <c r="K1761" s="15" t="s">
        <v>47</v>
      </c>
      <c r="L1761" s="86" t="s">
        <v>2267</v>
      </c>
      <c r="M1761" s="14"/>
      <c r="N1761" s="14" t="s">
        <v>89</v>
      </c>
      <c r="O1761" s="14"/>
      <c r="P1761" s="15" t="s">
        <v>108</v>
      </c>
      <c r="Q1761" s="16">
        <v>5199</v>
      </c>
      <c r="R1761" s="17">
        <v>45.03</v>
      </c>
      <c r="S1761" s="18">
        <v>3286.4354999999996</v>
      </c>
      <c r="T1761" s="19" t="s">
        <v>328</v>
      </c>
      <c r="U1761" s="20" t="s">
        <v>64</v>
      </c>
      <c r="V1761" s="25" t="s">
        <v>67</v>
      </c>
      <c r="W1761" s="21">
        <v>3</v>
      </c>
      <c r="X1761" s="22"/>
    </row>
    <row r="1762" spans="1:24" s="1" customFormat="1" ht="35.1" customHeight="1" x14ac:dyDescent="0.3">
      <c r="A1762" s="23" t="s">
        <v>1355</v>
      </c>
      <c r="B1762" s="23" t="s">
        <v>2265</v>
      </c>
      <c r="C1762" s="12" t="s">
        <v>2302</v>
      </c>
      <c r="D1762" s="84"/>
      <c r="E1762" s="69" t="str">
        <f>HYPERLINK("https://www.google.ru/search?q=814379-WH&amp;newwindow=1&amp;tbm=isch","Еще фото")</f>
        <v>Еще фото</v>
      </c>
      <c r="F1762" s="13"/>
      <c r="G1762" s="23" t="s">
        <v>675</v>
      </c>
      <c r="H1762" s="23" t="s">
        <v>27</v>
      </c>
      <c r="I1762" s="23" t="s">
        <v>675</v>
      </c>
      <c r="J1762" s="14" t="s">
        <v>879</v>
      </c>
      <c r="K1762" s="15" t="s">
        <v>47</v>
      </c>
      <c r="L1762" s="87"/>
      <c r="M1762" s="14"/>
      <c r="N1762" s="14" t="s">
        <v>89</v>
      </c>
      <c r="O1762" s="14"/>
      <c r="P1762" s="15" t="s">
        <v>108</v>
      </c>
      <c r="Q1762" s="16">
        <v>5199</v>
      </c>
      <c r="R1762" s="17">
        <v>45.03</v>
      </c>
      <c r="S1762" s="18">
        <v>3286.4354999999996</v>
      </c>
      <c r="T1762" s="19" t="s">
        <v>328</v>
      </c>
      <c r="U1762" s="20" t="s">
        <v>66</v>
      </c>
      <c r="V1762" s="25" t="s">
        <v>68</v>
      </c>
      <c r="W1762" s="21">
        <v>1</v>
      </c>
      <c r="X1762" s="22"/>
    </row>
    <row r="1763" spans="1:24" s="1" customFormat="1" ht="36.950000000000003" customHeight="1" x14ac:dyDescent="0.3">
      <c r="A1763" s="23" t="s">
        <v>1355</v>
      </c>
      <c r="B1763" s="23" t="s">
        <v>2265</v>
      </c>
      <c r="C1763" s="12" t="s">
        <v>2302</v>
      </c>
      <c r="D1763" s="85"/>
      <c r="E1763" s="69" t="str">
        <f>HYPERLINK("https://www.google.ru/search?q=814379-WH&amp;newwindow=1&amp;tbm=isch","Еще фото")</f>
        <v>Еще фото</v>
      </c>
      <c r="F1763" s="13"/>
      <c r="G1763" s="23" t="s">
        <v>675</v>
      </c>
      <c r="H1763" s="23" t="s">
        <v>27</v>
      </c>
      <c r="I1763" s="23" t="s">
        <v>675</v>
      </c>
      <c r="J1763" s="14" t="s">
        <v>879</v>
      </c>
      <c r="K1763" s="15" t="s">
        <v>47</v>
      </c>
      <c r="L1763" s="88"/>
      <c r="M1763" s="14"/>
      <c r="N1763" s="14" t="s">
        <v>89</v>
      </c>
      <c r="O1763" s="14"/>
      <c r="P1763" s="15" t="s">
        <v>108</v>
      </c>
      <c r="Q1763" s="16">
        <v>5199</v>
      </c>
      <c r="R1763" s="17">
        <v>45.03</v>
      </c>
      <c r="S1763" s="18">
        <v>3286.4354999999996</v>
      </c>
      <c r="T1763" s="19" t="s">
        <v>328</v>
      </c>
      <c r="U1763" s="20" t="s">
        <v>52</v>
      </c>
      <c r="V1763" s="25" t="s">
        <v>59</v>
      </c>
      <c r="W1763" s="21">
        <v>1</v>
      </c>
      <c r="X1763" s="22"/>
    </row>
    <row r="1764" spans="1:24" s="1" customFormat="1" ht="51.95" customHeight="1" x14ac:dyDescent="0.3">
      <c r="A1764" s="11" t="s">
        <v>1355</v>
      </c>
      <c r="B1764" s="11" t="s">
        <v>2303</v>
      </c>
      <c r="C1764" s="12" t="s">
        <v>2304</v>
      </c>
      <c r="D1764" s="89"/>
      <c r="E1764" s="69" t="str">
        <f>HYPERLINK("https://www.google.ru/search?q=811379-BK&amp;newwindow=1&amp;tbm=isch","Еще фото")</f>
        <v>Еще фото</v>
      </c>
      <c r="F1764" s="13"/>
      <c r="G1764" s="11" t="s">
        <v>675</v>
      </c>
      <c r="H1764" s="11" t="s">
        <v>27</v>
      </c>
      <c r="I1764" s="14" t="s">
        <v>675</v>
      </c>
      <c r="J1764" s="14" t="s">
        <v>879</v>
      </c>
      <c r="K1764" s="15" t="s">
        <v>55</v>
      </c>
      <c r="L1764" s="86" t="s">
        <v>2267</v>
      </c>
      <c r="M1764" s="14"/>
      <c r="N1764" s="14" t="s">
        <v>49</v>
      </c>
      <c r="O1764" s="14"/>
      <c r="P1764" s="15" t="s">
        <v>193</v>
      </c>
      <c r="Q1764" s="16">
        <v>5899</v>
      </c>
      <c r="R1764" s="17">
        <v>30</v>
      </c>
      <c r="S1764" s="18">
        <v>4748.6949999999997</v>
      </c>
      <c r="T1764" s="19" t="s">
        <v>328</v>
      </c>
      <c r="U1764" s="20" t="s">
        <v>64</v>
      </c>
      <c r="V1764" s="25" t="s">
        <v>65</v>
      </c>
      <c r="W1764" s="21">
        <v>1</v>
      </c>
      <c r="X1764" s="22"/>
    </row>
    <row r="1765" spans="1:24" s="1" customFormat="1" ht="60.95" customHeight="1" x14ac:dyDescent="0.3">
      <c r="A1765" s="23" t="s">
        <v>1355</v>
      </c>
      <c r="B1765" s="23" t="s">
        <v>2303</v>
      </c>
      <c r="C1765" s="12" t="s">
        <v>2304</v>
      </c>
      <c r="D1765" s="90"/>
      <c r="E1765" s="69" t="str">
        <f>HYPERLINK("https://www.google.ru/search?q=811379-BK&amp;newwindow=1&amp;tbm=isch","Еще фото")</f>
        <v>Еще фото</v>
      </c>
      <c r="F1765" s="13"/>
      <c r="G1765" s="23" t="s">
        <v>675</v>
      </c>
      <c r="H1765" s="23" t="s">
        <v>27</v>
      </c>
      <c r="I1765" s="23" t="s">
        <v>675</v>
      </c>
      <c r="J1765" s="14" t="s">
        <v>879</v>
      </c>
      <c r="K1765" s="15" t="s">
        <v>55</v>
      </c>
      <c r="L1765" s="88"/>
      <c r="M1765" s="14"/>
      <c r="N1765" s="14" t="s">
        <v>49</v>
      </c>
      <c r="O1765" s="14"/>
      <c r="P1765" s="15" t="s">
        <v>193</v>
      </c>
      <c r="Q1765" s="16">
        <v>5899</v>
      </c>
      <c r="R1765" s="17">
        <v>30</v>
      </c>
      <c r="S1765" s="18">
        <v>4748.6949999999997</v>
      </c>
      <c r="T1765" s="19" t="s">
        <v>328</v>
      </c>
      <c r="U1765" s="20" t="s">
        <v>66</v>
      </c>
      <c r="V1765" s="25" t="s">
        <v>67</v>
      </c>
      <c r="W1765" s="21">
        <v>6</v>
      </c>
      <c r="X1765" s="22"/>
    </row>
    <row r="1766" spans="1:24" s="1" customFormat="1" ht="51.95" customHeight="1" x14ac:dyDescent="0.3">
      <c r="A1766" s="11" t="s">
        <v>1355</v>
      </c>
      <c r="B1766" s="11" t="s">
        <v>2279</v>
      </c>
      <c r="C1766" s="12" t="s">
        <v>2305</v>
      </c>
      <c r="D1766" s="89"/>
      <c r="E1766" s="69" t="str">
        <f>HYPERLINK("https://www.google.ru/search?q=811389-BK&amp;newwindow=1&amp;tbm=isch","Еще фото")</f>
        <v>Еще фото</v>
      </c>
      <c r="F1766" s="13"/>
      <c r="G1766" s="11" t="s">
        <v>675</v>
      </c>
      <c r="H1766" s="11" t="s">
        <v>27</v>
      </c>
      <c r="I1766" s="14" t="s">
        <v>675</v>
      </c>
      <c r="J1766" s="14" t="s">
        <v>879</v>
      </c>
      <c r="K1766" s="15" t="s">
        <v>55</v>
      </c>
      <c r="L1766" s="86" t="s">
        <v>2281</v>
      </c>
      <c r="M1766" s="14"/>
      <c r="N1766" s="14" t="s">
        <v>49</v>
      </c>
      <c r="O1766" s="14"/>
      <c r="P1766" s="15" t="s">
        <v>108</v>
      </c>
      <c r="Q1766" s="16">
        <v>5799</v>
      </c>
      <c r="R1766" s="17">
        <v>30</v>
      </c>
      <c r="S1766" s="18">
        <v>4668.1949999999997</v>
      </c>
      <c r="T1766" s="19" t="s">
        <v>328</v>
      </c>
      <c r="U1766" s="20" t="s">
        <v>64</v>
      </c>
      <c r="V1766" s="25" t="s">
        <v>65</v>
      </c>
      <c r="W1766" s="21">
        <v>6</v>
      </c>
      <c r="X1766" s="22"/>
    </row>
    <row r="1767" spans="1:24" s="1" customFormat="1" ht="60.95" customHeight="1" x14ac:dyDescent="0.3">
      <c r="A1767" s="23" t="s">
        <v>1355</v>
      </c>
      <c r="B1767" s="23" t="s">
        <v>2279</v>
      </c>
      <c r="C1767" s="12" t="s">
        <v>2305</v>
      </c>
      <c r="D1767" s="90"/>
      <c r="E1767" s="69" t="str">
        <f>HYPERLINK("https://www.google.ru/search?q=811389-BK&amp;newwindow=1&amp;tbm=isch","Еще фото")</f>
        <v>Еще фото</v>
      </c>
      <c r="F1767" s="13"/>
      <c r="G1767" s="23" t="s">
        <v>675</v>
      </c>
      <c r="H1767" s="23" t="s">
        <v>27</v>
      </c>
      <c r="I1767" s="23" t="s">
        <v>675</v>
      </c>
      <c r="J1767" s="14" t="s">
        <v>879</v>
      </c>
      <c r="K1767" s="15" t="s">
        <v>55</v>
      </c>
      <c r="L1767" s="88"/>
      <c r="M1767" s="14"/>
      <c r="N1767" s="14" t="s">
        <v>49</v>
      </c>
      <c r="O1767" s="14"/>
      <c r="P1767" s="15" t="s">
        <v>108</v>
      </c>
      <c r="Q1767" s="16">
        <v>5799</v>
      </c>
      <c r="R1767" s="17">
        <v>30</v>
      </c>
      <c r="S1767" s="18">
        <v>4668.1949999999997</v>
      </c>
      <c r="T1767" s="19" t="s">
        <v>328</v>
      </c>
      <c r="U1767" s="20" t="s">
        <v>66</v>
      </c>
      <c r="V1767" s="25" t="s">
        <v>67</v>
      </c>
      <c r="W1767" s="21">
        <v>4</v>
      </c>
      <c r="X1767" s="22"/>
    </row>
    <row r="1768" spans="1:24" s="1" customFormat="1" ht="108" customHeight="1" x14ac:dyDescent="0.3">
      <c r="A1768" s="11" t="s">
        <v>1355</v>
      </c>
      <c r="B1768" s="11" t="s">
        <v>2306</v>
      </c>
      <c r="C1768" s="12" t="s">
        <v>2307</v>
      </c>
      <c r="D1768" s="24"/>
      <c r="E1768" s="69" t="str">
        <f>HYPERLINK("https://www.google.ru/search?q=811389-NV&amp;newwindow=1&amp;tbm=isch","Еще фото")</f>
        <v>Еще фото</v>
      </c>
      <c r="F1768" s="13"/>
      <c r="G1768" s="11" t="s">
        <v>675</v>
      </c>
      <c r="H1768" s="11" t="s">
        <v>27</v>
      </c>
      <c r="I1768" s="14" t="s">
        <v>675</v>
      </c>
      <c r="J1768" s="14" t="s">
        <v>879</v>
      </c>
      <c r="K1768" s="15" t="s">
        <v>55</v>
      </c>
      <c r="L1768" s="14" t="s">
        <v>2281</v>
      </c>
      <c r="M1768" s="14"/>
      <c r="N1768" s="14" t="s">
        <v>70</v>
      </c>
      <c r="O1768" s="14"/>
      <c r="P1768" s="15" t="s">
        <v>108</v>
      </c>
      <c r="Q1768" s="16">
        <v>5799</v>
      </c>
      <c r="R1768" s="17">
        <v>30</v>
      </c>
      <c r="S1768" s="18">
        <v>4668.1949999999997</v>
      </c>
      <c r="T1768" s="19" t="s">
        <v>328</v>
      </c>
      <c r="U1768" s="20" t="s">
        <v>66</v>
      </c>
      <c r="V1768" s="25" t="s">
        <v>67</v>
      </c>
      <c r="W1768" s="21">
        <v>2</v>
      </c>
      <c r="X1768" s="22"/>
    </row>
    <row r="1769" spans="1:24" s="1" customFormat="1" ht="108" customHeight="1" x14ac:dyDescent="0.3">
      <c r="A1769" s="11" t="s">
        <v>1355</v>
      </c>
      <c r="B1769" s="11" t="s">
        <v>2279</v>
      </c>
      <c r="C1769" s="12" t="s">
        <v>2308</v>
      </c>
      <c r="D1769" s="24"/>
      <c r="E1769" s="69" t="str">
        <f>HYPERLINK("https://www.google.ru/search?q=811389-RO&amp;newwindow=1&amp;tbm=isch","Еще фото")</f>
        <v>Еще фото</v>
      </c>
      <c r="F1769" s="13"/>
      <c r="G1769" s="11" t="s">
        <v>675</v>
      </c>
      <c r="H1769" s="11" t="s">
        <v>27</v>
      </c>
      <c r="I1769" s="14" t="s">
        <v>675</v>
      </c>
      <c r="J1769" s="14" t="s">
        <v>879</v>
      </c>
      <c r="K1769" s="15" t="s">
        <v>55</v>
      </c>
      <c r="L1769" s="14" t="s">
        <v>2281</v>
      </c>
      <c r="M1769" s="14"/>
      <c r="N1769" s="14" t="s">
        <v>70</v>
      </c>
      <c r="O1769" s="14"/>
      <c r="P1769" s="15" t="s">
        <v>108</v>
      </c>
      <c r="Q1769" s="16">
        <v>5799</v>
      </c>
      <c r="R1769" s="17">
        <v>30</v>
      </c>
      <c r="S1769" s="18">
        <v>4668.1949999999997</v>
      </c>
      <c r="T1769" s="19" t="s">
        <v>328</v>
      </c>
      <c r="U1769" s="20" t="s">
        <v>66</v>
      </c>
      <c r="V1769" s="25" t="s">
        <v>67</v>
      </c>
      <c r="W1769" s="21">
        <v>1</v>
      </c>
      <c r="X1769" s="22"/>
    </row>
    <row r="1770" spans="1:24" s="1" customFormat="1" ht="108" customHeight="1" x14ac:dyDescent="0.3">
      <c r="A1770" s="11" t="s">
        <v>1355</v>
      </c>
      <c r="B1770" s="11" t="s">
        <v>2268</v>
      </c>
      <c r="C1770" s="12" t="s">
        <v>2309</v>
      </c>
      <c r="D1770" s="24"/>
      <c r="E1770" s="69" t="str">
        <f>HYPERLINK("https://www.google.ru/search?q=814306-APLB&amp;newwindow=1&amp;tbm=isch","Еще фото")</f>
        <v>Еще фото</v>
      </c>
      <c r="F1770" s="13"/>
      <c r="G1770" s="11" t="s">
        <v>675</v>
      </c>
      <c r="H1770" s="11" t="s">
        <v>27</v>
      </c>
      <c r="I1770" s="14" t="s">
        <v>675</v>
      </c>
      <c r="J1770" s="14" t="s">
        <v>879</v>
      </c>
      <c r="K1770" s="15" t="s">
        <v>47</v>
      </c>
      <c r="L1770" s="14" t="s">
        <v>2310</v>
      </c>
      <c r="M1770" s="14"/>
      <c r="N1770" s="14" t="s">
        <v>313</v>
      </c>
      <c r="O1770" s="14"/>
      <c r="P1770" s="15" t="s">
        <v>2271</v>
      </c>
      <c r="Q1770" s="16">
        <v>7899</v>
      </c>
      <c r="R1770" s="17">
        <v>30</v>
      </c>
      <c r="S1770" s="18">
        <v>6358.6949999999997</v>
      </c>
      <c r="T1770" s="19" t="s">
        <v>328</v>
      </c>
      <c r="U1770" s="20" t="s">
        <v>66</v>
      </c>
      <c r="V1770" s="25" t="s">
        <v>68</v>
      </c>
      <c r="W1770" s="21">
        <v>2</v>
      </c>
      <c r="X1770" s="22"/>
    </row>
    <row r="1771" spans="1:24" s="1" customFormat="1" ht="35.1" customHeight="1" x14ac:dyDescent="0.3">
      <c r="A1771" s="11" t="s">
        <v>1355</v>
      </c>
      <c r="B1771" s="11" t="s">
        <v>2265</v>
      </c>
      <c r="C1771" s="12" t="s">
        <v>2311</v>
      </c>
      <c r="D1771" s="83"/>
      <c r="E1771" s="69" t="str">
        <f>HYPERLINK("https://www.google.ru/search?q=814379-BK&amp;newwindow=1&amp;tbm=isch","Еще фото")</f>
        <v>Еще фото</v>
      </c>
      <c r="F1771" s="13"/>
      <c r="G1771" s="11" t="s">
        <v>675</v>
      </c>
      <c r="H1771" s="11" t="s">
        <v>27</v>
      </c>
      <c r="I1771" s="14" t="s">
        <v>675</v>
      </c>
      <c r="J1771" s="14" t="s">
        <v>879</v>
      </c>
      <c r="K1771" s="15" t="s">
        <v>47</v>
      </c>
      <c r="L1771" s="86" t="s">
        <v>2267</v>
      </c>
      <c r="M1771" s="14"/>
      <c r="N1771" s="14" t="s">
        <v>49</v>
      </c>
      <c r="O1771" s="14"/>
      <c r="P1771" s="15" t="s">
        <v>108</v>
      </c>
      <c r="Q1771" s="16">
        <v>5199</v>
      </c>
      <c r="R1771" s="17">
        <v>30</v>
      </c>
      <c r="S1771" s="18">
        <v>4185.1949999999997</v>
      </c>
      <c r="T1771" s="19" t="s">
        <v>328</v>
      </c>
      <c r="U1771" s="20" t="s">
        <v>354</v>
      </c>
      <c r="V1771" s="25" t="s">
        <v>65</v>
      </c>
      <c r="W1771" s="21">
        <v>1</v>
      </c>
      <c r="X1771" s="22"/>
    </row>
    <row r="1772" spans="1:24" s="1" customFormat="1" ht="35.1" customHeight="1" x14ac:dyDescent="0.3">
      <c r="A1772" s="23" t="s">
        <v>1355</v>
      </c>
      <c r="B1772" s="23" t="s">
        <v>2265</v>
      </c>
      <c r="C1772" s="12" t="s">
        <v>2311</v>
      </c>
      <c r="D1772" s="84"/>
      <c r="E1772" s="69" t="str">
        <f>HYPERLINK("https://www.google.ru/search?q=814379-BK&amp;newwindow=1&amp;tbm=isch","Еще фото")</f>
        <v>Еще фото</v>
      </c>
      <c r="F1772" s="13"/>
      <c r="G1772" s="23" t="s">
        <v>675</v>
      </c>
      <c r="H1772" s="23" t="s">
        <v>27</v>
      </c>
      <c r="I1772" s="23" t="s">
        <v>675</v>
      </c>
      <c r="J1772" s="14" t="s">
        <v>879</v>
      </c>
      <c r="K1772" s="15" t="s">
        <v>47</v>
      </c>
      <c r="L1772" s="87"/>
      <c r="M1772" s="14"/>
      <c r="N1772" s="14" t="s">
        <v>49</v>
      </c>
      <c r="O1772" s="14"/>
      <c r="P1772" s="15" t="s">
        <v>108</v>
      </c>
      <c r="Q1772" s="16">
        <v>5199</v>
      </c>
      <c r="R1772" s="17">
        <v>30</v>
      </c>
      <c r="S1772" s="18">
        <v>4185.1949999999997</v>
      </c>
      <c r="T1772" s="19" t="s">
        <v>328</v>
      </c>
      <c r="U1772" s="20" t="s">
        <v>64</v>
      </c>
      <c r="V1772" s="25" t="s">
        <v>67</v>
      </c>
      <c r="W1772" s="21">
        <v>5</v>
      </c>
      <c r="X1772" s="22"/>
    </row>
    <row r="1773" spans="1:24" s="1" customFormat="1" ht="36.950000000000003" customHeight="1" x14ac:dyDescent="0.3">
      <c r="A1773" s="23" t="s">
        <v>1355</v>
      </c>
      <c r="B1773" s="23" t="s">
        <v>2265</v>
      </c>
      <c r="C1773" s="12" t="s">
        <v>2311</v>
      </c>
      <c r="D1773" s="85"/>
      <c r="E1773" s="69" t="str">
        <f>HYPERLINK("https://www.google.ru/search?q=814379-BK&amp;newwindow=1&amp;tbm=isch","Еще фото")</f>
        <v>Еще фото</v>
      </c>
      <c r="F1773" s="13"/>
      <c r="G1773" s="23" t="s">
        <v>675</v>
      </c>
      <c r="H1773" s="23" t="s">
        <v>27</v>
      </c>
      <c r="I1773" s="23" t="s">
        <v>675</v>
      </c>
      <c r="J1773" s="14" t="s">
        <v>879</v>
      </c>
      <c r="K1773" s="15" t="s">
        <v>47</v>
      </c>
      <c r="L1773" s="88"/>
      <c r="M1773" s="14"/>
      <c r="N1773" s="14" t="s">
        <v>49</v>
      </c>
      <c r="O1773" s="14"/>
      <c r="P1773" s="15" t="s">
        <v>108</v>
      </c>
      <c r="Q1773" s="16">
        <v>5199</v>
      </c>
      <c r="R1773" s="17">
        <v>30</v>
      </c>
      <c r="S1773" s="18">
        <v>4185.1949999999997</v>
      </c>
      <c r="T1773" s="19" t="s">
        <v>328</v>
      </c>
      <c r="U1773" s="20" t="s">
        <v>66</v>
      </c>
      <c r="V1773" s="25" t="s">
        <v>68</v>
      </c>
      <c r="W1773" s="21">
        <v>2</v>
      </c>
      <c r="X1773" s="22"/>
    </row>
    <row r="1774" spans="1:24" s="1" customFormat="1" ht="108" customHeight="1" x14ac:dyDescent="0.3">
      <c r="A1774" s="11" t="s">
        <v>1355</v>
      </c>
      <c r="B1774" s="11" t="s">
        <v>2312</v>
      </c>
      <c r="C1774" s="12" t="s">
        <v>2313</v>
      </c>
      <c r="D1774" s="24"/>
      <c r="E1774" s="69" t="str">
        <f>HYPERLINK("https://www.google.ru/search?q=814439-DB&amp;newwindow=1&amp;tbm=isch","Еще фото")</f>
        <v>Еще фото</v>
      </c>
      <c r="F1774" s="13"/>
      <c r="G1774" s="11" t="s">
        <v>675</v>
      </c>
      <c r="H1774" s="11" t="s">
        <v>27</v>
      </c>
      <c r="I1774" s="14" t="s">
        <v>675</v>
      </c>
      <c r="J1774" s="14" t="s">
        <v>879</v>
      </c>
      <c r="K1774" s="15" t="s">
        <v>47</v>
      </c>
      <c r="L1774" s="14" t="s">
        <v>2314</v>
      </c>
      <c r="M1774" s="14"/>
      <c r="N1774" s="14" t="s">
        <v>140</v>
      </c>
      <c r="O1774" s="14"/>
      <c r="P1774" s="15" t="s">
        <v>2264</v>
      </c>
      <c r="Q1774" s="16">
        <v>3699</v>
      </c>
      <c r="R1774" s="17">
        <v>30</v>
      </c>
      <c r="S1774" s="18">
        <v>2977.6950000000002</v>
      </c>
      <c r="T1774" s="19" t="s">
        <v>328</v>
      </c>
      <c r="U1774" s="20" t="s">
        <v>64</v>
      </c>
      <c r="V1774" s="25" t="s">
        <v>67</v>
      </c>
      <c r="W1774" s="21">
        <v>2</v>
      </c>
      <c r="X1774" s="22"/>
    </row>
    <row r="1775" spans="1:24" s="1" customFormat="1" ht="51.95" customHeight="1" x14ac:dyDescent="0.3">
      <c r="A1775" s="11" t="s">
        <v>1355</v>
      </c>
      <c r="B1775" s="11" t="s">
        <v>2315</v>
      </c>
      <c r="C1775" s="12" t="s">
        <v>2316</v>
      </c>
      <c r="D1775" s="89"/>
      <c r="E1775" s="69" t="str">
        <f>HYPERLINK("https://www.google.ru/search?q=816086-AB&amp;newwindow=1&amp;tbm=isch","Еще фото")</f>
        <v>Еще фото</v>
      </c>
      <c r="F1775" s="13"/>
      <c r="G1775" s="11" t="s">
        <v>675</v>
      </c>
      <c r="H1775" s="11" t="s">
        <v>27</v>
      </c>
      <c r="I1775" s="14" t="s">
        <v>675</v>
      </c>
      <c r="J1775" s="14" t="s">
        <v>879</v>
      </c>
      <c r="K1775" s="15" t="s">
        <v>30</v>
      </c>
      <c r="L1775" s="86" t="s">
        <v>2317</v>
      </c>
      <c r="M1775" s="14"/>
      <c r="N1775" s="14" t="s">
        <v>70</v>
      </c>
      <c r="O1775" s="14"/>
      <c r="P1775" s="15" t="s">
        <v>108</v>
      </c>
      <c r="Q1775" s="16">
        <v>3799</v>
      </c>
      <c r="R1775" s="17">
        <v>30</v>
      </c>
      <c r="S1775" s="18">
        <v>3058.1950000000002</v>
      </c>
      <c r="T1775" s="19" t="s">
        <v>328</v>
      </c>
      <c r="U1775" s="20" t="s">
        <v>2160</v>
      </c>
      <c r="V1775" s="21">
        <v>152</v>
      </c>
      <c r="W1775" s="21">
        <v>3</v>
      </c>
      <c r="X1775" s="22"/>
    </row>
    <row r="1776" spans="1:24" s="1" customFormat="1" ht="60.95" customHeight="1" x14ac:dyDescent="0.3">
      <c r="A1776" s="23" t="s">
        <v>1355</v>
      </c>
      <c r="B1776" s="23" t="s">
        <v>2315</v>
      </c>
      <c r="C1776" s="12" t="s">
        <v>2316</v>
      </c>
      <c r="D1776" s="90"/>
      <c r="E1776" s="69" t="str">
        <f>HYPERLINK("https://www.google.ru/search?q=816086-AB&amp;newwindow=1&amp;tbm=isch","Еще фото")</f>
        <v>Еще фото</v>
      </c>
      <c r="F1776" s="13"/>
      <c r="G1776" s="23" t="s">
        <v>675</v>
      </c>
      <c r="H1776" s="23" t="s">
        <v>27</v>
      </c>
      <c r="I1776" s="23" t="s">
        <v>675</v>
      </c>
      <c r="J1776" s="14" t="s">
        <v>879</v>
      </c>
      <c r="K1776" s="15" t="s">
        <v>30</v>
      </c>
      <c r="L1776" s="88"/>
      <c r="M1776" s="14"/>
      <c r="N1776" s="14" t="s">
        <v>70</v>
      </c>
      <c r="O1776" s="14"/>
      <c r="P1776" s="15" t="s">
        <v>108</v>
      </c>
      <c r="Q1776" s="16">
        <v>3799</v>
      </c>
      <c r="R1776" s="17">
        <v>30</v>
      </c>
      <c r="S1776" s="18">
        <v>3058.1950000000002</v>
      </c>
      <c r="T1776" s="19" t="s">
        <v>328</v>
      </c>
      <c r="U1776" s="20" t="s">
        <v>2162</v>
      </c>
      <c r="V1776" s="21">
        <v>176</v>
      </c>
      <c r="W1776" s="21">
        <v>1</v>
      </c>
      <c r="X1776" s="22"/>
    </row>
    <row r="1777" spans="1:24" s="1" customFormat="1" ht="108" customHeight="1" x14ac:dyDescent="0.3">
      <c r="A1777" s="11" t="s">
        <v>1355</v>
      </c>
      <c r="B1777" s="11" t="s">
        <v>2283</v>
      </c>
      <c r="C1777" s="12" t="s">
        <v>2318</v>
      </c>
      <c r="D1777" s="24"/>
      <c r="E1777" s="69" t="str">
        <f>HYPERLINK("https://www.google.ru/search?q=816349-BK&amp;newwindow=1&amp;tbm=isch","Еще фото")</f>
        <v>Еще фото</v>
      </c>
      <c r="F1777" s="13"/>
      <c r="G1777" s="11" t="s">
        <v>675</v>
      </c>
      <c r="H1777" s="11" t="s">
        <v>27</v>
      </c>
      <c r="I1777" s="14" t="s">
        <v>675</v>
      </c>
      <c r="J1777" s="14" t="s">
        <v>879</v>
      </c>
      <c r="K1777" s="15" t="s">
        <v>30</v>
      </c>
      <c r="L1777" s="14" t="s">
        <v>2281</v>
      </c>
      <c r="M1777" s="14"/>
      <c r="N1777" s="14" t="s">
        <v>49</v>
      </c>
      <c r="O1777" s="14"/>
      <c r="P1777" s="15" t="s">
        <v>108</v>
      </c>
      <c r="Q1777" s="16">
        <v>3999</v>
      </c>
      <c r="R1777" s="17">
        <v>30</v>
      </c>
      <c r="S1777" s="18">
        <v>3219.1950000000002</v>
      </c>
      <c r="T1777" s="19" t="s">
        <v>328</v>
      </c>
      <c r="U1777" s="20" t="s">
        <v>2161</v>
      </c>
      <c r="V1777" s="21">
        <v>164</v>
      </c>
      <c r="W1777" s="21">
        <v>3</v>
      </c>
      <c r="X1777" s="22"/>
    </row>
    <row r="1778" spans="1:24" s="1" customFormat="1" ht="108" customHeight="1" x14ac:dyDescent="0.3">
      <c r="A1778" s="11" t="s">
        <v>1355</v>
      </c>
      <c r="B1778" s="11" t="s">
        <v>2283</v>
      </c>
      <c r="C1778" s="12" t="s">
        <v>2319</v>
      </c>
      <c r="D1778" s="24"/>
      <c r="E1778" s="69" t="str">
        <f>HYPERLINK("https://www.google.ru/search?q=816349-RO&amp;newwindow=1&amp;tbm=isch","Еще фото")</f>
        <v>Еще фото</v>
      </c>
      <c r="F1778" s="13"/>
      <c r="G1778" s="11" t="s">
        <v>675</v>
      </c>
      <c r="H1778" s="11" t="s">
        <v>27</v>
      </c>
      <c r="I1778" s="14" t="s">
        <v>675</v>
      </c>
      <c r="J1778" s="14" t="s">
        <v>879</v>
      </c>
      <c r="K1778" s="15" t="s">
        <v>30</v>
      </c>
      <c r="L1778" s="14" t="s">
        <v>2281</v>
      </c>
      <c r="M1778" s="14"/>
      <c r="N1778" s="14" t="s">
        <v>70</v>
      </c>
      <c r="O1778" s="14"/>
      <c r="P1778" s="15" t="s">
        <v>108</v>
      </c>
      <c r="Q1778" s="16">
        <v>3999</v>
      </c>
      <c r="R1778" s="17">
        <v>30</v>
      </c>
      <c r="S1778" s="18">
        <v>3219.1950000000002</v>
      </c>
      <c r="T1778" s="19" t="s">
        <v>328</v>
      </c>
      <c r="U1778" s="20" t="s">
        <v>2162</v>
      </c>
      <c r="V1778" s="21">
        <v>176</v>
      </c>
      <c r="W1778" s="21">
        <v>3</v>
      </c>
      <c r="X1778" s="22"/>
    </row>
    <row r="1779" spans="1:24" s="1" customFormat="1" ht="35.1" customHeight="1" x14ac:dyDescent="0.3">
      <c r="A1779" s="11" t="s">
        <v>1355</v>
      </c>
      <c r="B1779" s="11" t="s">
        <v>2320</v>
      </c>
      <c r="C1779" s="12" t="s">
        <v>2321</v>
      </c>
      <c r="D1779" s="83"/>
      <c r="E1779" s="69" t="str">
        <f>HYPERLINK("https://www.google.ru/search?q=814285-WH&amp;newwindow=1&amp;tbm=isch","Еще фото")</f>
        <v>Еще фото</v>
      </c>
      <c r="F1779" s="13"/>
      <c r="G1779" s="11" t="s">
        <v>714</v>
      </c>
      <c r="H1779" s="11" t="s">
        <v>27</v>
      </c>
      <c r="I1779" s="14" t="s">
        <v>697</v>
      </c>
      <c r="J1779" s="14" t="s">
        <v>879</v>
      </c>
      <c r="K1779" s="15" t="s">
        <v>47</v>
      </c>
      <c r="L1779" s="86" t="s">
        <v>2322</v>
      </c>
      <c r="M1779" s="14"/>
      <c r="N1779" s="14" t="s">
        <v>89</v>
      </c>
      <c r="O1779" s="14"/>
      <c r="P1779" s="15" t="s">
        <v>2323</v>
      </c>
      <c r="Q1779" s="16">
        <v>7299</v>
      </c>
      <c r="R1779" s="17">
        <v>69.069999999999993</v>
      </c>
      <c r="S1779" s="18">
        <v>2596.4354999999996</v>
      </c>
      <c r="T1779" s="19" t="s">
        <v>328</v>
      </c>
      <c r="U1779" s="20" t="s">
        <v>64</v>
      </c>
      <c r="V1779" s="25" t="s">
        <v>67</v>
      </c>
      <c r="W1779" s="21">
        <v>4</v>
      </c>
      <c r="X1779" s="22"/>
    </row>
    <row r="1780" spans="1:24" s="1" customFormat="1" ht="35.1" customHeight="1" x14ac:dyDescent="0.3">
      <c r="A1780" s="23" t="s">
        <v>1355</v>
      </c>
      <c r="B1780" s="23" t="s">
        <v>2320</v>
      </c>
      <c r="C1780" s="12" t="s">
        <v>2321</v>
      </c>
      <c r="D1780" s="84"/>
      <c r="E1780" s="69" t="str">
        <f>HYPERLINK("https://www.google.ru/search?q=814285-WH&amp;newwindow=1&amp;tbm=isch","Еще фото")</f>
        <v>Еще фото</v>
      </c>
      <c r="F1780" s="13"/>
      <c r="G1780" s="23" t="s">
        <v>714</v>
      </c>
      <c r="H1780" s="23" t="s">
        <v>27</v>
      </c>
      <c r="I1780" s="23" t="s">
        <v>697</v>
      </c>
      <c r="J1780" s="14" t="s">
        <v>879</v>
      </c>
      <c r="K1780" s="15" t="s">
        <v>47</v>
      </c>
      <c r="L1780" s="87"/>
      <c r="M1780" s="14"/>
      <c r="N1780" s="14" t="s">
        <v>89</v>
      </c>
      <c r="O1780" s="14"/>
      <c r="P1780" s="15" t="s">
        <v>2323</v>
      </c>
      <c r="Q1780" s="16">
        <v>7299</v>
      </c>
      <c r="R1780" s="17">
        <v>69.069999999999993</v>
      </c>
      <c r="S1780" s="18">
        <v>2596.4354999999996</v>
      </c>
      <c r="T1780" s="19" t="s">
        <v>328</v>
      </c>
      <c r="U1780" s="20" t="s">
        <v>66</v>
      </c>
      <c r="V1780" s="25" t="s">
        <v>68</v>
      </c>
      <c r="W1780" s="21">
        <v>4</v>
      </c>
      <c r="X1780" s="22"/>
    </row>
    <row r="1781" spans="1:24" s="1" customFormat="1" ht="36.950000000000003" customHeight="1" x14ac:dyDescent="0.3">
      <c r="A1781" s="23" t="s">
        <v>1355</v>
      </c>
      <c r="B1781" s="23" t="s">
        <v>2320</v>
      </c>
      <c r="C1781" s="12" t="s">
        <v>2321</v>
      </c>
      <c r="D1781" s="85"/>
      <c r="E1781" s="69" t="str">
        <f>HYPERLINK("https://www.google.ru/search?q=814285-WH&amp;newwindow=1&amp;tbm=isch","Еще фото")</f>
        <v>Еще фото</v>
      </c>
      <c r="F1781" s="13"/>
      <c r="G1781" s="23" t="s">
        <v>714</v>
      </c>
      <c r="H1781" s="23" t="s">
        <v>27</v>
      </c>
      <c r="I1781" s="23" t="s">
        <v>697</v>
      </c>
      <c r="J1781" s="14" t="s">
        <v>879</v>
      </c>
      <c r="K1781" s="15" t="s">
        <v>47</v>
      </c>
      <c r="L1781" s="88"/>
      <c r="M1781" s="14"/>
      <c r="N1781" s="14" t="s">
        <v>89</v>
      </c>
      <c r="O1781" s="14"/>
      <c r="P1781" s="15" t="s">
        <v>2323</v>
      </c>
      <c r="Q1781" s="16">
        <v>7299</v>
      </c>
      <c r="R1781" s="17">
        <v>69.069999999999993</v>
      </c>
      <c r="S1781" s="18">
        <v>2596.4354999999996</v>
      </c>
      <c r="T1781" s="19" t="s">
        <v>328</v>
      </c>
      <c r="U1781" s="20" t="s">
        <v>58</v>
      </c>
      <c r="V1781" s="25" t="s">
        <v>53</v>
      </c>
      <c r="W1781" s="21">
        <v>3</v>
      </c>
      <c r="X1781" s="22"/>
    </row>
    <row r="1782" spans="1:24" s="1" customFormat="1" ht="35.1" customHeight="1" x14ac:dyDescent="0.3">
      <c r="A1782" s="11" t="s">
        <v>1355</v>
      </c>
      <c r="B1782" s="11" t="s">
        <v>2324</v>
      </c>
      <c r="C1782" s="12" t="s">
        <v>2325</v>
      </c>
      <c r="D1782" s="83"/>
      <c r="E1782" s="69" t="str">
        <f>HYPERLINK("https://www.google.ru/search?q=814145-SW&amp;newwindow=1&amp;tbm=isch","Еще фото")</f>
        <v>Еще фото</v>
      </c>
      <c r="F1782" s="13"/>
      <c r="G1782" s="11" t="s">
        <v>696</v>
      </c>
      <c r="H1782" s="11" t="s">
        <v>27</v>
      </c>
      <c r="I1782" s="14" t="s">
        <v>697</v>
      </c>
      <c r="J1782" s="14" t="s">
        <v>879</v>
      </c>
      <c r="K1782" s="15" t="s">
        <v>47</v>
      </c>
      <c r="L1782" s="86" t="s">
        <v>2326</v>
      </c>
      <c r="M1782" s="14"/>
      <c r="N1782" s="14" t="s">
        <v>636</v>
      </c>
      <c r="O1782" s="14"/>
      <c r="P1782" s="15" t="s">
        <v>108</v>
      </c>
      <c r="Q1782" s="16">
        <v>10999</v>
      </c>
      <c r="R1782" s="17">
        <v>68.930000000000007</v>
      </c>
      <c r="S1782" s="18">
        <v>3930.4354999999996</v>
      </c>
      <c r="T1782" s="19" t="s">
        <v>328</v>
      </c>
      <c r="U1782" s="20" t="s">
        <v>354</v>
      </c>
      <c r="V1782" s="25" t="s">
        <v>65</v>
      </c>
      <c r="W1782" s="21">
        <v>2</v>
      </c>
      <c r="X1782" s="22"/>
    </row>
    <row r="1783" spans="1:24" s="1" customFormat="1" ht="35.1" customHeight="1" x14ac:dyDescent="0.3">
      <c r="A1783" s="23" t="s">
        <v>1355</v>
      </c>
      <c r="B1783" s="23" t="s">
        <v>2324</v>
      </c>
      <c r="C1783" s="12" t="s">
        <v>2325</v>
      </c>
      <c r="D1783" s="84"/>
      <c r="E1783" s="69" t="str">
        <f>HYPERLINK("https://www.google.ru/search?q=814145-SW&amp;newwindow=1&amp;tbm=isch","Еще фото")</f>
        <v>Еще фото</v>
      </c>
      <c r="F1783" s="13"/>
      <c r="G1783" s="23" t="s">
        <v>696</v>
      </c>
      <c r="H1783" s="23" t="s">
        <v>27</v>
      </c>
      <c r="I1783" s="23" t="s">
        <v>697</v>
      </c>
      <c r="J1783" s="14" t="s">
        <v>879</v>
      </c>
      <c r="K1783" s="15" t="s">
        <v>47</v>
      </c>
      <c r="L1783" s="87"/>
      <c r="M1783" s="14"/>
      <c r="N1783" s="14" t="s">
        <v>636</v>
      </c>
      <c r="O1783" s="14"/>
      <c r="P1783" s="15" t="s">
        <v>108</v>
      </c>
      <c r="Q1783" s="16">
        <v>10999</v>
      </c>
      <c r="R1783" s="17">
        <v>68.930000000000007</v>
      </c>
      <c r="S1783" s="18">
        <v>3930.4354999999996</v>
      </c>
      <c r="T1783" s="19" t="s">
        <v>328</v>
      </c>
      <c r="U1783" s="20" t="s">
        <v>64</v>
      </c>
      <c r="V1783" s="25" t="s">
        <v>67</v>
      </c>
      <c r="W1783" s="21">
        <v>1</v>
      </c>
      <c r="X1783" s="22"/>
    </row>
    <row r="1784" spans="1:24" s="1" customFormat="1" ht="36.950000000000003" customHeight="1" x14ac:dyDescent="0.3">
      <c r="A1784" s="23" t="s">
        <v>1355</v>
      </c>
      <c r="B1784" s="23" t="s">
        <v>2324</v>
      </c>
      <c r="C1784" s="12" t="s">
        <v>2325</v>
      </c>
      <c r="D1784" s="85"/>
      <c r="E1784" s="69" t="str">
        <f>HYPERLINK("https://www.google.ru/search?q=814145-SW&amp;newwindow=1&amp;tbm=isch","Еще фото")</f>
        <v>Еще фото</v>
      </c>
      <c r="F1784" s="13"/>
      <c r="G1784" s="23" t="s">
        <v>696</v>
      </c>
      <c r="H1784" s="23" t="s">
        <v>27</v>
      </c>
      <c r="I1784" s="23" t="s">
        <v>697</v>
      </c>
      <c r="J1784" s="14" t="s">
        <v>879</v>
      </c>
      <c r="K1784" s="15" t="s">
        <v>47</v>
      </c>
      <c r="L1784" s="88"/>
      <c r="M1784" s="14"/>
      <c r="N1784" s="14" t="s">
        <v>636</v>
      </c>
      <c r="O1784" s="14"/>
      <c r="P1784" s="15" t="s">
        <v>108</v>
      </c>
      <c r="Q1784" s="16">
        <v>10999</v>
      </c>
      <c r="R1784" s="17">
        <v>68.930000000000007</v>
      </c>
      <c r="S1784" s="18">
        <v>3930.4354999999996</v>
      </c>
      <c r="T1784" s="19" t="s">
        <v>328</v>
      </c>
      <c r="U1784" s="20" t="s">
        <v>66</v>
      </c>
      <c r="V1784" s="25" t="s">
        <v>68</v>
      </c>
      <c r="W1784" s="21">
        <v>2</v>
      </c>
      <c r="X1784" s="22"/>
    </row>
    <row r="1785" spans="1:24" s="1" customFormat="1" ht="26.1" customHeight="1" x14ac:dyDescent="0.3">
      <c r="A1785" s="11" t="s">
        <v>1355</v>
      </c>
      <c r="B1785" s="11" t="s">
        <v>2327</v>
      </c>
      <c r="C1785" s="12" t="s">
        <v>2328</v>
      </c>
      <c r="D1785" s="83"/>
      <c r="E1785" s="69" t="str">
        <f>HYPERLINK("https://www.google.ru/search?q=814745-WH&amp;newwindow=1&amp;tbm=isch","Еще фото")</f>
        <v>Еще фото</v>
      </c>
      <c r="F1785" s="13"/>
      <c r="G1785" s="11" t="s">
        <v>696</v>
      </c>
      <c r="H1785" s="11" t="s">
        <v>27</v>
      </c>
      <c r="I1785" s="14" t="s">
        <v>697</v>
      </c>
      <c r="J1785" s="14" t="s">
        <v>879</v>
      </c>
      <c r="K1785" s="15" t="s">
        <v>47</v>
      </c>
      <c r="L1785" s="86" t="s">
        <v>2329</v>
      </c>
      <c r="M1785" s="14"/>
      <c r="N1785" s="14" t="s">
        <v>89</v>
      </c>
      <c r="O1785" s="14"/>
      <c r="P1785" s="15" t="s">
        <v>2330</v>
      </c>
      <c r="Q1785" s="16">
        <v>9299</v>
      </c>
      <c r="R1785" s="17">
        <v>66.900000000000006</v>
      </c>
      <c r="S1785" s="18">
        <v>3539.4354999999996</v>
      </c>
      <c r="T1785" s="19" t="s">
        <v>328</v>
      </c>
      <c r="U1785" s="20" t="s">
        <v>354</v>
      </c>
      <c r="V1785" s="25" t="s">
        <v>65</v>
      </c>
      <c r="W1785" s="21">
        <v>1</v>
      </c>
      <c r="X1785" s="22"/>
    </row>
    <row r="1786" spans="1:24" s="1" customFormat="1" ht="26.1" customHeight="1" x14ac:dyDescent="0.3">
      <c r="A1786" s="23" t="s">
        <v>1355</v>
      </c>
      <c r="B1786" s="23" t="s">
        <v>2327</v>
      </c>
      <c r="C1786" s="12" t="s">
        <v>2328</v>
      </c>
      <c r="D1786" s="84"/>
      <c r="E1786" s="69" t="str">
        <f>HYPERLINK("https://www.google.ru/search?q=814745-WH&amp;newwindow=1&amp;tbm=isch","Еще фото")</f>
        <v>Еще фото</v>
      </c>
      <c r="F1786" s="13"/>
      <c r="G1786" s="23" t="s">
        <v>696</v>
      </c>
      <c r="H1786" s="23" t="s">
        <v>27</v>
      </c>
      <c r="I1786" s="23" t="s">
        <v>697</v>
      </c>
      <c r="J1786" s="14" t="s">
        <v>879</v>
      </c>
      <c r="K1786" s="15" t="s">
        <v>47</v>
      </c>
      <c r="L1786" s="87"/>
      <c r="M1786" s="14"/>
      <c r="N1786" s="14" t="s">
        <v>89</v>
      </c>
      <c r="O1786" s="14"/>
      <c r="P1786" s="15" t="s">
        <v>2330</v>
      </c>
      <c r="Q1786" s="16">
        <v>9299</v>
      </c>
      <c r="R1786" s="17">
        <v>66.900000000000006</v>
      </c>
      <c r="S1786" s="18">
        <v>3539.4354999999996</v>
      </c>
      <c r="T1786" s="19" t="s">
        <v>328</v>
      </c>
      <c r="U1786" s="20" t="s">
        <v>64</v>
      </c>
      <c r="V1786" s="25" t="s">
        <v>67</v>
      </c>
      <c r="W1786" s="21">
        <v>4</v>
      </c>
      <c r="X1786" s="22"/>
    </row>
    <row r="1787" spans="1:24" s="1" customFormat="1" ht="26.1" customHeight="1" x14ac:dyDescent="0.3">
      <c r="A1787" s="23" t="s">
        <v>1355</v>
      </c>
      <c r="B1787" s="23" t="s">
        <v>2327</v>
      </c>
      <c r="C1787" s="12" t="s">
        <v>2328</v>
      </c>
      <c r="D1787" s="84"/>
      <c r="E1787" s="69" t="str">
        <f>HYPERLINK("https://www.google.ru/search?q=814745-WH&amp;newwindow=1&amp;tbm=isch","Еще фото")</f>
        <v>Еще фото</v>
      </c>
      <c r="F1787" s="13"/>
      <c r="G1787" s="23" t="s">
        <v>696</v>
      </c>
      <c r="H1787" s="23" t="s">
        <v>27</v>
      </c>
      <c r="I1787" s="23" t="s">
        <v>697</v>
      </c>
      <c r="J1787" s="14" t="s">
        <v>879</v>
      </c>
      <c r="K1787" s="15" t="s">
        <v>47</v>
      </c>
      <c r="L1787" s="87"/>
      <c r="M1787" s="14"/>
      <c r="N1787" s="14" t="s">
        <v>89</v>
      </c>
      <c r="O1787" s="14"/>
      <c r="P1787" s="15" t="s">
        <v>2330</v>
      </c>
      <c r="Q1787" s="16">
        <v>9299</v>
      </c>
      <c r="R1787" s="17">
        <v>66.900000000000006</v>
      </c>
      <c r="S1787" s="18">
        <v>3539.4354999999996</v>
      </c>
      <c r="T1787" s="19" t="s">
        <v>328</v>
      </c>
      <c r="U1787" s="20" t="s">
        <v>66</v>
      </c>
      <c r="V1787" s="25" t="s">
        <v>68</v>
      </c>
      <c r="W1787" s="21">
        <v>3</v>
      </c>
      <c r="X1787" s="22"/>
    </row>
    <row r="1788" spans="1:24" s="1" customFormat="1" ht="26.1" customHeight="1" x14ac:dyDescent="0.3">
      <c r="A1788" s="23" t="s">
        <v>1355</v>
      </c>
      <c r="B1788" s="23" t="s">
        <v>2327</v>
      </c>
      <c r="C1788" s="12" t="s">
        <v>2328</v>
      </c>
      <c r="D1788" s="85"/>
      <c r="E1788" s="69" t="str">
        <f>HYPERLINK("https://www.google.ru/search?q=814745-WH&amp;newwindow=1&amp;tbm=isch","Еще фото")</f>
        <v>Еще фото</v>
      </c>
      <c r="F1788" s="13"/>
      <c r="G1788" s="23" t="s">
        <v>696</v>
      </c>
      <c r="H1788" s="23" t="s">
        <v>27</v>
      </c>
      <c r="I1788" s="23" t="s">
        <v>697</v>
      </c>
      <c r="J1788" s="14" t="s">
        <v>879</v>
      </c>
      <c r="K1788" s="15" t="s">
        <v>47</v>
      </c>
      <c r="L1788" s="88"/>
      <c r="M1788" s="14"/>
      <c r="N1788" s="14" t="s">
        <v>89</v>
      </c>
      <c r="O1788" s="14"/>
      <c r="P1788" s="15" t="s">
        <v>2330</v>
      </c>
      <c r="Q1788" s="16">
        <v>9299</v>
      </c>
      <c r="R1788" s="17">
        <v>66.900000000000006</v>
      </c>
      <c r="S1788" s="18">
        <v>3539.4354999999996</v>
      </c>
      <c r="T1788" s="19" t="s">
        <v>328</v>
      </c>
      <c r="U1788" s="20" t="s">
        <v>58</v>
      </c>
      <c r="V1788" s="25" t="s">
        <v>53</v>
      </c>
      <c r="W1788" s="21">
        <v>2</v>
      </c>
      <c r="X1788" s="22"/>
    </row>
    <row r="1789" spans="1:24" s="1" customFormat="1" ht="26.1" customHeight="1" x14ac:dyDescent="0.3">
      <c r="A1789" s="11" t="s">
        <v>1355</v>
      </c>
      <c r="B1789" s="11" t="s">
        <v>2331</v>
      </c>
      <c r="C1789" s="12" t="s">
        <v>2332</v>
      </c>
      <c r="D1789" s="83"/>
      <c r="E1789" s="69" t="str">
        <f>HYPERLINK("https://www.google.ru/search?q=814295-WH&amp;newwindow=1&amp;tbm=isch","Еще фото")</f>
        <v>Еще фото</v>
      </c>
      <c r="F1789" s="13"/>
      <c r="G1789" s="11" t="s">
        <v>714</v>
      </c>
      <c r="H1789" s="11" t="s">
        <v>27</v>
      </c>
      <c r="I1789" s="14" t="s">
        <v>697</v>
      </c>
      <c r="J1789" s="14" t="s">
        <v>879</v>
      </c>
      <c r="K1789" s="15" t="s">
        <v>47</v>
      </c>
      <c r="L1789" s="86" t="s">
        <v>2333</v>
      </c>
      <c r="M1789" s="14"/>
      <c r="N1789" s="14" t="s">
        <v>89</v>
      </c>
      <c r="O1789" s="14"/>
      <c r="P1789" s="15" t="s">
        <v>2334</v>
      </c>
      <c r="Q1789" s="16">
        <v>7199</v>
      </c>
      <c r="R1789" s="17">
        <v>55.72</v>
      </c>
      <c r="S1789" s="18">
        <v>3665.9354999999996</v>
      </c>
      <c r="T1789" s="19" t="s">
        <v>328</v>
      </c>
      <c r="U1789" s="20" t="s">
        <v>354</v>
      </c>
      <c r="V1789" s="25" t="s">
        <v>65</v>
      </c>
      <c r="W1789" s="21">
        <v>1</v>
      </c>
      <c r="X1789" s="22"/>
    </row>
    <row r="1790" spans="1:24" s="1" customFormat="1" ht="26.1" customHeight="1" x14ac:dyDescent="0.3">
      <c r="A1790" s="23" t="s">
        <v>1355</v>
      </c>
      <c r="B1790" s="23" t="s">
        <v>2331</v>
      </c>
      <c r="C1790" s="12" t="s">
        <v>2332</v>
      </c>
      <c r="D1790" s="84"/>
      <c r="E1790" s="69" t="str">
        <f>HYPERLINK("https://www.google.ru/search?q=814295-WH&amp;newwindow=1&amp;tbm=isch","Еще фото")</f>
        <v>Еще фото</v>
      </c>
      <c r="F1790" s="13"/>
      <c r="G1790" s="23" t="s">
        <v>714</v>
      </c>
      <c r="H1790" s="23" t="s">
        <v>27</v>
      </c>
      <c r="I1790" s="23" t="s">
        <v>697</v>
      </c>
      <c r="J1790" s="14" t="s">
        <v>879</v>
      </c>
      <c r="K1790" s="15" t="s">
        <v>47</v>
      </c>
      <c r="L1790" s="87"/>
      <c r="M1790" s="14"/>
      <c r="N1790" s="14" t="s">
        <v>89</v>
      </c>
      <c r="O1790" s="14"/>
      <c r="P1790" s="15" t="s">
        <v>2334</v>
      </c>
      <c r="Q1790" s="16">
        <v>7199</v>
      </c>
      <c r="R1790" s="17">
        <v>55.72</v>
      </c>
      <c r="S1790" s="18">
        <v>3665.9354999999996</v>
      </c>
      <c r="T1790" s="19" t="s">
        <v>328</v>
      </c>
      <c r="U1790" s="20" t="s">
        <v>64</v>
      </c>
      <c r="V1790" s="25" t="s">
        <v>67</v>
      </c>
      <c r="W1790" s="21">
        <v>2</v>
      </c>
      <c r="X1790" s="22"/>
    </row>
    <row r="1791" spans="1:24" s="1" customFormat="1" ht="26.1" customHeight="1" x14ac:dyDescent="0.3">
      <c r="A1791" s="23" t="s">
        <v>1355</v>
      </c>
      <c r="B1791" s="23" t="s">
        <v>2331</v>
      </c>
      <c r="C1791" s="12" t="s">
        <v>2332</v>
      </c>
      <c r="D1791" s="84"/>
      <c r="E1791" s="69" t="str">
        <f>HYPERLINK("https://www.google.ru/search?q=814295-WH&amp;newwindow=1&amp;tbm=isch","Еще фото")</f>
        <v>Еще фото</v>
      </c>
      <c r="F1791" s="13"/>
      <c r="G1791" s="23" t="s">
        <v>714</v>
      </c>
      <c r="H1791" s="23" t="s">
        <v>27</v>
      </c>
      <c r="I1791" s="23" t="s">
        <v>697</v>
      </c>
      <c r="J1791" s="14" t="s">
        <v>879</v>
      </c>
      <c r="K1791" s="15" t="s">
        <v>47</v>
      </c>
      <c r="L1791" s="87"/>
      <c r="M1791" s="14"/>
      <c r="N1791" s="14" t="s">
        <v>89</v>
      </c>
      <c r="O1791" s="14"/>
      <c r="P1791" s="15" t="s">
        <v>2334</v>
      </c>
      <c r="Q1791" s="16">
        <v>7199</v>
      </c>
      <c r="R1791" s="17">
        <v>55.72</v>
      </c>
      <c r="S1791" s="18">
        <v>3665.9354999999996</v>
      </c>
      <c r="T1791" s="19" t="s">
        <v>328</v>
      </c>
      <c r="U1791" s="20" t="s">
        <v>66</v>
      </c>
      <c r="V1791" s="25" t="s">
        <v>68</v>
      </c>
      <c r="W1791" s="21">
        <v>4</v>
      </c>
      <c r="X1791" s="22"/>
    </row>
    <row r="1792" spans="1:24" s="1" customFormat="1" ht="26.1" customHeight="1" x14ac:dyDescent="0.3">
      <c r="A1792" s="23" t="s">
        <v>1355</v>
      </c>
      <c r="B1792" s="23" t="s">
        <v>2331</v>
      </c>
      <c r="C1792" s="12" t="s">
        <v>2332</v>
      </c>
      <c r="D1792" s="85"/>
      <c r="E1792" s="69" t="str">
        <f>HYPERLINK("https://www.google.ru/search?q=814295-WH&amp;newwindow=1&amp;tbm=isch","Еще фото")</f>
        <v>Еще фото</v>
      </c>
      <c r="F1792" s="13"/>
      <c r="G1792" s="23" t="s">
        <v>714</v>
      </c>
      <c r="H1792" s="23" t="s">
        <v>27</v>
      </c>
      <c r="I1792" s="23" t="s">
        <v>697</v>
      </c>
      <c r="J1792" s="14" t="s">
        <v>879</v>
      </c>
      <c r="K1792" s="15" t="s">
        <v>47</v>
      </c>
      <c r="L1792" s="88"/>
      <c r="M1792" s="14"/>
      <c r="N1792" s="14" t="s">
        <v>89</v>
      </c>
      <c r="O1792" s="14"/>
      <c r="P1792" s="15" t="s">
        <v>2334</v>
      </c>
      <c r="Q1792" s="16">
        <v>7199</v>
      </c>
      <c r="R1792" s="17">
        <v>55.72</v>
      </c>
      <c r="S1792" s="18">
        <v>3665.9354999999996</v>
      </c>
      <c r="T1792" s="19" t="s">
        <v>328</v>
      </c>
      <c r="U1792" s="20" t="s">
        <v>58</v>
      </c>
      <c r="V1792" s="25" t="s">
        <v>53</v>
      </c>
      <c r="W1792" s="21">
        <v>3</v>
      </c>
      <c r="X1792" s="22"/>
    </row>
    <row r="1793" spans="1:24" s="1" customFormat="1" ht="51.95" customHeight="1" x14ac:dyDescent="0.3">
      <c r="A1793" s="11" t="s">
        <v>1355</v>
      </c>
      <c r="B1793" s="11" t="s">
        <v>2327</v>
      </c>
      <c r="C1793" s="12" t="s">
        <v>2335</v>
      </c>
      <c r="D1793" s="89"/>
      <c r="E1793" s="69" t="str">
        <f>HYPERLINK("https://www.google.ru/search?q=814745-NV&amp;newwindow=1&amp;tbm=isch","Еще фото")</f>
        <v>Еще фото</v>
      </c>
      <c r="F1793" s="13"/>
      <c r="G1793" s="11" t="s">
        <v>696</v>
      </c>
      <c r="H1793" s="11" t="s">
        <v>27</v>
      </c>
      <c r="I1793" s="14" t="s">
        <v>697</v>
      </c>
      <c r="J1793" s="14" t="s">
        <v>879</v>
      </c>
      <c r="K1793" s="15" t="s">
        <v>47</v>
      </c>
      <c r="L1793" s="86" t="s">
        <v>2329</v>
      </c>
      <c r="M1793" s="14"/>
      <c r="N1793" s="14" t="s">
        <v>70</v>
      </c>
      <c r="O1793" s="14"/>
      <c r="P1793" s="15" t="s">
        <v>2336</v>
      </c>
      <c r="Q1793" s="16">
        <v>9299</v>
      </c>
      <c r="R1793" s="17">
        <v>52.38</v>
      </c>
      <c r="S1793" s="18">
        <v>5091.9355000000005</v>
      </c>
      <c r="T1793" s="19" t="s">
        <v>328</v>
      </c>
      <c r="U1793" s="20" t="s">
        <v>354</v>
      </c>
      <c r="V1793" s="25" t="s">
        <v>65</v>
      </c>
      <c r="W1793" s="21">
        <v>3</v>
      </c>
      <c r="X1793" s="22"/>
    </row>
    <row r="1794" spans="1:24" s="1" customFormat="1" ht="60.95" customHeight="1" x14ac:dyDescent="0.3">
      <c r="A1794" s="23" t="s">
        <v>1355</v>
      </c>
      <c r="B1794" s="23" t="s">
        <v>2327</v>
      </c>
      <c r="C1794" s="12" t="s">
        <v>2335</v>
      </c>
      <c r="D1794" s="90"/>
      <c r="E1794" s="69" t="str">
        <f>HYPERLINK("https://www.google.ru/search?q=814745-NV&amp;newwindow=1&amp;tbm=isch","Еще фото")</f>
        <v>Еще фото</v>
      </c>
      <c r="F1794" s="13"/>
      <c r="G1794" s="23" t="s">
        <v>696</v>
      </c>
      <c r="H1794" s="23" t="s">
        <v>27</v>
      </c>
      <c r="I1794" s="23" t="s">
        <v>697</v>
      </c>
      <c r="J1794" s="14" t="s">
        <v>879</v>
      </c>
      <c r="K1794" s="15" t="s">
        <v>47</v>
      </c>
      <c r="L1794" s="88"/>
      <c r="M1794" s="14"/>
      <c r="N1794" s="14" t="s">
        <v>70</v>
      </c>
      <c r="O1794" s="14"/>
      <c r="P1794" s="15" t="s">
        <v>2336</v>
      </c>
      <c r="Q1794" s="16">
        <v>9299</v>
      </c>
      <c r="R1794" s="17">
        <v>52.38</v>
      </c>
      <c r="S1794" s="18">
        <v>5091.9355000000005</v>
      </c>
      <c r="T1794" s="19" t="s">
        <v>328</v>
      </c>
      <c r="U1794" s="20" t="s">
        <v>64</v>
      </c>
      <c r="V1794" s="25" t="s">
        <v>67</v>
      </c>
      <c r="W1794" s="21">
        <v>2</v>
      </c>
      <c r="X1794" s="22"/>
    </row>
    <row r="1795" spans="1:24" s="1" customFormat="1" ht="35.1" customHeight="1" x14ac:dyDescent="0.3">
      <c r="A1795" s="11" t="s">
        <v>1355</v>
      </c>
      <c r="B1795" s="11" t="s">
        <v>2320</v>
      </c>
      <c r="C1795" s="12" t="s">
        <v>2337</v>
      </c>
      <c r="D1795" s="83"/>
      <c r="E1795" s="69" t="str">
        <f>HYPERLINK("https://www.google.ru/search?q=814286-LBWH&amp;newwindow=1&amp;tbm=isch","Еще фото")</f>
        <v>Еще фото</v>
      </c>
      <c r="F1795" s="13"/>
      <c r="G1795" s="11" t="s">
        <v>714</v>
      </c>
      <c r="H1795" s="11" t="s">
        <v>27</v>
      </c>
      <c r="I1795" s="14" t="s">
        <v>697</v>
      </c>
      <c r="J1795" s="14" t="s">
        <v>879</v>
      </c>
      <c r="K1795" s="15" t="s">
        <v>47</v>
      </c>
      <c r="L1795" s="86" t="s">
        <v>2338</v>
      </c>
      <c r="M1795" s="14"/>
      <c r="N1795" s="14" t="s">
        <v>2339</v>
      </c>
      <c r="O1795" s="14"/>
      <c r="P1795" s="15" t="s">
        <v>2340</v>
      </c>
      <c r="Q1795" s="16">
        <v>7899</v>
      </c>
      <c r="R1795" s="17">
        <v>45.08</v>
      </c>
      <c r="S1795" s="18">
        <v>4988.4355000000005</v>
      </c>
      <c r="T1795" s="19" t="s">
        <v>328</v>
      </c>
      <c r="U1795" s="20" t="s">
        <v>354</v>
      </c>
      <c r="V1795" s="25" t="s">
        <v>65</v>
      </c>
      <c r="W1795" s="21">
        <v>1</v>
      </c>
      <c r="X1795" s="22"/>
    </row>
    <row r="1796" spans="1:24" s="1" customFormat="1" ht="35.1" customHeight="1" x14ac:dyDescent="0.3">
      <c r="A1796" s="23" t="s">
        <v>1355</v>
      </c>
      <c r="B1796" s="23" t="s">
        <v>2320</v>
      </c>
      <c r="C1796" s="12" t="s">
        <v>2337</v>
      </c>
      <c r="D1796" s="84"/>
      <c r="E1796" s="69" t="str">
        <f>HYPERLINK("https://www.google.ru/search?q=814286-LBWH&amp;newwindow=1&amp;tbm=isch","Еще фото")</f>
        <v>Еще фото</v>
      </c>
      <c r="F1796" s="13"/>
      <c r="G1796" s="23" t="s">
        <v>714</v>
      </c>
      <c r="H1796" s="23" t="s">
        <v>27</v>
      </c>
      <c r="I1796" s="23" t="s">
        <v>697</v>
      </c>
      <c r="J1796" s="14" t="s">
        <v>879</v>
      </c>
      <c r="K1796" s="15" t="s">
        <v>47</v>
      </c>
      <c r="L1796" s="87"/>
      <c r="M1796" s="14"/>
      <c r="N1796" s="14" t="s">
        <v>2339</v>
      </c>
      <c r="O1796" s="14"/>
      <c r="P1796" s="15" t="s">
        <v>2340</v>
      </c>
      <c r="Q1796" s="16">
        <v>7899</v>
      </c>
      <c r="R1796" s="17">
        <v>45.08</v>
      </c>
      <c r="S1796" s="18">
        <v>4988.4355000000005</v>
      </c>
      <c r="T1796" s="19" t="s">
        <v>328</v>
      </c>
      <c r="U1796" s="20" t="s">
        <v>66</v>
      </c>
      <c r="V1796" s="25" t="s">
        <v>68</v>
      </c>
      <c r="W1796" s="21">
        <v>2</v>
      </c>
      <c r="X1796" s="22"/>
    </row>
    <row r="1797" spans="1:24" s="1" customFormat="1" ht="36.950000000000003" customHeight="1" x14ac:dyDescent="0.3">
      <c r="A1797" s="23" t="s">
        <v>1355</v>
      </c>
      <c r="B1797" s="23" t="s">
        <v>2320</v>
      </c>
      <c r="C1797" s="12" t="s">
        <v>2337</v>
      </c>
      <c r="D1797" s="85"/>
      <c r="E1797" s="69" t="str">
        <f>HYPERLINK("https://www.google.ru/search?q=814286-LBWH&amp;newwindow=1&amp;tbm=isch","Еще фото")</f>
        <v>Еще фото</v>
      </c>
      <c r="F1797" s="13"/>
      <c r="G1797" s="23" t="s">
        <v>714</v>
      </c>
      <c r="H1797" s="23" t="s">
        <v>27</v>
      </c>
      <c r="I1797" s="23" t="s">
        <v>697</v>
      </c>
      <c r="J1797" s="14" t="s">
        <v>879</v>
      </c>
      <c r="K1797" s="15" t="s">
        <v>47</v>
      </c>
      <c r="L1797" s="88"/>
      <c r="M1797" s="14"/>
      <c r="N1797" s="14" t="s">
        <v>2339</v>
      </c>
      <c r="O1797" s="14"/>
      <c r="P1797" s="15" t="s">
        <v>2340</v>
      </c>
      <c r="Q1797" s="16">
        <v>7899</v>
      </c>
      <c r="R1797" s="17">
        <v>45.08</v>
      </c>
      <c r="S1797" s="18">
        <v>4988.4355000000005</v>
      </c>
      <c r="T1797" s="19" t="s">
        <v>328</v>
      </c>
      <c r="U1797" s="20" t="s">
        <v>58</v>
      </c>
      <c r="V1797" s="25" t="s">
        <v>53</v>
      </c>
      <c r="W1797" s="21">
        <v>2</v>
      </c>
      <c r="X1797" s="22"/>
    </row>
    <row r="1798" spans="1:24" s="1" customFormat="1" ht="108" customHeight="1" x14ac:dyDescent="0.3">
      <c r="A1798" s="11" t="s">
        <v>1355</v>
      </c>
      <c r="B1798" s="11" t="s">
        <v>2341</v>
      </c>
      <c r="C1798" s="12" t="s">
        <v>2342</v>
      </c>
      <c r="D1798" s="24"/>
      <c r="E1798" s="69" t="str">
        <f>HYPERLINK("https://www.google.ru/search?q=814526-WH&amp;newwindow=1&amp;tbm=isch","Еще фото")</f>
        <v>Еще фото</v>
      </c>
      <c r="F1798" s="13"/>
      <c r="G1798" s="11" t="s">
        <v>714</v>
      </c>
      <c r="H1798" s="11" t="s">
        <v>27</v>
      </c>
      <c r="I1798" s="14" t="s">
        <v>697</v>
      </c>
      <c r="J1798" s="14" t="s">
        <v>879</v>
      </c>
      <c r="K1798" s="15" t="s">
        <v>47</v>
      </c>
      <c r="L1798" s="14" t="s">
        <v>2343</v>
      </c>
      <c r="M1798" s="14"/>
      <c r="N1798" s="14" t="s">
        <v>89</v>
      </c>
      <c r="O1798" s="14"/>
      <c r="P1798" s="15" t="s">
        <v>108</v>
      </c>
      <c r="Q1798" s="16">
        <v>7199</v>
      </c>
      <c r="R1798" s="17">
        <v>45.02</v>
      </c>
      <c r="S1798" s="18">
        <v>4551.4354999999996</v>
      </c>
      <c r="T1798" s="19" t="s">
        <v>328</v>
      </c>
      <c r="U1798" s="20" t="s">
        <v>64</v>
      </c>
      <c r="V1798" s="25" t="s">
        <v>67</v>
      </c>
      <c r="W1798" s="21">
        <v>1</v>
      </c>
      <c r="X1798" s="22"/>
    </row>
    <row r="1799" spans="1:24" s="1" customFormat="1" ht="108" customHeight="1" x14ac:dyDescent="0.3">
      <c r="A1799" s="11" t="s">
        <v>1355</v>
      </c>
      <c r="B1799" s="11" t="s">
        <v>2341</v>
      </c>
      <c r="C1799" s="12" t="s">
        <v>2344</v>
      </c>
      <c r="D1799" s="24"/>
      <c r="E1799" s="69" t="str">
        <f>HYPERLINK("https://www.google.ru/search?q=814526-AP&amp;newwindow=1&amp;tbm=isch","Еще фото")</f>
        <v>Еще фото</v>
      </c>
      <c r="F1799" s="13"/>
      <c r="G1799" s="11" t="s">
        <v>714</v>
      </c>
      <c r="H1799" s="11" t="s">
        <v>27</v>
      </c>
      <c r="I1799" s="14" t="s">
        <v>697</v>
      </c>
      <c r="J1799" s="14" t="s">
        <v>879</v>
      </c>
      <c r="K1799" s="15" t="s">
        <v>47</v>
      </c>
      <c r="L1799" s="14" t="s">
        <v>2343</v>
      </c>
      <c r="M1799" s="14"/>
      <c r="N1799" s="14" t="s">
        <v>313</v>
      </c>
      <c r="O1799" s="14"/>
      <c r="P1799" s="15" t="s">
        <v>108</v>
      </c>
      <c r="Q1799" s="16">
        <v>8599</v>
      </c>
      <c r="R1799" s="17">
        <v>45.02</v>
      </c>
      <c r="S1799" s="18">
        <v>5436.9355000000005</v>
      </c>
      <c r="T1799" s="19" t="s">
        <v>328</v>
      </c>
      <c r="U1799" s="20" t="s">
        <v>64</v>
      </c>
      <c r="V1799" s="25" t="s">
        <v>67</v>
      </c>
      <c r="W1799" s="21">
        <v>2</v>
      </c>
      <c r="X1799" s="22"/>
    </row>
    <row r="1800" spans="1:24" s="1" customFormat="1" ht="108" customHeight="1" x14ac:dyDescent="0.3">
      <c r="A1800" s="11" t="s">
        <v>1355</v>
      </c>
      <c r="B1800" s="11" t="s">
        <v>2345</v>
      </c>
      <c r="C1800" s="12" t="s">
        <v>2346</v>
      </c>
      <c r="D1800" s="24"/>
      <c r="E1800" s="69" t="str">
        <f>HYPERLINK("https://www.google.ru/search?q=814035-NV&amp;newwindow=1&amp;tbm=isch","Еще фото")</f>
        <v>Еще фото</v>
      </c>
      <c r="F1800" s="13"/>
      <c r="G1800" s="11" t="s">
        <v>714</v>
      </c>
      <c r="H1800" s="11" t="s">
        <v>27</v>
      </c>
      <c r="I1800" s="14" t="s">
        <v>697</v>
      </c>
      <c r="J1800" s="14" t="s">
        <v>879</v>
      </c>
      <c r="K1800" s="15" t="s">
        <v>47</v>
      </c>
      <c r="L1800" s="14" t="s">
        <v>2347</v>
      </c>
      <c r="M1800" s="14"/>
      <c r="N1800" s="14" t="s">
        <v>70</v>
      </c>
      <c r="O1800" s="14"/>
      <c r="P1800" s="15" t="s">
        <v>108</v>
      </c>
      <c r="Q1800" s="16">
        <v>8499</v>
      </c>
      <c r="R1800" s="17">
        <v>30</v>
      </c>
      <c r="S1800" s="18">
        <v>6841.6949999999997</v>
      </c>
      <c r="T1800" s="19" t="s">
        <v>328</v>
      </c>
      <c r="U1800" s="20" t="s">
        <v>66</v>
      </c>
      <c r="V1800" s="25" t="s">
        <v>68</v>
      </c>
      <c r="W1800" s="21">
        <v>1</v>
      </c>
      <c r="X1800" s="22"/>
    </row>
    <row r="1801" spans="1:24" s="1" customFormat="1" ht="108" customHeight="1" x14ac:dyDescent="0.3">
      <c r="A1801" s="11" t="s">
        <v>1355</v>
      </c>
      <c r="B1801" s="11" t="s">
        <v>2320</v>
      </c>
      <c r="C1801" s="12" t="s">
        <v>2348</v>
      </c>
      <c r="D1801" s="24"/>
      <c r="E1801" s="69" t="str">
        <f>HYPERLINK("https://www.google.ru/search?q=814285-CE&amp;newwindow=1&amp;tbm=isch","Еще фото")</f>
        <v>Еще фото</v>
      </c>
      <c r="F1801" s="13"/>
      <c r="G1801" s="11" t="s">
        <v>714</v>
      </c>
      <c r="H1801" s="11" t="s">
        <v>27</v>
      </c>
      <c r="I1801" s="14" t="s">
        <v>697</v>
      </c>
      <c r="J1801" s="14" t="s">
        <v>879</v>
      </c>
      <c r="K1801" s="15" t="s">
        <v>47</v>
      </c>
      <c r="L1801" s="14" t="s">
        <v>2322</v>
      </c>
      <c r="M1801" s="14"/>
      <c r="N1801" s="14" t="s">
        <v>242</v>
      </c>
      <c r="O1801" s="14"/>
      <c r="P1801" s="15" t="s">
        <v>2323</v>
      </c>
      <c r="Q1801" s="16">
        <v>7299</v>
      </c>
      <c r="R1801" s="17">
        <v>30</v>
      </c>
      <c r="S1801" s="18">
        <v>5875.6949999999997</v>
      </c>
      <c r="T1801" s="19" t="s">
        <v>328</v>
      </c>
      <c r="U1801" s="20" t="s">
        <v>64</v>
      </c>
      <c r="V1801" s="25" t="s">
        <v>67</v>
      </c>
      <c r="W1801" s="21">
        <v>1</v>
      </c>
      <c r="X1801" s="22"/>
    </row>
    <row r="1802" spans="1:24" s="1" customFormat="1" ht="51.95" customHeight="1" x14ac:dyDescent="0.3">
      <c r="A1802" s="11" t="s">
        <v>1355</v>
      </c>
      <c r="B1802" s="11" t="s">
        <v>2349</v>
      </c>
      <c r="C1802" s="12" t="s">
        <v>2350</v>
      </c>
      <c r="D1802" s="89"/>
      <c r="E1802" s="69" t="str">
        <f>HYPERLINK("https://www.google.ru/search?q=814539-WH&amp;newwindow=1&amp;tbm=isch","Еще фото")</f>
        <v>Еще фото</v>
      </c>
      <c r="F1802" s="13"/>
      <c r="G1802" s="11" t="s">
        <v>714</v>
      </c>
      <c r="H1802" s="11" t="s">
        <v>27</v>
      </c>
      <c r="I1802" s="14" t="s">
        <v>697</v>
      </c>
      <c r="J1802" s="14" t="s">
        <v>879</v>
      </c>
      <c r="K1802" s="15" t="s">
        <v>47</v>
      </c>
      <c r="L1802" s="86" t="s">
        <v>2351</v>
      </c>
      <c r="M1802" s="14"/>
      <c r="N1802" s="14" t="s">
        <v>89</v>
      </c>
      <c r="O1802" s="14"/>
      <c r="P1802" s="15" t="s">
        <v>2220</v>
      </c>
      <c r="Q1802" s="16">
        <v>6599</v>
      </c>
      <c r="R1802" s="17">
        <v>30</v>
      </c>
      <c r="S1802" s="18">
        <v>5312.1949999999997</v>
      </c>
      <c r="T1802" s="19" t="s">
        <v>328</v>
      </c>
      <c r="U1802" s="20" t="s">
        <v>64</v>
      </c>
      <c r="V1802" s="25" t="s">
        <v>67</v>
      </c>
      <c r="W1802" s="21">
        <v>2</v>
      </c>
      <c r="X1802" s="22"/>
    </row>
    <row r="1803" spans="1:24" s="1" customFormat="1" ht="60.95" customHeight="1" x14ac:dyDescent="0.3">
      <c r="A1803" s="23" t="s">
        <v>1355</v>
      </c>
      <c r="B1803" s="23" t="s">
        <v>2349</v>
      </c>
      <c r="C1803" s="12" t="s">
        <v>2350</v>
      </c>
      <c r="D1803" s="90"/>
      <c r="E1803" s="69" t="str">
        <f>HYPERLINK("https://www.google.ru/search?q=814539-WH&amp;newwindow=1&amp;tbm=isch","Еще фото")</f>
        <v>Еще фото</v>
      </c>
      <c r="F1803" s="13"/>
      <c r="G1803" s="23" t="s">
        <v>714</v>
      </c>
      <c r="H1803" s="23" t="s">
        <v>27</v>
      </c>
      <c r="I1803" s="23" t="s">
        <v>697</v>
      </c>
      <c r="J1803" s="14" t="s">
        <v>879</v>
      </c>
      <c r="K1803" s="15" t="s">
        <v>47</v>
      </c>
      <c r="L1803" s="88"/>
      <c r="M1803" s="14"/>
      <c r="N1803" s="14" t="s">
        <v>89</v>
      </c>
      <c r="O1803" s="14"/>
      <c r="P1803" s="15" t="s">
        <v>2220</v>
      </c>
      <c r="Q1803" s="16">
        <v>6599</v>
      </c>
      <c r="R1803" s="17">
        <v>30</v>
      </c>
      <c r="S1803" s="18">
        <v>5312.1949999999997</v>
      </c>
      <c r="T1803" s="19" t="s">
        <v>328</v>
      </c>
      <c r="U1803" s="20" t="s">
        <v>66</v>
      </c>
      <c r="V1803" s="25" t="s">
        <v>68</v>
      </c>
      <c r="W1803" s="21">
        <v>3</v>
      </c>
      <c r="X1803" s="22"/>
    </row>
    <row r="1804" spans="1:24" s="1" customFormat="1" ht="51.95" customHeight="1" x14ac:dyDescent="0.3">
      <c r="A1804" s="11" t="s">
        <v>1355</v>
      </c>
      <c r="B1804" s="11" t="s">
        <v>2327</v>
      </c>
      <c r="C1804" s="12" t="s">
        <v>2352</v>
      </c>
      <c r="D1804" s="89"/>
      <c r="E1804" s="69" t="str">
        <f>HYPERLINK("https://www.google.ru/search?q=814745-RDWH&amp;newwindow=1&amp;tbm=isch","Еще фото")</f>
        <v>Еще фото</v>
      </c>
      <c r="F1804" s="13"/>
      <c r="G1804" s="11" t="s">
        <v>696</v>
      </c>
      <c r="H1804" s="11" t="s">
        <v>27</v>
      </c>
      <c r="I1804" s="14" t="s">
        <v>697</v>
      </c>
      <c r="J1804" s="14" t="s">
        <v>879</v>
      </c>
      <c r="K1804" s="15" t="s">
        <v>47</v>
      </c>
      <c r="L1804" s="86" t="s">
        <v>2329</v>
      </c>
      <c r="M1804" s="14"/>
      <c r="N1804" s="14" t="s">
        <v>794</v>
      </c>
      <c r="O1804" s="14"/>
      <c r="P1804" s="15" t="s">
        <v>2330</v>
      </c>
      <c r="Q1804" s="16">
        <v>9299</v>
      </c>
      <c r="R1804" s="17">
        <v>30</v>
      </c>
      <c r="S1804" s="18">
        <v>7485.6949999999997</v>
      </c>
      <c r="T1804" s="19" t="s">
        <v>328</v>
      </c>
      <c r="U1804" s="20" t="s">
        <v>354</v>
      </c>
      <c r="V1804" s="25" t="s">
        <v>65</v>
      </c>
      <c r="W1804" s="21">
        <v>1</v>
      </c>
      <c r="X1804" s="22"/>
    </row>
    <row r="1805" spans="1:24" s="1" customFormat="1" ht="60.95" customHeight="1" x14ac:dyDescent="0.3">
      <c r="A1805" s="23" t="s">
        <v>1355</v>
      </c>
      <c r="B1805" s="23" t="s">
        <v>2327</v>
      </c>
      <c r="C1805" s="12" t="s">
        <v>2352</v>
      </c>
      <c r="D1805" s="90"/>
      <c r="E1805" s="69" t="str">
        <f>HYPERLINK("https://www.google.ru/search?q=814745-RDWH&amp;newwindow=1&amp;tbm=isch","Еще фото")</f>
        <v>Еще фото</v>
      </c>
      <c r="F1805" s="13"/>
      <c r="G1805" s="23" t="s">
        <v>696</v>
      </c>
      <c r="H1805" s="23" t="s">
        <v>27</v>
      </c>
      <c r="I1805" s="23" t="s">
        <v>697</v>
      </c>
      <c r="J1805" s="14" t="s">
        <v>879</v>
      </c>
      <c r="K1805" s="15" t="s">
        <v>47</v>
      </c>
      <c r="L1805" s="88"/>
      <c r="M1805" s="14"/>
      <c r="N1805" s="14" t="s">
        <v>794</v>
      </c>
      <c r="O1805" s="14"/>
      <c r="P1805" s="15" t="s">
        <v>2330</v>
      </c>
      <c r="Q1805" s="16">
        <v>9299</v>
      </c>
      <c r="R1805" s="17">
        <v>30</v>
      </c>
      <c r="S1805" s="18">
        <v>7485.6949999999997</v>
      </c>
      <c r="T1805" s="19" t="s">
        <v>328</v>
      </c>
      <c r="U1805" s="20" t="s">
        <v>64</v>
      </c>
      <c r="V1805" s="25" t="s">
        <v>67</v>
      </c>
      <c r="W1805" s="21">
        <v>2</v>
      </c>
      <c r="X1805" s="22"/>
    </row>
    <row r="1806" spans="1:24" s="1" customFormat="1" ht="108" customHeight="1" x14ac:dyDescent="0.3">
      <c r="A1806" s="11" t="s">
        <v>2353</v>
      </c>
      <c r="B1806" s="11" t="s">
        <v>2354</v>
      </c>
      <c r="C1806" s="12" t="s">
        <v>2355</v>
      </c>
      <c r="D1806" s="24"/>
      <c r="E1806" s="69" t="str">
        <f>HYPERLINK("https://www.google.ru/search?q=S2538801-1&amp;newwindow=1&amp;tbm=isch","Еще фото")</f>
        <v>Еще фото</v>
      </c>
      <c r="F1806" s="13"/>
      <c r="G1806" s="11" t="s">
        <v>150</v>
      </c>
      <c r="H1806" s="11" t="s">
        <v>151</v>
      </c>
      <c r="I1806" s="14" t="s">
        <v>152</v>
      </c>
      <c r="J1806" s="14" t="s">
        <v>29</v>
      </c>
      <c r="K1806" s="15" t="s">
        <v>47</v>
      </c>
      <c r="L1806" s="14" t="s">
        <v>2356</v>
      </c>
      <c r="M1806" s="14"/>
      <c r="N1806" s="14" t="s">
        <v>49</v>
      </c>
      <c r="O1806" s="14"/>
      <c r="P1806" s="15" t="s">
        <v>2357</v>
      </c>
      <c r="Q1806" s="16">
        <v>8090</v>
      </c>
      <c r="R1806" s="17">
        <v>63.69</v>
      </c>
      <c r="S1806" s="18">
        <v>3378.4354999999996</v>
      </c>
      <c r="T1806" s="19" t="s">
        <v>84</v>
      </c>
      <c r="U1806" s="20" t="s">
        <v>848</v>
      </c>
      <c r="V1806" s="30">
        <v>35.5</v>
      </c>
      <c r="W1806" s="21">
        <v>1</v>
      </c>
      <c r="X1806" s="22"/>
    </row>
    <row r="1807" spans="1:24" s="1" customFormat="1" ht="108" customHeight="1" x14ac:dyDescent="0.3">
      <c r="A1807" s="11" t="s">
        <v>2353</v>
      </c>
      <c r="B1807" s="11" t="s">
        <v>2354</v>
      </c>
      <c r="C1807" s="12" t="s">
        <v>2358</v>
      </c>
      <c r="D1807" s="24"/>
      <c r="E1807" s="69" t="str">
        <f>HYPERLINK("https://www.google.ru/search?q=S2538801-3&amp;newwindow=1&amp;tbm=isch","Еще фото")</f>
        <v>Еще фото</v>
      </c>
      <c r="F1807" s="13"/>
      <c r="G1807" s="11" t="s">
        <v>150</v>
      </c>
      <c r="H1807" s="11" t="s">
        <v>151</v>
      </c>
      <c r="I1807" s="14" t="s">
        <v>152</v>
      </c>
      <c r="J1807" s="14" t="s">
        <v>29</v>
      </c>
      <c r="K1807" s="15" t="s">
        <v>47</v>
      </c>
      <c r="L1807" s="14" t="s">
        <v>2356</v>
      </c>
      <c r="M1807" s="14"/>
      <c r="N1807" s="14" t="s">
        <v>313</v>
      </c>
      <c r="O1807" s="14"/>
      <c r="P1807" s="15" t="s">
        <v>2357</v>
      </c>
      <c r="Q1807" s="16">
        <v>8090</v>
      </c>
      <c r="R1807" s="17">
        <v>63.69</v>
      </c>
      <c r="S1807" s="18">
        <v>3378.4354999999996</v>
      </c>
      <c r="T1807" s="19" t="s">
        <v>84</v>
      </c>
      <c r="U1807" s="20" t="s">
        <v>849</v>
      </c>
      <c r="V1807" s="21">
        <v>36</v>
      </c>
      <c r="W1807" s="21">
        <v>1</v>
      </c>
      <c r="X1807" s="22"/>
    </row>
    <row r="1808" spans="1:24" s="1" customFormat="1" ht="108" customHeight="1" x14ac:dyDescent="0.3">
      <c r="A1808" s="11" t="s">
        <v>2353</v>
      </c>
      <c r="B1808" s="11" t="s">
        <v>2359</v>
      </c>
      <c r="C1808" s="12" t="s">
        <v>2360</v>
      </c>
      <c r="D1808" s="24"/>
      <c r="E1808" s="69" t="str">
        <f>HYPERLINK("https://www.google.ru/search?q=82528825-7&amp;newwindow=1&amp;tbm=isch","Еще фото")</f>
        <v>Еще фото</v>
      </c>
      <c r="F1808" s="13"/>
      <c r="G1808" s="11" t="s">
        <v>394</v>
      </c>
      <c r="H1808" s="11" t="s">
        <v>151</v>
      </c>
      <c r="I1808" s="14" t="s">
        <v>424</v>
      </c>
      <c r="J1808" s="14" t="s">
        <v>29</v>
      </c>
      <c r="K1808" s="15" t="s">
        <v>47</v>
      </c>
      <c r="L1808" s="14" t="s">
        <v>2361</v>
      </c>
      <c r="M1808" s="14"/>
      <c r="N1808" s="14" t="s">
        <v>275</v>
      </c>
      <c r="O1808" s="14"/>
      <c r="P1808" s="15" t="s">
        <v>2362</v>
      </c>
      <c r="Q1808" s="16">
        <v>4260</v>
      </c>
      <c r="R1808" s="17">
        <v>77.75</v>
      </c>
      <c r="S1808" s="29">
        <v>1089.9354999999998</v>
      </c>
      <c r="T1808" s="19" t="s">
        <v>328</v>
      </c>
      <c r="U1808" s="20" t="s">
        <v>1503</v>
      </c>
      <c r="V1808" s="21">
        <v>35</v>
      </c>
      <c r="W1808" s="21">
        <v>1</v>
      </c>
      <c r="X1808" s="22"/>
    </row>
    <row r="1809" spans="1:24" s="1" customFormat="1" ht="51.95" customHeight="1" x14ac:dyDescent="0.3">
      <c r="A1809" s="11" t="s">
        <v>2353</v>
      </c>
      <c r="B1809" s="11" t="s">
        <v>2363</v>
      </c>
      <c r="C1809" s="12" t="s">
        <v>2364</v>
      </c>
      <c r="D1809" s="89"/>
      <c r="E1809" s="69" t="str">
        <f>HYPERLINK("https://www.google.ru/search?q=W35819709-1&amp;newwindow=1&amp;tbm=isch","Еще фото")</f>
        <v>Еще фото</v>
      </c>
      <c r="F1809" s="13"/>
      <c r="G1809" s="11" t="s">
        <v>2365</v>
      </c>
      <c r="H1809" s="11" t="s">
        <v>27</v>
      </c>
      <c r="I1809" s="14" t="s">
        <v>569</v>
      </c>
      <c r="J1809" s="14" t="s">
        <v>29</v>
      </c>
      <c r="K1809" s="15" t="s">
        <v>30</v>
      </c>
      <c r="L1809" s="86"/>
      <c r="M1809" s="14"/>
      <c r="N1809" s="14" t="s">
        <v>41</v>
      </c>
      <c r="O1809" s="14"/>
      <c r="P1809" s="15" t="s">
        <v>2366</v>
      </c>
      <c r="Q1809" s="16">
        <v>2499</v>
      </c>
      <c r="R1809" s="17">
        <v>77.680000000000007</v>
      </c>
      <c r="S1809" s="29">
        <v>641.43549999999993</v>
      </c>
      <c r="T1809" s="19" t="s">
        <v>34</v>
      </c>
      <c r="U1809" s="20" t="s">
        <v>1201</v>
      </c>
      <c r="V1809" s="21">
        <v>120</v>
      </c>
      <c r="W1809" s="21">
        <v>2</v>
      </c>
      <c r="X1809" s="22"/>
    </row>
    <row r="1810" spans="1:24" s="1" customFormat="1" ht="60.95" customHeight="1" x14ac:dyDescent="0.3">
      <c r="A1810" s="23" t="s">
        <v>2353</v>
      </c>
      <c r="B1810" s="23" t="s">
        <v>2363</v>
      </c>
      <c r="C1810" s="12" t="s">
        <v>2364</v>
      </c>
      <c r="D1810" s="90"/>
      <c r="E1810" s="69" t="str">
        <f>HYPERLINK("https://www.google.ru/search?q=W35819709-1&amp;newwindow=1&amp;tbm=isch","Еще фото")</f>
        <v>Еще фото</v>
      </c>
      <c r="F1810" s="13"/>
      <c r="G1810" s="23" t="s">
        <v>2365</v>
      </c>
      <c r="H1810" s="23" t="s">
        <v>27</v>
      </c>
      <c r="I1810" s="23" t="s">
        <v>569</v>
      </c>
      <c r="J1810" s="14" t="s">
        <v>29</v>
      </c>
      <c r="K1810" s="15" t="s">
        <v>30</v>
      </c>
      <c r="L1810" s="88"/>
      <c r="M1810" s="14"/>
      <c r="N1810" s="14" t="s">
        <v>41</v>
      </c>
      <c r="O1810" s="14"/>
      <c r="P1810" s="15" t="s">
        <v>2366</v>
      </c>
      <c r="Q1810" s="16">
        <v>2499</v>
      </c>
      <c r="R1810" s="17">
        <v>77.680000000000007</v>
      </c>
      <c r="S1810" s="29">
        <v>641.43549999999993</v>
      </c>
      <c r="T1810" s="19" t="s">
        <v>34</v>
      </c>
      <c r="U1810" s="20" t="s">
        <v>2367</v>
      </c>
      <c r="V1810" s="21">
        <v>101</v>
      </c>
      <c r="W1810" s="21">
        <v>1</v>
      </c>
      <c r="X1810" s="22"/>
    </row>
    <row r="1811" spans="1:24" s="1" customFormat="1" ht="26.1" customHeight="1" x14ac:dyDescent="0.3">
      <c r="A1811" s="11" t="s">
        <v>2368</v>
      </c>
      <c r="B1811" s="11" t="s">
        <v>2369</v>
      </c>
      <c r="C1811" s="12" t="s">
        <v>2370</v>
      </c>
      <c r="D1811" s="83"/>
      <c r="E1811" s="69" t="str">
        <f>HYPERLINK("https://www.google.ru/search?q=1915158-396345&amp;newwindow=1&amp;tbm=isch","Еще фото")</f>
        <v>Еще фото</v>
      </c>
      <c r="F1811" s="13"/>
      <c r="G1811" s="11" t="s">
        <v>307</v>
      </c>
      <c r="H1811" s="11" t="s">
        <v>27</v>
      </c>
      <c r="I1811" s="14" t="s">
        <v>308</v>
      </c>
      <c r="J1811" s="14" t="s">
        <v>406</v>
      </c>
      <c r="K1811" s="15" t="s">
        <v>55</v>
      </c>
      <c r="L1811" s="86" t="s">
        <v>2371</v>
      </c>
      <c r="M1811" s="14"/>
      <c r="N1811" s="14" t="s">
        <v>70</v>
      </c>
      <c r="O1811" s="14"/>
      <c r="P1811" s="15" t="s">
        <v>108</v>
      </c>
      <c r="Q1811" s="16">
        <v>23799</v>
      </c>
      <c r="R1811" s="17">
        <v>69.13</v>
      </c>
      <c r="S1811" s="18">
        <v>8449.9354999999996</v>
      </c>
      <c r="T1811" s="19" t="s">
        <v>328</v>
      </c>
      <c r="U1811" s="20" t="s">
        <v>64</v>
      </c>
      <c r="V1811" s="21">
        <v>46</v>
      </c>
      <c r="W1811" s="21">
        <v>9</v>
      </c>
      <c r="X1811" s="22"/>
    </row>
    <row r="1812" spans="1:24" s="1" customFormat="1" ht="26.1" customHeight="1" x14ac:dyDescent="0.3">
      <c r="A1812" s="23" t="s">
        <v>2368</v>
      </c>
      <c r="B1812" s="23" t="s">
        <v>2369</v>
      </c>
      <c r="C1812" s="12" t="s">
        <v>2370</v>
      </c>
      <c r="D1812" s="84"/>
      <c r="E1812" s="69" t="str">
        <f>HYPERLINK("https://www.google.ru/search?q=1915158-396345&amp;newwindow=1&amp;tbm=isch","Еще фото")</f>
        <v>Еще фото</v>
      </c>
      <c r="F1812" s="13"/>
      <c r="G1812" s="23" t="s">
        <v>307</v>
      </c>
      <c r="H1812" s="23" t="s">
        <v>27</v>
      </c>
      <c r="I1812" s="23" t="s">
        <v>308</v>
      </c>
      <c r="J1812" s="14" t="s">
        <v>406</v>
      </c>
      <c r="K1812" s="15" t="s">
        <v>55</v>
      </c>
      <c r="L1812" s="87"/>
      <c r="M1812" s="14"/>
      <c r="N1812" s="14" t="s">
        <v>70</v>
      </c>
      <c r="O1812" s="14"/>
      <c r="P1812" s="15" t="s">
        <v>108</v>
      </c>
      <c r="Q1812" s="16">
        <v>23799</v>
      </c>
      <c r="R1812" s="17">
        <v>69.13</v>
      </c>
      <c r="S1812" s="18">
        <v>8449.9354999999996</v>
      </c>
      <c r="T1812" s="19" t="s">
        <v>328</v>
      </c>
      <c r="U1812" s="20" t="s">
        <v>66</v>
      </c>
      <c r="V1812" s="21">
        <v>48</v>
      </c>
      <c r="W1812" s="21">
        <v>15</v>
      </c>
      <c r="X1812" s="22"/>
    </row>
    <row r="1813" spans="1:24" s="1" customFormat="1" ht="26.1" customHeight="1" x14ac:dyDescent="0.3">
      <c r="A1813" s="23" t="s">
        <v>2368</v>
      </c>
      <c r="B1813" s="23" t="s">
        <v>2369</v>
      </c>
      <c r="C1813" s="12" t="s">
        <v>2370</v>
      </c>
      <c r="D1813" s="84"/>
      <c r="E1813" s="69" t="str">
        <f>HYPERLINK("https://www.google.ru/search?q=1915158-396345&amp;newwindow=1&amp;tbm=isch","Еще фото")</f>
        <v>Еще фото</v>
      </c>
      <c r="F1813" s="13"/>
      <c r="G1813" s="23" t="s">
        <v>307</v>
      </c>
      <c r="H1813" s="23" t="s">
        <v>27</v>
      </c>
      <c r="I1813" s="23" t="s">
        <v>308</v>
      </c>
      <c r="J1813" s="14" t="s">
        <v>406</v>
      </c>
      <c r="K1813" s="15" t="s">
        <v>55</v>
      </c>
      <c r="L1813" s="87"/>
      <c r="M1813" s="14"/>
      <c r="N1813" s="14" t="s">
        <v>70</v>
      </c>
      <c r="O1813" s="14"/>
      <c r="P1813" s="15" t="s">
        <v>108</v>
      </c>
      <c r="Q1813" s="16">
        <v>23799</v>
      </c>
      <c r="R1813" s="17">
        <v>69.13</v>
      </c>
      <c r="S1813" s="18">
        <v>8449.9354999999996</v>
      </c>
      <c r="T1813" s="19" t="s">
        <v>328</v>
      </c>
      <c r="U1813" s="20" t="s">
        <v>58</v>
      </c>
      <c r="V1813" s="21">
        <v>50</v>
      </c>
      <c r="W1813" s="21">
        <v>7</v>
      </c>
      <c r="X1813" s="22"/>
    </row>
    <row r="1814" spans="1:24" s="1" customFormat="1" ht="26.1" customHeight="1" x14ac:dyDescent="0.3">
      <c r="A1814" s="23" t="s">
        <v>2368</v>
      </c>
      <c r="B1814" s="23" t="s">
        <v>2369</v>
      </c>
      <c r="C1814" s="12" t="s">
        <v>2370</v>
      </c>
      <c r="D1814" s="85"/>
      <c r="E1814" s="69" t="str">
        <f>HYPERLINK("https://www.google.ru/search?q=1915158-396345&amp;newwindow=1&amp;tbm=isch","Еще фото")</f>
        <v>Еще фото</v>
      </c>
      <c r="F1814" s="13"/>
      <c r="G1814" s="23" t="s">
        <v>307</v>
      </c>
      <c r="H1814" s="23" t="s">
        <v>27</v>
      </c>
      <c r="I1814" s="23" t="s">
        <v>308</v>
      </c>
      <c r="J1814" s="14" t="s">
        <v>406</v>
      </c>
      <c r="K1814" s="15" t="s">
        <v>55</v>
      </c>
      <c r="L1814" s="88"/>
      <c r="M1814" s="14"/>
      <c r="N1814" s="14" t="s">
        <v>70</v>
      </c>
      <c r="O1814" s="14"/>
      <c r="P1814" s="15" t="s">
        <v>108</v>
      </c>
      <c r="Q1814" s="16">
        <v>23799</v>
      </c>
      <c r="R1814" s="17">
        <v>69.13</v>
      </c>
      <c r="S1814" s="18">
        <v>8449.9354999999996</v>
      </c>
      <c r="T1814" s="19" t="s">
        <v>328</v>
      </c>
      <c r="U1814" s="20" t="s">
        <v>52</v>
      </c>
      <c r="V1814" s="21">
        <v>52</v>
      </c>
      <c r="W1814" s="21">
        <v>8</v>
      </c>
      <c r="X1814" s="22"/>
    </row>
    <row r="1815" spans="1:24" s="1" customFormat="1" ht="108" customHeight="1" x14ac:dyDescent="0.3">
      <c r="A1815" s="11" t="s">
        <v>2368</v>
      </c>
      <c r="B1815" s="11" t="s">
        <v>2372</v>
      </c>
      <c r="C1815" s="12" t="s">
        <v>2373</v>
      </c>
      <c r="D1815" s="24"/>
      <c r="E1815" s="69" t="str">
        <f>HYPERLINK("https://www.google.ru/search?q=1905544-999900&amp;newwindow=1&amp;tbm=isch","Еще фото")</f>
        <v>Еще фото</v>
      </c>
      <c r="F1815" s="13"/>
      <c r="G1815" s="11" t="s">
        <v>2374</v>
      </c>
      <c r="H1815" s="11" t="s">
        <v>112</v>
      </c>
      <c r="I1815" s="14" t="s">
        <v>825</v>
      </c>
      <c r="J1815" s="14" t="s">
        <v>29</v>
      </c>
      <c r="K1815" s="15" t="s">
        <v>114</v>
      </c>
      <c r="L1815" s="14" t="s">
        <v>2375</v>
      </c>
      <c r="M1815" s="14"/>
      <c r="N1815" s="14" t="s">
        <v>49</v>
      </c>
      <c r="O1815" s="14"/>
      <c r="P1815" s="15" t="s">
        <v>2376</v>
      </c>
      <c r="Q1815" s="16">
        <v>4999</v>
      </c>
      <c r="R1815" s="17">
        <v>50.63</v>
      </c>
      <c r="S1815" s="18">
        <v>2837.9354999999996</v>
      </c>
      <c r="T1815" s="19" t="s">
        <v>328</v>
      </c>
      <c r="U1815" s="20" t="s">
        <v>2377</v>
      </c>
      <c r="V1815" s="25" t="s">
        <v>2378</v>
      </c>
      <c r="W1815" s="21">
        <v>1</v>
      </c>
      <c r="X1815" s="22"/>
    </row>
    <row r="1816" spans="1:24" s="1" customFormat="1" ht="108" customHeight="1" x14ac:dyDescent="0.3">
      <c r="A1816" s="11" t="s">
        <v>2368</v>
      </c>
      <c r="B1816" s="11" t="s">
        <v>2379</v>
      </c>
      <c r="C1816" s="12" t="s">
        <v>2380</v>
      </c>
      <c r="D1816" s="24"/>
      <c r="E1816" s="69" t="str">
        <f>HYPERLINK("https://www.google.ru/search?q=1910693-999900&amp;newwindow=1&amp;tbm=isch","Еще фото")</f>
        <v>Еще фото</v>
      </c>
      <c r="F1816" s="13"/>
      <c r="G1816" s="11" t="s">
        <v>824</v>
      </c>
      <c r="H1816" s="11" t="s">
        <v>112</v>
      </c>
      <c r="I1816" s="14" t="s">
        <v>825</v>
      </c>
      <c r="J1816" s="14" t="s">
        <v>406</v>
      </c>
      <c r="K1816" s="15" t="s">
        <v>114</v>
      </c>
      <c r="L1816" s="14" t="s">
        <v>2381</v>
      </c>
      <c r="M1816" s="14"/>
      <c r="N1816" s="14" t="s">
        <v>49</v>
      </c>
      <c r="O1816" s="14"/>
      <c r="P1816" s="15" t="s">
        <v>2382</v>
      </c>
      <c r="Q1816" s="16">
        <v>2299</v>
      </c>
      <c r="R1816" s="17">
        <v>50.51</v>
      </c>
      <c r="S1816" s="18">
        <v>1308.4354999999998</v>
      </c>
      <c r="T1816" s="19" t="s">
        <v>328</v>
      </c>
      <c r="U1816" s="20" t="s">
        <v>2377</v>
      </c>
      <c r="V1816" s="25" t="s">
        <v>2378</v>
      </c>
      <c r="W1816" s="21">
        <v>2</v>
      </c>
      <c r="X1816" s="22"/>
    </row>
    <row r="1817" spans="1:24" s="1" customFormat="1" ht="108" customHeight="1" x14ac:dyDescent="0.3">
      <c r="A1817" s="11" t="s">
        <v>2368</v>
      </c>
      <c r="B1817" s="11" t="s">
        <v>2383</v>
      </c>
      <c r="C1817" s="12" t="s">
        <v>2384</v>
      </c>
      <c r="D1817" s="24"/>
      <c r="E1817" s="69" t="str">
        <f>HYPERLINK("https://www.google.ru/search?q=1904092-444000&amp;newwindow=1&amp;tbm=isch","Еще фото")</f>
        <v>Еще фото</v>
      </c>
      <c r="F1817" s="13"/>
      <c r="G1817" s="11" t="s">
        <v>2385</v>
      </c>
      <c r="H1817" s="11" t="s">
        <v>112</v>
      </c>
      <c r="I1817" s="14" t="s">
        <v>514</v>
      </c>
      <c r="J1817" s="14" t="s">
        <v>406</v>
      </c>
      <c r="K1817" s="15" t="s">
        <v>114</v>
      </c>
      <c r="L1817" s="14" t="s">
        <v>2386</v>
      </c>
      <c r="M1817" s="14"/>
      <c r="N1817" s="14" t="s">
        <v>275</v>
      </c>
      <c r="O1817" s="14"/>
      <c r="P1817" s="15" t="s">
        <v>108</v>
      </c>
      <c r="Q1817" s="16">
        <v>1399</v>
      </c>
      <c r="R1817" s="17">
        <v>46</v>
      </c>
      <c r="S1817" s="29">
        <v>868.779</v>
      </c>
      <c r="T1817" s="19" t="s">
        <v>117</v>
      </c>
      <c r="U1817" s="20" t="s">
        <v>2387</v>
      </c>
      <c r="V1817" s="25" t="s">
        <v>119</v>
      </c>
      <c r="W1817" s="21">
        <v>1</v>
      </c>
      <c r="X1817" s="22"/>
    </row>
    <row r="1818" spans="1:24" s="1" customFormat="1" ht="35.1" customHeight="1" x14ac:dyDescent="0.3">
      <c r="A1818" s="11" t="s">
        <v>2368</v>
      </c>
      <c r="B1818" s="11" t="s">
        <v>2388</v>
      </c>
      <c r="C1818" s="12" t="s">
        <v>2389</v>
      </c>
      <c r="D1818" s="83"/>
      <c r="E1818" s="69" t="str">
        <f>HYPERLINK("https://www.google.ru/search?q=1912644-444905&amp;newwindow=1&amp;tbm=isch","Еще фото")</f>
        <v>Еще фото</v>
      </c>
      <c r="F1818" s="13"/>
      <c r="G1818" s="11" t="s">
        <v>654</v>
      </c>
      <c r="H1818" s="11" t="s">
        <v>27</v>
      </c>
      <c r="I1818" s="14" t="s">
        <v>569</v>
      </c>
      <c r="J1818" s="14" t="s">
        <v>406</v>
      </c>
      <c r="K1818" s="15" t="s">
        <v>47</v>
      </c>
      <c r="L1818" s="86" t="s">
        <v>2390</v>
      </c>
      <c r="M1818" s="14"/>
      <c r="N1818" s="14" t="s">
        <v>275</v>
      </c>
      <c r="O1818" s="14"/>
      <c r="P1818" s="15" t="s">
        <v>2391</v>
      </c>
      <c r="Q1818" s="16">
        <v>12099</v>
      </c>
      <c r="R1818" s="17">
        <v>69.11</v>
      </c>
      <c r="S1818" s="18">
        <v>4298.4354999999996</v>
      </c>
      <c r="T1818" s="19" t="s">
        <v>328</v>
      </c>
      <c r="U1818" s="20" t="s">
        <v>64</v>
      </c>
      <c r="V1818" s="21">
        <v>44</v>
      </c>
      <c r="W1818" s="21">
        <v>5</v>
      </c>
      <c r="X1818" s="22"/>
    </row>
    <row r="1819" spans="1:24" s="1" customFormat="1" ht="35.1" customHeight="1" x14ac:dyDescent="0.3">
      <c r="A1819" s="23" t="s">
        <v>2368</v>
      </c>
      <c r="B1819" s="23" t="s">
        <v>2388</v>
      </c>
      <c r="C1819" s="12" t="s">
        <v>2389</v>
      </c>
      <c r="D1819" s="84"/>
      <c r="E1819" s="69" t="str">
        <f>HYPERLINK("https://www.google.ru/search?q=1912644-444905&amp;newwindow=1&amp;tbm=isch","Еще фото")</f>
        <v>Еще фото</v>
      </c>
      <c r="F1819" s="13"/>
      <c r="G1819" s="23" t="s">
        <v>654</v>
      </c>
      <c r="H1819" s="23" t="s">
        <v>27</v>
      </c>
      <c r="I1819" s="23" t="s">
        <v>569</v>
      </c>
      <c r="J1819" s="14" t="s">
        <v>406</v>
      </c>
      <c r="K1819" s="15" t="s">
        <v>47</v>
      </c>
      <c r="L1819" s="87"/>
      <c r="M1819" s="14"/>
      <c r="N1819" s="14" t="s">
        <v>275</v>
      </c>
      <c r="O1819" s="14"/>
      <c r="P1819" s="15" t="s">
        <v>2391</v>
      </c>
      <c r="Q1819" s="16">
        <v>12099</v>
      </c>
      <c r="R1819" s="17">
        <v>69.11</v>
      </c>
      <c r="S1819" s="18">
        <v>4298.4354999999996</v>
      </c>
      <c r="T1819" s="19" t="s">
        <v>328</v>
      </c>
      <c r="U1819" s="20" t="s">
        <v>66</v>
      </c>
      <c r="V1819" s="21">
        <v>46</v>
      </c>
      <c r="W1819" s="21">
        <v>6</v>
      </c>
      <c r="X1819" s="22"/>
    </row>
    <row r="1820" spans="1:24" s="1" customFormat="1" ht="36.950000000000003" customHeight="1" x14ac:dyDescent="0.3">
      <c r="A1820" s="23" t="s">
        <v>2368</v>
      </c>
      <c r="B1820" s="23" t="s">
        <v>2388</v>
      </c>
      <c r="C1820" s="12" t="s">
        <v>2389</v>
      </c>
      <c r="D1820" s="85"/>
      <c r="E1820" s="69" t="str">
        <f>HYPERLINK("https://www.google.ru/search?q=1912644-444905&amp;newwindow=1&amp;tbm=isch","Еще фото")</f>
        <v>Еще фото</v>
      </c>
      <c r="F1820" s="13"/>
      <c r="G1820" s="23" t="s">
        <v>654</v>
      </c>
      <c r="H1820" s="23" t="s">
        <v>27</v>
      </c>
      <c r="I1820" s="23" t="s">
        <v>569</v>
      </c>
      <c r="J1820" s="14" t="s">
        <v>406</v>
      </c>
      <c r="K1820" s="15" t="s">
        <v>47</v>
      </c>
      <c r="L1820" s="88"/>
      <c r="M1820" s="14"/>
      <c r="N1820" s="14" t="s">
        <v>275</v>
      </c>
      <c r="O1820" s="14"/>
      <c r="P1820" s="15" t="s">
        <v>2391</v>
      </c>
      <c r="Q1820" s="16">
        <v>12099</v>
      </c>
      <c r="R1820" s="17">
        <v>69.11</v>
      </c>
      <c r="S1820" s="18">
        <v>4298.4354999999996</v>
      </c>
      <c r="T1820" s="19" t="s">
        <v>328</v>
      </c>
      <c r="U1820" s="20" t="s">
        <v>58</v>
      </c>
      <c r="V1820" s="21">
        <v>48</v>
      </c>
      <c r="W1820" s="21">
        <v>4</v>
      </c>
      <c r="X1820" s="22"/>
    </row>
    <row r="1821" spans="1:24" s="1" customFormat="1" ht="108" customHeight="1" x14ac:dyDescent="0.3">
      <c r="A1821" s="11" t="s">
        <v>2392</v>
      </c>
      <c r="B1821" s="11" t="s">
        <v>2393</v>
      </c>
      <c r="C1821" s="12" t="s">
        <v>2394</v>
      </c>
      <c r="D1821" s="24"/>
      <c r="E1821" s="69" t="str">
        <f>HYPERLINK("https://www.google.ru/search?q=C61STM-G&amp;newwindow=1&amp;tbm=isch","Еще фото")</f>
        <v>Еще фото</v>
      </c>
      <c r="F1821" s="13"/>
      <c r="G1821" s="11" t="s">
        <v>2395</v>
      </c>
      <c r="H1821" s="11" t="s">
        <v>27</v>
      </c>
      <c r="I1821" s="14" t="s">
        <v>28</v>
      </c>
      <c r="J1821" s="14" t="s">
        <v>2396</v>
      </c>
      <c r="K1821" s="15" t="s">
        <v>55</v>
      </c>
      <c r="L1821" s="14" t="s">
        <v>2397</v>
      </c>
      <c r="M1821" s="14"/>
      <c r="N1821" s="14" t="s">
        <v>242</v>
      </c>
      <c r="O1821" s="14"/>
      <c r="P1821" s="15" t="s">
        <v>2398</v>
      </c>
      <c r="Q1821" s="16">
        <v>10509</v>
      </c>
      <c r="R1821" s="17">
        <v>45.76</v>
      </c>
      <c r="S1821" s="18">
        <v>6554.9884999999995</v>
      </c>
      <c r="T1821" s="19" t="s">
        <v>328</v>
      </c>
      <c r="U1821" s="20" t="s">
        <v>66</v>
      </c>
      <c r="V1821" s="25" t="s">
        <v>68</v>
      </c>
      <c r="W1821" s="21">
        <v>2</v>
      </c>
      <c r="X1821" s="22"/>
    </row>
    <row r="1822" spans="1:24" s="1" customFormat="1" ht="108" customHeight="1" x14ac:dyDescent="0.3">
      <c r="A1822" s="11" t="s">
        <v>2392</v>
      </c>
      <c r="B1822" s="11" t="s">
        <v>2399</v>
      </c>
      <c r="C1822" s="12" t="s">
        <v>2400</v>
      </c>
      <c r="D1822" s="24"/>
      <c r="E1822" s="69" t="str">
        <f>HYPERLINK("https://www.google.ru/search?q=CR606W-5&amp;newwindow=1&amp;tbm=isch","Еще фото")</f>
        <v>Еще фото</v>
      </c>
      <c r="F1822" s="13"/>
      <c r="G1822" s="11" t="s">
        <v>1358</v>
      </c>
      <c r="H1822" s="11" t="s">
        <v>27</v>
      </c>
      <c r="I1822" s="14" t="s">
        <v>28</v>
      </c>
      <c r="J1822" s="14" t="s">
        <v>2401</v>
      </c>
      <c r="K1822" s="15" t="s">
        <v>47</v>
      </c>
      <c r="L1822" s="14" t="s">
        <v>2402</v>
      </c>
      <c r="M1822" s="14"/>
      <c r="N1822" s="14" t="s">
        <v>49</v>
      </c>
      <c r="O1822" s="14"/>
      <c r="P1822" s="15" t="s">
        <v>2403</v>
      </c>
      <c r="Q1822" s="16">
        <v>15759</v>
      </c>
      <c r="R1822" s="17">
        <v>45.43</v>
      </c>
      <c r="S1822" s="18">
        <v>9889.9884999999995</v>
      </c>
      <c r="T1822" s="19" t="s">
        <v>328</v>
      </c>
      <c r="U1822" s="20" t="s">
        <v>2404</v>
      </c>
      <c r="V1822" s="25" t="s">
        <v>67</v>
      </c>
      <c r="W1822" s="21">
        <v>3</v>
      </c>
      <c r="X1822" s="22"/>
    </row>
    <row r="1823" spans="1:24" s="1" customFormat="1" ht="108" customHeight="1" x14ac:dyDescent="0.3">
      <c r="A1823" s="11" t="s">
        <v>2392</v>
      </c>
      <c r="B1823" s="11" t="s">
        <v>2405</v>
      </c>
      <c r="C1823" s="12" t="s">
        <v>2406</v>
      </c>
      <c r="D1823" s="24"/>
      <c r="E1823" s="69" t="str">
        <f>HYPERLINK("https://www.google.ru/search?q=CR60W-5&amp;newwindow=1&amp;tbm=isch","Еще фото")</f>
        <v>Еще фото</v>
      </c>
      <c r="F1823" s="13"/>
      <c r="G1823" s="11" t="s">
        <v>2407</v>
      </c>
      <c r="H1823" s="11" t="s">
        <v>27</v>
      </c>
      <c r="I1823" s="14" t="s">
        <v>28</v>
      </c>
      <c r="J1823" s="14" t="s">
        <v>2401</v>
      </c>
      <c r="K1823" s="15" t="s">
        <v>47</v>
      </c>
      <c r="L1823" s="14" t="s">
        <v>2408</v>
      </c>
      <c r="M1823" s="14"/>
      <c r="N1823" s="14" t="s">
        <v>49</v>
      </c>
      <c r="O1823" s="14"/>
      <c r="P1823" s="15" t="s">
        <v>2409</v>
      </c>
      <c r="Q1823" s="16">
        <v>15759</v>
      </c>
      <c r="R1823" s="17">
        <v>45.43</v>
      </c>
      <c r="S1823" s="18">
        <v>9889.9884999999995</v>
      </c>
      <c r="T1823" s="19" t="s">
        <v>328</v>
      </c>
      <c r="U1823" s="20" t="s">
        <v>2410</v>
      </c>
      <c r="V1823" s="25" t="s">
        <v>53</v>
      </c>
      <c r="W1823" s="21">
        <v>4</v>
      </c>
      <c r="X1823" s="22"/>
    </row>
    <row r="1824" spans="1:24" s="1" customFormat="1" ht="108" customHeight="1" x14ac:dyDescent="0.3">
      <c r="A1824" s="11" t="s">
        <v>2392</v>
      </c>
      <c r="B1824" s="11" t="s">
        <v>2411</v>
      </c>
      <c r="C1824" s="12" t="s">
        <v>2412</v>
      </c>
      <c r="D1824" s="24"/>
      <c r="E1824" s="69" t="str">
        <f>HYPERLINK("https://www.google.ru/search?q=CR606M-5&amp;newwindow=1&amp;tbm=isch","Еще фото")</f>
        <v>Еще фото</v>
      </c>
      <c r="F1824" s="13"/>
      <c r="G1824" s="11" t="s">
        <v>1358</v>
      </c>
      <c r="H1824" s="11" t="s">
        <v>27</v>
      </c>
      <c r="I1824" s="14" t="s">
        <v>28</v>
      </c>
      <c r="J1824" s="14" t="s">
        <v>2401</v>
      </c>
      <c r="K1824" s="15" t="s">
        <v>55</v>
      </c>
      <c r="L1824" s="14" t="s">
        <v>2413</v>
      </c>
      <c r="M1824" s="14"/>
      <c r="N1824" s="14" t="s">
        <v>49</v>
      </c>
      <c r="O1824" s="14"/>
      <c r="P1824" s="15" t="s">
        <v>2403</v>
      </c>
      <c r="Q1824" s="16">
        <v>15759</v>
      </c>
      <c r="R1824" s="17">
        <v>45</v>
      </c>
      <c r="S1824" s="18">
        <v>9967.9354999999996</v>
      </c>
      <c r="T1824" s="19" t="s">
        <v>328</v>
      </c>
      <c r="U1824" s="20" t="s">
        <v>2410</v>
      </c>
      <c r="V1824" s="21">
        <v>48</v>
      </c>
      <c r="W1824" s="21">
        <v>1</v>
      </c>
      <c r="X1824" s="22"/>
    </row>
    <row r="1825" spans="1:24" s="1" customFormat="1" ht="108" customHeight="1" x14ac:dyDescent="0.3">
      <c r="A1825" s="11" t="s">
        <v>2392</v>
      </c>
      <c r="B1825" s="11" t="s">
        <v>2414</v>
      </c>
      <c r="C1825" s="12" t="s">
        <v>2415</v>
      </c>
      <c r="D1825" s="24"/>
      <c r="E1825" s="69" t="str">
        <f>HYPERLINK("https://www.google.ru/search?q=CB9UPU-G&amp;newwindow=1&amp;tbm=isch","Еще фото")</f>
        <v>Еще фото</v>
      </c>
      <c r="F1825" s="13"/>
      <c r="G1825" s="11" t="s">
        <v>181</v>
      </c>
      <c r="H1825" s="11" t="s">
        <v>112</v>
      </c>
      <c r="I1825" s="14" t="s">
        <v>182</v>
      </c>
      <c r="J1825" s="14" t="s">
        <v>29</v>
      </c>
      <c r="K1825" s="15" t="s">
        <v>114</v>
      </c>
      <c r="L1825" s="14" t="s">
        <v>2416</v>
      </c>
      <c r="M1825" s="14"/>
      <c r="N1825" s="14" t="s">
        <v>242</v>
      </c>
      <c r="O1825" s="14"/>
      <c r="P1825" s="15" t="s">
        <v>108</v>
      </c>
      <c r="Q1825" s="16">
        <v>5299</v>
      </c>
      <c r="R1825" s="17">
        <v>52.49</v>
      </c>
      <c r="S1825" s="18">
        <v>2895.4354999999996</v>
      </c>
      <c r="T1825" s="19" t="s">
        <v>117</v>
      </c>
      <c r="U1825" s="20" t="s">
        <v>2417</v>
      </c>
      <c r="V1825" s="25" t="s">
        <v>2418</v>
      </c>
      <c r="W1825" s="21">
        <v>17</v>
      </c>
      <c r="X1825" s="22"/>
    </row>
    <row r="1826" spans="1:24" s="1" customFormat="1" ht="108" customHeight="1" x14ac:dyDescent="0.3">
      <c r="A1826" s="11" t="s">
        <v>2392</v>
      </c>
      <c r="B1826" s="11" t="s">
        <v>2419</v>
      </c>
      <c r="C1826" s="12" t="s">
        <v>2420</v>
      </c>
      <c r="D1826" s="24"/>
      <c r="E1826" s="69" t="str">
        <f>HYPERLINK("https://www.google.ru/search?q=CB923U-0&amp;newwindow=1&amp;tbm=isch","Еще фото")</f>
        <v>Еще фото</v>
      </c>
      <c r="F1826" s="13"/>
      <c r="G1826" s="11" t="s">
        <v>793</v>
      </c>
      <c r="H1826" s="11" t="s">
        <v>112</v>
      </c>
      <c r="I1826" s="14" t="s">
        <v>182</v>
      </c>
      <c r="J1826" s="14" t="s">
        <v>406</v>
      </c>
      <c r="K1826" s="15" t="s">
        <v>114</v>
      </c>
      <c r="L1826" s="14" t="s">
        <v>2421</v>
      </c>
      <c r="M1826" s="14"/>
      <c r="N1826" s="14" t="s">
        <v>89</v>
      </c>
      <c r="O1826" s="14"/>
      <c r="P1826" s="15" t="s">
        <v>108</v>
      </c>
      <c r="Q1826" s="16">
        <v>2949</v>
      </c>
      <c r="R1826" s="17">
        <v>48.87</v>
      </c>
      <c r="S1826" s="18">
        <v>1733.9354999999998</v>
      </c>
      <c r="T1826" s="19" t="s">
        <v>117</v>
      </c>
      <c r="U1826" s="20" t="s">
        <v>2417</v>
      </c>
      <c r="V1826" s="25" t="s">
        <v>2418</v>
      </c>
      <c r="W1826" s="21">
        <v>39</v>
      </c>
      <c r="X1826" s="22"/>
    </row>
    <row r="1827" spans="1:24" s="1" customFormat="1" ht="108" customHeight="1" x14ac:dyDescent="0.3">
      <c r="A1827" s="11" t="s">
        <v>2392</v>
      </c>
      <c r="B1827" s="11" t="s">
        <v>2422</v>
      </c>
      <c r="C1827" s="12" t="s">
        <v>2423</v>
      </c>
      <c r="D1827" s="24"/>
      <c r="E1827" s="69" t="str">
        <f>HYPERLINK("https://www.google.ru/search?q=CB913U-0&amp;newwindow=1&amp;tbm=isch","Еще фото")</f>
        <v>Еще фото</v>
      </c>
      <c r="F1827" s="13"/>
      <c r="G1827" s="11" t="s">
        <v>2424</v>
      </c>
      <c r="H1827" s="11" t="s">
        <v>112</v>
      </c>
      <c r="I1827" s="14" t="s">
        <v>182</v>
      </c>
      <c r="J1827" s="14" t="s">
        <v>406</v>
      </c>
      <c r="K1827" s="15" t="s">
        <v>114</v>
      </c>
      <c r="L1827" s="14" t="s">
        <v>2425</v>
      </c>
      <c r="M1827" s="14"/>
      <c r="N1827" s="14" t="s">
        <v>89</v>
      </c>
      <c r="O1827" s="14"/>
      <c r="P1827" s="15" t="s">
        <v>108</v>
      </c>
      <c r="Q1827" s="16">
        <v>3469</v>
      </c>
      <c r="R1827" s="17">
        <v>40</v>
      </c>
      <c r="S1827" s="18">
        <v>2393.61</v>
      </c>
      <c r="T1827" s="19" t="s">
        <v>117</v>
      </c>
      <c r="U1827" s="20" t="s">
        <v>2417</v>
      </c>
      <c r="V1827" s="25" t="s">
        <v>2418</v>
      </c>
      <c r="W1827" s="21">
        <v>9</v>
      </c>
      <c r="X1827" s="22"/>
    </row>
    <row r="1828" spans="1:24" s="1" customFormat="1" ht="108" customHeight="1" x14ac:dyDescent="0.3">
      <c r="A1828" s="11" t="s">
        <v>2392</v>
      </c>
      <c r="B1828" s="11" t="s">
        <v>2426</v>
      </c>
      <c r="C1828" s="12" t="s">
        <v>2427</v>
      </c>
      <c r="D1828" s="24"/>
      <c r="E1828" s="69" t="str">
        <f>HYPERLINK("https://www.google.ru/search?q=CB923U-2&amp;newwindow=1&amp;tbm=isch","Еще фото")</f>
        <v>Еще фото</v>
      </c>
      <c r="F1828" s="13"/>
      <c r="G1828" s="11" t="s">
        <v>793</v>
      </c>
      <c r="H1828" s="11" t="s">
        <v>112</v>
      </c>
      <c r="I1828" s="14" t="s">
        <v>182</v>
      </c>
      <c r="J1828" s="14" t="s">
        <v>2401</v>
      </c>
      <c r="K1828" s="15" t="s">
        <v>114</v>
      </c>
      <c r="L1828" s="14" t="s">
        <v>2428</v>
      </c>
      <c r="M1828" s="14"/>
      <c r="N1828" s="14" t="s">
        <v>41</v>
      </c>
      <c r="O1828" s="14"/>
      <c r="P1828" s="15" t="s">
        <v>108</v>
      </c>
      <c r="Q1828" s="16">
        <v>2949</v>
      </c>
      <c r="R1828" s="17">
        <v>40</v>
      </c>
      <c r="S1828" s="18">
        <v>2034.81</v>
      </c>
      <c r="T1828" s="19" t="s">
        <v>117</v>
      </c>
      <c r="U1828" s="20" t="s">
        <v>2417</v>
      </c>
      <c r="V1828" s="25" t="s">
        <v>2418</v>
      </c>
      <c r="W1828" s="21">
        <v>2</v>
      </c>
      <c r="X1828" s="22"/>
    </row>
    <row r="1829" spans="1:24" s="1" customFormat="1" ht="108" customHeight="1" x14ac:dyDescent="0.3">
      <c r="A1829" s="11" t="s">
        <v>2392</v>
      </c>
      <c r="B1829" s="11" t="s">
        <v>2419</v>
      </c>
      <c r="C1829" s="12" t="s">
        <v>2429</v>
      </c>
      <c r="D1829" s="24"/>
      <c r="E1829" s="69" t="str">
        <f>HYPERLINK("https://www.google.ru/search?q=CB923U-5&amp;newwindow=1&amp;tbm=isch","Еще фото")</f>
        <v>Еще фото</v>
      </c>
      <c r="F1829" s="13"/>
      <c r="G1829" s="11" t="s">
        <v>2430</v>
      </c>
      <c r="H1829" s="11" t="s">
        <v>112</v>
      </c>
      <c r="I1829" s="14" t="s">
        <v>182</v>
      </c>
      <c r="J1829" s="14" t="s">
        <v>406</v>
      </c>
      <c r="K1829" s="15" t="s">
        <v>114</v>
      </c>
      <c r="L1829" s="14" t="s">
        <v>2421</v>
      </c>
      <c r="M1829" s="14"/>
      <c r="N1829" s="14" t="s">
        <v>49</v>
      </c>
      <c r="O1829" s="14"/>
      <c r="P1829" s="15" t="s">
        <v>108</v>
      </c>
      <c r="Q1829" s="16">
        <v>2949</v>
      </c>
      <c r="R1829" s="17">
        <v>40</v>
      </c>
      <c r="S1829" s="18">
        <v>2034.81</v>
      </c>
      <c r="T1829" s="19" t="s">
        <v>117</v>
      </c>
      <c r="U1829" s="20" t="s">
        <v>2417</v>
      </c>
      <c r="V1829" s="25" t="s">
        <v>2418</v>
      </c>
      <c r="W1829" s="21">
        <v>20</v>
      </c>
      <c r="X1829" s="22"/>
    </row>
    <row r="1830" spans="1:24" s="1" customFormat="1" ht="108" customHeight="1" x14ac:dyDescent="0.3">
      <c r="A1830" s="11" t="s">
        <v>2392</v>
      </c>
      <c r="B1830" s="11" t="s">
        <v>2426</v>
      </c>
      <c r="C1830" s="12" t="s">
        <v>2431</v>
      </c>
      <c r="D1830" s="24"/>
      <c r="E1830" s="69" t="str">
        <f>HYPERLINK("https://www.google.ru/search?q=CB923U-NC&amp;newwindow=1&amp;tbm=isch","Еще фото")</f>
        <v>Еще фото</v>
      </c>
      <c r="F1830" s="13"/>
      <c r="G1830" s="11" t="s">
        <v>793</v>
      </c>
      <c r="H1830" s="11" t="s">
        <v>112</v>
      </c>
      <c r="I1830" s="14" t="s">
        <v>182</v>
      </c>
      <c r="J1830" s="14" t="s">
        <v>2401</v>
      </c>
      <c r="K1830" s="15" t="s">
        <v>114</v>
      </c>
      <c r="L1830" s="14" t="s">
        <v>2428</v>
      </c>
      <c r="M1830" s="14"/>
      <c r="N1830" s="14" t="s">
        <v>116</v>
      </c>
      <c r="O1830" s="14"/>
      <c r="P1830" s="15" t="s">
        <v>108</v>
      </c>
      <c r="Q1830" s="16">
        <v>2949</v>
      </c>
      <c r="R1830" s="17">
        <v>40</v>
      </c>
      <c r="S1830" s="18">
        <v>2034.81</v>
      </c>
      <c r="T1830" s="19" t="s">
        <v>117</v>
      </c>
      <c r="U1830" s="20" t="s">
        <v>2417</v>
      </c>
      <c r="V1830" s="25" t="s">
        <v>2418</v>
      </c>
      <c r="W1830" s="21">
        <v>1</v>
      </c>
      <c r="X1830" s="22"/>
    </row>
    <row r="1831" spans="1:24" s="1" customFormat="1" ht="108" customHeight="1" x14ac:dyDescent="0.3">
      <c r="A1831" s="11" t="s">
        <v>2392</v>
      </c>
      <c r="B1831" s="11" t="s">
        <v>2432</v>
      </c>
      <c r="C1831" s="12" t="s">
        <v>2433</v>
      </c>
      <c r="D1831" s="24"/>
      <c r="E1831" s="69" t="str">
        <f>HYPERLINK("https://www.google.ru/search?q=C245W-52&amp;newwindow=1&amp;tbm=isch","Еще фото")</f>
        <v>Еще фото</v>
      </c>
      <c r="F1831" s="13"/>
      <c r="G1831" s="11" t="s">
        <v>2434</v>
      </c>
      <c r="H1831" s="11" t="s">
        <v>112</v>
      </c>
      <c r="I1831" s="14" t="s">
        <v>825</v>
      </c>
      <c r="J1831" s="14" t="s">
        <v>406</v>
      </c>
      <c r="K1831" s="15" t="s">
        <v>47</v>
      </c>
      <c r="L1831" s="14" t="s">
        <v>2435</v>
      </c>
      <c r="M1831" s="14"/>
      <c r="N1831" s="14" t="s">
        <v>49</v>
      </c>
      <c r="O1831" s="14"/>
      <c r="P1831" s="15" t="s">
        <v>2436</v>
      </c>
      <c r="Q1831" s="16">
        <v>5999</v>
      </c>
      <c r="R1831" s="17">
        <v>61.53</v>
      </c>
      <c r="S1831" s="18">
        <v>2653.9354999999996</v>
      </c>
      <c r="T1831" s="19" t="s">
        <v>117</v>
      </c>
      <c r="U1831" s="20" t="s">
        <v>2437</v>
      </c>
      <c r="V1831" s="25" t="s">
        <v>829</v>
      </c>
      <c r="W1831" s="21">
        <v>2</v>
      </c>
      <c r="X1831" s="22"/>
    </row>
    <row r="1832" spans="1:24" s="1" customFormat="1" ht="35.1" customHeight="1" x14ac:dyDescent="0.3">
      <c r="A1832" s="11" t="s">
        <v>2392</v>
      </c>
      <c r="B1832" s="11" t="s">
        <v>2438</v>
      </c>
      <c r="C1832" s="12" t="s">
        <v>2439</v>
      </c>
      <c r="D1832" s="83"/>
      <c r="E1832" s="69" t="str">
        <f>HYPERLINK("https://www.google.ru/search?q=C0UUM-0-1&amp;newwindow=1&amp;tbm=isch","Еще фото")</f>
        <v>Еще фото</v>
      </c>
      <c r="F1832" s="13"/>
      <c r="G1832" s="11" t="s">
        <v>2440</v>
      </c>
      <c r="H1832" s="11" t="s">
        <v>112</v>
      </c>
      <c r="I1832" s="14" t="s">
        <v>825</v>
      </c>
      <c r="J1832" s="14" t="s">
        <v>406</v>
      </c>
      <c r="K1832" s="15" t="s">
        <v>55</v>
      </c>
      <c r="L1832" s="86" t="s">
        <v>2441</v>
      </c>
      <c r="M1832" s="14"/>
      <c r="N1832" s="14" t="s">
        <v>89</v>
      </c>
      <c r="O1832" s="14"/>
      <c r="P1832" s="15" t="s">
        <v>2442</v>
      </c>
      <c r="Q1832" s="16">
        <v>2799</v>
      </c>
      <c r="R1832" s="17">
        <v>56.49</v>
      </c>
      <c r="S1832" s="18">
        <v>1400.4354999999998</v>
      </c>
      <c r="T1832" s="19" t="s">
        <v>117</v>
      </c>
      <c r="U1832" s="20" t="s">
        <v>2437</v>
      </c>
      <c r="V1832" s="25" t="s">
        <v>2443</v>
      </c>
      <c r="W1832" s="21">
        <v>13</v>
      </c>
      <c r="X1832" s="22"/>
    </row>
    <row r="1833" spans="1:24" s="1" customFormat="1" ht="35.1" customHeight="1" x14ac:dyDescent="0.3">
      <c r="A1833" s="23" t="s">
        <v>2392</v>
      </c>
      <c r="B1833" s="23" t="s">
        <v>2438</v>
      </c>
      <c r="C1833" s="12" t="s">
        <v>2439</v>
      </c>
      <c r="D1833" s="84"/>
      <c r="E1833" s="69" t="str">
        <f>HYPERLINK("https://www.google.ru/search?q=C0UUM-0-1&amp;newwindow=1&amp;tbm=isch","Еще фото")</f>
        <v>Еще фото</v>
      </c>
      <c r="F1833" s="13"/>
      <c r="G1833" s="23" t="s">
        <v>2440</v>
      </c>
      <c r="H1833" s="23" t="s">
        <v>112</v>
      </c>
      <c r="I1833" s="23" t="s">
        <v>825</v>
      </c>
      <c r="J1833" s="14" t="s">
        <v>406</v>
      </c>
      <c r="K1833" s="15" t="s">
        <v>55</v>
      </c>
      <c r="L1833" s="87"/>
      <c r="M1833" s="14"/>
      <c r="N1833" s="14" t="s">
        <v>89</v>
      </c>
      <c r="O1833" s="14"/>
      <c r="P1833" s="15" t="s">
        <v>2442</v>
      </c>
      <c r="Q1833" s="16">
        <v>2799</v>
      </c>
      <c r="R1833" s="17">
        <v>56.49</v>
      </c>
      <c r="S1833" s="18">
        <v>1400.4354999999998</v>
      </c>
      <c r="T1833" s="19" t="s">
        <v>117</v>
      </c>
      <c r="U1833" s="20" t="s">
        <v>2410</v>
      </c>
      <c r="V1833" s="25" t="s">
        <v>65</v>
      </c>
      <c r="W1833" s="21">
        <v>3</v>
      </c>
      <c r="X1833" s="22"/>
    </row>
    <row r="1834" spans="1:24" s="1" customFormat="1" ht="36.950000000000003" customHeight="1" x14ac:dyDescent="0.3">
      <c r="A1834" s="23" t="s">
        <v>2392</v>
      </c>
      <c r="B1834" s="23" t="s">
        <v>2438</v>
      </c>
      <c r="C1834" s="12" t="s">
        <v>2439</v>
      </c>
      <c r="D1834" s="85"/>
      <c r="E1834" s="69" t="str">
        <f>HYPERLINK("https://www.google.ru/search?q=C0UUM-0-1&amp;newwindow=1&amp;tbm=isch","Еще фото")</f>
        <v>Еще фото</v>
      </c>
      <c r="F1834" s="13"/>
      <c r="G1834" s="23" t="s">
        <v>2440</v>
      </c>
      <c r="H1834" s="23" t="s">
        <v>112</v>
      </c>
      <c r="I1834" s="23" t="s">
        <v>825</v>
      </c>
      <c r="J1834" s="14" t="s">
        <v>406</v>
      </c>
      <c r="K1834" s="15" t="s">
        <v>55</v>
      </c>
      <c r="L1834" s="88"/>
      <c r="M1834" s="14"/>
      <c r="N1834" s="14" t="s">
        <v>89</v>
      </c>
      <c r="O1834" s="14"/>
      <c r="P1834" s="15" t="s">
        <v>2442</v>
      </c>
      <c r="Q1834" s="16">
        <v>2799</v>
      </c>
      <c r="R1834" s="17">
        <v>56.49</v>
      </c>
      <c r="S1834" s="18">
        <v>1400.4354999999998</v>
      </c>
      <c r="T1834" s="19" t="s">
        <v>117</v>
      </c>
      <c r="U1834" s="20" t="s">
        <v>2444</v>
      </c>
      <c r="V1834" s="25" t="s">
        <v>2445</v>
      </c>
      <c r="W1834" s="21">
        <v>4</v>
      </c>
      <c r="X1834" s="22"/>
    </row>
    <row r="1835" spans="1:24" s="1" customFormat="1" ht="35.1" customHeight="1" x14ac:dyDescent="0.3">
      <c r="A1835" s="11" t="s">
        <v>2392</v>
      </c>
      <c r="B1835" s="11" t="s">
        <v>2446</v>
      </c>
      <c r="C1835" s="12" t="s">
        <v>2447</v>
      </c>
      <c r="D1835" s="83"/>
      <c r="E1835" s="69" t="str">
        <f>HYPERLINK("https://www.google.ru/search?q=CR26PW-5&amp;newwindow=1&amp;tbm=isch","Еще фото")</f>
        <v>Еще фото</v>
      </c>
      <c r="F1835" s="13"/>
      <c r="G1835" s="11" t="s">
        <v>2448</v>
      </c>
      <c r="H1835" s="11" t="s">
        <v>112</v>
      </c>
      <c r="I1835" s="14" t="s">
        <v>825</v>
      </c>
      <c r="J1835" s="14" t="s">
        <v>2401</v>
      </c>
      <c r="K1835" s="15" t="s">
        <v>47</v>
      </c>
      <c r="L1835" s="86" t="s">
        <v>2449</v>
      </c>
      <c r="M1835" s="14"/>
      <c r="N1835" s="14" t="s">
        <v>49</v>
      </c>
      <c r="O1835" s="14" t="s">
        <v>940</v>
      </c>
      <c r="P1835" s="15" t="s">
        <v>2450</v>
      </c>
      <c r="Q1835" s="16">
        <v>6309</v>
      </c>
      <c r="R1835" s="17">
        <v>55.65</v>
      </c>
      <c r="S1835" s="18">
        <v>3217.4354999999996</v>
      </c>
      <c r="T1835" s="19" t="s">
        <v>117</v>
      </c>
      <c r="U1835" s="20" t="s">
        <v>2404</v>
      </c>
      <c r="V1835" s="25" t="s">
        <v>828</v>
      </c>
      <c r="W1835" s="21">
        <v>5</v>
      </c>
      <c r="X1835" s="22"/>
    </row>
    <row r="1836" spans="1:24" s="1" customFormat="1" ht="35.1" customHeight="1" x14ac:dyDescent="0.3">
      <c r="A1836" s="23" t="s">
        <v>2392</v>
      </c>
      <c r="B1836" s="23" t="s">
        <v>2446</v>
      </c>
      <c r="C1836" s="12" t="s">
        <v>2447</v>
      </c>
      <c r="D1836" s="84"/>
      <c r="E1836" s="69" t="str">
        <f>HYPERLINK("https://www.google.ru/search?q=CR26PW-5&amp;newwindow=1&amp;tbm=isch","Еще фото")</f>
        <v>Еще фото</v>
      </c>
      <c r="F1836" s="13"/>
      <c r="G1836" s="23" t="s">
        <v>2448</v>
      </c>
      <c r="H1836" s="23" t="s">
        <v>112</v>
      </c>
      <c r="I1836" s="23" t="s">
        <v>825</v>
      </c>
      <c r="J1836" s="14" t="s">
        <v>2401</v>
      </c>
      <c r="K1836" s="15" t="s">
        <v>47</v>
      </c>
      <c r="L1836" s="87"/>
      <c r="M1836" s="14"/>
      <c r="N1836" s="14" t="s">
        <v>49</v>
      </c>
      <c r="O1836" s="14" t="s">
        <v>940</v>
      </c>
      <c r="P1836" s="15" t="s">
        <v>2450</v>
      </c>
      <c r="Q1836" s="16">
        <v>6309</v>
      </c>
      <c r="R1836" s="17">
        <v>55.65</v>
      </c>
      <c r="S1836" s="18">
        <v>3217.4354999999996</v>
      </c>
      <c r="T1836" s="19" t="s">
        <v>117</v>
      </c>
      <c r="U1836" s="20" t="s">
        <v>2437</v>
      </c>
      <c r="V1836" s="25" t="s">
        <v>829</v>
      </c>
      <c r="W1836" s="21">
        <v>14</v>
      </c>
      <c r="X1836" s="22"/>
    </row>
    <row r="1837" spans="1:24" s="1" customFormat="1" ht="36.950000000000003" customHeight="1" x14ac:dyDescent="0.3">
      <c r="A1837" s="23" t="s">
        <v>2392</v>
      </c>
      <c r="B1837" s="23" t="s">
        <v>2446</v>
      </c>
      <c r="C1837" s="12" t="s">
        <v>2447</v>
      </c>
      <c r="D1837" s="85"/>
      <c r="E1837" s="69" t="str">
        <f>HYPERLINK("https://www.google.ru/search?q=CR26PW-5&amp;newwindow=1&amp;tbm=isch","Еще фото")</f>
        <v>Еще фото</v>
      </c>
      <c r="F1837" s="13"/>
      <c r="G1837" s="23" t="s">
        <v>2448</v>
      </c>
      <c r="H1837" s="23" t="s">
        <v>112</v>
      </c>
      <c r="I1837" s="23" t="s">
        <v>825</v>
      </c>
      <c r="J1837" s="14" t="s">
        <v>2401</v>
      </c>
      <c r="K1837" s="15" t="s">
        <v>47</v>
      </c>
      <c r="L1837" s="88"/>
      <c r="M1837" s="14"/>
      <c r="N1837" s="14" t="s">
        <v>49</v>
      </c>
      <c r="O1837" s="14" t="s">
        <v>940</v>
      </c>
      <c r="P1837" s="15" t="s">
        <v>2450</v>
      </c>
      <c r="Q1837" s="16">
        <v>6309</v>
      </c>
      <c r="R1837" s="17">
        <v>55.65</v>
      </c>
      <c r="S1837" s="18">
        <v>3217.4354999999996</v>
      </c>
      <c r="T1837" s="19" t="s">
        <v>117</v>
      </c>
      <c r="U1837" s="20" t="s">
        <v>2410</v>
      </c>
      <c r="V1837" s="25" t="s">
        <v>830</v>
      </c>
      <c r="W1837" s="21">
        <v>4</v>
      </c>
      <c r="X1837" s="22"/>
    </row>
    <row r="1838" spans="1:24" s="1" customFormat="1" ht="35.1" customHeight="1" x14ac:dyDescent="0.3">
      <c r="A1838" s="11" t="s">
        <v>2392</v>
      </c>
      <c r="B1838" s="11" t="s">
        <v>2451</v>
      </c>
      <c r="C1838" s="12" t="s">
        <v>2452</v>
      </c>
      <c r="D1838" s="83"/>
      <c r="E1838" s="69" t="str">
        <f>HYPERLINK("https://www.google.ru/search?q=C005M-3&amp;newwindow=1&amp;tbm=isch","Еще фото")</f>
        <v>Еще фото</v>
      </c>
      <c r="F1838" s="13"/>
      <c r="G1838" s="11" t="s">
        <v>824</v>
      </c>
      <c r="H1838" s="11" t="s">
        <v>112</v>
      </c>
      <c r="I1838" s="14" t="s">
        <v>825</v>
      </c>
      <c r="J1838" s="14" t="s">
        <v>406</v>
      </c>
      <c r="K1838" s="15" t="s">
        <v>55</v>
      </c>
      <c r="L1838" s="86" t="s">
        <v>2453</v>
      </c>
      <c r="M1838" s="14"/>
      <c r="N1838" s="14" t="s">
        <v>70</v>
      </c>
      <c r="O1838" s="14"/>
      <c r="P1838" s="15" t="s">
        <v>2454</v>
      </c>
      <c r="Q1838" s="16">
        <v>2629</v>
      </c>
      <c r="R1838" s="17">
        <v>54.06</v>
      </c>
      <c r="S1838" s="18">
        <v>1388.9354999999998</v>
      </c>
      <c r="T1838" s="19" t="s">
        <v>117</v>
      </c>
      <c r="U1838" s="20" t="s">
        <v>2437</v>
      </c>
      <c r="V1838" s="25" t="s">
        <v>2443</v>
      </c>
      <c r="W1838" s="21">
        <v>12</v>
      </c>
      <c r="X1838" s="22"/>
    </row>
    <row r="1839" spans="1:24" s="1" customFormat="1" ht="35.1" customHeight="1" x14ac:dyDescent="0.3">
      <c r="A1839" s="23" t="s">
        <v>2392</v>
      </c>
      <c r="B1839" s="23" t="s">
        <v>2451</v>
      </c>
      <c r="C1839" s="12" t="s">
        <v>2452</v>
      </c>
      <c r="D1839" s="84"/>
      <c r="E1839" s="69" t="str">
        <f>HYPERLINK("https://www.google.ru/search?q=C005M-3&amp;newwindow=1&amp;tbm=isch","Еще фото")</f>
        <v>Еще фото</v>
      </c>
      <c r="F1839" s="13"/>
      <c r="G1839" s="23" t="s">
        <v>824</v>
      </c>
      <c r="H1839" s="23" t="s">
        <v>112</v>
      </c>
      <c r="I1839" s="23" t="s">
        <v>825</v>
      </c>
      <c r="J1839" s="14" t="s">
        <v>406</v>
      </c>
      <c r="K1839" s="15" t="s">
        <v>55</v>
      </c>
      <c r="L1839" s="87"/>
      <c r="M1839" s="14"/>
      <c r="N1839" s="14" t="s">
        <v>70</v>
      </c>
      <c r="O1839" s="14"/>
      <c r="P1839" s="15" t="s">
        <v>2454</v>
      </c>
      <c r="Q1839" s="16">
        <v>2629</v>
      </c>
      <c r="R1839" s="17">
        <v>54.06</v>
      </c>
      <c r="S1839" s="18">
        <v>1388.9354999999998</v>
      </c>
      <c r="T1839" s="19" t="s">
        <v>117</v>
      </c>
      <c r="U1839" s="20" t="s">
        <v>2410</v>
      </c>
      <c r="V1839" s="25" t="s">
        <v>65</v>
      </c>
      <c r="W1839" s="21">
        <v>5</v>
      </c>
      <c r="X1839" s="22"/>
    </row>
    <row r="1840" spans="1:24" s="1" customFormat="1" ht="36.950000000000003" customHeight="1" x14ac:dyDescent="0.3">
      <c r="A1840" s="23" t="s">
        <v>2392</v>
      </c>
      <c r="B1840" s="23" t="s">
        <v>2451</v>
      </c>
      <c r="C1840" s="12" t="s">
        <v>2452</v>
      </c>
      <c r="D1840" s="85"/>
      <c r="E1840" s="69" t="str">
        <f>HYPERLINK("https://www.google.ru/search?q=C005M-3&amp;newwindow=1&amp;tbm=isch","Еще фото")</f>
        <v>Еще фото</v>
      </c>
      <c r="F1840" s="13"/>
      <c r="G1840" s="23" t="s">
        <v>824</v>
      </c>
      <c r="H1840" s="23" t="s">
        <v>112</v>
      </c>
      <c r="I1840" s="23" t="s">
        <v>825</v>
      </c>
      <c r="J1840" s="14" t="s">
        <v>406</v>
      </c>
      <c r="K1840" s="15" t="s">
        <v>55</v>
      </c>
      <c r="L1840" s="88"/>
      <c r="M1840" s="14"/>
      <c r="N1840" s="14" t="s">
        <v>70</v>
      </c>
      <c r="O1840" s="14"/>
      <c r="P1840" s="15" t="s">
        <v>2454</v>
      </c>
      <c r="Q1840" s="16">
        <v>2629</v>
      </c>
      <c r="R1840" s="17">
        <v>54.06</v>
      </c>
      <c r="S1840" s="18">
        <v>1388.9354999999998</v>
      </c>
      <c r="T1840" s="19" t="s">
        <v>117</v>
      </c>
      <c r="U1840" s="20" t="s">
        <v>2444</v>
      </c>
      <c r="V1840" s="25" t="s">
        <v>2445</v>
      </c>
      <c r="W1840" s="21">
        <v>5</v>
      </c>
      <c r="X1840" s="22"/>
    </row>
    <row r="1841" spans="1:24" s="1" customFormat="1" ht="51.95" customHeight="1" x14ac:dyDescent="0.3">
      <c r="A1841" s="11" t="s">
        <v>2392</v>
      </c>
      <c r="B1841" s="11" t="s">
        <v>2451</v>
      </c>
      <c r="C1841" s="12" t="s">
        <v>2455</v>
      </c>
      <c r="D1841" s="89"/>
      <c r="E1841" s="69" t="str">
        <f>HYPERLINK("https://www.google.ru/search?q=C005M-5&amp;newwindow=1&amp;tbm=isch","Еще фото")</f>
        <v>Еще фото</v>
      </c>
      <c r="F1841" s="13"/>
      <c r="G1841" s="11" t="s">
        <v>824</v>
      </c>
      <c r="H1841" s="11" t="s">
        <v>112</v>
      </c>
      <c r="I1841" s="14" t="s">
        <v>825</v>
      </c>
      <c r="J1841" s="14" t="s">
        <v>406</v>
      </c>
      <c r="K1841" s="15" t="s">
        <v>55</v>
      </c>
      <c r="L1841" s="86" t="s">
        <v>2453</v>
      </c>
      <c r="M1841" s="14"/>
      <c r="N1841" s="14" t="s">
        <v>49</v>
      </c>
      <c r="O1841" s="14"/>
      <c r="P1841" s="15" t="s">
        <v>2454</v>
      </c>
      <c r="Q1841" s="16">
        <v>2629</v>
      </c>
      <c r="R1841" s="17">
        <v>54.06</v>
      </c>
      <c r="S1841" s="18">
        <v>1388.9354999999998</v>
      </c>
      <c r="T1841" s="19" t="s">
        <v>117</v>
      </c>
      <c r="U1841" s="20" t="s">
        <v>2437</v>
      </c>
      <c r="V1841" s="25" t="s">
        <v>2443</v>
      </c>
      <c r="W1841" s="21">
        <v>9</v>
      </c>
      <c r="X1841" s="22"/>
    </row>
    <row r="1842" spans="1:24" s="1" customFormat="1" ht="60.95" customHeight="1" x14ac:dyDescent="0.3">
      <c r="A1842" s="23" t="s">
        <v>2392</v>
      </c>
      <c r="B1842" s="23" t="s">
        <v>2451</v>
      </c>
      <c r="C1842" s="12" t="s">
        <v>2455</v>
      </c>
      <c r="D1842" s="90"/>
      <c r="E1842" s="69" t="str">
        <f>HYPERLINK("https://www.google.ru/search?q=C005M-5&amp;newwindow=1&amp;tbm=isch","Еще фото")</f>
        <v>Еще фото</v>
      </c>
      <c r="F1842" s="13"/>
      <c r="G1842" s="23" t="s">
        <v>824</v>
      </c>
      <c r="H1842" s="23" t="s">
        <v>112</v>
      </c>
      <c r="I1842" s="23" t="s">
        <v>825</v>
      </c>
      <c r="J1842" s="14" t="s">
        <v>406</v>
      </c>
      <c r="K1842" s="15" t="s">
        <v>55</v>
      </c>
      <c r="L1842" s="88"/>
      <c r="M1842" s="14"/>
      <c r="N1842" s="14" t="s">
        <v>49</v>
      </c>
      <c r="O1842" s="14"/>
      <c r="P1842" s="15" t="s">
        <v>2454</v>
      </c>
      <c r="Q1842" s="16">
        <v>2629</v>
      </c>
      <c r="R1842" s="17">
        <v>54.06</v>
      </c>
      <c r="S1842" s="18">
        <v>1388.9354999999998</v>
      </c>
      <c r="T1842" s="19" t="s">
        <v>117</v>
      </c>
      <c r="U1842" s="20" t="s">
        <v>2410</v>
      </c>
      <c r="V1842" s="25" t="s">
        <v>65</v>
      </c>
      <c r="W1842" s="21">
        <v>11</v>
      </c>
      <c r="X1842" s="22"/>
    </row>
    <row r="1843" spans="1:24" s="1" customFormat="1" ht="35.1" customHeight="1" x14ac:dyDescent="0.3">
      <c r="A1843" s="11" t="s">
        <v>2392</v>
      </c>
      <c r="B1843" s="11" t="s">
        <v>2456</v>
      </c>
      <c r="C1843" s="12" t="s">
        <v>2457</v>
      </c>
      <c r="D1843" s="83"/>
      <c r="E1843" s="69" t="str">
        <f>HYPERLINK("https://www.google.ru/search?q=C095W-0&amp;newwindow=1&amp;tbm=isch","Еще фото")</f>
        <v>Еще фото</v>
      </c>
      <c r="F1843" s="13"/>
      <c r="G1843" s="11" t="s">
        <v>824</v>
      </c>
      <c r="H1843" s="11" t="s">
        <v>112</v>
      </c>
      <c r="I1843" s="14" t="s">
        <v>825</v>
      </c>
      <c r="J1843" s="14" t="s">
        <v>406</v>
      </c>
      <c r="K1843" s="15" t="s">
        <v>47</v>
      </c>
      <c r="L1843" s="86" t="s">
        <v>2458</v>
      </c>
      <c r="M1843" s="14"/>
      <c r="N1843" s="14" t="s">
        <v>89</v>
      </c>
      <c r="O1843" s="14"/>
      <c r="P1843" s="15" t="s">
        <v>2459</v>
      </c>
      <c r="Q1843" s="16">
        <v>2629</v>
      </c>
      <c r="R1843" s="17">
        <v>54.06</v>
      </c>
      <c r="S1843" s="18">
        <v>1388.9354999999998</v>
      </c>
      <c r="T1843" s="19" t="s">
        <v>117</v>
      </c>
      <c r="U1843" s="20" t="s">
        <v>2404</v>
      </c>
      <c r="V1843" s="25" t="s">
        <v>828</v>
      </c>
      <c r="W1843" s="21">
        <v>10</v>
      </c>
      <c r="X1843" s="22"/>
    </row>
    <row r="1844" spans="1:24" s="1" customFormat="1" ht="35.1" customHeight="1" x14ac:dyDescent="0.3">
      <c r="A1844" s="23" t="s">
        <v>2392</v>
      </c>
      <c r="B1844" s="23" t="s">
        <v>2456</v>
      </c>
      <c r="C1844" s="12" t="s">
        <v>2457</v>
      </c>
      <c r="D1844" s="84"/>
      <c r="E1844" s="69" t="str">
        <f>HYPERLINK("https://www.google.ru/search?q=C095W-0&amp;newwindow=1&amp;tbm=isch","Еще фото")</f>
        <v>Еще фото</v>
      </c>
      <c r="F1844" s="13"/>
      <c r="G1844" s="23" t="s">
        <v>824</v>
      </c>
      <c r="H1844" s="23" t="s">
        <v>112</v>
      </c>
      <c r="I1844" s="23" t="s">
        <v>825</v>
      </c>
      <c r="J1844" s="14" t="s">
        <v>406</v>
      </c>
      <c r="K1844" s="15" t="s">
        <v>47</v>
      </c>
      <c r="L1844" s="87"/>
      <c r="M1844" s="14"/>
      <c r="N1844" s="14" t="s">
        <v>89</v>
      </c>
      <c r="O1844" s="14"/>
      <c r="P1844" s="15" t="s">
        <v>2459</v>
      </c>
      <c r="Q1844" s="16">
        <v>2629</v>
      </c>
      <c r="R1844" s="17">
        <v>54.06</v>
      </c>
      <c r="S1844" s="18">
        <v>1388.9354999999998</v>
      </c>
      <c r="T1844" s="19" t="s">
        <v>117</v>
      </c>
      <c r="U1844" s="20" t="s">
        <v>2437</v>
      </c>
      <c r="V1844" s="25" t="s">
        <v>829</v>
      </c>
      <c r="W1844" s="21">
        <v>7</v>
      </c>
      <c r="X1844" s="22"/>
    </row>
    <row r="1845" spans="1:24" s="1" customFormat="1" ht="36.950000000000003" customHeight="1" x14ac:dyDescent="0.3">
      <c r="A1845" s="23" t="s">
        <v>2392</v>
      </c>
      <c r="B1845" s="23" t="s">
        <v>2456</v>
      </c>
      <c r="C1845" s="12" t="s">
        <v>2457</v>
      </c>
      <c r="D1845" s="85"/>
      <c r="E1845" s="69" t="str">
        <f>HYPERLINK("https://www.google.ru/search?q=C095W-0&amp;newwindow=1&amp;tbm=isch","Еще фото")</f>
        <v>Еще фото</v>
      </c>
      <c r="F1845" s="13"/>
      <c r="G1845" s="23" t="s">
        <v>824</v>
      </c>
      <c r="H1845" s="23" t="s">
        <v>112</v>
      </c>
      <c r="I1845" s="23" t="s">
        <v>825</v>
      </c>
      <c r="J1845" s="14" t="s">
        <v>406</v>
      </c>
      <c r="K1845" s="15" t="s">
        <v>47</v>
      </c>
      <c r="L1845" s="88"/>
      <c r="M1845" s="14"/>
      <c r="N1845" s="14" t="s">
        <v>89</v>
      </c>
      <c r="O1845" s="14"/>
      <c r="P1845" s="15" t="s">
        <v>2459</v>
      </c>
      <c r="Q1845" s="16">
        <v>2629</v>
      </c>
      <c r="R1845" s="17">
        <v>54.06</v>
      </c>
      <c r="S1845" s="18">
        <v>1388.9354999999998</v>
      </c>
      <c r="T1845" s="19" t="s">
        <v>117</v>
      </c>
      <c r="U1845" s="20" t="s">
        <v>2410</v>
      </c>
      <c r="V1845" s="25" t="s">
        <v>830</v>
      </c>
      <c r="W1845" s="21">
        <v>6</v>
      </c>
      <c r="X1845" s="22"/>
    </row>
    <row r="1846" spans="1:24" s="1" customFormat="1" ht="51.95" customHeight="1" x14ac:dyDescent="0.3">
      <c r="A1846" s="11" t="s">
        <v>2392</v>
      </c>
      <c r="B1846" s="11" t="s">
        <v>2456</v>
      </c>
      <c r="C1846" s="12" t="s">
        <v>2460</v>
      </c>
      <c r="D1846" s="89"/>
      <c r="E1846" s="69" t="str">
        <f>HYPERLINK("https://www.google.ru/search?q=C095W-4&amp;newwindow=1&amp;tbm=isch","Еще фото")</f>
        <v>Еще фото</v>
      </c>
      <c r="F1846" s="13"/>
      <c r="G1846" s="11" t="s">
        <v>824</v>
      </c>
      <c r="H1846" s="11" t="s">
        <v>112</v>
      </c>
      <c r="I1846" s="14" t="s">
        <v>825</v>
      </c>
      <c r="J1846" s="14" t="s">
        <v>406</v>
      </c>
      <c r="K1846" s="15" t="s">
        <v>47</v>
      </c>
      <c r="L1846" s="86" t="s">
        <v>2458</v>
      </c>
      <c r="M1846" s="14"/>
      <c r="N1846" s="14" t="s">
        <v>275</v>
      </c>
      <c r="O1846" s="14"/>
      <c r="P1846" s="15" t="s">
        <v>2459</v>
      </c>
      <c r="Q1846" s="16">
        <v>2629</v>
      </c>
      <c r="R1846" s="17">
        <v>54.06</v>
      </c>
      <c r="S1846" s="18">
        <v>1388.9354999999998</v>
      </c>
      <c r="T1846" s="19" t="s">
        <v>117</v>
      </c>
      <c r="U1846" s="20" t="s">
        <v>2404</v>
      </c>
      <c r="V1846" s="25" t="s">
        <v>828</v>
      </c>
      <c r="W1846" s="21">
        <v>10</v>
      </c>
      <c r="X1846" s="22"/>
    </row>
    <row r="1847" spans="1:24" s="1" customFormat="1" ht="60.95" customHeight="1" x14ac:dyDescent="0.3">
      <c r="A1847" s="23" t="s">
        <v>2392</v>
      </c>
      <c r="B1847" s="23" t="s">
        <v>2456</v>
      </c>
      <c r="C1847" s="12" t="s">
        <v>2460</v>
      </c>
      <c r="D1847" s="90"/>
      <c r="E1847" s="69" t="str">
        <f>HYPERLINK("https://www.google.ru/search?q=C095W-4&amp;newwindow=1&amp;tbm=isch","Еще фото")</f>
        <v>Еще фото</v>
      </c>
      <c r="F1847" s="13"/>
      <c r="G1847" s="23" t="s">
        <v>824</v>
      </c>
      <c r="H1847" s="23" t="s">
        <v>112</v>
      </c>
      <c r="I1847" s="23" t="s">
        <v>825</v>
      </c>
      <c r="J1847" s="14" t="s">
        <v>406</v>
      </c>
      <c r="K1847" s="15" t="s">
        <v>47</v>
      </c>
      <c r="L1847" s="88"/>
      <c r="M1847" s="14"/>
      <c r="N1847" s="14" t="s">
        <v>275</v>
      </c>
      <c r="O1847" s="14"/>
      <c r="P1847" s="15" t="s">
        <v>2459</v>
      </c>
      <c r="Q1847" s="16">
        <v>2629</v>
      </c>
      <c r="R1847" s="17">
        <v>54.06</v>
      </c>
      <c r="S1847" s="18">
        <v>1388.9354999999998</v>
      </c>
      <c r="T1847" s="19" t="s">
        <v>117</v>
      </c>
      <c r="U1847" s="20" t="s">
        <v>2437</v>
      </c>
      <c r="V1847" s="25" t="s">
        <v>829</v>
      </c>
      <c r="W1847" s="21">
        <v>14</v>
      </c>
      <c r="X1847" s="22"/>
    </row>
    <row r="1848" spans="1:24" s="1" customFormat="1" ht="35.1" customHeight="1" x14ac:dyDescent="0.3">
      <c r="A1848" s="11" t="s">
        <v>2392</v>
      </c>
      <c r="B1848" s="11" t="s">
        <v>2456</v>
      </c>
      <c r="C1848" s="12" t="s">
        <v>2461</v>
      </c>
      <c r="D1848" s="83"/>
      <c r="E1848" s="69" t="str">
        <f>HYPERLINK("https://www.google.ru/search?q=C095W-5&amp;newwindow=1&amp;tbm=isch","Еще фото")</f>
        <v>Еще фото</v>
      </c>
      <c r="F1848" s="13"/>
      <c r="G1848" s="11" t="s">
        <v>824</v>
      </c>
      <c r="H1848" s="11" t="s">
        <v>112</v>
      </c>
      <c r="I1848" s="14" t="s">
        <v>825</v>
      </c>
      <c r="J1848" s="14" t="s">
        <v>406</v>
      </c>
      <c r="K1848" s="15" t="s">
        <v>47</v>
      </c>
      <c r="L1848" s="86" t="s">
        <v>2458</v>
      </c>
      <c r="M1848" s="14"/>
      <c r="N1848" s="14" t="s">
        <v>49</v>
      </c>
      <c r="O1848" s="14"/>
      <c r="P1848" s="15" t="s">
        <v>2459</v>
      </c>
      <c r="Q1848" s="16">
        <v>2629</v>
      </c>
      <c r="R1848" s="17">
        <v>54.06</v>
      </c>
      <c r="S1848" s="18">
        <v>1388.9354999999998</v>
      </c>
      <c r="T1848" s="19" t="s">
        <v>117</v>
      </c>
      <c r="U1848" s="20" t="s">
        <v>2404</v>
      </c>
      <c r="V1848" s="25" t="s">
        <v>828</v>
      </c>
      <c r="W1848" s="21">
        <v>7</v>
      </c>
      <c r="X1848" s="22"/>
    </row>
    <row r="1849" spans="1:24" s="1" customFormat="1" ht="35.1" customHeight="1" x14ac:dyDescent="0.3">
      <c r="A1849" s="23" t="s">
        <v>2392</v>
      </c>
      <c r="B1849" s="23" t="s">
        <v>2456</v>
      </c>
      <c r="C1849" s="12" t="s">
        <v>2461</v>
      </c>
      <c r="D1849" s="84"/>
      <c r="E1849" s="69" t="str">
        <f>HYPERLINK("https://www.google.ru/search?q=C095W-5&amp;newwindow=1&amp;tbm=isch","Еще фото")</f>
        <v>Еще фото</v>
      </c>
      <c r="F1849" s="13"/>
      <c r="G1849" s="23" t="s">
        <v>824</v>
      </c>
      <c r="H1849" s="23" t="s">
        <v>112</v>
      </c>
      <c r="I1849" s="23" t="s">
        <v>825</v>
      </c>
      <c r="J1849" s="14" t="s">
        <v>406</v>
      </c>
      <c r="K1849" s="15" t="s">
        <v>47</v>
      </c>
      <c r="L1849" s="87"/>
      <c r="M1849" s="14"/>
      <c r="N1849" s="14" t="s">
        <v>49</v>
      </c>
      <c r="O1849" s="14"/>
      <c r="P1849" s="15" t="s">
        <v>2459</v>
      </c>
      <c r="Q1849" s="16">
        <v>2629</v>
      </c>
      <c r="R1849" s="17">
        <v>54.06</v>
      </c>
      <c r="S1849" s="18">
        <v>1388.9354999999998</v>
      </c>
      <c r="T1849" s="19" t="s">
        <v>117</v>
      </c>
      <c r="U1849" s="20" t="s">
        <v>2437</v>
      </c>
      <c r="V1849" s="25" t="s">
        <v>829</v>
      </c>
      <c r="W1849" s="21">
        <v>13</v>
      </c>
      <c r="X1849" s="22"/>
    </row>
    <row r="1850" spans="1:24" s="1" customFormat="1" ht="36.950000000000003" customHeight="1" x14ac:dyDescent="0.3">
      <c r="A1850" s="23" t="s">
        <v>2392</v>
      </c>
      <c r="B1850" s="23" t="s">
        <v>2456</v>
      </c>
      <c r="C1850" s="12" t="s">
        <v>2461</v>
      </c>
      <c r="D1850" s="85"/>
      <c r="E1850" s="69" t="str">
        <f>HYPERLINK("https://www.google.ru/search?q=C095W-5&amp;newwindow=1&amp;tbm=isch","Еще фото")</f>
        <v>Еще фото</v>
      </c>
      <c r="F1850" s="13"/>
      <c r="G1850" s="23" t="s">
        <v>824</v>
      </c>
      <c r="H1850" s="23" t="s">
        <v>112</v>
      </c>
      <c r="I1850" s="23" t="s">
        <v>825</v>
      </c>
      <c r="J1850" s="14" t="s">
        <v>406</v>
      </c>
      <c r="K1850" s="15" t="s">
        <v>47</v>
      </c>
      <c r="L1850" s="88"/>
      <c r="M1850" s="14"/>
      <c r="N1850" s="14" t="s">
        <v>49</v>
      </c>
      <c r="O1850" s="14"/>
      <c r="P1850" s="15" t="s">
        <v>2459</v>
      </c>
      <c r="Q1850" s="16">
        <v>2629</v>
      </c>
      <c r="R1850" s="17">
        <v>54.06</v>
      </c>
      <c r="S1850" s="18">
        <v>1388.9354999999998</v>
      </c>
      <c r="T1850" s="19" t="s">
        <v>117</v>
      </c>
      <c r="U1850" s="20" t="s">
        <v>2410</v>
      </c>
      <c r="V1850" s="25" t="s">
        <v>830</v>
      </c>
      <c r="W1850" s="21">
        <v>6</v>
      </c>
      <c r="X1850" s="22"/>
    </row>
    <row r="1851" spans="1:24" s="1" customFormat="1" ht="35.1" customHeight="1" x14ac:dyDescent="0.3">
      <c r="A1851" s="11" t="s">
        <v>2392</v>
      </c>
      <c r="B1851" s="11" t="s">
        <v>2438</v>
      </c>
      <c r="C1851" s="12" t="s">
        <v>2462</v>
      </c>
      <c r="D1851" s="83"/>
      <c r="E1851" s="69" t="str">
        <f>HYPERLINK("https://www.google.ru/search?q=C09UUM-0-1&amp;newwindow=1&amp;tbm=isch","Еще фото")</f>
        <v>Еще фото</v>
      </c>
      <c r="F1851" s="13"/>
      <c r="G1851" s="11" t="s">
        <v>2463</v>
      </c>
      <c r="H1851" s="11" t="s">
        <v>112</v>
      </c>
      <c r="I1851" s="14" t="s">
        <v>825</v>
      </c>
      <c r="J1851" s="14" t="s">
        <v>406</v>
      </c>
      <c r="K1851" s="15" t="s">
        <v>55</v>
      </c>
      <c r="L1851" s="86" t="s">
        <v>2464</v>
      </c>
      <c r="M1851" s="14"/>
      <c r="N1851" s="14" t="s">
        <v>89</v>
      </c>
      <c r="O1851" s="14"/>
      <c r="P1851" s="15" t="s">
        <v>2442</v>
      </c>
      <c r="Q1851" s="16">
        <v>2629</v>
      </c>
      <c r="R1851" s="17">
        <v>54.06</v>
      </c>
      <c r="S1851" s="18">
        <v>1388.9354999999998</v>
      </c>
      <c r="T1851" s="19" t="s">
        <v>117</v>
      </c>
      <c r="U1851" s="20" t="s">
        <v>2437</v>
      </c>
      <c r="V1851" s="25" t="s">
        <v>2443</v>
      </c>
      <c r="W1851" s="21">
        <v>20</v>
      </c>
      <c r="X1851" s="22"/>
    </row>
    <row r="1852" spans="1:24" s="1" customFormat="1" ht="35.1" customHeight="1" x14ac:dyDescent="0.3">
      <c r="A1852" s="23" t="s">
        <v>2392</v>
      </c>
      <c r="B1852" s="23" t="s">
        <v>2438</v>
      </c>
      <c r="C1852" s="12" t="s">
        <v>2462</v>
      </c>
      <c r="D1852" s="84"/>
      <c r="E1852" s="69" t="str">
        <f>HYPERLINK("https://www.google.ru/search?q=C09UUM-0-1&amp;newwindow=1&amp;tbm=isch","Еще фото")</f>
        <v>Еще фото</v>
      </c>
      <c r="F1852" s="13"/>
      <c r="G1852" s="23" t="s">
        <v>2463</v>
      </c>
      <c r="H1852" s="23" t="s">
        <v>112</v>
      </c>
      <c r="I1852" s="23" t="s">
        <v>825</v>
      </c>
      <c r="J1852" s="14" t="s">
        <v>406</v>
      </c>
      <c r="K1852" s="15" t="s">
        <v>55</v>
      </c>
      <c r="L1852" s="87"/>
      <c r="M1852" s="14"/>
      <c r="N1852" s="14" t="s">
        <v>89</v>
      </c>
      <c r="O1852" s="14"/>
      <c r="P1852" s="15" t="s">
        <v>2442</v>
      </c>
      <c r="Q1852" s="16">
        <v>2629</v>
      </c>
      <c r="R1852" s="17">
        <v>54.06</v>
      </c>
      <c r="S1852" s="18">
        <v>1388.9354999999998</v>
      </c>
      <c r="T1852" s="19" t="s">
        <v>117</v>
      </c>
      <c r="U1852" s="20" t="s">
        <v>2410</v>
      </c>
      <c r="V1852" s="25" t="s">
        <v>65</v>
      </c>
      <c r="W1852" s="21">
        <v>5</v>
      </c>
      <c r="X1852" s="22"/>
    </row>
    <row r="1853" spans="1:24" s="1" customFormat="1" ht="36.950000000000003" customHeight="1" x14ac:dyDescent="0.3">
      <c r="A1853" s="23" t="s">
        <v>2392</v>
      </c>
      <c r="B1853" s="23" t="s">
        <v>2438</v>
      </c>
      <c r="C1853" s="12" t="s">
        <v>2462</v>
      </c>
      <c r="D1853" s="85"/>
      <c r="E1853" s="69" t="str">
        <f>HYPERLINK("https://www.google.ru/search?q=C09UUM-0-1&amp;newwindow=1&amp;tbm=isch","Еще фото")</f>
        <v>Еще фото</v>
      </c>
      <c r="F1853" s="13"/>
      <c r="G1853" s="23" t="s">
        <v>2463</v>
      </c>
      <c r="H1853" s="23" t="s">
        <v>112</v>
      </c>
      <c r="I1853" s="23" t="s">
        <v>825</v>
      </c>
      <c r="J1853" s="14" t="s">
        <v>406</v>
      </c>
      <c r="K1853" s="15" t="s">
        <v>55</v>
      </c>
      <c r="L1853" s="88"/>
      <c r="M1853" s="14"/>
      <c r="N1853" s="14" t="s">
        <v>89</v>
      </c>
      <c r="O1853" s="14"/>
      <c r="P1853" s="15" t="s">
        <v>2442</v>
      </c>
      <c r="Q1853" s="16">
        <v>2629</v>
      </c>
      <c r="R1853" s="17">
        <v>54.06</v>
      </c>
      <c r="S1853" s="18">
        <v>1388.9354999999998</v>
      </c>
      <c r="T1853" s="19" t="s">
        <v>117</v>
      </c>
      <c r="U1853" s="20" t="s">
        <v>2444</v>
      </c>
      <c r="V1853" s="25" t="s">
        <v>2445</v>
      </c>
      <c r="W1853" s="21">
        <v>6</v>
      </c>
      <c r="X1853" s="22"/>
    </row>
    <row r="1854" spans="1:24" s="1" customFormat="1" ht="35.1" customHeight="1" x14ac:dyDescent="0.3">
      <c r="A1854" s="11" t="s">
        <v>2392</v>
      </c>
      <c r="B1854" s="11" t="s">
        <v>2438</v>
      </c>
      <c r="C1854" s="12" t="s">
        <v>2465</v>
      </c>
      <c r="D1854" s="83"/>
      <c r="E1854" s="69" t="str">
        <f>HYPERLINK("https://www.google.ru/search?q=C09UUW-5-1&amp;newwindow=1&amp;tbm=isch","Еще фото")</f>
        <v>Еще фото</v>
      </c>
      <c r="F1854" s="13"/>
      <c r="G1854" s="11" t="s">
        <v>2466</v>
      </c>
      <c r="H1854" s="11" t="s">
        <v>112</v>
      </c>
      <c r="I1854" s="14" t="s">
        <v>825</v>
      </c>
      <c r="J1854" s="14" t="s">
        <v>406</v>
      </c>
      <c r="K1854" s="15" t="s">
        <v>47</v>
      </c>
      <c r="L1854" s="86" t="s">
        <v>2467</v>
      </c>
      <c r="M1854" s="14"/>
      <c r="N1854" s="14" t="s">
        <v>49</v>
      </c>
      <c r="O1854" s="14"/>
      <c r="P1854" s="15" t="s">
        <v>2442</v>
      </c>
      <c r="Q1854" s="16">
        <v>2629</v>
      </c>
      <c r="R1854" s="17">
        <v>54.06</v>
      </c>
      <c r="S1854" s="18">
        <v>1388.9354999999998</v>
      </c>
      <c r="T1854" s="19" t="s">
        <v>117</v>
      </c>
      <c r="U1854" s="20" t="s">
        <v>2404</v>
      </c>
      <c r="V1854" s="25" t="s">
        <v>828</v>
      </c>
      <c r="W1854" s="21">
        <v>4</v>
      </c>
      <c r="X1854" s="22"/>
    </row>
    <row r="1855" spans="1:24" s="1" customFormat="1" ht="35.1" customHeight="1" x14ac:dyDescent="0.3">
      <c r="A1855" s="23" t="s">
        <v>2392</v>
      </c>
      <c r="B1855" s="23" t="s">
        <v>2438</v>
      </c>
      <c r="C1855" s="12" t="s">
        <v>2465</v>
      </c>
      <c r="D1855" s="84"/>
      <c r="E1855" s="69" t="str">
        <f>HYPERLINK("https://www.google.ru/search?q=C09UUW-5-1&amp;newwindow=1&amp;tbm=isch","Еще фото")</f>
        <v>Еще фото</v>
      </c>
      <c r="F1855" s="13"/>
      <c r="G1855" s="23" t="s">
        <v>2466</v>
      </c>
      <c r="H1855" s="23" t="s">
        <v>112</v>
      </c>
      <c r="I1855" s="23" t="s">
        <v>825</v>
      </c>
      <c r="J1855" s="14" t="s">
        <v>406</v>
      </c>
      <c r="K1855" s="15" t="s">
        <v>47</v>
      </c>
      <c r="L1855" s="87"/>
      <c r="M1855" s="14"/>
      <c r="N1855" s="14" t="s">
        <v>49</v>
      </c>
      <c r="O1855" s="14"/>
      <c r="P1855" s="15" t="s">
        <v>2442</v>
      </c>
      <c r="Q1855" s="16">
        <v>2629</v>
      </c>
      <c r="R1855" s="17">
        <v>54.06</v>
      </c>
      <c r="S1855" s="18">
        <v>1388.9354999999998</v>
      </c>
      <c r="T1855" s="19" t="s">
        <v>117</v>
      </c>
      <c r="U1855" s="20" t="s">
        <v>2437</v>
      </c>
      <c r="V1855" s="25" t="s">
        <v>829</v>
      </c>
      <c r="W1855" s="21">
        <v>16</v>
      </c>
      <c r="X1855" s="22"/>
    </row>
    <row r="1856" spans="1:24" s="1" customFormat="1" ht="36.950000000000003" customHeight="1" x14ac:dyDescent="0.3">
      <c r="A1856" s="23" t="s">
        <v>2392</v>
      </c>
      <c r="B1856" s="23" t="s">
        <v>2438</v>
      </c>
      <c r="C1856" s="12" t="s">
        <v>2465</v>
      </c>
      <c r="D1856" s="85"/>
      <c r="E1856" s="69" t="str">
        <f>HYPERLINK("https://www.google.ru/search?q=C09UUW-5-1&amp;newwindow=1&amp;tbm=isch","Еще фото")</f>
        <v>Еще фото</v>
      </c>
      <c r="F1856" s="13"/>
      <c r="G1856" s="23" t="s">
        <v>2466</v>
      </c>
      <c r="H1856" s="23" t="s">
        <v>112</v>
      </c>
      <c r="I1856" s="23" t="s">
        <v>825</v>
      </c>
      <c r="J1856" s="14" t="s">
        <v>406</v>
      </c>
      <c r="K1856" s="15" t="s">
        <v>47</v>
      </c>
      <c r="L1856" s="88"/>
      <c r="M1856" s="14"/>
      <c r="N1856" s="14" t="s">
        <v>49</v>
      </c>
      <c r="O1856" s="14"/>
      <c r="P1856" s="15" t="s">
        <v>2442</v>
      </c>
      <c r="Q1856" s="16">
        <v>2629</v>
      </c>
      <c r="R1856" s="17">
        <v>54.06</v>
      </c>
      <c r="S1856" s="18">
        <v>1388.9354999999998</v>
      </c>
      <c r="T1856" s="19" t="s">
        <v>117</v>
      </c>
      <c r="U1856" s="20" t="s">
        <v>2410</v>
      </c>
      <c r="V1856" s="25" t="s">
        <v>830</v>
      </c>
      <c r="W1856" s="21">
        <v>9</v>
      </c>
      <c r="X1856" s="22"/>
    </row>
    <row r="1857" spans="1:24" s="1" customFormat="1" ht="35.1" customHeight="1" x14ac:dyDescent="0.3">
      <c r="A1857" s="11" t="s">
        <v>2392</v>
      </c>
      <c r="B1857" s="11" t="s">
        <v>2438</v>
      </c>
      <c r="C1857" s="12" t="s">
        <v>2468</v>
      </c>
      <c r="D1857" s="83"/>
      <c r="E1857" s="69" t="str">
        <f>HYPERLINK("https://www.google.ru/search?q=C09UUW-S3&amp;newwindow=1&amp;tbm=isch","Еще фото")</f>
        <v>Еще фото</v>
      </c>
      <c r="F1857" s="13"/>
      <c r="G1857" s="11" t="s">
        <v>2466</v>
      </c>
      <c r="H1857" s="11" t="s">
        <v>112</v>
      </c>
      <c r="I1857" s="14" t="s">
        <v>825</v>
      </c>
      <c r="J1857" s="14" t="s">
        <v>406</v>
      </c>
      <c r="K1857" s="15" t="s">
        <v>47</v>
      </c>
      <c r="L1857" s="86" t="s">
        <v>2469</v>
      </c>
      <c r="M1857" s="14"/>
      <c r="N1857" s="14" t="s">
        <v>265</v>
      </c>
      <c r="O1857" s="14"/>
      <c r="P1857" s="15" t="s">
        <v>2470</v>
      </c>
      <c r="Q1857" s="16">
        <v>2629</v>
      </c>
      <c r="R1857" s="17">
        <v>54.06</v>
      </c>
      <c r="S1857" s="18">
        <v>1388.9354999999998</v>
      </c>
      <c r="T1857" s="19" t="s">
        <v>117</v>
      </c>
      <c r="U1857" s="20" t="s">
        <v>2404</v>
      </c>
      <c r="V1857" s="25" t="s">
        <v>828</v>
      </c>
      <c r="W1857" s="21">
        <v>7</v>
      </c>
      <c r="X1857" s="22"/>
    </row>
    <row r="1858" spans="1:24" s="1" customFormat="1" ht="35.1" customHeight="1" x14ac:dyDescent="0.3">
      <c r="A1858" s="23" t="s">
        <v>2392</v>
      </c>
      <c r="B1858" s="23" t="s">
        <v>2438</v>
      </c>
      <c r="C1858" s="12" t="s">
        <v>2468</v>
      </c>
      <c r="D1858" s="84"/>
      <c r="E1858" s="69" t="str">
        <f>HYPERLINK("https://www.google.ru/search?q=C09UUW-S3&amp;newwindow=1&amp;tbm=isch","Еще фото")</f>
        <v>Еще фото</v>
      </c>
      <c r="F1858" s="13"/>
      <c r="G1858" s="23" t="s">
        <v>2466</v>
      </c>
      <c r="H1858" s="23" t="s">
        <v>112</v>
      </c>
      <c r="I1858" s="23" t="s">
        <v>825</v>
      </c>
      <c r="J1858" s="14" t="s">
        <v>406</v>
      </c>
      <c r="K1858" s="15" t="s">
        <v>47</v>
      </c>
      <c r="L1858" s="87"/>
      <c r="M1858" s="14"/>
      <c r="N1858" s="14" t="s">
        <v>265</v>
      </c>
      <c r="O1858" s="14"/>
      <c r="P1858" s="15" t="s">
        <v>2470</v>
      </c>
      <c r="Q1858" s="16">
        <v>2629</v>
      </c>
      <c r="R1858" s="17">
        <v>54.06</v>
      </c>
      <c r="S1858" s="18">
        <v>1388.9354999999998</v>
      </c>
      <c r="T1858" s="19" t="s">
        <v>117</v>
      </c>
      <c r="U1858" s="20" t="s">
        <v>2437</v>
      </c>
      <c r="V1858" s="25" t="s">
        <v>829</v>
      </c>
      <c r="W1858" s="21">
        <v>6</v>
      </c>
      <c r="X1858" s="22"/>
    </row>
    <row r="1859" spans="1:24" s="1" customFormat="1" ht="36.950000000000003" customHeight="1" x14ac:dyDescent="0.3">
      <c r="A1859" s="23" t="s">
        <v>2392</v>
      </c>
      <c r="B1859" s="23" t="s">
        <v>2438</v>
      </c>
      <c r="C1859" s="12" t="s">
        <v>2468</v>
      </c>
      <c r="D1859" s="85"/>
      <c r="E1859" s="69" t="str">
        <f>HYPERLINK("https://www.google.ru/search?q=C09UUW-S3&amp;newwindow=1&amp;tbm=isch","Еще фото")</f>
        <v>Еще фото</v>
      </c>
      <c r="F1859" s="13"/>
      <c r="G1859" s="23" t="s">
        <v>2466</v>
      </c>
      <c r="H1859" s="23" t="s">
        <v>112</v>
      </c>
      <c r="I1859" s="23" t="s">
        <v>825</v>
      </c>
      <c r="J1859" s="14" t="s">
        <v>406</v>
      </c>
      <c r="K1859" s="15" t="s">
        <v>47</v>
      </c>
      <c r="L1859" s="88"/>
      <c r="M1859" s="14"/>
      <c r="N1859" s="14" t="s">
        <v>265</v>
      </c>
      <c r="O1859" s="14"/>
      <c r="P1859" s="15" t="s">
        <v>2470</v>
      </c>
      <c r="Q1859" s="16">
        <v>2629</v>
      </c>
      <c r="R1859" s="17">
        <v>54.06</v>
      </c>
      <c r="S1859" s="18">
        <v>1388.9354999999998</v>
      </c>
      <c r="T1859" s="19" t="s">
        <v>117</v>
      </c>
      <c r="U1859" s="20" t="s">
        <v>2410</v>
      </c>
      <c r="V1859" s="25" t="s">
        <v>830</v>
      </c>
      <c r="W1859" s="21">
        <v>2</v>
      </c>
      <c r="X1859" s="22"/>
    </row>
    <row r="1860" spans="1:24" s="1" customFormat="1" ht="51.95" customHeight="1" x14ac:dyDescent="0.3">
      <c r="A1860" s="11" t="s">
        <v>2392</v>
      </c>
      <c r="B1860" s="11" t="s">
        <v>2438</v>
      </c>
      <c r="C1860" s="12" t="s">
        <v>2471</v>
      </c>
      <c r="D1860" s="89"/>
      <c r="E1860" s="69" t="str">
        <f>HYPERLINK("https://www.google.ru/search?q=C0UUW-0-1&amp;newwindow=1&amp;tbm=isch","Еще фото")</f>
        <v>Еще фото</v>
      </c>
      <c r="F1860" s="13"/>
      <c r="G1860" s="11" t="s">
        <v>2466</v>
      </c>
      <c r="H1860" s="11" t="s">
        <v>112</v>
      </c>
      <c r="I1860" s="14" t="s">
        <v>825</v>
      </c>
      <c r="J1860" s="14" t="s">
        <v>406</v>
      </c>
      <c r="K1860" s="15" t="s">
        <v>47</v>
      </c>
      <c r="L1860" s="86" t="s">
        <v>2472</v>
      </c>
      <c r="M1860" s="14"/>
      <c r="N1860" s="14" t="s">
        <v>89</v>
      </c>
      <c r="O1860" s="14"/>
      <c r="P1860" s="15" t="s">
        <v>2442</v>
      </c>
      <c r="Q1860" s="16">
        <v>2629</v>
      </c>
      <c r="R1860" s="17">
        <v>54.06</v>
      </c>
      <c r="S1860" s="18">
        <v>1388.9354999999998</v>
      </c>
      <c r="T1860" s="19" t="s">
        <v>117</v>
      </c>
      <c r="U1860" s="20" t="s">
        <v>2437</v>
      </c>
      <c r="V1860" s="25" t="s">
        <v>829</v>
      </c>
      <c r="W1860" s="21">
        <v>16</v>
      </c>
      <c r="X1860" s="22"/>
    </row>
    <row r="1861" spans="1:24" s="1" customFormat="1" ht="60.95" customHeight="1" x14ac:dyDescent="0.3">
      <c r="A1861" s="23" t="s">
        <v>2392</v>
      </c>
      <c r="B1861" s="23" t="s">
        <v>2438</v>
      </c>
      <c r="C1861" s="12" t="s">
        <v>2471</v>
      </c>
      <c r="D1861" s="90"/>
      <c r="E1861" s="69" t="str">
        <f>HYPERLINK("https://www.google.ru/search?q=C0UUW-0-1&amp;newwindow=1&amp;tbm=isch","Еще фото")</f>
        <v>Еще фото</v>
      </c>
      <c r="F1861" s="13"/>
      <c r="G1861" s="23" t="s">
        <v>2466</v>
      </c>
      <c r="H1861" s="23" t="s">
        <v>112</v>
      </c>
      <c r="I1861" s="23" t="s">
        <v>825</v>
      </c>
      <c r="J1861" s="14" t="s">
        <v>406</v>
      </c>
      <c r="K1861" s="15" t="s">
        <v>47</v>
      </c>
      <c r="L1861" s="88"/>
      <c r="M1861" s="14"/>
      <c r="N1861" s="14" t="s">
        <v>89</v>
      </c>
      <c r="O1861" s="14"/>
      <c r="P1861" s="15" t="s">
        <v>2442</v>
      </c>
      <c r="Q1861" s="16">
        <v>2629</v>
      </c>
      <c r="R1861" s="17">
        <v>54.06</v>
      </c>
      <c r="S1861" s="18">
        <v>1388.9354999999998</v>
      </c>
      <c r="T1861" s="19" t="s">
        <v>117</v>
      </c>
      <c r="U1861" s="20" t="s">
        <v>2410</v>
      </c>
      <c r="V1861" s="25" t="s">
        <v>830</v>
      </c>
      <c r="W1861" s="21">
        <v>9</v>
      </c>
      <c r="X1861" s="22"/>
    </row>
    <row r="1862" spans="1:24" s="1" customFormat="1" ht="51.95" customHeight="1" x14ac:dyDescent="0.3">
      <c r="A1862" s="11" t="s">
        <v>2392</v>
      </c>
      <c r="B1862" s="11" t="s">
        <v>2438</v>
      </c>
      <c r="C1862" s="12" t="s">
        <v>2473</v>
      </c>
      <c r="D1862" s="89"/>
      <c r="E1862" s="69" t="str">
        <f>HYPERLINK("https://www.google.ru/search?q=C0UUW-5-1&amp;newwindow=1&amp;tbm=isch","Еще фото")</f>
        <v>Еще фото</v>
      </c>
      <c r="F1862" s="13"/>
      <c r="G1862" s="11" t="s">
        <v>2474</v>
      </c>
      <c r="H1862" s="11" t="s">
        <v>112</v>
      </c>
      <c r="I1862" s="14" t="s">
        <v>825</v>
      </c>
      <c r="J1862" s="14" t="s">
        <v>29</v>
      </c>
      <c r="K1862" s="15" t="s">
        <v>47</v>
      </c>
      <c r="L1862" s="86" t="s">
        <v>2475</v>
      </c>
      <c r="M1862" s="14"/>
      <c r="N1862" s="14" t="s">
        <v>49</v>
      </c>
      <c r="O1862" s="14"/>
      <c r="P1862" s="15" t="s">
        <v>2442</v>
      </c>
      <c r="Q1862" s="16">
        <v>2629</v>
      </c>
      <c r="R1862" s="17">
        <v>54.06</v>
      </c>
      <c r="S1862" s="18">
        <v>1388.9354999999998</v>
      </c>
      <c r="T1862" s="19" t="s">
        <v>117</v>
      </c>
      <c r="U1862" s="20" t="s">
        <v>2404</v>
      </c>
      <c r="V1862" s="25" t="s">
        <v>828</v>
      </c>
      <c r="W1862" s="21">
        <v>6</v>
      </c>
      <c r="X1862" s="22"/>
    </row>
    <row r="1863" spans="1:24" s="1" customFormat="1" ht="60.95" customHeight="1" x14ac:dyDescent="0.3">
      <c r="A1863" s="23" t="s">
        <v>2392</v>
      </c>
      <c r="B1863" s="23" t="s">
        <v>2438</v>
      </c>
      <c r="C1863" s="12" t="s">
        <v>2473</v>
      </c>
      <c r="D1863" s="90"/>
      <c r="E1863" s="69" t="str">
        <f>HYPERLINK("https://www.google.ru/search?q=C0UUW-5-1&amp;newwindow=1&amp;tbm=isch","Еще фото")</f>
        <v>Еще фото</v>
      </c>
      <c r="F1863" s="13"/>
      <c r="G1863" s="23" t="s">
        <v>2474</v>
      </c>
      <c r="H1863" s="23" t="s">
        <v>112</v>
      </c>
      <c r="I1863" s="23" t="s">
        <v>825</v>
      </c>
      <c r="J1863" s="14" t="s">
        <v>29</v>
      </c>
      <c r="K1863" s="15" t="s">
        <v>47</v>
      </c>
      <c r="L1863" s="88"/>
      <c r="M1863" s="14"/>
      <c r="N1863" s="14" t="s">
        <v>49</v>
      </c>
      <c r="O1863" s="14"/>
      <c r="P1863" s="15" t="s">
        <v>2442</v>
      </c>
      <c r="Q1863" s="16">
        <v>2629</v>
      </c>
      <c r="R1863" s="17">
        <v>54.06</v>
      </c>
      <c r="S1863" s="18">
        <v>1388.9354999999998</v>
      </c>
      <c r="T1863" s="19" t="s">
        <v>117</v>
      </c>
      <c r="U1863" s="20" t="s">
        <v>2437</v>
      </c>
      <c r="V1863" s="25" t="s">
        <v>829</v>
      </c>
      <c r="W1863" s="21">
        <v>19</v>
      </c>
      <c r="X1863" s="22"/>
    </row>
    <row r="1864" spans="1:24" s="1" customFormat="1" ht="35.1" customHeight="1" x14ac:dyDescent="0.3">
      <c r="A1864" s="11" t="s">
        <v>2392</v>
      </c>
      <c r="B1864" s="11" t="s">
        <v>2438</v>
      </c>
      <c r="C1864" s="12" t="s">
        <v>2476</v>
      </c>
      <c r="D1864" s="83"/>
      <c r="E1864" s="69" t="str">
        <f>HYPERLINK("https://www.google.ru/search?q=C0UUW-S3&amp;newwindow=1&amp;tbm=isch","Еще фото")</f>
        <v>Еще фото</v>
      </c>
      <c r="F1864" s="13"/>
      <c r="G1864" s="11" t="s">
        <v>2466</v>
      </c>
      <c r="H1864" s="11" t="s">
        <v>112</v>
      </c>
      <c r="I1864" s="14" t="s">
        <v>825</v>
      </c>
      <c r="J1864" s="14" t="s">
        <v>406</v>
      </c>
      <c r="K1864" s="15" t="s">
        <v>47</v>
      </c>
      <c r="L1864" s="86" t="s">
        <v>2472</v>
      </c>
      <c r="M1864" s="14"/>
      <c r="N1864" s="14" t="s">
        <v>265</v>
      </c>
      <c r="O1864" s="14"/>
      <c r="P1864" s="15" t="s">
        <v>2442</v>
      </c>
      <c r="Q1864" s="16">
        <v>2629</v>
      </c>
      <c r="R1864" s="17">
        <v>54.06</v>
      </c>
      <c r="S1864" s="18">
        <v>1388.9354999999998</v>
      </c>
      <c r="T1864" s="19" t="s">
        <v>117</v>
      </c>
      <c r="U1864" s="20" t="s">
        <v>2404</v>
      </c>
      <c r="V1864" s="25" t="s">
        <v>828</v>
      </c>
      <c r="W1864" s="21">
        <v>6</v>
      </c>
      <c r="X1864" s="22"/>
    </row>
    <row r="1865" spans="1:24" s="1" customFormat="1" ht="35.1" customHeight="1" x14ac:dyDescent="0.3">
      <c r="A1865" s="23" t="s">
        <v>2392</v>
      </c>
      <c r="B1865" s="23" t="s">
        <v>2438</v>
      </c>
      <c r="C1865" s="12" t="s">
        <v>2476</v>
      </c>
      <c r="D1865" s="84"/>
      <c r="E1865" s="69" t="str">
        <f>HYPERLINK("https://www.google.ru/search?q=C0UUW-S3&amp;newwindow=1&amp;tbm=isch","Еще фото")</f>
        <v>Еще фото</v>
      </c>
      <c r="F1865" s="13"/>
      <c r="G1865" s="23" t="s">
        <v>2466</v>
      </c>
      <c r="H1865" s="23" t="s">
        <v>112</v>
      </c>
      <c r="I1865" s="23" t="s">
        <v>825</v>
      </c>
      <c r="J1865" s="14" t="s">
        <v>406</v>
      </c>
      <c r="K1865" s="15" t="s">
        <v>47</v>
      </c>
      <c r="L1865" s="87"/>
      <c r="M1865" s="14"/>
      <c r="N1865" s="14" t="s">
        <v>265</v>
      </c>
      <c r="O1865" s="14"/>
      <c r="P1865" s="15" t="s">
        <v>2442</v>
      </c>
      <c r="Q1865" s="16">
        <v>2629</v>
      </c>
      <c r="R1865" s="17">
        <v>54.06</v>
      </c>
      <c r="S1865" s="18">
        <v>1388.9354999999998</v>
      </c>
      <c r="T1865" s="19" t="s">
        <v>117</v>
      </c>
      <c r="U1865" s="20" t="s">
        <v>2437</v>
      </c>
      <c r="V1865" s="25" t="s">
        <v>829</v>
      </c>
      <c r="W1865" s="21">
        <v>12</v>
      </c>
      <c r="X1865" s="22"/>
    </row>
    <row r="1866" spans="1:24" s="1" customFormat="1" ht="36.950000000000003" customHeight="1" x14ac:dyDescent="0.3">
      <c r="A1866" s="23" t="s">
        <v>2392</v>
      </c>
      <c r="B1866" s="23" t="s">
        <v>2438</v>
      </c>
      <c r="C1866" s="12" t="s">
        <v>2476</v>
      </c>
      <c r="D1866" s="85"/>
      <c r="E1866" s="69" t="str">
        <f>HYPERLINK("https://www.google.ru/search?q=C0UUW-S3&amp;newwindow=1&amp;tbm=isch","Еще фото")</f>
        <v>Еще фото</v>
      </c>
      <c r="F1866" s="13"/>
      <c r="G1866" s="23" t="s">
        <v>2466</v>
      </c>
      <c r="H1866" s="23" t="s">
        <v>112</v>
      </c>
      <c r="I1866" s="23" t="s">
        <v>825</v>
      </c>
      <c r="J1866" s="14" t="s">
        <v>406</v>
      </c>
      <c r="K1866" s="15" t="s">
        <v>47</v>
      </c>
      <c r="L1866" s="88"/>
      <c r="M1866" s="14"/>
      <c r="N1866" s="14" t="s">
        <v>265</v>
      </c>
      <c r="O1866" s="14"/>
      <c r="P1866" s="15" t="s">
        <v>2442</v>
      </c>
      <c r="Q1866" s="16">
        <v>2629</v>
      </c>
      <c r="R1866" s="17">
        <v>54.06</v>
      </c>
      <c r="S1866" s="18">
        <v>1388.9354999999998</v>
      </c>
      <c r="T1866" s="19" t="s">
        <v>117</v>
      </c>
      <c r="U1866" s="20" t="s">
        <v>2410</v>
      </c>
      <c r="V1866" s="25" t="s">
        <v>830</v>
      </c>
      <c r="W1866" s="21">
        <v>4</v>
      </c>
      <c r="X1866" s="22"/>
    </row>
    <row r="1867" spans="1:24" s="1" customFormat="1" ht="51.95" customHeight="1" x14ac:dyDescent="0.3">
      <c r="A1867" s="11" t="s">
        <v>2392</v>
      </c>
      <c r="B1867" s="11" t="s">
        <v>2477</v>
      </c>
      <c r="C1867" s="12" t="s">
        <v>2478</v>
      </c>
      <c r="D1867" s="89"/>
      <c r="E1867" s="69" t="str">
        <f>HYPERLINK("https://www.google.ru/search?q=C3UUM-0-1&amp;newwindow=1&amp;tbm=isch","Еще фото")</f>
        <v>Еще фото</v>
      </c>
      <c r="F1867" s="13"/>
      <c r="G1867" s="11" t="s">
        <v>2479</v>
      </c>
      <c r="H1867" s="11" t="s">
        <v>112</v>
      </c>
      <c r="I1867" s="14" t="s">
        <v>825</v>
      </c>
      <c r="J1867" s="14" t="s">
        <v>406</v>
      </c>
      <c r="K1867" s="15" t="s">
        <v>55</v>
      </c>
      <c r="L1867" s="86" t="s">
        <v>2480</v>
      </c>
      <c r="M1867" s="14"/>
      <c r="N1867" s="14" t="s">
        <v>89</v>
      </c>
      <c r="O1867" s="14"/>
      <c r="P1867" s="15" t="s">
        <v>2481</v>
      </c>
      <c r="Q1867" s="16">
        <v>4519</v>
      </c>
      <c r="R1867" s="17">
        <v>54.02</v>
      </c>
      <c r="S1867" s="18">
        <v>2389.4354999999996</v>
      </c>
      <c r="T1867" s="19" t="s">
        <v>117</v>
      </c>
      <c r="U1867" s="20" t="s">
        <v>2410</v>
      </c>
      <c r="V1867" s="25" t="s">
        <v>65</v>
      </c>
      <c r="W1867" s="21">
        <v>4</v>
      </c>
      <c r="X1867" s="22"/>
    </row>
    <row r="1868" spans="1:24" s="1" customFormat="1" ht="60.95" customHeight="1" x14ac:dyDescent="0.3">
      <c r="A1868" s="23" t="s">
        <v>2392</v>
      </c>
      <c r="B1868" s="23" t="s">
        <v>2477</v>
      </c>
      <c r="C1868" s="12" t="s">
        <v>2478</v>
      </c>
      <c r="D1868" s="90"/>
      <c r="E1868" s="69" t="str">
        <f>HYPERLINK("https://www.google.ru/search?q=C3UUM-0-1&amp;newwindow=1&amp;tbm=isch","Еще фото")</f>
        <v>Еще фото</v>
      </c>
      <c r="F1868" s="13"/>
      <c r="G1868" s="23" t="s">
        <v>2479</v>
      </c>
      <c r="H1868" s="23" t="s">
        <v>112</v>
      </c>
      <c r="I1868" s="23" t="s">
        <v>825</v>
      </c>
      <c r="J1868" s="14" t="s">
        <v>406</v>
      </c>
      <c r="K1868" s="15" t="s">
        <v>55</v>
      </c>
      <c r="L1868" s="88"/>
      <c r="M1868" s="14"/>
      <c r="N1868" s="14" t="s">
        <v>89</v>
      </c>
      <c r="O1868" s="14"/>
      <c r="P1868" s="15" t="s">
        <v>2481</v>
      </c>
      <c r="Q1868" s="16">
        <v>4519</v>
      </c>
      <c r="R1868" s="17">
        <v>54.02</v>
      </c>
      <c r="S1868" s="18">
        <v>2389.4354999999996</v>
      </c>
      <c r="T1868" s="19" t="s">
        <v>117</v>
      </c>
      <c r="U1868" s="20" t="s">
        <v>2444</v>
      </c>
      <c r="V1868" s="25" t="s">
        <v>2445</v>
      </c>
      <c r="W1868" s="21">
        <v>3</v>
      </c>
      <c r="X1868" s="22"/>
    </row>
    <row r="1869" spans="1:24" s="1" customFormat="1" ht="108" customHeight="1" x14ac:dyDescent="0.3">
      <c r="A1869" s="11" t="s">
        <v>2392</v>
      </c>
      <c r="B1869" s="11" t="s">
        <v>2477</v>
      </c>
      <c r="C1869" s="12" t="s">
        <v>2482</v>
      </c>
      <c r="D1869" s="24"/>
      <c r="E1869" s="69" t="str">
        <f>HYPERLINK("https://www.google.ru/search?q=C3UUW-0&amp;newwindow=1&amp;tbm=isch","Еще фото")</f>
        <v>Еще фото</v>
      </c>
      <c r="F1869" s="13"/>
      <c r="G1869" s="11" t="s">
        <v>2479</v>
      </c>
      <c r="H1869" s="11" t="s">
        <v>112</v>
      </c>
      <c r="I1869" s="14" t="s">
        <v>825</v>
      </c>
      <c r="J1869" s="14" t="s">
        <v>406</v>
      </c>
      <c r="K1869" s="15" t="s">
        <v>47</v>
      </c>
      <c r="L1869" s="14" t="s">
        <v>2483</v>
      </c>
      <c r="M1869" s="14"/>
      <c r="N1869" s="14" t="s">
        <v>89</v>
      </c>
      <c r="O1869" s="14"/>
      <c r="P1869" s="15" t="s">
        <v>2481</v>
      </c>
      <c r="Q1869" s="16">
        <v>4519</v>
      </c>
      <c r="R1869" s="17">
        <v>54.02</v>
      </c>
      <c r="S1869" s="18">
        <v>2389.4354999999996</v>
      </c>
      <c r="T1869" s="19" t="s">
        <v>117</v>
      </c>
      <c r="U1869" s="20" t="s">
        <v>2437</v>
      </c>
      <c r="V1869" s="25" t="s">
        <v>829</v>
      </c>
      <c r="W1869" s="21">
        <v>13</v>
      </c>
      <c r="X1869" s="22"/>
    </row>
    <row r="1870" spans="1:24" s="1" customFormat="1" ht="108" customHeight="1" x14ac:dyDescent="0.3">
      <c r="A1870" s="11" t="s">
        <v>2392</v>
      </c>
      <c r="B1870" s="11" t="s">
        <v>2477</v>
      </c>
      <c r="C1870" s="12" t="s">
        <v>2484</v>
      </c>
      <c r="D1870" s="24"/>
      <c r="E1870" s="69" t="str">
        <f>HYPERLINK("https://www.google.ru/search?q=C3UUW-0-1&amp;newwindow=1&amp;tbm=isch","Еще фото")</f>
        <v>Еще фото</v>
      </c>
      <c r="F1870" s="13"/>
      <c r="G1870" s="11" t="s">
        <v>2479</v>
      </c>
      <c r="H1870" s="11" t="s">
        <v>112</v>
      </c>
      <c r="I1870" s="14" t="s">
        <v>825</v>
      </c>
      <c r="J1870" s="14" t="s">
        <v>406</v>
      </c>
      <c r="K1870" s="15" t="s">
        <v>47</v>
      </c>
      <c r="L1870" s="14" t="s">
        <v>2483</v>
      </c>
      <c r="M1870" s="14"/>
      <c r="N1870" s="14" t="s">
        <v>89</v>
      </c>
      <c r="O1870" s="14"/>
      <c r="P1870" s="15" t="s">
        <v>2481</v>
      </c>
      <c r="Q1870" s="16">
        <v>4519</v>
      </c>
      <c r="R1870" s="17">
        <v>54.02</v>
      </c>
      <c r="S1870" s="18">
        <v>2389.4354999999996</v>
      </c>
      <c r="T1870" s="19" t="s">
        <v>117</v>
      </c>
      <c r="U1870" s="20" t="s">
        <v>2410</v>
      </c>
      <c r="V1870" s="25" t="s">
        <v>830</v>
      </c>
      <c r="W1870" s="21">
        <v>27</v>
      </c>
      <c r="X1870" s="22"/>
    </row>
    <row r="1871" spans="1:24" s="1" customFormat="1" ht="51.95" customHeight="1" x14ac:dyDescent="0.3">
      <c r="A1871" s="11" t="s">
        <v>2392</v>
      </c>
      <c r="B1871" s="11" t="s">
        <v>2438</v>
      </c>
      <c r="C1871" s="12" t="s">
        <v>2485</v>
      </c>
      <c r="D1871" s="89"/>
      <c r="E1871" s="69" t="str">
        <f>HYPERLINK("https://www.google.ru/search?q=C0UUM-5-1&amp;newwindow=1&amp;tbm=isch","Еще фото")</f>
        <v>Еще фото</v>
      </c>
      <c r="F1871" s="13"/>
      <c r="G1871" s="11" t="s">
        <v>2440</v>
      </c>
      <c r="H1871" s="11" t="s">
        <v>112</v>
      </c>
      <c r="I1871" s="14" t="s">
        <v>825</v>
      </c>
      <c r="J1871" s="14" t="s">
        <v>29</v>
      </c>
      <c r="K1871" s="15" t="s">
        <v>55</v>
      </c>
      <c r="L1871" s="86" t="s">
        <v>2475</v>
      </c>
      <c r="M1871" s="14"/>
      <c r="N1871" s="14" t="s">
        <v>49</v>
      </c>
      <c r="O1871" s="14"/>
      <c r="P1871" s="15" t="s">
        <v>2442</v>
      </c>
      <c r="Q1871" s="16">
        <v>2699</v>
      </c>
      <c r="R1871" s="17">
        <v>53.03</v>
      </c>
      <c r="S1871" s="18">
        <v>1457.9354999999998</v>
      </c>
      <c r="T1871" s="19" t="s">
        <v>117</v>
      </c>
      <c r="U1871" s="20" t="s">
        <v>2437</v>
      </c>
      <c r="V1871" s="25" t="s">
        <v>2443</v>
      </c>
      <c r="W1871" s="21">
        <v>8</v>
      </c>
      <c r="X1871" s="22"/>
    </row>
    <row r="1872" spans="1:24" s="1" customFormat="1" ht="60.95" customHeight="1" x14ac:dyDescent="0.3">
      <c r="A1872" s="23" t="s">
        <v>2392</v>
      </c>
      <c r="B1872" s="23" t="s">
        <v>2438</v>
      </c>
      <c r="C1872" s="12" t="s">
        <v>2485</v>
      </c>
      <c r="D1872" s="90"/>
      <c r="E1872" s="69" t="str">
        <f>HYPERLINK("https://www.google.ru/search?q=C0UUM-5-1&amp;newwindow=1&amp;tbm=isch","Еще фото")</f>
        <v>Еще фото</v>
      </c>
      <c r="F1872" s="13"/>
      <c r="G1872" s="23" t="s">
        <v>2440</v>
      </c>
      <c r="H1872" s="23" t="s">
        <v>112</v>
      </c>
      <c r="I1872" s="23" t="s">
        <v>825</v>
      </c>
      <c r="J1872" s="14" t="s">
        <v>29</v>
      </c>
      <c r="K1872" s="15" t="s">
        <v>55</v>
      </c>
      <c r="L1872" s="88"/>
      <c r="M1872" s="14"/>
      <c r="N1872" s="14" t="s">
        <v>49</v>
      </c>
      <c r="O1872" s="14"/>
      <c r="P1872" s="15" t="s">
        <v>2442</v>
      </c>
      <c r="Q1872" s="16">
        <v>2699</v>
      </c>
      <c r="R1872" s="17">
        <v>53.03</v>
      </c>
      <c r="S1872" s="18">
        <v>1457.9354999999998</v>
      </c>
      <c r="T1872" s="19" t="s">
        <v>117</v>
      </c>
      <c r="U1872" s="20" t="s">
        <v>2444</v>
      </c>
      <c r="V1872" s="25" t="s">
        <v>2445</v>
      </c>
      <c r="W1872" s="21">
        <v>9</v>
      </c>
      <c r="X1872" s="22"/>
    </row>
    <row r="1873" spans="1:24" s="1" customFormat="1" ht="35.1" customHeight="1" x14ac:dyDescent="0.3">
      <c r="A1873" s="11" t="s">
        <v>2392</v>
      </c>
      <c r="B1873" s="11" t="s">
        <v>2486</v>
      </c>
      <c r="C1873" s="12" t="s">
        <v>2487</v>
      </c>
      <c r="D1873" s="83"/>
      <c r="E1873" s="69" t="str">
        <f>HYPERLINK("https://www.google.ru/search?q=C125M-0&amp;newwindow=1&amp;tbm=isch","Еще фото")</f>
        <v>Еще фото</v>
      </c>
      <c r="F1873" s="13"/>
      <c r="G1873" s="11" t="s">
        <v>824</v>
      </c>
      <c r="H1873" s="11" t="s">
        <v>112</v>
      </c>
      <c r="I1873" s="14" t="s">
        <v>825</v>
      </c>
      <c r="J1873" s="14" t="s">
        <v>406</v>
      </c>
      <c r="K1873" s="15" t="s">
        <v>55</v>
      </c>
      <c r="L1873" s="86" t="s">
        <v>2488</v>
      </c>
      <c r="M1873" s="14"/>
      <c r="N1873" s="14" t="s">
        <v>89</v>
      </c>
      <c r="O1873" s="14"/>
      <c r="P1873" s="15" t="s">
        <v>2470</v>
      </c>
      <c r="Q1873" s="16">
        <v>6309</v>
      </c>
      <c r="R1873" s="17">
        <v>52.33</v>
      </c>
      <c r="S1873" s="18">
        <v>3458.9354999999996</v>
      </c>
      <c r="T1873" s="19" t="s">
        <v>117</v>
      </c>
      <c r="U1873" s="20" t="s">
        <v>2437</v>
      </c>
      <c r="V1873" s="25" t="s">
        <v>2443</v>
      </c>
      <c r="W1873" s="21">
        <v>22</v>
      </c>
      <c r="X1873" s="22"/>
    </row>
    <row r="1874" spans="1:24" s="1" customFormat="1" ht="35.1" customHeight="1" x14ac:dyDescent="0.3">
      <c r="A1874" s="23" t="s">
        <v>2392</v>
      </c>
      <c r="B1874" s="23" t="s">
        <v>2486</v>
      </c>
      <c r="C1874" s="12" t="s">
        <v>2487</v>
      </c>
      <c r="D1874" s="84"/>
      <c r="E1874" s="69" t="str">
        <f>HYPERLINK("https://www.google.ru/search?q=C125M-0&amp;newwindow=1&amp;tbm=isch","Еще фото")</f>
        <v>Еще фото</v>
      </c>
      <c r="F1874" s="13"/>
      <c r="G1874" s="23" t="s">
        <v>824</v>
      </c>
      <c r="H1874" s="23" t="s">
        <v>112</v>
      </c>
      <c r="I1874" s="23" t="s">
        <v>825</v>
      </c>
      <c r="J1874" s="14" t="s">
        <v>406</v>
      </c>
      <c r="K1874" s="15" t="s">
        <v>55</v>
      </c>
      <c r="L1874" s="87"/>
      <c r="M1874" s="14"/>
      <c r="N1874" s="14" t="s">
        <v>89</v>
      </c>
      <c r="O1874" s="14"/>
      <c r="P1874" s="15" t="s">
        <v>2470</v>
      </c>
      <c r="Q1874" s="16">
        <v>6309</v>
      </c>
      <c r="R1874" s="17">
        <v>52.33</v>
      </c>
      <c r="S1874" s="18">
        <v>3458.9354999999996</v>
      </c>
      <c r="T1874" s="19" t="s">
        <v>117</v>
      </c>
      <c r="U1874" s="20" t="s">
        <v>2410</v>
      </c>
      <c r="V1874" s="25" t="s">
        <v>65</v>
      </c>
      <c r="W1874" s="21">
        <v>13</v>
      </c>
      <c r="X1874" s="22"/>
    </row>
    <row r="1875" spans="1:24" s="1" customFormat="1" ht="36.950000000000003" customHeight="1" x14ac:dyDescent="0.3">
      <c r="A1875" s="23" t="s">
        <v>2392</v>
      </c>
      <c r="B1875" s="23" t="s">
        <v>2486</v>
      </c>
      <c r="C1875" s="12" t="s">
        <v>2487</v>
      </c>
      <c r="D1875" s="85"/>
      <c r="E1875" s="69" t="str">
        <f>HYPERLINK("https://www.google.ru/search?q=C125M-0&amp;newwindow=1&amp;tbm=isch","Еще фото")</f>
        <v>Еще фото</v>
      </c>
      <c r="F1875" s="13"/>
      <c r="G1875" s="23" t="s">
        <v>824</v>
      </c>
      <c r="H1875" s="23" t="s">
        <v>112</v>
      </c>
      <c r="I1875" s="23" t="s">
        <v>825</v>
      </c>
      <c r="J1875" s="14" t="s">
        <v>406</v>
      </c>
      <c r="K1875" s="15" t="s">
        <v>55</v>
      </c>
      <c r="L1875" s="88"/>
      <c r="M1875" s="14"/>
      <c r="N1875" s="14" t="s">
        <v>89</v>
      </c>
      <c r="O1875" s="14"/>
      <c r="P1875" s="15" t="s">
        <v>2470</v>
      </c>
      <c r="Q1875" s="16">
        <v>6309</v>
      </c>
      <c r="R1875" s="17">
        <v>52.33</v>
      </c>
      <c r="S1875" s="18">
        <v>3458.9354999999996</v>
      </c>
      <c r="T1875" s="19" t="s">
        <v>117</v>
      </c>
      <c r="U1875" s="20" t="s">
        <v>2444</v>
      </c>
      <c r="V1875" s="25" t="s">
        <v>2445</v>
      </c>
      <c r="W1875" s="21">
        <v>7</v>
      </c>
      <c r="X1875" s="22"/>
    </row>
    <row r="1876" spans="1:24" s="1" customFormat="1" ht="35.1" customHeight="1" x14ac:dyDescent="0.3">
      <c r="A1876" s="11" t="s">
        <v>2392</v>
      </c>
      <c r="B1876" s="11" t="s">
        <v>2489</v>
      </c>
      <c r="C1876" s="12" t="s">
        <v>2490</v>
      </c>
      <c r="D1876" s="83"/>
      <c r="E1876" s="69" t="str">
        <f>HYPERLINK("https://www.google.ru/search?q=C125RM-5&amp;newwindow=1&amp;tbm=isch","Еще фото")</f>
        <v>Еще фото</v>
      </c>
      <c r="F1876" s="13"/>
      <c r="G1876" s="11" t="s">
        <v>2491</v>
      </c>
      <c r="H1876" s="11" t="s">
        <v>112</v>
      </c>
      <c r="I1876" s="14" t="s">
        <v>825</v>
      </c>
      <c r="J1876" s="14" t="s">
        <v>406</v>
      </c>
      <c r="K1876" s="15" t="s">
        <v>55</v>
      </c>
      <c r="L1876" s="86"/>
      <c r="M1876" s="14"/>
      <c r="N1876" s="14" t="s">
        <v>49</v>
      </c>
      <c r="O1876" s="14"/>
      <c r="P1876" s="15" t="s">
        <v>2470</v>
      </c>
      <c r="Q1876" s="16">
        <v>6309</v>
      </c>
      <c r="R1876" s="17">
        <v>52.33</v>
      </c>
      <c r="S1876" s="18">
        <v>3458.9354999999996</v>
      </c>
      <c r="T1876" s="19" t="s">
        <v>117</v>
      </c>
      <c r="U1876" s="20" t="s">
        <v>2437</v>
      </c>
      <c r="V1876" s="25" t="s">
        <v>2443</v>
      </c>
      <c r="W1876" s="21">
        <v>14</v>
      </c>
      <c r="X1876" s="22"/>
    </row>
    <row r="1877" spans="1:24" s="1" customFormat="1" ht="35.1" customHeight="1" x14ac:dyDescent="0.3">
      <c r="A1877" s="23" t="s">
        <v>2392</v>
      </c>
      <c r="B1877" s="23" t="s">
        <v>2489</v>
      </c>
      <c r="C1877" s="12" t="s">
        <v>2490</v>
      </c>
      <c r="D1877" s="84"/>
      <c r="E1877" s="69" t="str">
        <f>HYPERLINK("https://www.google.ru/search?q=C125RM-5&amp;newwindow=1&amp;tbm=isch","Еще фото")</f>
        <v>Еще фото</v>
      </c>
      <c r="F1877" s="13"/>
      <c r="G1877" s="23" t="s">
        <v>2491</v>
      </c>
      <c r="H1877" s="23" t="s">
        <v>112</v>
      </c>
      <c r="I1877" s="23" t="s">
        <v>825</v>
      </c>
      <c r="J1877" s="14" t="s">
        <v>406</v>
      </c>
      <c r="K1877" s="15" t="s">
        <v>55</v>
      </c>
      <c r="L1877" s="87"/>
      <c r="M1877" s="14"/>
      <c r="N1877" s="14" t="s">
        <v>49</v>
      </c>
      <c r="O1877" s="14"/>
      <c r="P1877" s="15" t="s">
        <v>2470</v>
      </c>
      <c r="Q1877" s="16">
        <v>6309</v>
      </c>
      <c r="R1877" s="17">
        <v>52.33</v>
      </c>
      <c r="S1877" s="18">
        <v>3458.9354999999996</v>
      </c>
      <c r="T1877" s="19" t="s">
        <v>117</v>
      </c>
      <c r="U1877" s="20" t="s">
        <v>2410</v>
      </c>
      <c r="V1877" s="25" t="s">
        <v>65</v>
      </c>
      <c r="W1877" s="21">
        <v>12</v>
      </c>
      <c r="X1877" s="22"/>
    </row>
    <row r="1878" spans="1:24" s="1" customFormat="1" ht="36.950000000000003" customHeight="1" x14ac:dyDescent="0.3">
      <c r="A1878" s="23" t="s">
        <v>2392</v>
      </c>
      <c r="B1878" s="23" t="s">
        <v>2489</v>
      </c>
      <c r="C1878" s="12" t="s">
        <v>2490</v>
      </c>
      <c r="D1878" s="85"/>
      <c r="E1878" s="69" t="str">
        <f>HYPERLINK("https://www.google.ru/search?q=C125RM-5&amp;newwindow=1&amp;tbm=isch","Еще фото")</f>
        <v>Еще фото</v>
      </c>
      <c r="F1878" s="13"/>
      <c r="G1878" s="23" t="s">
        <v>2491</v>
      </c>
      <c r="H1878" s="23" t="s">
        <v>112</v>
      </c>
      <c r="I1878" s="23" t="s">
        <v>825</v>
      </c>
      <c r="J1878" s="14" t="s">
        <v>406</v>
      </c>
      <c r="K1878" s="15" t="s">
        <v>55</v>
      </c>
      <c r="L1878" s="88"/>
      <c r="M1878" s="14"/>
      <c r="N1878" s="14" t="s">
        <v>49</v>
      </c>
      <c r="O1878" s="14"/>
      <c r="P1878" s="15" t="s">
        <v>2470</v>
      </c>
      <c r="Q1878" s="16">
        <v>6309</v>
      </c>
      <c r="R1878" s="17">
        <v>52.33</v>
      </c>
      <c r="S1878" s="18">
        <v>3458.9354999999996</v>
      </c>
      <c r="T1878" s="19" t="s">
        <v>117</v>
      </c>
      <c r="U1878" s="20" t="s">
        <v>2444</v>
      </c>
      <c r="V1878" s="25" t="s">
        <v>2445</v>
      </c>
      <c r="W1878" s="21">
        <v>7</v>
      </c>
      <c r="X1878" s="22"/>
    </row>
    <row r="1879" spans="1:24" s="1" customFormat="1" ht="35.1" customHeight="1" x14ac:dyDescent="0.3">
      <c r="A1879" s="11" t="s">
        <v>2392</v>
      </c>
      <c r="B1879" s="11" t="s">
        <v>2489</v>
      </c>
      <c r="C1879" s="12" t="s">
        <v>2492</v>
      </c>
      <c r="D1879" s="83"/>
      <c r="E1879" s="69" t="str">
        <f>HYPERLINK("https://www.google.ru/search?q=C125RM-Y&amp;newwindow=1&amp;tbm=isch","Еще фото")</f>
        <v>Еще фото</v>
      </c>
      <c r="F1879" s="13"/>
      <c r="G1879" s="11" t="s">
        <v>2491</v>
      </c>
      <c r="H1879" s="11" t="s">
        <v>112</v>
      </c>
      <c r="I1879" s="14" t="s">
        <v>825</v>
      </c>
      <c r="J1879" s="14" t="s">
        <v>406</v>
      </c>
      <c r="K1879" s="15" t="s">
        <v>55</v>
      </c>
      <c r="L1879" s="86"/>
      <c r="M1879" s="14"/>
      <c r="N1879" s="14" t="s">
        <v>242</v>
      </c>
      <c r="O1879" s="14"/>
      <c r="P1879" s="15" t="s">
        <v>2470</v>
      </c>
      <c r="Q1879" s="16">
        <v>6309</v>
      </c>
      <c r="R1879" s="17">
        <v>52.33</v>
      </c>
      <c r="S1879" s="18">
        <v>3458.9354999999996</v>
      </c>
      <c r="T1879" s="19" t="s">
        <v>117</v>
      </c>
      <c r="U1879" s="20" t="s">
        <v>2437</v>
      </c>
      <c r="V1879" s="25" t="s">
        <v>2443</v>
      </c>
      <c r="W1879" s="21">
        <v>18</v>
      </c>
      <c r="X1879" s="22"/>
    </row>
    <row r="1880" spans="1:24" s="1" customFormat="1" ht="35.1" customHeight="1" x14ac:dyDescent="0.3">
      <c r="A1880" s="23" t="s">
        <v>2392</v>
      </c>
      <c r="B1880" s="23" t="s">
        <v>2489</v>
      </c>
      <c r="C1880" s="12" t="s">
        <v>2492</v>
      </c>
      <c r="D1880" s="84"/>
      <c r="E1880" s="69" t="str">
        <f>HYPERLINK("https://www.google.ru/search?q=C125RM-Y&amp;newwindow=1&amp;tbm=isch","Еще фото")</f>
        <v>Еще фото</v>
      </c>
      <c r="F1880" s="13"/>
      <c r="G1880" s="23" t="s">
        <v>2491</v>
      </c>
      <c r="H1880" s="23" t="s">
        <v>112</v>
      </c>
      <c r="I1880" s="23" t="s">
        <v>825</v>
      </c>
      <c r="J1880" s="14" t="s">
        <v>406</v>
      </c>
      <c r="K1880" s="15" t="s">
        <v>55</v>
      </c>
      <c r="L1880" s="87"/>
      <c r="M1880" s="14"/>
      <c r="N1880" s="14" t="s">
        <v>242</v>
      </c>
      <c r="O1880" s="14"/>
      <c r="P1880" s="15" t="s">
        <v>2470</v>
      </c>
      <c r="Q1880" s="16">
        <v>6309</v>
      </c>
      <c r="R1880" s="17">
        <v>52.33</v>
      </c>
      <c r="S1880" s="18">
        <v>3458.9354999999996</v>
      </c>
      <c r="T1880" s="19" t="s">
        <v>117</v>
      </c>
      <c r="U1880" s="20" t="s">
        <v>2410</v>
      </c>
      <c r="V1880" s="25" t="s">
        <v>65</v>
      </c>
      <c r="W1880" s="21">
        <v>17</v>
      </c>
      <c r="X1880" s="22"/>
    </row>
    <row r="1881" spans="1:24" s="1" customFormat="1" ht="36.950000000000003" customHeight="1" x14ac:dyDescent="0.3">
      <c r="A1881" s="23" t="s">
        <v>2392</v>
      </c>
      <c r="B1881" s="23" t="s">
        <v>2489</v>
      </c>
      <c r="C1881" s="12" t="s">
        <v>2492</v>
      </c>
      <c r="D1881" s="85"/>
      <c r="E1881" s="69" t="str">
        <f>HYPERLINK("https://www.google.ru/search?q=C125RM-Y&amp;newwindow=1&amp;tbm=isch","Еще фото")</f>
        <v>Еще фото</v>
      </c>
      <c r="F1881" s="13"/>
      <c r="G1881" s="23" t="s">
        <v>2491</v>
      </c>
      <c r="H1881" s="23" t="s">
        <v>112</v>
      </c>
      <c r="I1881" s="23" t="s">
        <v>825</v>
      </c>
      <c r="J1881" s="14" t="s">
        <v>406</v>
      </c>
      <c r="K1881" s="15" t="s">
        <v>55</v>
      </c>
      <c r="L1881" s="88"/>
      <c r="M1881" s="14"/>
      <c r="N1881" s="14" t="s">
        <v>242</v>
      </c>
      <c r="O1881" s="14"/>
      <c r="P1881" s="15" t="s">
        <v>2470</v>
      </c>
      <c r="Q1881" s="16">
        <v>6309</v>
      </c>
      <c r="R1881" s="17">
        <v>52.33</v>
      </c>
      <c r="S1881" s="18">
        <v>3458.9354999999996</v>
      </c>
      <c r="T1881" s="19" t="s">
        <v>117</v>
      </c>
      <c r="U1881" s="20" t="s">
        <v>2444</v>
      </c>
      <c r="V1881" s="25" t="s">
        <v>2445</v>
      </c>
      <c r="W1881" s="21">
        <v>7</v>
      </c>
      <c r="X1881" s="22"/>
    </row>
    <row r="1882" spans="1:24" s="1" customFormat="1" ht="35.1" customHeight="1" x14ac:dyDescent="0.3">
      <c r="A1882" s="11" t="s">
        <v>2392</v>
      </c>
      <c r="B1882" s="11" t="s">
        <v>2493</v>
      </c>
      <c r="C1882" s="12" t="s">
        <v>2494</v>
      </c>
      <c r="D1882" s="83"/>
      <c r="E1882" s="69" t="str">
        <f>HYPERLINK("https://www.google.ru/search?q=C125RW-Y&amp;newwindow=1&amp;tbm=isch","Еще фото")</f>
        <v>Еще фото</v>
      </c>
      <c r="F1882" s="13"/>
      <c r="G1882" s="11" t="s">
        <v>2491</v>
      </c>
      <c r="H1882" s="11" t="s">
        <v>112</v>
      </c>
      <c r="I1882" s="14" t="s">
        <v>825</v>
      </c>
      <c r="J1882" s="14" t="s">
        <v>406</v>
      </c>
      <c r="K1882" s="15" t="s">
        <v>47</v>
      </c>
      <c r="L1882" s="86" t="s">
        <v>2495</v>
      </c>
      <c r="M1882" s="14"/>
      <c r="N1882" s="14" t="s">
        <v>242</v>
      </c>
      <c r="O1882" s="14"/>
      <c r="P1882" s="15" t="s">
        <v>2470</v>
      </c>
      <c r="Q1882" s="16">
        <v>6309</v>
      </c>
      <c r="R1882" s="17">
        <v>52.33</v>
      </c>
      <c r="S1882" s="18">
        <v>3458.9354999999996</v>
      </c>
      <c r="T1882" s="19" t="s">
        <v>117</v>
      </c>
      <c r="U1882" s="20" t="s">
        <v>2404</v>
      </c>
      <c r="V1882" s="25" t="s">
        <v>828</v>
      </c>
      <c r="W1882" s="21">
        <v>6</v>
      </c>
      <c r="X1882" s="22"/>
    </row>
    <row r="1883" spans="1:24" s="1" customFormat="1" ht="35.1" customHeight="1" x14ac:dyDescent="0.3">
      <c r="A1883" s="23" t="s">
        <v>2392</v>
      </c>
      <c r="B1883" s="23" t="s">
        <v>2493</v>
      </c>
      <c r="C1883" s="12" t="s">
        <v>2494</v>
      </c>
      <c r="D1883" s="84"/>
      <c r="E1883" s="69" t="str">
        <f>HYPERLINK("https://www.google.ru/search?q=C125RW-Y&amp;newwindow=1&amp;tbm=isch","Еще фото")</f>
        <v>Еще фото</v>
      </c>
      <c r="F1883" s="13"/>
      <c r="G1883" s="23" t="s">
        <v>2491</v>
      </c>
      <c r="H1883" s="23" t="s">
        <v>112</v>
      </c>
      <c r="I1883" s="23" t="s">
        <v>825</v>
      </c>
      <c r="J1883" s="14" t="s">
        <v>406</v>
      </c>
      <c r="K1883" s="15" t="s">
        <v>47</v>
      </c>
      <c r="L1883" s="87"/>
      <c r="M1883" s="14"/>
      <c r="N1883" s="14" t="s">
        <v>242</v>
      </c>
      <c r="O1883" s="14"/>
      <c r="P1883" s="15" t="s">
        <v>2470</v>
      </c>
      <c r="Q1883" s="16">
        <v>6309</v>
      </c>
      <c r="R1883" s="17">
        <v>52.33</v>
      </c>
      <c r="S1883" s="18">
        <v>3458.9354999999996</v>
      </c>
      <c r="T1883" s="19" t="s">
        <v>117</v>
      </c>
      <c r="U1883" s="20" t="s">
        <v>2437</v>
      </c>
      <c r="V1883" s="25" t="s">
        <v>829</v>
      </c>
      <c r="W1883" s="21">
        <v>17</v>
      </c>
      <c r="X1883" s="22"/>
    </row>
    <row r="1884" spans="1:24" s="1" customFormat="1" ht="36.950000000000003" customHeight="1" x14ac:dyDescent="0.3">
      <c r="A1884" s="23" t="s">
        <v>2392</v>
      </c>
      <c r="B1884" s="23" t="s">
        <v>2493</v>
      </c>
      <c r="C1884" s="12" t="s">
        <v>2494</v>
      </c>
      <c r="D1884" s="85"/>
      <c r="E1884" s="69" t="str">
        <f>HYPERLINK("https://www.google.ru/search?q=C125RW-Y&amp;newwindow=1&amp;tbm=isch","Еще фото")</f>
        <v>Еще фото</v>
      </c>
      <c r="F1884" s="13"/>
      <c r="G1884" s="23" t="s">
        <v>2491</v>
      </c>
      <c r="H1884" s="23" t="s">
        <v>112</v>
      </c>
      <c r="I1884" s="23" t="s">
        <v>825</v>
      </c>
      <c r="J1884" s="14" t="s">
        <v>406</v>
      </c>
      <c r="K1884" s="15" t="s">
        <v>47</v>
      </c>
      <c r="L1884" s="88"/>
      <c r="M1884" s="14"/>
      <c r="N1884" s="14" t="s">
        <v>242</v>
      </c>
      <c r="O1884" s="14"/>
      <c r="P1884" s="15" t="s">
        <v>2470</v>
      </c>
      <c r="Q1884" s="16">
        <v>6309</v>
      </c>
      <c r="R1884" s="17">
        <v>52.33</v>
      </c>
      <c r="S1884" s="18">
        <v>3458.9354999999996</v>
      </c>
      <c r="T1884" s="19" t="s">
        <v>117</v>
      </c>
      <c r="U1884" s="20" t="s">
        <v>2410</v>
      </c>
      <c r="V1884" s="25" t="s">
        <v>830</v>
      </c>
      <c r="W1884" s="21">
        <v>11</v>
      </c>
      <c r="X1884" s="22"/>
    </row>
    <row r="1885" spans="1:24" s="1" customFormat="1" ht="35.1" customHeight="1" x14ac:dyDescent="0.3">
      <c r="A1885" s="11" t="s">
        <v>2392</v>
      </c>
      <c r="B1885" s="11" t="s">
        <v>2486</v>
      </c>
      <c r="C1885" s="12" t="s">
        <v>2496</v>
      </c>
      <c r="D1885" s="83"/>
      <c r="E1885" s="69" t="str">
        <f>HYPERLINK("https://www.google.ru/search?q=C125W-0&amp;newwindow=1&amp;tbm=isch","Еще фото")</f>
        <v>Еще фото</v>
      </c>
      <c r="F1885" s="13"/>
      <c r="G1885" s="11" t="s">
        <v>824</v>
      </c>
      <c r="H1885" s="11" t="s">
        <v>112</v>
      </c>
      <c r="I1885" s="14" t="s">
        <v>825</v>
      </c>
      <c r="J1885" s="14" t="s">
        <v>406</v>
      </c>
      <c r="K1885" s="15" t="s">
        <v>47</v>
      </c>
      <c r="L1885" s="86" t="s">
        <v>2497</v>
      </c>
      <c r="M1885" s="14"/>
      <c r="N1885" s="14" t="s">
        <v>89</v>
      </c>
      <c r="O1885" s="14"/>
      <c r="P1885" s="15" t="s">
        <v>2470</v>
      </c>
      <c r="Q1885" s="16">
        <v>6309</v>
      </c>
      <c r="R1885" s="17">
        <v>52.33</v>
      </c>
      <c r="S1885" s="18">
        <v>3458.9354999999996</v>
      </c>
      <c r="T1885" s="19" t="s">
        <v>117</v>
      </c>
      <c r="U1885" s="20" t="s">
        <v>2404</v>
      </c>
      <c r="V1885" s="25" t="s">
        <v>828</v>
      </c>
      <c r="W1885" s="21">
        <v>7</v>
      </c>
      <c r="X1885" s="22"/>
    </row>
    <row r="1886" spans="1:24" s="1" customFormat="1" ht="35.1" customHeight="1" x14ac:dyDescent="0.3">
      <c r="A1886" s="23" t="s">
        <v>2392</v>
      </c>
      <c r="B1886" s="23" t="s">
        <v>2486</v>
      </c>
      <c r="C1886" s="12" t="s">
        <v>2496</v>
      </c>
      <c r="D1886" s="84"/>
      <c r="E1886" s="69" t="str">
        <f>HYPERLINK("https://www.google.ru/search?q=C125W-0&amp;newwindow=1&amp;tbm=isch","Еще фото")</f>
        <v>Еще фото</v>
      </c>
      <c r="F1886" s="13"/>
      <c r="G1886" s="23" t="s">
        <v>824</v>
      </c>
      <c r="H1886" s="23" t="s">
        <v>112</v>
      </c>
      <c r="I1886" s="23" t="s">
        <v>825</v>
      </c>
      <c r="J1886" s="14" t="s">
        <v>406</v>
      </c>
      <c r="K1886" s="15" t="s">
        <v>47</v>
      </c>
      <c r="L1886" s="87"/>
      <c r="M1886" s="14"/>
      <c r="N1886" s="14" t="s">
        <v>89</v>
      </c>
      <c r="O1886" s="14"/>
      <c r="P1886" s="15" t="s">
        <v>2470</v>
      </c>
      <c r="Q1886" s="16">
        <v>6309</v>
      </c>
      <c r="R1886" s="17">
        <v>52.33</v>
      </c>
      <c r="S1886" s="18">
        <v>3458.9354999999996</v>
      </c>
      <c r="T1886" s="19" t="s">
        <v>117</v>
      </c>
      <c r="U1886" s="20" t="s">
        <v>2437</v>
      </c>
      <c r="V1886" s="25" t="s">
        <v>829</v>
      </c>
      <c r="W1886" s="21">
        <v>15</v>
      </c>
      <c r="X1886" s="22"/>
    </row>
    <row r="1887" spans="1:24" s="1" customFormat="1" ht="36.950000000000003" customHeight="1" x14ac:dyDescent="0.3">
      <c r="A1887" s="23" t="s">
        <v>2392</v>
      </c>
      <c r="B1887" s="23" t="s">
        <v>2486</v>
      </c>
      <c r="C1887" s="12" t="s">
        <v>2496</v>
      </c>
      <c r="D1887" s="85"/>
      <c r="E1887" s="69" t="str">
        <f>HYPERLINK("https://www.google.ru/search?q=C125W-0&amp;newwindow=1&amp;tbm=isch","Еще фото")</f>
        <v>Еще фото</v>
      </c>
      <c r="F1887" s="13"/>
      <c r="G1887" s="23" t="s">
        <v>824</v>
      </c>
      <c r="H1887" s="23" t="s">
        <v>112</v>
      </c>
      <c r="I1887" s="23" t="s">
        <v>825</v>
      </c>
      <c r="J1887" s="14" t="s">
        <v>406</v>
      </c>
      <c r="K1887" s="15" t="s">
        <v>47</v>
      </c>
      <c r="L1887" s="88"/>
      <c r="M1887" s="14"/>
      <c r="N1887" s="14" t="s">
        <v>89</v>
      </c>
      <c r="O1887" s="14"/>
      <c r="P1887" s="15" t="s">
        <v>2470</v>
      </c>
      <c r="Q1887" s="16">
        <v>6309</v>
      </c>
      <c r="R1887" s="17">
        <v>52.33</v>
      </c>
      <c r="S1887" s="18">
        <v>3458.9354999999996</v>
      </c>
      <c r="T1887" s="19" t="s">
        <v>117</v>
      </c>
      <c r="U1887" s="20" t="s">
        <v>2410</v>
      </c>
      <c r="V1887" s="25" t="s">
        <v>830</v>
      </c>
      <c r="W1887" s="21">
        <v>18</v>
      </c>
      <c r="X1887" s="22"/>
    </row>
    <row r="1888" spans="1:24" s="1" customFormat="1" ht="35.1" customHeight="1" x14ac:dyDescent="0.3">
      <c r="A1888" s="11" t="s">
        <v>2392</v>
      </c>
      <c r="B1888" s="11" t="s">
        <v>2498</v>
      </c>
      <c r="C1888" s="12" t="s">
        <v>2499</v>
      </c>
      <c r="D1888" s="83"/>
      <c r="E1888" s="69" t="str">
        <f>HYPERLINK("https://www.google.ru/search?q=C12EM-GY&amp;newwindow=1&amp;tbm=isch","Еще фото")</f>
        <v>Еще фото</v>
      </c>
      <c r="F1888" s="13"/>
      <c r="G1888" s="11" t="s">
        <v>824</v>
      </c>
      <c r="H1888" s="11" t="s">
        <v>112</v>
      </c>
      <c r="I1888" s="14" t="s">
        <v>825</v>
      </c>
      <c r="J1888" s="14" t="s">
        <v>406</v>
      </c>
      <c r="K1888" s="15" t="s">
        <v>55</v>
      </c>
      <c r="L1888" s="86" t="s">
        <v>2500</v>
      </c>
      <c r="M1888" s="14"/>
      <c r="N1888" s="14" t="s">
        <v>2501</v>
      </c>
      <c r="O1888" s="14"/>
      <c r="P1888" s="15" t="s">
        <v>2470</v>
      </c>
      <c r="Q1888" s="16">
        <v>6309</v>
      </c>
      <c r="R1888" s="17">
        <v>52.33</v>
      </c>
      <c r="S1888" s="18">
        <v>3458.9354999999996</v>
      </c>
      <c r="T1888" s="19" t="s">
        <v>117</v>
      </c>
      <c r="U1888" s="20" t="s">
        <v>2437</v>
      </c>
      <c r="V1888" s="25" t="s">
        <v>2443</v>
      </c>
      <c r="W1888" s="21">
        <v>18</v>
      </c>
      <c r="X1888" s="22"/>
    </row>
    <row r="1889" spans="1:24" s="1" customFormat="1" ht="35.1" customHeight="1" x14ac:dyDescent="0.3">
      <c r="A1889" s="23" t="s">
        <v>2392</v>
      </c>
      <c r="B1889" s="23" t="s">
        <v>2498</v>
      </c>
      <c r="C1889" s="12" t="s">
        <v>2499</v>
      </c>
      <c r="D1889" s="84"/>
      <c r="E1889" s="69" t="str">
        <f>HYPERLINK("https://www.google.ru/search?q=C12EM-GY&amp;newwindow=1&amp;tbm=isch","Еще фото")</f>
        <v>Еще фото</v>
      </c>
      <c r="F1889" s="13"/>
      <c r="G1889" s="23" t="s">
        <v>824</v>
      </c>
      <c r="H1889" s="23" t="s">
        <v>112</v>
      </c>
      <c r="I1889" s="23" t="s">
        <v>825</v>
      </c>
      <c r="J1889" s="14" t="s">
        <v>406</v>
      </c>
      <c r="K1889" s="15" t="s">
        <v>55</v>
      </c>
      <c r="L1889" s="87"/>
      <c r="M1889" s="14"/>
      <c r="N1889" s="14" t="s">
        <v>2501</v>
      </c>
      <c r="O1889" s="14"/>
      <c r="P1889" s="15" t="s">
        <v>2470</v>
      </c>
      <c r="Q1889" s="16">
        <v>6309</v>
      </c>
      <c r="R1889" s="17">
        <v>52.33</v>
      </c>
      <c r="S1889" s="18">
        <v>3458.9354999999996</v>
      </c>
      <c r="T1889" s="19" t="s">
        <v>117</v>
      </c>
      <c r="U1889" s="20" t="s">
        <v>2410</v>
      </c>
      <c r="V1889" s="25" t="s">
        <v>65</v>
      </c>
      <c r="W1889" s="21">
        <v>9</v>
      </c>
      <c r="X1889" s="22"/>
    </row>
    <row r="1890" spans="1:24" s="1" customFormat="1" ht="36.950000000000003" customHeight="1" x14ac:dyDescent="0.3">
      <c r="A1890" s="23" t="s">
        <v>2392</v>
      </c>
      <c r="B1890" s="23" t="s">
        <v>2498</v>
      </c>
      <c r="C1890" s="12" t="s">
        <v>2499</v>
      </c>
      <c r="D1890" s="85"/>
      <c r="E1890" s="69" t="str">
        <f>HYPERLINK("https://www.google.ru/search?q=C12EM-GY&amp;newwindow=1&amp;tbm=isch","Еще фото")</f>
        <v>Еще фото</v>
      </c>
      <c r="F1890" s="13"/>
      <c r="G1890" s="23" t="s">
        <v>824</v>
      </c>
      <c r="H1890" s="23" t="s">
        <v>112</v>
      </c>
      <c r="I1890" s="23" t="s">
        <v>825</v>
      </c>
      <c r="J1890" s="14" t="s">
        <v>406</v>
      </c>
      <c r="K1890" s="15" t="s">
        <v>55</v>
      </c>
      <c r="L1890" s="88"/>
      <c r="M1890" s="14"/>
      <c r="N1890" s="14" t="s">
        <v>2501</v>
      </c>
      <c r="O1890" s="14"/>
      <c r="P1890" s="15" t="s">
        <v>2470</v>
      </c>
      <c r="Q1890" s="16">
        <v>6309</v>
      </c>
      <c r="R1890" s="17">
        <v>52.33</v>
      </c>
      <c r="S1890" s="18">
        <v>3458.9354999999996</v>
      </c>
      <c r="T1890" s="19" t="s">
        <v>117</v>
      </c>
      <c r="U1890" s="20" t="s">
        <v>2444</v>
      </c>
      <c r="V1890" s="25" t="s">
        <v>2445</v>
      </c>
      <c r="W1890" s="21">
        <v>9</v>
      </c>
      <c r="X1890" s="22"/>
    </row>
    <row r="1891" spans="1:24" s="1" customFormat="1" ht="108" customHeight="1" x14ac:dyDescent="0.3">
      <c r="A1891" s="11" t="s">
        <v>2392</v>
      </c>
      <c r="B1891" s="11" t="s">
        <v>2502</v>
      </c>
      <c r="C1891" s="12" t="s">
        <v>2503</v>
      </c>
      <c r="D1891" s="24"/>
      <c r="E1891" s="69" t="str">
        <f>HYPERLINK("https://www.google.ru/search?q=C1UUM-0-1&amp;newwindow=1&amp;tbm=isch","Еще фото")</f>
        <v>Еще фото</v>
      </c>
      <c r="F1891" s="13"/>
      <c r="G1891" s="11" t="s">
        <v>2504</v>
      </c>
      <c r="H1891" s="11" t="s">
        <v>112</v>
      </c>
      <c r="I1891" s="14" t="s">
        <v>825</v>
      </c>
      <c r="J1891" s="14" t="s">
        <v>406</v>
      </c>
      <c r="K1891" s="15" t="s">
        <v>55</v>
      </c>
      <c r="L1891" s="14" t="s">
        <v>2505</v>
      </c>
      <c r="M1891" s="14"/>
      <c r="N1891" s="14" t="s">
        <v>89</v>
      </c>
      <c r="O1891" s="14"/>
      <c r="P1891" s="15" t="s">
        <v>2403</v>
      </c>
      <c r="Q1891" s="16">
        <v>6309</v>
      </c>
      <c r="R1891" s="17">
        <v>52.33</v>
      </c>
      <c r="S1891" s="18">
        <v>3458.9354999999996</v>
      </c>
      <c r="T1891" s="19" t="s">
        <v>117</v>
      </c>
      <c r="U1891" s="20" t="s">
        <v>2410</v>
      </c>
      <c r="V1891" s="25" t="s">
        <v>65</v>
      </c>
      <c r="W1891" s="21">
        <v>4</v>
      </c>
      <c r="X1891" s="22"/>
    </row>
    <row r="1892" spans="1:24" s="1" customFormat="1" ht="108" customHeight="1" x14ac:dyDescent="0.3">
      <c r="A1892" s="11" t="s">
        <v>2392</v>
      </c>
      <c r="B1892" s="11" t="s">
        <v>2477</v>
      </c>
      <c r="C1892" s="12" t="s">
        <v>2506</v>
      </c>
      <c r="D1892" s="24"/>
      <c r="E1892" s="69" t="str">
        <f>HYPERLINK("https://www.google.ru/search?q=C1UUM-5&amp;newwindow=1&amp;tbm=isch","Еще фото")</f>
        <v>Еще фото</v>
      </c>
      <c r="F1892" s="13"/>
      <c r="G1892" s="11" t="s">
        <v>2507</v>
      </c>
      <c r="H1892" s="11" t="s">
        <v>112</v>
      </c>
      <c r="I1892" s="14" t="s">
        <v>825</v>
      </c>
      <c r="J1892" s="14" t="s">
        <v>406</v>
      </c>
      <c r="K1892" s="15" t="s">
        <v>55</v>
      </c>
      <c r="L1892" s="14" t="s">
        <v>2505</v>
      </c>
      <c r="M1892" s="14"/>
      <c r="N1892" s="14" t="s">
        <v>49</v>
      </c>
      <c r="O1892" s="14"/>
      <c r="P1892" s="15" t="s">
        <v>2403</v>
      </c>
      <c r="Q1892" s="16">
        <v>6309</v>
      </c>
      <c r="R1892" s="17">
        <v>52.33</v>
      </c>
      <c r="S1892" s="18">
        <v>3458.9354999999996</v>
      </c>
      <c r="T1892" s="19" t="s">
        <v>117</v>
      </c>
      <c r="U1892" s="20" t="s">
        <v>2437</v>
      </c>
      <c r="V1892" s="25" t="s">
        <v>2443</v>
      </c>
      <c r="W1892" s="21">
        <v>5</v>
      </c>
      <c r="X1892" s="22"/>
    </row>
    <row r="1893" spans="1:24" s="1" customFormat="1" ht="108" customHeight="1" x14ac:dyDescent="0.3">
      <c r="A1893" s="11" t="s">
        <v>2392</v>
      </c>
      <c r="B1893" s="11" t="s">
        <v>2438</v>
      </c>
      <c r="C1893" s="12" t="s">
        <v>2508</v>
      </c>
      <c r="D1893" s="24"/>
      <c r="E1893" s="69" t="str">
        <f>HYPERLINK("https://www.google.ru/search?q=C1UUW-5&amp;newwindow=1&amp;tbm=isch","Еще фото")</f>
        <v>Еще фото</v>
      </c>
      <c r="F1893" s="13"/>
      <c r="G1893" s="11" t="s">
        <v>2504</v>
      </c>
      <c r="H1893" s="11" t="s">
        <v>112</v>
      </c>
      <c r="I1893" s="14" t="s">
        <v>825</v>
      </c>
      <c r="J1893" s="14" t="s">
        <v>29</v>
      </c>
      <c r="K1893" s="15" t="s">
        <v>47</v>
      </c>
      <c r="L1893" s="14" t="s">
        <v>2509</v>
      </c>
      <c r="M1893" s="14"/>
      <c r="N1893" s="14" t="s">
        <v>49</v>
      </c>
      <c r="O1893" s="14" t="s">
        <v>940</v>
      </c>
      <c r="P1893" s="15" t="s">
        <v>2403</v>
      </c>
      <c r="Q1893" s="16">
        <v>6309</v>
      </c>
      <c r="R1893" s="17">
        <v>52.33</v>
      </c>
      <c r="S1893" s="18">
        <v>3458.9354999999996</v>
      </c>
      <c r="T1893" s="19" t="s">
        <v>117</v>
      </c>
      <c r="U1893" s="20" t="s">
        <v>2437</v>
      </c>
      <c r="V1893" s="25" t="s">
        <v>829</v>
      </c>
      <c r="W1893" s="21">
        <v>11</v>
      </c>
      <c r="X1893" s="22"/>
    </row>
    <row r="1894" spans="1:24" s="1" customFormat="1" ht="51.95" customHeight="1" x14ac:dyDescent="0.3">
      <c r="A1894" s="11" t="s">
        <v>2392</v>
      </c>
      <c r="B1894" s="11" t="s">
        <v>2510</v>
      </c>
      <c r="C1894" s="12" t="s">
        <v>2511</v>
      </c>
      <c r="D1894" s="89"/>
      <c r="E1894" s="69" t="str">
        <f>HYPERLINK("https://www.google.ru/search?q=C1UUW-S3&amp;newwindow=1&amp;tbm=isch","Еще фото")</f>
        <v>Еще фото</v>
      </c>
      <c r="F1894" s="13"/>
      <c r="G1894" s="11" t="s">
        <v>2448</v>
      </c>
      <c r="H1894" s="11" t="s">
        <v>112</v>
      </c>
      <c r="I1894" s="14" t="s">
        <v>825</v>
      </c>
      <c r="J1894" s="14" t="s">
        <v>406</v>
      </c>
      <c r="K1894" s="15" t="s">
        <v>47</v>
      </c>
      <c r="L1894" s="86" t="s">
        <v>2512</v>
      </c>
      <c r="M1894" s="14"/>
      <c r="N1894" s="14" t="s">
        <v>70</v>
      </c>
      <c r="O1894" s="14"/>
      <c r="P1894" s="15" t="s">
        <v>2403</v>
      </c>
      <c r="Q1894" s="16">
        <v>6309</v>
      </c>
      <c r="R1894" s="17">
        <v>52.33</v>
      </c>
      <c r="S1894" s="18">
        <v>3458.9354999999996</v>
      </c>
      <c r="T1894" s="19" t="s">
        <v>117</v>
      </c>
      <c r="U1894" s="20" t="s">
        <v>2404</v>
      </c>
      <c r="V1894" s="25" t="s">
        <v>828</v>
      </c>
      <c r="W1894" s="21">
        <v>1</v>
      </c>
      <c r="X1894" s="22"/>
    </row>
    <row r="1895" spans="1:24" s="1" customFormat="1" ht="60.95" customHeight="1" x14ac:dyDescent="0.3">
      <c r="A1895" s="23" t="s">
        <v>2392</v>
      </c>
      <c r="B1895" s="23" t="s">
        <v>2510</v>
      </c>
      <c r="C1895" s="12" t="s">
        <v>2511</v>
      </c>
      <c r="D1895" s="90"/>
      <c r="E1895" s="69" t="str">
        <f>HYPERLINK("https://www.google.ru/search?q=C1UUW-S3&amp;newwindow=1&amp;tbm=isch","Еще фото")</f>
        <v>Еще фото</v>
      </c>
      <c r="F1895" s="13"/>
      <c r="G1895" s="23" t="s">
        <v>2448</v>
      </c>
      <c r="H1895" s="23" t="s">
        <v>112</v>
      </c>
      <c r="I1895" s="23" t="s">
        <v>825</v>
      </c>
      <c r="J1895" s="14" t="s">
        <v>406</v>
      </c>
      <c r="K1895" s="15" t="s">
        <v>47</v>
      </c>
      <c r="L1895" s="88"/>
      <c r="M1895" s="14"/>
      <c r="N1895" s="14" t="s">
        <v>70</v>
      </c>
      <c r="O1895" s="14"/>
      <c r="P1895" s="15" t="s">
        <v>2403</v>
      </c>
      <c r="Q1895" s="16">
        <v>6309</v>
      </c>
      <c r="R1895" s="17">
        <v>52.33</v>
      </c>
      <c r="S1895" s="18">
        <v>3458.9354999999996</v>
      </c>
      <c r="T1895" s="19" t="s">
        <v>117</v>
      </c>
      <c r="U1895" s="20" t="s">
        <v>2437</v>
      </c>
      <c r="V1895" s="25" t="s">
        <v>829</v>
      </c>
      <c r="W1895" s="21">
        <v>2</v>
      </c>
      <c r="X1895" s="22"/>
    </row>
    <row r="1896" spans="1:24" s="1" customFormat="1" ht="108" customHeight="1" x14ac:dyDescent="0.3">
      <c r="A1896" s="11" t="s">
        <v>2392</v>
      </c>
      <c r="B1896" s="11" t="s">
        <v>2432</v>
      </c>
      <c r="C1896" s="12" t="s">
        <v>2513</v>
      </c>
      <c r="D1896" s="24"/>
      <c r="E1896" s="69" t="str">
        <f>HYPERLINK("https://www.google.ru/search?q=C211M-Y&amp;newwindow=1&amp;tbm=isch","Еще фото")</f>
        <v>Еще фото</v>
      </c>
      <c r="F1896" s="13"/>
      <c r="G1896" s="11" t="s">
        <v>2514</v>
      </c>
      <c r="H1896" s="11" t="s">
        <v>112</v>
      </c>
      <c r="I1896" s="14" t="s">
        <v>825</v>
      </c>
      <c r="J1896" s="14" t="s">
        <v>406</v>
      </c>
      <c r="K1896" s="15" t="s">
        <v>55</v>
      </c>
      <c r="L1896" s="14" t="s">
        <v>2515</v>
      </c>
      <c r="M1896" s="14"/>
      <c r="N1896" s="14" t="s">
        <v>313</v>
      </c>
      <c r="O1896" s="14"/>
      <c r="P1896" s="15" t="s">
        <v>2516</v>
      </c>
      <c r="Q1896" s="16">
        <v>6309</v>
      </c>
      <c r="R1896" s="17">
        <v>52.33</v>
      </c>
      <c r="S1896" s="18">
        <v>3458.9354999999996</v>
      </c>
      <c r="T1896" s="19" t="s">
        <v>117</v>
      </c>
      <c r="U1896" s="20" t="s">
        <v>2437</v>
      </c>
      <c r="V1896" s="25" t="s">
        <v>2443</v>
      </c>
      <c r="W1896" s="21">
        <v>2</v>
      </c>
      <c r="X1896" s="22"/>
    </row>
    <row r="1897" spans="1:24" s="1" customFormat="1" ht="108" customHeight="1" x14ac:dyDescent="0.3">
      <c r="A1897" s="11" t="s">
        <v>2392</v>
      </c>
      <c r="B1897" s="11" t="s">
        <v>2517</v>
      </c>
      <c r="C1897" s="12" t="s">
        <v>2518</v>
      </c>
      <c r="D1897" s="24"/>
      <c r="E1897" s="69" t="str">
        <f>HYPERLINK("https://www.google.ru/search?q=C225W-20&amp;newwindow=1&amp;tbm=isch","Еще фото")</f>
        <v>Еще фото</v>
      </c>
      <c r="F1897" s="13"/>
      <c r="G1897" s="11" t="s">
        <v>2514</v>
      </c>
      <c r="H1897" s="11" t="s">
        <v>112</v>
      </c>
      <c r="I1897" s="14" t="s">
        <v>825</v>
      </c>
      <c r="J1897" s="14" t="s">
        <v>2396</v>
      </c>
      <c r="K1897" s="15" t="s">
        <v>47</v>
      </c>
      <c r="L1897" s="14" t="s">
        <v>2519</v>
      </c>
      <c r="M1897" s="14"/>
      <c r="N1897" s="14" t="s">
        <v>41</v>
      </c>
      <c r="O1897" s="14"/>
      <c r="P1897" s="15" t="s">
        <v>2520</v>
      </c>
      <c r="Q1897" s="16">
        <v>6309</v>
      </c>
      <c r="R1897" s="17">
        <v>52.33</v>
      </c>
      <c r="S1897" s="18">
        <v>3458.9354999999996</v>
      </c>
      <c r="T1897" s="19" t="s">
        <v>117</v>
      </c>
      <c r="U1897" s="20" t="s">
        <v>2437</v>
      </c>
      <c r="V1897" s="25" t="s">
        <v>829</v>
      </c>
      <c r="W1897" s="21">
        <v>3</v>
      </c>
      <c r="X1897" s="22"/>
    </row>
    <row r="1898" spans="1:24" s="1" customFormat="1" ht="51.95" customHeight="1" x14ac:dyDescent="0.3">
      <c r="A1898" s="11" t="s">
        <v>2392</v>
      </c>
      <c r="B1898" s="11" t="s">
        <v>2517</v>
      </c>
      <c r="C1898" s="12" t="s">
        <v>2521</v>
      </c>
      <c r="D1898" s="89"/>
      <c r="E1898" s="69" t="str">
        <f>HYPERLINK("https://www.google.ru/search?q=C225W-5Y&amp;newwindow=1&amp;tbm=isch","Еще фото")</f>
        <v>Еще фото</v>
      </c>
      <c r="F1898" s="13"/>
      <c r="G1898" s="11" t="s">
        <v>2514</v>
      </c>
      <c r="H1898" s="11" t="s">
        <v>112</v>
      </c>
      <c r="I1898" s="14" t="s">
        <v>825</v>
      </c>
      <c r="J1898" s="14" t="s">
        <v>2396</v>
      </c>
      <c r="K1898" s="15" t="s">
        <v>47</v>
      </c>
      <c r="L1898" s="86" t="s">
        <v>2519</v>
      </c>
      <c r="M1898" s="14"/>
      <c r="N1898" s="14" t="s">
        <v>49</v>
      </c>
      <c r="O1898" s="14"/>
      <c r="P1898" s="15" t="s">
        <v>2520</v>
      </c>
      <c r="Q1898" s="16">
        <v>6309</v>
      </c>
      <c r="R1898" s="17">
        <v>52.33</v>
      </c>
      <c r="S1898" s="18">
        <v>3458.9354999999996</v>
      </c>
      <c r="T1898" s="19" t="s">
        <v>117</v>
      </c>
      <c r="U1898" s="20" t="s">
        <v>2404</v>
      </c>
      <c r="V1898" s="25" t="s">
        <v>828</v>
      </c>
      <c r="W1898" s="21">
        <v>2</v>
      </c>
      <c r="X1898" s="22"/>
    </row>
    <row r="1899" spans="1:24" s="1" customFormat="1" ht="60.95" customHeight="1" x14ac:dyDescent="0.3">
      <c r="A1899" s="23" t="s">
        <v>2392</v>
      </c>
      <c r="B1899" s="23" t="s">
        <v>2517</v>
      </c>
      <c r="C1899" s="12" t="s">
        <v>2521</v>
      </c>
      <c r="D1899" s="90"/>
      <c r="E1899" s="69" t="str">
        <f>HYPERLINK("https://www.google.ru/search?q=C225W-5Y&amp;newwindow=1&amp;tbm=isch","Еще фото")</f>
        <v>Еще фото</v>
      </c>
      <c r="F1899" s="13"/>
      <c r="G1899" s="23" t="s">
        <v>2514</v>
      </c>
      <c r="H1899" s="23" t="s">
        <v>112</v>
      </c>
      <c r="I1899" s="23" t="s">
        <v>825</v>
      </c>
      <c r="J1899" s="14" t="s">
        <v>2396</v>
      </c>
      <c r="K1899" s="15" t="s">
        <v>47</v>
      </c>
      <c r="L1899" s="88"/>
      <c r="M1899" s="14"/>
      <c r="N1899" s="14" t="s">
        <v>49</v>
      </c>
      <c r="O1899" s="14"/>
      <c r="P1899" s="15" t="s">
        <v>2520</v>
      </c>
      <c r="Q1899" s="16">
        <v>6309</v>
      </c>
      <c r="R1899" s="17">
        <v>52.33</v>
      </c>
      <c r="S1899" s="18">
        <v>3458.9354999999996</v>
      </c>
      <c r="T1899" s="19" t="s">
        <v>117</v>
      </c>
      <c r="U1899" s="20" t="s">
        <v>2437</v>
      </c>
      <c r="V1899" s="25" t="s">
        <v>829</v>
      </c>
      <c r="W1899" s="21">
        <v>12</v>
      </c>
      <c r="X1899" s="22"/>
    </row>
    <row r="1900" spans="1:24" s="1" customFormat="1" ht="35.1" customHeight="1" x14ac:dyDescent="0.3">
      <c r="A1900" s="11" t="s">
        <v>2392</v>
      </c>
      <c r="B1900" s="11" t="s">
        <v>2522</v>
      </c>
      <c r="C1900" s="12" t="s">
        <v>2523</v>
      </c>
      <c r="D1900" s="83"/>
      <c r="E1900" s="69" t="str">
        <f>HYPERLINK("https://www.google.ru/search?q=C225W-YS&amp;newwindow=1&amp;tbm=isch","Еще фото")</f>
        <v>Еще фото</v>
      </c>
      <c r="F1900" s="13"/>
      <c r="G1900" s="11" t="s">
        <v>2491</v>
      </c>
      <c r="H1900" s="11" t="s">
        <v>112</v>
      </c>
      <c r="I1900" s="14" t="s">
        <v>825</v>
      </c>
      <c r="J1900" s="14" t="s">
        <v>2396</v>
      </c>
      <c r="K1900" s="15" t="s">
        <v>47</v>
      </c>
      <c r="L1900" s="86" t="s">
        <v>2519</v>
      </c>
      <c r="M1900" s="14"/>
      <c r="N1900" s="14" t="s">
        <v>242</v>
      </c>
      <c r="O1900" s="14"/>
      <c r="P1900" s="15" t="s">
        <v>2520</v>
      </c>
      <c r="Q1900" s="16">
        <v>6309</v>
      </c>
      <c r="R1900" s="17">
        <v>52.33</v>
      </c>
      <c r="S1900" s="18">
        <v>3458.9354999999996</v>
      </c>
      <c r="T1900" s="19" t="s">
        <v>117</v>
      </c>
      <c r="U1900" s="20" t="s">
        <v>2404</v>
      </c>
      <c r="V1900" s="25" t="s">
        <v>828</v>
      </c>
      <c r="W1900" s="21">
        <v>2</v>
      </c>
      <c r="X1900" s="22"/>
    </row>
    <row r="1901" spans="1:24" s="1" customFormat="1" ht="35.1" customHeight="1" x14ac:dyDescent="0.3">
      <c r="A1901" s="23" t="s">
        <v>2392</v>
      </c>
      <c r="B1901" s="23" t="s">
        <v>2522</v>
      </c>
      <c r="C1901" s="12" t="s">
        <v>2523</v>
      </c>
      <c r="D1901" s="84"/>
      <c r="E1901" s="69" t="str">
        <f>HYPERLINK("https://www.google.ru/search?q=C225W-YS&amp;newwindow=1&amp;tbm=isch","Еще фото")</f>
        <v>Еще фото</v>
      </c>
      <c r="F1901" s="13"/>
      <c r="G1901" s="23" t="s">
        <v>2491</v>
      </c>
      <c r="H1901" s="23" t="s">
        <v>112</v>
      </c>
      <c r="I1901" s="23" t="s">
        <v>825</v>
      </c>
      <c r="J1901" s="14" t="s">
        <v>2396</v>
      </c>
      <c r="K1901" s="15" t="s">
        <v>47</v>
      </c>
      <c r="L1901" s="87"/>
      <c r="M1901" s="14"/>
      <c r="N1901" s="14" t="s">
        <v>242</v>
      </c>
      <c r="O1901" s="14"/>
      <c r="P1901" s="15" t="s">
        <v>2520</v>
      </c>
      <c r="Q1901" s="16">
        <v>6309</v>
      </c>
      <c r="R1901" s="17">
        <v>52.33</v>
      </c>
      <c r="S1901" s="18">
        <v>3458.9354999999996</v>
      </c>
      <c r="T1901" s="19" t="s">
        <v>117</v>
      </c>
      <c r="U1901" s="20" t="s">
        <v>2437</v>
      </c>
      <c r="V1901" s="25" t="s">
        <v>829</v>
      </c>
      <c r="W1901" s="21">
        <v>3</v>
      </c>
      <c r="X1901" s="22"/>
    </row>
    <row r="1902" spans="1:24" s="1" customFormat="1" ht="36.950000000000003" customHeight="1" x14ac:dyDescent="0.3">
      <c r="A1902" s="23" t="s">
        <v>2392</v>
      </c>
      <c r="B1902" s="23" t="s">
        <v>2522</v>
      </c>
      <c r="C1902" s="12" t="s">
        <v>2523</v>
      </c>
      <c r="D1902" s="85"/>
      <c r="E1902" s="69" t="str">
        <f>HYPERLINK("https://www.google.ru/search?q=C225W-YS&amp;newwindow=1&amp;tbm=isch","Еще фото")</f>
        <v>Еще фото</v>
      </c>
      <c r="F1902" s="13"/>
      <c r="G1902" s="23" t="s">
        <v>2491</v>
      </c>
      <c r="H1902" s="23" t="s">
        <v>112</v>
      </c>
      <c r="I1902" s="23" t="s">
        <v>825</v>
      </c>
      <c r="J1902" s="14" t="s">
        <v>2396</v>
      </c>
      <c r="K1902" s="15" t="s">
        <v>47</v>
      </c>
      <c r="L1902" s="88"/>
      <c r="M1902" s="14"/>
      <c r="N1902" s="14" t="s">
        <v>242</v>
      </c>
      <c r="O1902" s="14"/>
      <c r="P1902" s="15" t="s">
        <v>2520</v>
      </c>
      <c r="Q1902" s="16">
        <v>6309</v>
      </c>
      <c r="R1902" s="17">
        <v>52.33</v>
      </c>
      <c r="S1902" s="18">
        <v>3458.9354999999996</v>
      </c>
      <c r="T1902" s="19" t="s">
        <v>117</v>
      </c>
      <c r="U1902" s="20" t="s">
        <v>2410</v>
      </c>
      <c r="V1902" s="25" t="s">
        <v>830</v>
      </c>
      <c r="W1902" s="21">
        <v>1</v>
      </c>
      <c r="X1902" s="22"/>
    </row>
    <row r="1903" spans="1:24" s="1" customFormat="1" ht="108" customHeight="1" x14ac:dyDescent="0.3">
      <c r="A1903" s="11" t="s">
        <v>2392</v>
      </c>
      <c r="B1903" s="11" t="s">
        <v>2517</v>
      </c>
      <c r="C1903" s="12" t="s">
        <v>2524</v>
      </c>
      <c r="D1903" s="24"/>
      <c r="E1903" s="69" t="str">
        <f>HYPERLINK("https://www.google.ru/search?q=C261W-DO&amp;newwindow=1&amp;tbm=isch","Еще фото")</f>
        <v>Еще фото</v>
      </c>
      <c r="F1903" s="13"/>
      <c r="G1903" s="11" t="s">
        <v>2514</v>
      </c>
      <c r="H1903" s="11" t="s">
        <v>112</v>
      </c>
      <c r="I1903" s="14" t="s">
        <v>825</v>
      </c>
      <c r="J1903" s="14" t="s">
        <v>2396</v>
      </c>
      <c r="K1903" s="15" t="s">
        <v>47</v>
      </c>
      <c r="L1903" s="14" t="s">
        <v>2525</v>
      </c>
      <c r="M1903" s="14"/>
      <c r="N1903" s="14" t="s">
        <v>2526</v>
      </c>
      <c r="O1903" s="14"/>
      <c r="P1903" s="15" t="s">
        <v>2527</v>
      </c>
      <c r="Q1903" s="16">
        <v>6309</v>
      </c>
      <c r="R1903" s="17">
        <v>52.33</v>
      </c>
      <c r="S1903" s="18">
        <v>3458.9354999999996</v>
      </c>
      <c r="T1903" s="19" t="s">
        <v>117</v>
      </c>
      <c r="U1903" s="20" t="s">
        <v>2437</v>
      </c>
      <c r="V1903" s="25" t="s">
        <v>829</v>
      </c>
      <c r="W1903" s="21">
        <v>6</v>
      </c>
      <c r="X1903" s="22"/>
    </row>
    <row r="1904" spans="1:24" s="1" customFormat="1" ht="35.1" customHeight="1" x14ac:dyDescent="0.3">
      <c r="A1904" s="11" t="s">
        <v>2392</v>
      </c>
      <c r="B1904" s="11" t="s">
        <v>2528</v>
      </c>
      <c r="C1904" s="12" t="s">
        <v>2529</v>
      </c>
      <c r="D1904" s="83"/>
      <c r="E1904" s="69" t="str">
        <f>HYPERLINK("https://www.google.ru/search?q=C105RW-Y&amp;newwindow=1&amp;tbm=isch","Еще фото")</f>
        <v>Еще фото</v>
      </c>
      <c r="F1904" s="13"/>
      <c r="G1904" s="11" t="s">
        <v>824</v>
      </c>
      <c r="H1904" s="11" t="s">
        <v>112</v>
      </c>
      <c r="I1904" s="14" t="s">
        <v>825</v>
      </c>
      <c r="J1904" s="14" t="s">
        <v>406</v>
      </c>
      <c r="K1904" s="15" t="s">
        <v>47</v>
      </c>
      <c r="L1904" s="86" t="s">
        <v>2530</v>
      </c>
      <c r="M1904" s="14"/>
      <c r="N1904" s="14" t="s">
        <v>242</v>
      </c>
      <c r="O1904" s="14"/>
      <c r="P1904" s="15" t="s">
        <v>2531</v>
      </c>
      <c r="Q1904" s="16">
        <v>2949</v>
      </c>
      <c r="R1904" s="17">
        <v>52.26</v>
      </c>
      <c r="S1904" s="18">
        <v>1618.9354999999998</v>
      </c>
      <c r="T1904" s="19" t="s">
        <v>117</v>
      </c>
      <c r="U1904" s="20" t="s">
        <v>2404</v>
      </c>
      <c r="V1904" s="25" t="s">
        <v>828</v>
      </c>
      <c r="W1904" s="21">
        <v>4</v>
      </c>
      <c r="X1904" s="22"/>
    </row>
    <row r="1905" spans="1:24" s="1" customFormat="1" ht="35.1" customHeight="1" x14ac:dyDescent="0.3">
      <c r="A1905" s="23" t="s">
        <v>2392</v>
      </c>
      <c r="B1905" s="23" t="s">
        <v>2528</v>
      </c>
      <c r="C1905" s="12" t="s">
        <v>2529</v>
      </c>
      <c r="D1905" s="84"/>
      <c r="E1905" s="69" t="str">
        <f>HYPERLINK("https://www.google.ru/search?q=C105RW-Y&amp;newwindow=1&amp;tbm=isch","Еще фото")</f>
        <v>Еще фото</v>
      </c>
      <c r="F1905" s="13"/>
      <c r="G1905" s="23" t="s">
        <v>824</v>
      </c>
      <c r="H1905" s="23" t="s">
        <v>112</v>
      </c>
      <c r="I1905" s="23" t="s">
        <v>825</v>
      </c>
      <c r="J1905" s="14" t="s">
        <v>406</v>
      </c>
      <c r="K1905" s="15" t="s">
        <v>47</v>
      </c>
      <c r="L1905" s="87"/>
      <c r="M1905" s="14"/>
      <c r="N1905" s="14" t="s">
        <v>242</v>
      </c>
      <c r="O1905" s="14"/>
      <c r="P1905" s="15" t="s">
        <v>2531</v>
      </c>
      <c r="Q1905" s="16">
        <v>2949</v>
      </c>
      <c r="R1905" s="17">
        <v>52.26</v>
      </c>
      <c r="S1905" s="18">
        <v>1618.9354999999998</v>
      </c>
      <c r="T1905" s="19" t="s">
        <v>117</v>
      </c>
      <c r="U1905" s="20" t="s">
        <v>2437</v>
      </c>
      <c r="V1905" s="25" t="s">
        <v>829</v>
      </c>
      <c r="W1905" s="21">
        <v>17</v>
      </c>
      <c r="X1905" s="22"/>
    </row>
    <row r="1906" spans="1:24" s="1" customFormat="1" ht="36.950000000000003" customHeight="1" x14ac:dyDescent="0.3">
      <c r="A1906" s="23" t="s">
        <v>2392</v>
      </c>
      <c r="B1906" s="23" t="s">
        <v>2528</v>
      </c>
      <c r="C1906" s="12" t="s">
        <v>2529</v>
      </c>
      <c r="D1906" s="85"/>
      <c r="E1906" s="69" t="str">
        <f>HYPERLINK("https://www.google.ru/search?q=C105RW-Y&amp;newwindow=1&amp;tbm=isch","Еще фото")</f>
        <v>Еще фото</v>
      </c>
      <c r="F1906" s="13"/>
      <c r="G1906" s="23" t="s">
        <v>824</v>
      </c>
      <c r="H1906" s="23" t="s">
        <v>112</v>
      </c>
      <c r="I1906" s="23" t="s">
        <v>825</v>
      </c>
      <c r="J1906" s="14" t="s">
        <v>406</v>
      </c>
      <c r="K1906" s="15" t="s">
        <v>47</v>
      </c>
      <c r="L1906" s="88"/>
      <c r="M1906" s="14"/>
      <c r="N1906" s="14" t="s">
        <v>242</v>
      </c>
      <c r="O1906" s="14"/>
      <c r="P1906" s="15" t="s">
        <v>2531</v>
      </c>
      <c r="Q1906" s="16">
        <v>2949</v>
      </c>
      <c r="R1906" s="17">
        <v>52.26</v>
      </c>
      <c r="S1906" s="18">
        <v>1618.9354999999998</v>
      </c>
      <c r="T1906" s="19" t="s">
        <v>117</v>
      </c>
      <c r="U1906" s="20" t="s">
        <v>2410</v>
      </c>
      <c r="V1906" s="25" t="s">
        <v>830</v>
      </c>
      <c r="W1906" s="21">
        <v>10</v>
      </c>
      <c r="X1906" s="22"/>
    </row>
    <row r="1907" spans="1:24" s="1" customFormat="1" ht="51.95" customHeight="1" x14ac:dyDescent="0.3">
      <c r="A1907" s="11" t="s">
        <v>2392</v>
      </c>
      <c r="B1907" s="11" t="s">
        <v>2532</v>
      </c>
      <c r="C1907" s="12" t="s">
        <v>2533</v>
      </c>
      <c r="D1907" s="89"/>
      <c r="E1907" s="69" t="str">
        <f>HYPERLINK("https://www.google.ru/search?q=C105W-0&amp;newwindow=1&amp;tbm=isch","Еще фото")</f>
        <v>Еще фото</v>
      </c>
      <c r="F1907" s="13"/>
      <c r="G1907" s="11" t="s">
        <v>824</v>
      </c>
      <c r="H1907" s="11" t="s">
        <v>112</v>
      </c>
      <c r="I1907" s="14" t="s">
        <v>825</v>
      </c>
      <c r="J1907" s="14" t="s">
        <v>406</v>
      </c>
      <c r="K1907" s="15" t="s">
        <v>47</v>
      </c>
      <c r="L1907" s="86" t="s">
        <v>2534</v>
      </c>
      <c r="M1907" s="14"/>
      <c r="N1907" s="14" t="s">
        <v>89</v>
      </c>
      <c r="O1907" s="14"/>
      <c r="P1907" s="15" t="s">
        <v>2531</v>
      </c>
      <c r="Q1907" s="16">
        <v>2949</v>
      </c>
      <c r="R1907" s="17">
        <v>52.26</v>
      </c>
      <c r="S1907" s="18">
        <v>1618.9354999999998</v>
      </c>
      <c r="T1907" s="19" t="s">
        <v>117</v>
      </c>
      <c r="U1907" s="20" t="s">
        <v>2404</v>
      </c>
      <c r="V1907" s="25" t="s">
        <v>828</v>
      </c>
      <c r="W1907" s="21">
        <v>16</v>
      </c>
      <c r="X1907" s="22"/>
    </row>
    <row r="1908" spans="1:24" s="1" customFormat="1" ht="60.95" customHeight="1" x14ac:dyDescent="0.3">
      <c r="A1908" s="23" t="s">
        <v>2392</v>
      </c>
      <c r="B1908" s="23" t="s">
        <v>2532</v>
      </c>
      <c r="C1908" s="12" t="s">
        <v>2533</v>
      </c>
      <c r="D1908" s="90"/>
      <c r="E1908" s="69" t="str">
        <f>HYPERLINK("https://www.google.ru/search?q=C105W-0&amp;newwindow=1&amp;tbm=isch","Еще фото")</f>
        <v>Еще фото</v>
      </c>
      <c r="F1908" s="13"/>
      <c r="G1908" s="23" t="s">
        <v>824</v>
      </c>
      <c r="H1908" s="23" t="s">
        <v>112</v>
      </c>
      <c r="I1908" s="23" t="s">
        <v>825</v>
      </c>
      <c r="J1908" s="14" t="s">
        <v>406</v>
      </c>
      <c r="K1908" s="15" t="s">
        <v>47</v>
      </c>
      <c r="L1908" s="88"/>
      <c r="M1908" s="14"/>
      <c r="N1908" s="14" t="s">
        <v>89</v>
      </c>
      <c r="O1908" s="14"/>
      <c r="P1908" s="15" t="s">
        <v>2531</v>
      </c>
      <c r="Q1908" s="16">
        <v>2949</v>
      </c>
      <c r="R1908" s="17">
        <v>52.26</v>
      </c>
      <c r="S1908" s="18">
        <v>1618.9354999999998</v>
      </c>
      <c r="T1908" s="19" t="s">
        <v>117</v>
      </c>
      <c r="U1908" s="20" t="s">
        <v>2437</v>
      </c>
      <c r="V1908" s="25" t="s">
        <v>829</v>
      </c>
      <c r="W1908" s="21">
        <v>19</v>
      </c>
      <c r="X1908" s="22"/>
    </row>
    <row r="1909" spans="1:24" s="1" customFormat="1" ht="35.1" customHeight="1" x14ac:dyDescent="0.3">
      <c r="A1909" s="11" t="s">
        <v>2392</v>
      </c>
      <c r="B1909" s="11" t="s">
        <v>2532</v>
      </c>
      <c r="C1909" s="12" t="s">
        <v>2535</v>
      </c>
      <c r="D1909" s="83"/>
      <c r="E1909" s="69" t="str">
        <f>HYPERLINK("https://www.google.ru/search?q=C105W-4&amp;newwindow=1&amp;tbm=isch","Еще фото")</f>
        <v>Еще фото</v>
      </c>
      <c r="F1909" s="13"/>
      <c r="G1909" s="11" t="s">
        <v>824</v>
      </c>
      <c r="H1909" s="11" t="s">
        <v>112</v>
      </c>
      <c r="I1909" s="14" t="s">
        <v>825</v>
      </c>
      <c r="J1909" s="14" t="s">
        <v>406</v>
      </c>
      <c r="K1909" s="15" t="s">
        <v>47</v>
      </c>
      <c r="L1909" s="86" t="s">
        <v>2534</v>
      </c>
      <c r="M1909" s="14"/>
      <c r="N1909" s="14" t="s">
        <v>275</v>
      </c>
      <c r="O1909" s="14"/>
      <c r="P1909" s="15" t="s">
        <v>2531</v>
      </c>
      <c r="Q1909" s="16">
        <v>2949</v>
      </c>
      <c r="R1909" s="17">
        <v>52.26</v>
      </c>
      <c r="S1909" s="18">
        <v>1618.9354999999998</v>
      </c>
      <c r="T1909" s="19" t="s">
        <v>117</v>
      </c>
      <c r="U1909" s="20" t="s">
        <v>2404</v>
      </c>
      <c r="V1909" s="25" t="s">
        <v>828</v>
      </c>
      <c r="W1909" s="21">
        <v>10</v>
      </c>
      <c r="X1909" s="22"/>
    </row>
    <row r="1910" spans="1:24" s="1" customFormat="1" ht="35.1" customHeight="1" x14ac:dyDescent="0.3">
      <c r="A1910" s="23" t="s">
        <v>2392</v>
      </c>
      <c r="B1910" s="23" t="s">
        <v>2532</v>
      </c>
      <c r="C1910" s="12" t="s">
        <v>2535</v>
      </c>
      <c r="D1910" s="84"/>
      <c r="E1910" s="69" t="str">
        <f>HYPERLINK("https://www.google.ru/search?q=C105W-4&amp;newwindow=1&amp;tbm=isch","Еще фото")</f>
        <v>Еще фото</v>
      </c>
      <c r="F1910" s="13"/>
      <c r="G1910" s="23" t="s">
        <v>824</v>
      </c>
      <c r="H1910" s="23" t="s">
        <v>112</v>
      </c>
      <c r="I1910" s="23" t="s">
        <v>825</v>
      </c>
      <c r="J1910" s="14" t="s">
        <v>406</v>
      </c>
      <c r="K1910" s="15" t="s">
        <v>47</v>
      </c>
      <c r="L1910" s="87"/>
      <c r="M1910" s="14"/>
      <c r="N1910" s="14" t="s">
        <v>275</v>
      </c>
      <c r="O1910" s="14"/>
      <c r="P1910" s="15" t="s">
        <v>2531</v>
      </c>
      <c r="Q1910" s="16">
        <v>2949</v>
      </c>
      <c r="R1910" s="17">
        <v>52.26</v>
      </c>
      <c r="S1910" s="18">
        <v>1618.9354999999998</v>
      </c>
      <c r="T1910" s="19" t="s">
        <v>117</v>
      </c>
      <c r="U1910" s="20" t="s">
        <v>2437</v>
      </c>
      <c r="V1910" s="25" t="s">
        <v>829</v>
      </c>
      <c r="W1910" s="21">
        <v>13</v>
      </c>
      <c r="X1910" s="22"/>
    </row>
    <row r="1911" spans="1:24" s="1" customFormat="1" ht="36.950000000000003" customHeight="1" x14ac:dyDescent="0.3">
      <c r="A1911" s="23" t="s">
        <v>2392</v>
      </c>
      <c r="B1911" s="23" t="s">
        <v>2532</v>
      </c>
      <c r="C1911" s="12" t="s">
        <v>2535</v>
      </c>
      <c r="D1911" s="85"/>
      <c r="E1911" s="69" t="str">
        <f>HYPERLINK("https://www.google.ru/search?q=C105W-4&amp;newwindow=1&amp;tbm=isch","Еще фото")</f>
        <v>Еще фото</v>
      </c>
      <c r="F1911" s="13"/>
      <c r="G1911" s="23" t="s">
        <v>824</v>
      </c>
      <c r="H1911" s="23" t="s">
        <v>112</v>
      </c>
      <c r="I1911" s="23" t="s">
        <v>825</v>
      </c>
      <c r="J1911" s="14" t="s">
        <v>406</v>
      </c>
      <c r="K1911" s="15" t="s">
        <v>47</v>
      </c>
      <c r="L1911" s="88"/>
      <c r="M1911" s="14"/>
      <c r="N1911" s="14" t="s">
        <v>275</v>
      </c>
      <c r="O1911" s="14"/>
      <c r="P1911" s="15" t="s">
        <v>2531</v>
      </c>
      <c r="Q1911" s="16">
        <v>2949</v>
      </c>
      <c r="R1911" s="17">
        <v>52.26</v>
      </c>
      <c r="S1911" s="18">
        <v>1618.9354999999998</v>
      </c>
      <c r="T1911" s="19" t="s">
        <v>117</v>
      </c>
      <c r="U1911" s="20" t="s">
        <v>2410</v>
      </c>
      <c r="V1911" s="25" t="s">
        <v>830</v>
      </c>
      <c r="W1911" s="21">
        <v>2</v>
      </c>
      <c r="X1911" s="22"/>
    </row>
    <row r="1912" spans="1:24" s="1" customFormat="1" ht="51.95" customHeight="1" x14ac:dyDescent="0.3">
      <c r="A1912" s="11" t="s">
        <v>2392</v>
      </c>
      <c r="B1912" s="11" t="s">
        <v>2532</v>
      </c>
      <c r="C1912" s="12" t="s">
        <v>2536</v>
      </c>
      <c r="D1912" s="89"/>
      <c r="E1912" s="69" t="str">
        <f>HYPERLINK("https://www.google.ru/search?q=C105W-5&amp;newwindow=1&amp;tbm=isch","Еще фото")</f>
        <v>Еще фото</v>
      </c>
      <c r="F1912" s="13"/>
      <c r="G1912" s="11" t="s">
        <v>824</v>
      </c>
      <c r="H1912" s="11" t="s">
        <v>112</v>
      </c>
      <c r="I1912" s="14" t="s">
        <v>825</v>
      </c>
      <c r="J1912" s="14" t="s">
        <v>406</v>
      </c>
      <c r="K1912" s="15" t="s">
        <v>47</v>
      </c>
      <c r="L1912" s="86" t="s">
        <v>2534</v>
      </c>
      <c r="M1912" s="14"/>
      <c r="N1912" s="14" t="s">
        <v>49</v>
      </c>
      <c r="O1912" s="14"/>
      <c r="P1912" s="15" t="s">
        <v>2531</v>
      </c>
      <c r="Q1912" s="16">
        <v>2949</v>
      </c>
      <c r="R1912" s="17">
        <v>52.26</v>
      </c>
      <c r="S1912" s="18">
        <v>1618.9354999999998</v>
      </c>
      <c r="T1912" s="19" t="s">
        <v>117</v>
      </c>
      <c r="U1912" s="20" t="s">
        <v>2404</v>
      </c>
      <c r="V1912" s="25" t="s">
        <v>828</v>
      </c>
      <c r="W1912" s="21">
        <v>8</v>
      </c>
      <c r="X1912" s="22"/>
    </row>
    <row r="1913" spans="1:24" s="1" customFormat="1" ht="60.95" customHeight="1" x14ac:dyDescent="0.3">
      <c r="A1913" s="23" t="s">
        <v>2392</v>
      </c>
      <c r="B1913" s="23" t="s">
        <v>2532</v>
      </c>
      <c r="C1913" s="12" t="s">
        <v>2536</v>
      </c>
      <c r="D1913" s="90"/>
      <c r="E1913" s="69" t="str">
        <f>HYPERLINK("https://www.google.ru/search?q=C105W-5&amp;newwindow=1&amp;tbm=isch","Еще фото")</f>
        <v>Еще фото</v>
      </c>
      <c r="F1913" s="13"/>
      <c r="G1913" s="23" t="s">
        <v>824</v>
      </c>
      <c r="H1913" s="23" t="s">
        <v>112</v>
      </c>
      <c r="I1913" s="23" t="s">
        <v>825</v>
      </c>
      <c r="J1913" s="14" t="s">
        <v>406</v>
      </c>
      <c r="K1913" s="15" t="s">
        <v>47</v>
      </c>
      <c r="L1913" s="88"/>
      <c r="M1913" s="14"/>
      <c r="N1913" s="14" t="s">
        <v>49</v>
      </c>
      <c r="O1913" s="14"/>
      <c r="P1913" s="15" t="s">
        <v>2531</v>
      </c>
      <c r="Q1913" s="16">
        <v>2949</v>
      </c>
      <c r="R1913" s="17">
        <v>52.26</v>
      </c>
      <c r="S1913" s="18">
        <v>1618.9354999999998</v>
      </c>
      <c r="T1913" s="19" t="s">
        <v>117</v>
      </c>
      <c r="U1913" s="20" t="s">
        <v>2437</v>
      </c>
      <c r="V1913" s="25" t="s">
        <v>829</v>
      </c>
      <c r="W1913" s="21">
        <v>4</v>
      </c>
      <c r="X1913" s="22"/>
    </row>
    <row r="1914" spans="1:24" s="1" customFormat="1" ht="51.95" customHeight="1" x14ac:dyDescent="0.3">
      <c r="A1914" s="11" t="s">
        <v>2392</v>
      </c>
      <c r="B1914" s="11" t="s">
        <v>2438</v>
      </c>
      <c r="C1914" s="12" t="s">
        <v>2537</v>
      </c>
      <c r="D1914" s="89"/>
      <c r="E1914" s="69" t="str">
        <f>HYPERLINK("https://www.google.ru/search?q=C2UUW-5&amp;newwindow=1&amp;tbm=isch","Еще фото")</f>
        <v>Еще фото</v>
      </c>
      <c r="F1914" s="13"/>
      <c r="G1914" s="11" t="s">
        <v>2538</v>
      </c>
      <c r="H1914" s="11" t="s">
        <v>112</v>
      </c>
      <c r="I1914" s="14" t="s">
        <v>825</v>
      </c>
      <c r="J1914" s="14" t="s">
        <v>29</v>
      </c>
      <c r="K1914" s="15" t="s">
        <v>47</v>
      </c>
      <c r="L1914" s="86" t="s">
        <v>2539</v>
      </c>
      <c r="M1914" s="14"/>
      <c r="N1914" s="14" t="s">
        <v>49</v>
      </c>
      <c r="O1914" s="14"/>
      <c r="P1914" s="15" t="s">
        <v>2540</v>
      </c>
      <c r="Q1914" s="16">
        <v>2949</v>
      </c>
      <c r="R1914" s="17">
        <v>52.26</v>
      </c>
      <c r="S1914" s="18">
        <v>1618.9354999999998</v>
      </c>
      <c r="T1914" s="19" t="s">
        <v>117</v>
      </c>
      <c r="U1914" s="20" t="s">
        <v>2404</v>
      </c>
      <c r="V1914" s="25" t="s">
        <v>828</v>
      </c>
      <c r="W1914" s="21">
        <v>3</v>
      </c>
      <c r="X1914" s="22"/>
    </row>
    <row r="1915" spans="1:24" s="1" customFormat="1" ht="60.95" customHeight="1" x14ac:dyDescent="0.3">
      <c r="A1915" s="23" t="s">
        <v>2392</v>
      </c>
      <c r="B1915" s="23" t="s">
        <v>2438</v>
      </c>
      <c r="C1915" s="12" t="s">
        <v>2537</v>
      </c>
      <c r="D1915" s="90"/>
      <c r="E1915" s="69" t="str">
        <f>HYPERLINK("https://www.google.ru/search?q=C2UUW-5&amp;newwindow=1&amp;tbm=isch","Еще фото")</f>
        <v>Еще фото</v>
      </c>
      <c r="F1915" s="13"/>
      <c r="G1915" s="23" t="s">
        <v>2538</v>
      </c>
      <c r="H1915" s="23" t="s">
        <v>112</v>
      </c>
      <c r="I1915" s="23" t="s">
        <v>825</v>
      </c>
      <c r="J1915" s="14" t="s">
        <v>29</v>
      </c>
      <c r="K1915" s="15" t="s">
        <v>47</v>
      </c>
      <c r="L1915" s="88"/>
      <c r="M1915" s="14"/>
      <c r="N1915" s="14" t="s">
        <v>49</v>
      </c>
      <c r="O1915" s="14"/>
      <c r="P1915" s="15" t="s">
        <v>2540</v>
      </c>
      <c r="Q1915" s="16">
        <v>2949</v>
      </c>
      <c r="R1915" s="17">
        <v>52.26</v>
      </c>
      <c r="S1915" s="18">
        <v>1618.9354999999998</v>
      </c>
      <c r="T1915" s="19" t="s">
        <v>117</v>
      </c>
      <c r="U1915" s="20" t="s">
        <v>2410</v>
      </c>
      <c r="V1915" s="25" t="s">
        <v>830</v>
      </c>
      <c r="W1915" s="21">
        <v>2</v>
      </c>
      <c r="X1915" s="22"/>
    </row>
    <row r="1916" spans="1:24" s="1" customFormat="1" ht="51.95" customHeight="1" x14ac:dyDescent="0.3">
      <c r="A1916" s="11" t="s">
        <v>2392</v>
      </c>
      <c r="B1916" s="11" t="s">
        <v>2438</v>
      </c>
      <c r="C1916" s="12" t="s">
        <v>2541</v>
      </c>
      <c r="D1916" s="89"/>
      <c r="E1916" s="69" t="str">
        <f>HYPERLINK("https://www.google.ru/search?q=C2UUW-S3&amp;newwindow=1&amp;tbm=isch","Еще фото")</f>
        <v>Еще фото</v>
      </c>
      <c r="F1916" s="13"/>
      <c r="G1916" s="11" t="s">
        <v>2538</v>
      </c>
      <c r="H1916" s="11" t="s">
        <v>112</v>
      </c>
      <c r="I1916" s="14" t="s">
        <v>825</v>
      </c>
      <c r="J1916" s="14" t="s">
        <v>406</v>
      </c>
      <c r="K1916" s="15" t="s">
        <v>47</v>
      </c>
      <c r="L1916" s="86" t="s">
        <v>2542</v>
      </c>
      <c r="M1916" s="14"/>
      <c r="N1916" s="14" t="s">
        <v>265</v>
      </c>
      <c r="O1916" s="14"/>
      <c r="P1916" s="15" t="s">
        <v>2470</v>
      </c>
      <c r="Q1916" s="16">
        <v>2949</v>
      </c>
      <c r="R1916" s="17">
        <v>48.87</v>
      </c>
      <c r="S1916" s="18">
        <v>1733.9354999999998</v>
      </c>
      <c r="T1916" s="19" t="s">
        <v>117</v>
      </c>
      <c r="U1916" s="20" t="s">
        <v>2404</v>
      </c>
      <c r="V1916" s="25" t="s">
        <v>828</v>
      </c>
      <c r="W1916" s="21">
        <v>1</v>
      </c>
      <c r="X1916" s="22"/>
    </row>
    <row r="1917" spans="1:24" s="1" customFormat="1" ht="60.95" customHeight="1" x14ac:dyDescent="0.3">
      <c r="A1917" s="23" t="s">
        <v>2392</v>
      </c>
      <c r="B1917" s="23" t="s">
        <v>2438</v>
      </c>
      <c r="C1917" s="12" t="s">
        <v>2541</v>
      </c>
      <c r="D1917" s="90"/>
      <c r="E1917" s="69" t="str">
        <f>HYPERLINK("https://www.google.ru/search?q=C2UUW-S3&amp;newwindow=1&amp;tbm=isch","Еще фото")</f>
        <v>Еще фото</v>
      </c>
      <c r="F1917" s="13"/>
      <c r="G1917" s="23" t="s">
        <v>2538</v>
      </c>
      <c r="H1917" s="23" t="s">
        <v>112</v>
      </c>
      <c r="I1917" s="23" t="s">
        <v>825</v>
      </c>
      <c r="J1917" s="14" t="s">
        <v>406</v>
      </c>
      <c r="K1917" s="15" t="s">
        <v>47</v>
      </c>
      <c r="L1917" s="88"/>
      <c r="M1917" s="14"/>
      <c r="N1917" s="14" t="s">
        <v>265</v>
      </c>
      <c r="O1917" s="14"/>
      <c r="P1917" s="15" t="s">
        <v>2470</v>
      </c>
      <c r="Q1917" s="16">
        <v>2949</v>
      </c>
      <c r="R1917" s="17">
        <v>48.87</v>
      </c>
      <c r="S1917" s="18">
        <v>1733.9354999999998</v>
      </c>
      <c r="T1917" s="19" t="s">
        <v>117</v>
      </c>
      <c r="U1917" s="20" t="s">
        <v>2437</v>
      </c>
      <c r="V1917" s="25" t="s">
        <v>829</v>
      </c>
      <c r="W1917" s="21">
        <v>3</v>
      </c>
      <c r="X1917" s="22"/>
    </row>
    <row r="1918" spans="1:24" s="1" customFormat="1" ht="108" customHeight="1" x14ac:dyDescent="0.3">
      <c r="A1918" s="11" t="s">
        <v>2392</v>
      </c>
      <c r="B1918" s="11" t="s">
        <v>2517</v>
      </c>
      <c r="C1918" s="12" t="s">
        <v>2543</v>
      </c>
      <c r="D1918" s="24"/>
      <c r="E1918" s="69" t="str">
        <f>HYPERLINK("https://www.google.ru/search?q=C225M-20&amp;newwindow=1&amp;tbm=isch","Еще фото")</f>
        <v>Еще фото</v>
      </c>
      <c r="F1918" s="13"/>
      <c r="G1918" s="11" t="s">
        <v>2514</v>
      </c>
      <c r="H1918" s="11" t="s">
        <v>112</v>
      </c>
      <c r="I1918" s="14" t="s">
        <v>825</v>
      </c>
      <c r="J1918" s="14" t="s">
        <v>2396</v>
      </c>
      <c r="K1918" s="15" t="s">
        <v>55</v>
      </c>
      <c r="L1918" s="14" t="s">
        <v>2519</v>
      </c>
      <c r="M1918" s="14"/>
      <c r="N1918" s="14" t="s">
        <v>41</v>
      </c>
      <c r="O1918" s="14"/>
      <c r="P1918" s="15" t="s">
        <v>2520</v>
      </c>
      <c r="Q1918" s="16">
        <v>6309</v>
      </c>
      <c r="R1918" s="17">
        <v>48.84</v>
      </c>
      <c r="S1918" s="18">
        <v>3711.9354999999996</v>
      </c>
      <c r="T1918" s="19" t="s">
        <v>117</v>
      </c>
      <c r="U1918" s="20" t="s">
        <v>2437</v>
      </c>
      <c r="V1918" s="25" t="s">
        <v>2443</v>
      </c>
      <c r="W1918" s="21">
        <v>5</v>
      </c>
      <c r="X1918" s="22"/>
    </row>
    <row r="1919" spans="1:24" s="1" customFormat="1" ht="108" customHeight="1" x14ac:dyDescent="0.3">
      <c r="A1919" s="11" t="s">
        <v>2392</v>
      </c>
      <c r="B1919" s="11" t="s">
        <v>2517</v>
      </c>
      <c r="C1919" s="12" t="s">
        <v>2544</v>
      </c>
      <c r="D1919" s="24"/>
      <c r="E1919" s="69" t="str">
        <f>HYPERLINK("https://www.google.ru/search?q=C225M-5Y&amp;newwindow=1&amp;tbm=isch","Еще фото")</f>
        <v>Еще фото</v>
      </c>
      <c r="F1919" s="13"/>
      <c r="G1919" s="11" t="s">
        <v>2514</v>
      </c>
      <c r="H1919" s="11" t="s">
        <v>112</v>
      </c>
      <c r="I1919" s="14" t="s">
        <v>825</v>
      </c>
      <c r="J1919" s="14" t="s">
        <v>2396</v>
      </c>
      <c r="K1919" s="15" t="s">
        <v>55</v>
      </c>
      <c r="L1919" s="14" t="s">
        <v>2545</v>
      </c>
      <c r="M1919" s="14"/>
      <c r="N1919" s="14" t="s">
        <v>49</v>
      </c>
      <c r="O1919" s="14"/>
      <c r="P1919" s="15" t="s">
        <v>2520</v>
      </c>
      <c r="Q1919" s="16">
        <v>6309</v>
      </c>
      <c r="R1919" s="17">
        <v>48.84</v>
      </c>
      <c r="S1919" s="18">
        <v>3711.9354999999996</v>
      </c>
      <c r="T1919" s="19" t="s">
        <v>117</v>
      </c>
      <c r="U1919" s="20" t="s">
        <v>2437</v>
      </c>
      <c r="V1919" s="25" t="s">
        <v>2443</v>
      </c>
      <c r="W1919" s="21">
        <v>2</v>
      </c>
      <c r="X1919" s="22"/>
    </row>
    <row r="1920" spans="1:24" s="1" customFormat="1" ht="108" customHeight="1" x14ac:dyDescent="0.3">
      <c r="A1920" s="11" t="s">
        <v>2392</v>
      </c>
      <c r="B1920" s="11" t="s">
        <v>2546</v>
      </c>
      <c r="C1920" s="12" t="s">
        <v>2547</v>
      </c>
      <c r="D1920" s="24"/>
      <c r="E1920" s="69" t="str">
        <f>HYPERLINK("https://www.google.ru/search?q=C283W-5G&amp;newwindow=1&amp;tbm=isch","Еще фото")</f>
        <v>Еще фото</v>
      </c>
      <c r="F1920" s="13"/>
      <c r="G1920" s="11" t="s">
        <v>2514</v>
      </c>
      <c r="H1920" s="11" t="s">
        <v>112</v>
      </c>
      <c r="I1920" s="14" t="s">
        <v>825</v>
      </c>
      <c r="J1920" s="14" t="s">
        <v>2396</v>
      </c>
      <c r="K1920" s="15" t="s">
        <v>47</v>
      </c>
      <c r="L1920" s="14" t="s">
        <v>2548</v>
      </c>
      <c r="M1920" s="14"/>
      <c r="N1920" s="14" t="s">
        <v>2549</v>
      </c>
      <c r="O1920" s="14"/>
      <c r="P1920" s="15" t="s">
        <v>2550</v>
      </c>
      <c r="Q1920" s="16">
        <v>6309</v>
      </c>
      <c r="R1920" s="17">
        <v>48.84</v>
      </c>
      <c r="S1920" s="18">
        <v>3711.9354999999996</v>
      </c>
      <c r="T1920" s="19" t="s">
        <v>117</v>
      </c>
      <c r="U1920" s="20" t="s">
        <v>2437</v>
      </c>
      <c r="V1920" s="25" t="s">
        <v>829</v>
      </c>
      <c r="W1920" s="21">
        <v>4</v>
      </c>
      <c r="X1920" s="22"/>
    </row>
    <row r="1921" spans="1:24" s="1" customFormat="1" ht="35.1" customHeight="1" x14ac:dyDescent="0.3">
      <c r="A1921" s="11" t="s">
        <v>2392</v>
      </c>
      <c r="B1921" s="11" t="s">
        <v>2551</v>
      </c>
      <c r="C1921" s="12" t="s">
        <v>2552</v>
      </c>
      <c r="D1921" s="83"/>
      <c r="E1921" s="69" t="str">
        <f>HYPERLINK("https://www.google.ru/search?q=C105RW-5&amp;newwindow=1&amp;tbm=isch","Еще фото")</f>
        <v>Еще фото</v>
      </c>
      <c r="F1921" s="13"/>
      <c r="G1921" s="11" t="s">
        <v>2553</v>
      </c>
      <c r="H1921" s="11" t="s">
        <v>112</v>
      </c>
      <c r="I1921" s="14" t="s">
        <v>825</v>
      </c>
      <c r="J1921" s="14" t="s">
        <v>406</v>
      </c>
      <c r="K1921" s="15" t="s">
        <v>47</v>
      </c>
      <c r="L1921" s="86" t="s">
        <v>2530</v>
      </c>
      <c r="M1921" s="14"/>
      <c r="N1921" s="14" t="s">
        <v>49</v>
      </c>
      <c r="O1921" s="14" t="s">
        <v>940</v>
      </c>
      <c r="P1921" s="15" t="s">
        <v>2531</v>
      </c>
      <c r="Q1921" s="16">
        <v>2949</v>
      </c>
      <c r="R1921" s="17">
        <v>45.14</v>
      </c>
      <c r="S1921" s="18">
        <v>1860.4354999999998</v>
      </c>
      <c r="T1921" s="19" t="s">
        <v>117</v>
      </c>
      <c r="U1921" s="20" t="s">
        <v>2404</v>
      </c>
      <c r="V1921" s="25" t="s">
        <v>828</v>
      </c>
      <c r="W1921" s="21">
        <v>17</v>
      </c>
      <c r="X1921" s="22"/>
    </row>
    <row r="1922" spans="1:24" s="1" customFormat="1" ht="35.1" customHeight="1" x14ac:dyDescent="0.3">
      <c r="A1922" s="23" t="s">
        <v>2392</v>
      </c>
      <c r="B1922" s="23" t="s">
        <v>2551</v>
      </c>
      <c r="C1922" s="12" t="s">
        <v>2552</v>
      </c>
      <c r="D1922" s="84"/>
      <c r="E1922" s="69" t="str">
        <f>HYPERLINK("https://www.google.ru/search?q=C105RW-5&amp;newwindow=1&amp;tbm=isch","Еще фото")</f>
        <v>Еще фото</v>
      </c>
      <c r="F1922" s="13"/>
      <c r="G1922" s="23" t="s">
        <v>2553</v>
      </c>
      <c r="H1922" s="23" t="s">
        <v>112</v>
      </c>
      <c r="I1922" s="23" t="s">
        <v>825</v>
      </c>
      <c r="J1922" s="14" t="s">
        <v>406</v>
      </c>
      <c r="K1922" s="15" t="s">
        <v>47</v>
      </c>
      <c r="L1922" s="87"/>
      <c r="M1922" s="14"/>
      <c r="N1922" s="14" t="s">
        <v>49</v>
      </c>
      <c r="O1922" s="14" t="s">
        <v>940</v>
      </c>
      <c r="P1922" s="15" t="s">
        <v>2531</v>
      </c>
      <c r="Q1922" s="16">
        <v>2949</v>
      </c>
      <c r="R1922" s="17">
        <v>45.14</v>
      </c>
      <c r="S1922" s="18">
        <v>1860.4354999999998</v>
      </c>
      <c r="T1922" s="19" t="s">
        <v>117</v>
      </c>
      <c r="U1922" s="20" t="s">
        <v>2437</v>
      </c>
      <c r="V1922" s="25" t="s">
        <v>829</v>
      </c>
      <c r="W1922" s="21">
        <v>26</v>
      </c>
      <c r="X1922" s="22"/>
    </row>
    <row r="1923" spans="1:24" s="1" customFormat="1" ht="36.950000000000003" customHeight="1" x14ac:dyDescent="0.3">
      <c r="A1923" s="23" t="s">
        <v>2392</v>
      </c>
      <c r="B1923" s="23" t="s">
        <v>2551</v>
      </c>
      <c r="C1923" s="12" t="s">
        <v>2552</v>
      </c>
      <c r="D1923" s="85"/>
      <c r="E1923" s="69" t="str">
        <f>HYPERLINK("https://www.google.ru/search?q=C105RW-5&amp;newwindow=1&amp;tbm=isch","Еще фото")</f>
        <v>Еще фото</v>
      </c>
      <c r="F1923" s="13"/>
      <c r="G1923" s="23" t="s">
        <v>2553</v>
      </c>
      <c r="H1923" s="23" t="s">
        <v>112</v>
      </c>
      <c r="I1923" s="23" t="s">
        <v>825</v>
      </c>
      <c r="J1923" s="14" t="s">
        <v>406</v>
      </c>
      <c r="K1923" s="15" t="s">
        <v>47</v>
      </c>
      <c r="L1923" s="88"/>
      <c r="M1923" s="14"/>
      <c r="N1923" s="14" t="s">
        <v>49</v>
      </c>
      <c r="O1923" s="14" t="s">
        <v>940</v>
      </c>
      <c r="P1923" s="15" t="s">
        <v>2531</v>
      </c>
      <c r="Q1923" s="16">
        <v>2949</v>
      </c>
      <c r="R1923" s="17">
        <v>45.14</v>
      </c>
      <c r="S1923" s="18">
        <v>1860.4354999999998</v>
      </c>
      <c r="T1923" s="19" t="s">
        <v>117</v>
      </c>
      <c r="U1923" s="20" t="s">
        <v>2410</v>
      </c>
      <c r="V1923" s="25" t="s">
        <v>830</v>
      </c>
      <c r="W1923" s="21">
        <v>10</v>
      </c>
      <c r="X1923" s="22"/>
    </row>
    <row r="1924" spans="1:24" s="1" customFormat="1" ht="35.1" customHeight="1" x14ac:dyDescent="0.3">
      <c r="A1924" s="11" t="s">
        <v>2392</v>
      </c>
      <c r="B1924" s="11" t="s">
        <v>2554</v>
      </c>
      <c r="C1924" s="12" t="s">
        <v>2555</v>
      </c>
      <c r="D1924" s="83"/>
      <c r="E1924" s="69" t="str">
        <f>HYPERLINK("https://www.google.ru/search?q=C125RW-5&amp;newwindow=1&amp;tbm=isch","Еще фото")</f>
        <v>Еще фото</v>
      </c>
      <c r="F1924" s="13"/>
      <c r="G1924" s="11" t="s">
        <v>2556</v>
      </c>
      <c r="H1924" s="11" t="s">
        <v>112</v>
      </c>
      <c r="I1924" s="14" t="s">
        <v>825</v>
      </c>
      <c r="J1924" s="14" t="s">
        <v>406</v>
      </c>
      <c r="K1924" s="15" t="s">
        <v>47</v>
      </c>
      <c r="L1924" s="86" t="s">
        <v>2495</v>
      </c>
      <c r="M1924" s="14"/>
      <c r="N1924" s="14" t="s">
        <v>49</v>
      </c>
      <c r="O1924" s="14" t="s">
        <v>940</v>
      </c>
      <c r="P1924" s="15" t="s">
        <v>2557</v>
      </c>
      <c r="Q1924" s="16">
        <v>6309</v>
      </c>
      <c r="R1924" s="17">
        <v>45.03</v>
      </c>
      <c r="S1924" s="18">
        <v>3987.9354999999996</v>
      </c>
      <c r="T1924" s="19" t="s">
        <v>117</v>
      </c>
      <c r="U1924" s="20" t="s">
        <v>2404</v>
      </c>
      <c r="V1924" s="25" t="s">
        <v>828</v>
      </c>
      <c r="W1924" s="21">
        <v>4</v>
      </c>
      <c r="X1924" s="22"/>
    </row>
    <row r="1925" spans="1:24" s="1" customFormat="1" ht="35.1" customHeight="1" x14ac:dyDescent="0.3">
      <c r="A1925" s="23" t="s">
        <v>2392</v>
      </c>
      <c r="B1925" s="23" t="s">
        <v>2554</v>
      </c>
      <c r="C1925" s="12" t="s">
        <v>2555</v>
      </c>
      <c r="D1925" s="84"/>
      <c r="E1925" s="69" t="str">
        <f>HYPERLINK("https://www.google.ru/search?q=C125RW-5&amp;newwindow=1&amp;tbm=isch","Еще фото")</f>
        <v>Еще фото</v>
      </c>
      <c r="F1925" s="13"/>
      <c r="G1925" s="23" t="s">
        <v>2556</v>
      </c>
      <c r="H1925" s="23" t="s">
        <v>112</v>
      </c>
      <c r="I1925" s="23" t="s">
        <v>825</v>
      </c>
      <c r="J1925" s="14" t="s">
        <v>406</v>
      </c>
      <c r="K1925" s="15" t="s">
        <v>47</v>
      </c>
      <c r="L1925" s="87"/>
      <c r="M1925" s="14"/>
      <c r="N1925" s="14" t="s">
        <v>49</v>
      </c>
      <c r="O1925" s="14" t="s">
        <v>940</v>
      </c>
      <c r="P1925" s="15" t="s">
        <v>2557</v>
      </c>
      <c r="Q1925" s="16">
        <v>6309</v>
      </c>
      <c r="R1925" s="17">
        <v>45.03</v>
      </c>
      <c r="S1925" s="18">
        <v>3987.9354999999996</v>
      </c>
      <c r="T1925" s="19" t="s">
        <v>117</v>
      </c>
      <c r="U1925" s="20" t="s">
        <v>2437</v>
      </c>
      <c r="V1925" s="25" t="s">
        <v>829</v>
      </c>
      <c r="W1925" s="21">
        <v>12</v>
      </c>
      <c r="X1925" s="22"/>
    </row>
    <row r="1926" spans="1:24" s="1" customFormat="1" ht="36.950000000000003" customHeight="1" x14ac:dyDescent="0.3">
      <c r="A1926" s="23" t="s">
        <v>2392</v>
      </c>
      <c r="B1926" s="23" t="s">
        <v>2554</v>
      </c>
      <c r="C1926" s="12" t="s">
        <v>2555</v>
      </c>
      <c r="D1926" s="85"/>
      <c r="E1926" s="69" t="str">
        <f>HYPERLINK("https://www.google.ru/search?q=C125RW-5&amp;newwindow=1&amp;tbm=isch","Еще фото")</f>
        <v>Еще фото</v>
      </c>
      <c r="F1926" s="13"/>
      <c r="G1926" s="23" t="s">
        <v>2556</v>
      </c>
      <c r="H1926" s="23" t="s">
        <v>112</v>
      </c>
      <c r="I1926" s="23" t="s">
        <v>825</v>
      </c>
      <c r="J1926" s="14" t="s">
        <v>406</v>
      </c>
      <c r="K1926" s="15" t="s">
        <v>47</v>
      </c>
      <c r="L1926" s="88"/>
      <c r="M1926" s="14"/>
      <c r="N1926" s="14" t="s">
        <v>49</v>
      </c>
      <c r="O1926" s="14" t="s">
        <v>940</v>
      </c>
      <c r="P1926" s="15" t="s">
        <v>2557</v>
      </c>
      <c r="Q1926" s="16">
        <v>6309</v>
      </c>
      <c r="R1926" s="17">
        <v>45.03</v>
      </c>
      <c r="S1926" s="18">
        <v>3987.9354999999996</v>
      </c>
      <c r="T1926" s="19" t="s">
        <v>117</v>
      </c>
      <c r="U1926" s="20" t="s">
        <v>2410</v>
      </c>
      <c r="V1926" s="25" t="s">
        <v>830</v>
      </c>
      <c r="W1926" s="21">
        <v>8</v>
      </c>
      <c r="X1926" s="22"/>
    </row>
    <row r="1927" spans="1:24" s="1" customFormat="1" ht="51.95" customHeight="1" x14ac:dyDescent="0.3">
      <c r="A1927" s="11" t="s">
        <v>2392</v>
      </c>
      <c r="B1927" s="11" t="s">
        <v>2502</v>
      </c>
      <c r="C1927" s="12" t="s">
        <v>2558</v>
      </c>
      <c r="D1927" s="89"/>
      <c r="E1927" s="69" t="str">
        <f>HYPERLINK("https://www.google.ru/search?q=C1UUM-0&amp;newwindow=1&amp;tbm=isch","Еще фото")</f>
        <v>Еще фото</v>
      </c>
      <c r="F1927" s="13"/>
      <c r="G1927" s="11" t="s">
        <v>2504</v>
      </c>
      <c r="H1927" s="11" t="s">
        <v>112</v>
      </c>
      <c r="I1927" s="14" t="s">
        <v>825</v>
      </c>
      <c r="J1927" s="14" t="s">
        <v>406</v>
      </c>
      <c r="K1927" s="15" t="s">
        <v>55</v>
      </c>
      <c r="L1927" s="86" t="s">
        <v>2505</v>
      </c>
      <c r="M1927" s="14"/>
      <c r="N1927" s="14" t="s">
        <v>89</v>
      </c>
      <c r="O1927" s="14"/>
      <c r="P1927" s="15" t="s">
        <v>2403</v>
      </c>
      <c r="Q1927" s="16">
        <v>6309</v>
      </c>
      <c r="R1927" s="17">
        <v>45.03</v>
      </c>
      <c r="S1927" s="18">
        <v>3987.9354999999996</v>
      </c>
      <c r="T1927" s="19" t="s">
        <v>117</v>
      </c>
      <c r="U1927" s="20" t="s">
        <v>2437</v>
      </c>
      <c r="V1927" s="25" t="s">
        <v>2443</v>
      </c>
      <c r="W1927" s="21">
        <v>7</v>
      </c>
      <c r="X1927" s="22"/>
    </row>
    <row r="1928" spans="1:24" s="1" customFormat="1" ht="60.95" customHeight="1" x14ac:dyDescent="0.3">
      <c r="A1928" s="23" t="s">
        <v>2392</v>
      </c>
      <c r="B1928" s="23" t="s">
        <v>2502</v>
      </c>
      <c r="C1928" s="12" t="s">
        <v>2558</v>
      </c>
      <c r="D1928" s="90"/>
      <c r="E1928" s="69" t="str">
        <f>HYPERLINK("https://www.google.ru/search?q=C1UUM-0&amp;newwindow=1&amp;tbm=isch","Еще фото")</f>
        <v>Еще фото</v>
      </c>
      <c r="F1928" s="13"/>
      <c r="G1928" s="23" t="s">
        <v>2504</v>
      </c>
      <c r="H1928" s="23" t="s">
        <v>112</v>
      </c>
      <c r="I1928" s="23" t="s">
        <v>825</v>
      </c>
      <c r="J1928" s="14" t="s">
        <v>406</v>
      </c>
      <c r="K1928" s="15" t="s">
        <v>55</v>
      </c>
      <c r="L1928" s="88"/>
      <c r="M1928" s="14"/>
      <c r="N1928" s="14" t="s">
        <v>89</v>
      </c>
      <c r="O1928" s="14"/>
      <c r="P1928" s="15" t="s">
        <v>2403</v>
      </c>
      <c r="Q1928" s="16">
        <v>6309</v>
      </c>
      <c r="R1928" s="17">
        <v>45.03</v>
      </c>
      <c r="S1928" s="18">
        <v>3987.9354999999996</v>
      </c>
      <c r="T1928" s="19" t="s">
        <v>117</v>
      </c>
      <c r="U1928" s="20" t="s">
        <v>2444</v>
      </c>
      <c r="V1928" s="25" t="s">
        <v>2445</v>
      </c>
      <c r="W1928" s="21">
        <v>1</v>
      </c>
      <c r="X1928" s="22"/>
    </row>
    <row r="1929" spans="1:24" s="1" customFormat="1" ht="51.95" customHeight="1" x14ac:dyDescent="0.3">
      <c r="A1929" s="11" t="s">
        <v>2392</v>
      </c>
      <c r="B1929" s="11" t="s">
        <v>2438</v>
      </c>
      <c r="C1929" s="12" t="s">
        <v>2559</v>
      </c>
      <c r="D1929" s="89"/>
      <c r="E1929" s="69" t="str">
        <f>HYPERLINK("https://www.google.ru/search?q=C211W-5A&amp;newwindow=1&amp;tbm=isch","Еще фото")</f>
        <v>Еще фото</v>
      </c>
      <c r="F1929" s="13"/>
      <c r="G1929" s="11" t="s">
        <v>2514</v>
      </c>
      <c r="H1929" s="11" t="s">
        <v>112</v>
      </c>
      <c r="I1929" s="14" t="s">
        <v>825</v>
      </c>
      <c r="J1929" s="14" t="s">
        <v>406</v>
      </c>
      <c r="K1929" s="15" t="s">
        <v>47</v>
      </c>
      <c r="L1929" s="86" t="s">
        <v>2515</v>
      </c>
      <c r="M1929" s="14"/>
      <c r="N1929" s="14" t="s">
        <v>49</v>
      </c>
      <c r="O1929" s="14"/>
      <c r="P1929" s="15" t="s">
        <v>2560</v>
      </c>
      <c r="Q1929" s="16">
        <v>6309</v>
      </c>
      <c r="R1929" s="17">
        <v>45.03</v>
      </c>
      <c r="S1929" s="18">
        <v>3987.9354999999996</v>
      </c>
      <c r="T1929" s="19" t="s">
        <v>117</v>
      </c>
      <c r="U1929" s="20" t="s">
        <v>2404</v>
      </c>
      <c r="V1929" s="25" t="s">
        <v>828</v>
      </c>
      <c r="W1929" s="21">
        <v>1</v>
      </c>
      <c r="X1929" s="22"/>
    </row>
    <row r="1930" spans="1:24" s="1" customFormat="1" ht="60.95" customHeight="1" x14ac:dyDescent="0.3">
      <c r="A1930" s="23" t="s">
        <v>2392</v>
      </c>
      <c r="B1930" s="23" t="s">
        <v>2438</v>
      </c>
      <c r="C1930" s="12" t="s">
        <v>2559</v>
      </c>
      <c r="D1930" s="90"/>
      <c r="E1930" s="69" t="str">
        <f>HYPERLINK("https://www.google.ru/search?q=C211W-5A&amp;newwindow=1&amp;tbm=isch","Еще фото")</f>
        <v>Еще фото</v>
      </c>
      <c r="F1930" s="13"/>
      <c r="G1930" s="23" t="s">
        <v>2514</v>
      </c>
      <c r="H1930" s="23" t="s">
        <v>112</v>
      </c>
      <c r="I1930" s="23" t="s">
        <v>825</v>
      </c>
      <c r="J1930" s="14" t="s">
        <v>406</v>
      </c>
      <c r="K1930" s="15" t="s">
        <v>47</v>
      </c>
      <c r="L1930" s="88"/>
      <c r="M1930" s="14"/>
      <c r="N1930" s="14" t="s">
        <v>49</v>
      </c>
      <c r="O1930" s="14"/>
      <c r="P1930" s="15" t="s">
        <v>2560</v>
      </c>
      <c r="Q1930" s="16">
        <v>6309</v>
      </c>
      <c r="R1930" s="17">
        <v>45.03</v>
      </c>
      <c r="S1930" s="18">
        <v>3987.9354999999996</v>
      </c>
      <c r="T1930" s="19" t="s">
        <v>117</v>
      </c>
      <c r="U1930" s="20" t="s">
        <v>2437</v>
      </c>
      <c r="V1930" s="25" t="s">
        <v>829</v>
      </c>
      <c r="W1930" s="21">
        <v>1</v>
      </c>
      <c r="X1930" s="22"/>
    </row>
    <row r="1931" spans="1:24" s="1" customFormat="1" ht="35.1" customHeight="1" x14ac:dyDescent="0.3">
      <c r="A1931" s="11" t="s">
        <v>2392</v>
      </c>
      <c r="B1931" s="11" t="s">
        <v>2446</v>
      </c>
      <c r="C1931" s="12" t="s">
        <v>2561</v>
      </c>
      <c r="D1931" s="83"/>
      <c r="E1931" s="69" t="str">
        <f>HYPERLINK("https://www.google.ru/search?q=CR26PM-5&amp;newwindow=1&amp;tbm=isch","Еще фото")</f>
        <v>Еще фото</v>
      </c>
      <c r="F1931" s="13"/>
      <c r="G1931" s="11" t="s">
        <v>2448</v>
      </c>
      <c r="H1931" s="11" t="s">
        <v>112</v>
      </c>
      <c r="I1931" s="14" t="s">
        <v>825</v>
      </c>
      <c r="J1931" s="14" t="s">
        <v>2401</v>
      </c>
      <c r="K1931" s="15" t="s">
        <v>55</v>
      </c>
      <c r="L1931" s="86" t="s">
        <v>2449</v>
      </c>
      <c r="M1931" s="14"/>
      <c r="N1931" s="14" t="s">
        <v>49</v>
      </c>
      <c r="O1931" s="14" t="s">
        <v>940</v>
      </c>
      <c r="P1931" s="15" t="s">
        <v>2450</v>
      </c>
      <c r="Q1931" s="16">
        <v>6309</v>
      </c>
      <c r="R1931" s="17">
        <v>45.03</v>
      </c>
      <c r="S1931" s="18">
        <v>3987.9354999999996</v>
      </c>
      <c r="T1931" s="19" t="s">
        <v>117</v>
      </c>
      <c r="U1931" s="20" t="s">
        <v>2437</v>
      </c>
      <c r="V1931" s="25" t="s">
        <v>2443</v>
      </c>
      <c r="W1931" s="21">
        <v>18</v>
      </c>
      <c r="X1931" s="22"/>
    </row>
    <row r="1932" spans="1:24" s="1" customFormat="1" ht="35.1" customHeight="1" x14ac:dyDescent="0.3">
      <c r="A1932" s="23" t="s">
        <v>2392</v>
      </c>
      <c r="B1932" s="23" t="s">
        <v>2446</v>
      </c>
      <c r="C1932" s="12" t="s">
        <v>2561</v>
      </c>
      <c r="D1932" s="84"/>
      <c r="E1932" s="69" t="str">
        <f>HYPERLINK("https://www.google.ru/search?q=CR26PM-5&amp;newwindow=1&amp;tbm=isch","Еще фото")</f>
        <v>Еще фото</v>
      </c>
      <c r="F1932" s="13"/>
      <c r="G1932" s="23" t="s">
        <v>2448</v>
      </c>
      <c r="H1932" s="23" t="s">
        <v>112</v>
      </c>
      <c r="I1932" s="23" t="s">
        <v>825</v>
      </c>
      <c r="J1932" s="14" t="s">
        <v>2401</v>
      </c>
      <c r="K1932" s="15" t="s">
        <v>55</v>
      </c>
      <c r="L1932" s="87"/>
      <c r="M1932" s="14"/>
      <c r="N1932" s="14" t="s">
        <v>49</v>
      </c>
      <c r="O1932" s="14" t="s">
        <v>940</v>
      </c>
      <c r="P1932" s="15" t="s">
        <v>2450</v>
      </c>
      <c r="Q1932" s="16">
        <v>6309</v>
      </c>
      <c r="R1932" s="17">
        <v>45.03</v>
      </c>
      <c r="S1932" s="18">
        <v>3987.9354999999996</v>
      </c>
      <c r="T1932" s="19" t="s">
        <v>117</v>
      </c>
      <c r="U1932" s="20" t="s">
        <v>2410</v>
      </c>
      <c r="V1932" s="25" t="s">
        <v>65</v>
      </c>
      <c r="W1932" s="21">
        <v>12</v>
      </c>
      <c r="X1932" s="22"/>
    </row>
    <row r="1933" spans="1:24" s="1" customFormat="1" ht="36.950000000000003" customHeight="1" x14ac:dyDescent="0.3">
      <c r="A1933" s="23" t="s">
        <v>2392</v>
      </c>
      <c r="B1933" s="23" t="s">
        <v>2446</v>
      </c>
      <c r="C1933" s="12" t="s">
        <v>2561</v>
      </c>
      <c r="D1933" s="85"/>
      <c r="E1933" s="69" t="str">
        <f>HYPERLINK("https://www.google.ru/search?q=CR26PM-5&amp;newwindow=1&amp;tbm=isch","Еще фото")</f>
        <v>Еще фото</v>
      </c>
      <c r="F1933" s="13"/>
      <c r="G1933" s="23" t="s">
        <v>2448</v>
      </c>
      <c r="H1933" s="23" t="s">
        <v>112</v>
      </c>
      <c r="I1933" s="23" t="s">
        <v>825</v>
      </c>
      <c r="J1933" s="14" t="s">
        <v>2401</v>
      </c>
      <c r="K1933" s="15" t="s">
        <v>55</v>
      </c>
      <c r="L1933" s="88"/>
      <c r="M1933" s="14"/>
      <c r="N1933" s="14" t="s">
        <v>49</v>
      </c>
      <c r="O1933" s="14" t="s">
        <v>940</v>
      </c>
      <c r="P1933" s="15" t="s">
        <v>2450</v>
      </c>
      <c r="Q1933" s="16">
        <v>6309</v>
      </c>
      <c r="R1933" s="17">
        <v>45.03</v>
      </c>
      <c r="S1933" s="18">
        <v>3987.9354999999996</v>
      </c>
      <c r="T1933" s="19" t="s">
        <v>117</v>
      </c>
      <c r="U1933" s="20" t="s">
        <v>2444</v>
      </c>
      <c r="V1933" s="25" t="s">
        <v>2445</v>
      </c>
      <c r="W1933" s="21">
        <v>3</v>
      </c>
      <c r="X1933" s="22"/>
    </row>
    <row r="1934" spans="1:24" s="1" customFormat="1" ht="51.95" customHeight="1" x14ac:dyDescent="0.3">
      <c r="A1934" s="11" t="s">
        <v>2392</v>
      </c>
      <c r="B1934" s="11" t="s">
        <v>2562</v>
      </c>
      <c r="C1934" s="12" t="s">
        <v>2563</v>
      </c>
      <c r="D1934" s="89"/>
      <c r="E1934" s="69" t="str">
        <f>HYPERLINK("https://www.google.ru/search?q=C1UPM-5&amp;newwindow=1&amp;tbm=isch","Еще фото")</f>
        <v>Еще фото</v>
      </c>
      <c r="F1934" s="13"/>
      <c r="G1934" s="11" t="s">
        <v>824</v>
      </c>
      <c r="H1934" s="11" t="s">
        <v>112</v>
      </c>
      <c r="I1934" s="14" t="s">
        <v>825</v>
      </c>
      <c r="J1934" s="14" t="s">
        <v>406</v>
      </c>
      <c r="K1934" s="15" t="s">
        <v>55</v>
      </c>
      <c r="L1934" s="86" t="s">
        <v>2564</v>
      </c>
      <c r="M1934" s="14"/>
      <c r="N1934" s="14" t="s">
        <v>49</v>
      </c>
      <c r="O1934" s="14"/>
      <c r="P1934" s="15" t="s">
        <v>2565</v>
      </c>
      <c r="Q1934" s="16">
        <v>6999</v>
      </c>
      <c r="R1934" s="17">
        <v>45.02</v>
      </c>
      <c r="S1934" s="18">
        <v>4424.9354999999996</v>
      </c>
      <c r="T1934" s="19" t="s">
        <v>117</v>
      </c>
      <c r="U1934" s="20" t="s">
        <v>2437</v>
      </c>
      <c r="V1934" s="25" t="s">
        <v>2443</v>
      </c>
      <c r="W1934" s="21">
        <v>13</v>
      </c>
      <c r="X1934" s="22"/>
    </row>
    <row r="1935" spans="1:24" s="1" customFormat="1" ht="60.95" customHeight="1" x14ac:dyDescent="0.3">
      <c r="A1935" s="23" t="s">
        <v>2392</v>
      </c>
      <c r="B1935" s="23" t="s">
        <v>2562</v>
      </c>
      <c r="C1935" s="12" t="s">
        <v>2563</v>
      </c>
      <c r="D1935" s="90"/>
      <c r="E1935" s="69" t="str">
        <f>HYPERLINK("https://www.google.ru/search?q=C1UPM-5&amp;newwindow=1&amp;tbm=isch","Еще фото")</f>
        <v>Еще фото</v>
      </c>
      <c r="F1935" s="13"/>
      <c r="G1935" s="23" t="s">
        <v>824</v>
      </c>
      <c r="H1935" s="23" t="s">
        <v>112</v>
      </c>
      <c r="I1935" s="23" t="s">
        <v>825</v>
      </c>
      <c r="J1935" s="14" t="s">
        <v>406</v>
      </c>
      <c r="K1935" s="15" t="s">
        <v>55</v>
      </c>
      <c r="L1935" s="88"/>
      <c r="M1935" s="14"/>
      <c r="N1935" s="14" t="s">
        <v>49</v>
      </c>
      <c r="O1935" s="14"/>
      <c r="P1935" s="15" t="s">
        <v>2565</v>
      </c>
      <c r="Q1935" s="16">
        <v>6999</v>
      </c>
      <c r="R1935" s="17">
        <v>45.02</v>
      </c>
      <c r="S1935" s="18">
        <v>4424.9354999999996</v>
      </c>
      <c r="T1935" s="19" t="s">
        <v>117</v>
      </c>
      <c r="U1935" s="20" t="s">
        <v>2444</v>
      </c>
      <c r="V1935" s="25" t="s">
        <v>2445</v>
      </c>
      <c r="W1935" s="21">
        <v>8</v>
      </c>
      <c r="X1935" s="22"/>
    </row>
    <row r="1936" spans="1:24" s="1" customFormat="1" ht="35.1" customHeight="1" x14ac:dyDescent="0.3">
      <c r="A1936" s="11" t="s">
        <v>2392</v>
      </c>
      <c r="B1936" s="11" t="s">
        <v>2566</v>
      </c>
      <c r="C1936" s="12" t="s">
        <v>2567</v>
      </c>
      <c r="D1936" s="83"/>
      <c r="E1936" s="69" t="str">
        <f>HYPERLINK("https://www.google.ru/search?q=C1UPW-5&amp;newwindow=1&amp;tbm=isch","Еще фото")</f>
        <v>Еще фото</v>
      </c>
      <c r="F1936" s="13"/>
      <c r="G1936" s="11" t="s">
        <v>2491</v>
      </c>
      <c r="H1936" s="11" t="s">
        <v>112</v>
      </c>
      <c r="I1936" s="14" t="s">
        <v>825</v>
      </c>
      <c r="J1936" s="14" t="s">
        <v>2401</v>
      </c>
      <c r="K1936" s="15" t="s">
        <v>47</v>
      </c>
      <c r="L1936" s="86" t="s">
        <v>2568</v>
      </c>
      <c r="M1936" s="14"/>
      <c r="N1936" s="14" t="s">
        <v>49</v>
      </c>
      <c r="O1936" s="14"/>
      <c r="P1936" s="15" t="s">
        <v>2403</v>
      </c>
      <c r="Q1936" s="16">
        <v>6999</v>
      </c>
      <c r="R1936" s="17">
        <v>45.02</v>
      </c>
      <c r="S1936" s="18">
        <v>4424.9354999999996</v>
      </c>
      <c r="T1936" s="19" t="s">
        <v>117</v>
      </c>
      <c r="U1936" s="20" t="s">
        <v>2404</v>
      </c>
      <c r="V1936" s="25" t="s">
        <v>828</v>
      </c>
      <c r="W1936" s="21">
        <v>2</v>
      </c>
      <c r="X1936" s="22"/>
    </row>
    <row r="1937" spans="1:24" s="1" customFormat="1" ht="35.1" customHeight="1" x14ac:dyDescent="0.3">
      <c r="A1937" s="23" t="s">
        <v>2392</v>
      </c>
      <c r="B1937" s="23" t="s">
        <v>2566</v>
      </c>
      <c r="C1937" s="12" t="s">
        <v>2567</v>
      </c>
      <c r="D1937" s="84"/>
      <c r="E1937" s="69" t="str">
        <f>HYPERLINK("https://www.google.ru/search?q=C1UPW-5&amp;newwindow=1&amp;tbm=isch","Еще фото")</f>
        <v>Еще фото</v>
      </c>
      <c r="F1937" s="13"/>
      <c r="G1937" s="23" t="s">
        <v>2491</v>
      </c>
      <c r="H1937" s="23" t="s">
        <v>112</v>
      </c>
      <c r="I1937" s="23" t="s">
        <v>825</v>
      </c>
      <c r="J1937" s="14" t="s">
        <v>2401</v>
      </c>
      <c r="K1937" s="15" t="s">
        <v>47</v>
      </c>
      <c r="L1937" s="87"/>
      <c r="M1937" s="14"/>
      <c r="N1937" s="14" t="s">
        <v>49</v>
      </c>
      <c r="O1937" s="14"/>
      <c r="P1937" s="15" t="s">
        <v>2403</v>
      </c>
      <c r="Q1937" s="16">
        <v>6999</v>
      </c>
      <c r="R1937" s="17">
        <v>45.02</v>
      </c>
      <c r="S1937" s="18">
        <v>4424.9354999999996</v>
      </c>
      <c r="T1937" s="19" t="s">
        <v>117</v>
      </c>
      <c r="U1937" s="20" t="s">
        <v>2437</v>
      </c>
      <c r="V1937" s="25" t="s">
        <v>829</v>
      </c>
      <c r="W1937" s="21">
        <v>4</v>
      </c>
      <c r="X1937" s="22"/>
    </row>
    <row r="1938" spans="1:24" s="1" customFormat="1" ht="36.950000000000003" customHeight="1" x14ac:dyDescent="0.3">
      <c r="A1938" s="23" t="s">
        <v>2392</v>
      </c>
      <c r="B1938" s="23" t="s">
        <v>2566</v>
      </c>
      <c r="C1938" s="12" t="s">
        <v>2567</v>
      </c>
      <c r="D1938" s="85"/>
      <c r="E1938" s="69" t="str">
        <f>HYPERLINK("https://www.google.ru/search?q=C1UPW-5&amp;newwindow=1&amp;tbm=isch","Еще фото")</f>
        <v>Еще фото</v>
      </c>
      <c r="F1938" s="13"/>
      <c r="G1938" s="23" t="s">
        <v>2491</v>
      </c>
      <c r="H1938" s="23" t="s">
        <v>112</v>
      </c>
      <c r="I1938" s="23" t="s">
        <v>825</v>
      </c>
      <c r="J1938" s="14" t="s">
        <v>2401</v>
      </c>
      <c r="K1938" s="15" t="s">
        <v>47</v>
      </c>
      <c r="L1938" s="88"/>
      <c r="M1938" s="14"/>
      <c r="N1938" s="14" t="s">
        <v>49</v>
      </c>
      <c r="O1938" s="14"/>
      <c r="P1938" s="15" t="s">
        <v>2403</v>
      </c>
      <c r="Q1938" s="16">
        <v>6999</v>
      </c>
      <c r="R1938" s="17">
        <v>45.02</v>
      </c>
      <c r="S1938" s="18">
        <v>4424.9354999999996</v>
      </c>
      <c r="T1938" s="19" t="s">
        <v>117</v>
      </c>
      <c r="U1938" s="20" t="s">
        <v>2410</v>
      </c>
      <c r="V1938" s="25" t="s">
        <v>830</v>
      </c>
      <c r="W1938" s="21">
        <v>2</v>
      </c>
      <c r="X1938" s="22"/>
    </row>
    <row r="1939" spans="1:24" s="1" customFormat="1" ht="35.1" customHeight="1" x14ac:dyDescent="0.3">
      <c r="A1939" s="11" t="s">
        <v>2392</v>
      </c>
      <c r="B1939" s="11" t="s">
        <v>2566</v>
      </c>
      <c r="C1939" s="12" t="s">
        <v>2569</v>
      </c>
      <c r="D1939" s="83"/>
      <c r="E1939" s="69" t="str">
        <f>HYPERLINK("https://www.google.ru/search?q=C1UPW-G&amp;newwindow=1&amp;tbm=isch","Еще фото")</f>
        <v>Еще фото</v>
      </c>
      <c r="F1939" s="13"/>
      <c r="G1939" s="11" t="s">
        <v>2491</v>
      </c>
      <c r="H1939" s="11" t="s">
        <v>112</v>
      </c>
      <c r="I1939" s="14" t="s">
        <v>825</v>
      </c>
      <c r="J1939" s="14" t="s">
        <v>2401</v>
      </c>
      <c r="K1939" s="15" t="s">
        <v>47</v>
      </c>
      <c r="L1939" s="86" t="s">
        <v>2568</v>
      </c>
      <c r="M1939" s="14"/>
      <c r="N1939" s="14" t="s">
        <v>242</v>
      </c>
      <c r="O1939" s="14"/>
      <c r="P1939" s="15" t="s">
        <v>2403</v>
      </c>
      <c r="Q1939" s="16">
        <v>6999</v>
      </c>
      <c r="R1939" s="17">
        <v>45.02</v>
      </c>
      <c r="S1939" s="18">
        <v>4424.9354999999996</v>
      </c>
      <c r="T1939" s="19" t="s">
        <v>117</v>
      </c>
      <c r="U1939" s="20" t="s">
        <v>2404</v>
      </c>
      <c r="V1939" s="25" t="s">
        <v>828</v>
      </c>
      <c r="W1939" s="21">
        <v>1</v>
      </c>
      <c r="X1939" s="22"/>
    </row>
    <row r="1940" spans="1:24" s="1" customFormat="1" ht="35.1" customHeight="1" x14ac:dyDescent="0.3">
      <c r="A1940" s="23" t="s">
        <v>2392</v>
      </c>
      <c r="B1940" s="23" t="s">
        <v>2566</v>
      </c>
      <c r="C1940" s="12" t="s">
        <v>2569</v>
      </c>
      <c r="D1940" s="84"/>
      <c r="E1940" s="69" t="str">
        <f>HYPERLINK("https://www.google.ru/search?q=C1UPW-G&amp;newwindow=1&amp;tbm=isch","Еще фото")</f>
        <v>Еще фото</v>
      </c>
      <c r="F1940" s="13"/>
      <c r="G1940" s="23" t="s">
        <v>2491</v>
      </c>
      <c r="H1940" s="23" t="s">
        <v>112</v>
      </c>
      <c r="I1940" s="23" t="s">
        <v>825</v>
      </c>
      <c r="J1940" s="14" t="s">
        <v>2401</v>
      </c>
      <c r="K1940" s="15" t="s">
        <v>47</v>
      </c>
      <c r="L1940" s="87"/>
      <c r="M1940" s="14"/>
      <c r="N1940" s="14" t="s">
        <v>242</v>
      </c>
      <c r="O1940" s="14"/>
      <c r="P1940" s="15" t="s">
        <v>2403</v>
      </c>
      <c r="Q1940" s="16">
        <v>6999</v>
      </c>
      <c r="R1940" s="17">
        <v>45.02</v>
      </c>
      <c r="S1940" s="18">
        <v>4424.9354999999996</v>
      </c>
      <c r="T1940" s="19" t="s">
        <v>117</v>
      </c>
      <c r="U1940" s="20" t="s">
        <v>2437</v>
      </c>
      <c r="V1940" s="25" t="s">
        <v>829</v>
      </c>
      <c r="W1940" s="21">
        <v>3</v>
      </c>
      <c r="X1940" s="22"/>
    </row>
    <row r="1941" spans="1:24" s="1" customFormat="1" ht="36.950000000000003" customHeight="1" x14ac:dyDescent="0.3">
      <c r="A1941" s="23" t="s">
        <v>2392</v>
      </c>
      <c r="B1941" s="23" t="s">
        <v>2566</v>
      </c>
      <c r="C1941" s="12" t="s">
        <v>2569</v>
      </c>
      <c r="D1941" s="85"/>
      <c r="E1941" s="69" t="str">
        <f>HYPERLINK("https://www.google.ru/search?q=C1UPW-G&amp;newwindow=1&amp;tbm=isch","Еще фото")</f>
        <v>Еще фото</v>
      </c>
      <c r="F1941" s="13"/>
      <c r="G1941" s="23" t="s">
        <v>2491</v>
      </c>
      <c r="H1941" s="23" t="s">
        <v>112</v>
      </c>
      <c r="I1941" s="23" t="s">
        <v>825</v>
      </c>
      <c r="J1941" s="14" t="s">
        <v>2401</v>
      </c>
      <c r="K1941" s="15" t="s">
        <v>47</v>
      </c>
      <c r="L1941" s="88"/>
      <c r="M1941" s="14"/>
      <c r="N1941" s="14" t="s">
        <v>242</v>
      </c>
      <c r="O1941" s="14"/>
      <c r="P1941" s="15" t="s">
        <v>2403</v>
      </c>
      <c r="Q1941" s="16">
        <v>6999</v>
      </c>
      <c r="R1941" s="17">
        <v>45.02</v>
      </c>
      <c r="S1941" s="18">
        <v>4424.9354999999996</v>
      </c>
      <c r="T1941" s="19" t="s">
        <v>117</v>
      </c>
      <c r="U1941" s="20" t="s">
        <v>2410</v>
      </c>
      <c r="V1941" s="25" t="s">
        <v>830</v>
      </c>
      <c r="W1941" s="21">
        <v>3</v>
      </c>
      <c r="X1941" s="22"/>
    </row>
    <row r="1942" spans="1:24" s="1" customFormat="1" ht="51.95" customHeight="1" x14ac:dyDescent="0.3">
      <c r="A1942" s="11" t="s">
        <v>2392</v>
      </c>
      <c r="B1942" s="11" t="s">
        <v>2451</v>
      </c>
      <c r="C1942" s="12" t="s">
        <v>2570</v>
      </c>
      <c r="D1942" s="89"/>
      <c r="E1942" s="69" t="str">
        <f>HYPERLINK("https://www.google.ru/search?q=C005M-0&amp;newwindow=1&amp;tbm=isch","Еще фото")</f>
        <v>Еще фото</v>
      </c>
      <c r="F1942" s="13"/>
      <c r="G1942" s="11" t="s">
        <v>824</v>
      </c>
      <c r="H1942" s="11" t="s">
        <v>112</v>
      </c>
      <c r="I1942" s="14" t="s">
        <v>825</v>
      </c>
      <c r="J1942" s="14" t="s">
        <v>406</v>
      </c>
      <c r="K1942" s="15" t="s">
        <v>55</v>
      </c>
      <c r="L1942" s="86" t="s">
        <v>2453</v>
      </c>
      <c r="M1942" s="14"/>
      <c r="N1942" s="14" t="s">
        <v>89</v>
      </c>
      <c r="O1942" s="14"/>
      <c r="P1942" s="15" t="s">
        <v>2454</v>
      </c>
      <c r="Q1942" s="16">
        <v>2629</v>
      </c>
      <c r="R1942" s="17">
        <v>40</v>
      </c>
      <c r="S1942" s="18">
        <v>1814.01</v>
      </c>
      <c r="T1942" s="19" t="s">
        <v>117</v>
      </c>
      <c r="U1942" s="20" t="s">
        <v>2437</v>
      </c>
      <c r="V1942" s="25" t="s">
        <v>2443</v>
      </c>
      <c r="W1942" s="21">
        <v>2</v>
      </c>
      <c r="X1942" s="22"/>
    </row>
    <row r="1943" spans="1:24" s="1" customFormat="1" ht="60.95" customHeight="1" x14ac:dyDescent="0.3">
      <c r="A1943" s="23" t="s">
        <v>2392</v>
      </c>
      <c r="B1943" s="23" t="s">
        <v>2451</v>
      </c>
      <c r="C1943" s="12" t="s">
        <v>2570</v>
      </c>
      <c r="D1943" s="90"/>
      <c r="E1943" s="69" t="str">
        <f>HYPERLINK("https://www.google.ru/search?q=C005M-0&amp;newwindow=1&amp;tbm=isch","Еще фото")</f>
        <v>Еще фото</v>
      </c>
      <c r="F1943" s="13"/>
      <c r="G1943" s="23" t="s">
        <v>824</v>
      </c>
      <c r="H1943" s="23" t="s">
        <v>112</v>
      </c>
      <c r="I1943" s="23" t="s">
        <v>825</v>
      </c>
      <c r="J1943" s="14" t="s">
        <v>406</v>
      </c>
      <c r="K1943" s="15" t="s">
        <v>55</v>
      </c>
      <c r="L1943" s="88"/>
      <c r="M1943" s="14"/>
      <c r="N1943" s="14" t="s">
        <v>89</v>
      </c>
      <c r="O1943" s="14"/>
      <c r="P1943" s="15" t="s">
        <v>2454</v>
      </c>
      <c r="Q1943" s="16">
        <v>2629</v>
      </c>
      <c r="R1943" s="17">
        <v>40</v>
      </c>
      <c r="S1943" s="18">
        <v>1814.01</v>
      </c>
      <c r="T1943" s="19" t="s">
        <v>117</v>
      </c>
      <c r="U1943" s="20" t="s">
        <v>2444</v>
      </c>
      <c r="V1943" s="25" t="s">
        <v>2445</v>
      </c>
      <c r="W1943" s="21">
        <v>4</v>
      </c>
      <c r="X1943" s="22"/>
    </row>
    <row r="1944" spans="1:24" s="1" customFormat="1" ht="108" customHeight="1" x14ac:dyDescent="0.3">
      <c r="A1944" s="11" t="s">
        <v>2392</v>
      </c>
      <c r="B1944" s="11" t="s">
        <v>2451</v>
      </c>
      <c r="C1944" s="12" t="s">
        <v>2571</v>
      </c>
      <c r="D1944" s="24"/>
      <c r="E1944" s="69" t="str">
        <f>HYPERLINK("https://www.google.ru/search?q=C005M-5Y&amp;newwindow=1&amp;tbm=isch","Еще фото")</f>
        <v>Еще фото</v>
      </c>
      <c r="F1944" s="13"/>
      <c r="G1944" s="11" t="s">
        <v>824</v>
      </c>
      <c r="H1944" s="11" t="s">
        <v>112</v>
      </c>
      <c r="I1944" s="14" t="s">
        <v>825</v>
      </c>
      <c r="J1944" s="14" t="s">
        <v>406</v>
      </c>
      <c r="K1944" s="15" t="s">
        <v>55</v>
      </c>
      <c r="L1944" s="14" t="s">
        <v>2453</v>
      </c>
      <c r="M1944" s="14"/>
      <c r="N1944" s="14" t="s">
        <v>2549</v>
      </c>
      <c r="O1944" s="14"/>
      <c r="P1944" s="15" t="s">
        <v>2454</v>
      </c>
      <c r="Q1944" s="16">
        <v>2629</v>
      </c>
      <c r="R1944" s="17">
        <v>40</v>
      </c>
      <c r="S1944" s="18">
        <v>1814.01</v>
      </c>
      <c r="T1944" s="19" t="s">
        <v>117</v>
      </c>
      <c r="U1944" s="20" t="s">
        <v>2437</v>
      </c>
      <c r="V1944" s="25" t="s">
        <v>2443</v>
      </c>
      <c r="W1944" s="21">
        <v>2</v>
      </c>
      <c r="X1944" s="22"/>
    </row>
    <row r="1945" spans="1:24" s="1" customFormat="1" ht="108" customHeight="1" x14ac:dyDescent="0.3">
      <c r="A1945" s="11" t="s">
        <v>2392</v>
      </c>
      <c r="B1945" s="11" t="s">
        <v>2451</v>
      </c>
      <c r="C1945" s="12" t="s">
        <v>2572</v>
      </c>
      <c r="D1945" s="24"/>
      <c r="E1945" s="69" t="str">
        <f>HYPERLINK("https://www.google.ru/search?q=C005W-4&amp;newwindow=1&amp;tbm=isch","Еще фото")</f>
        <v>Еще фото</v>
      </c>
      <c r="F1945" s="13"/>
      <c r="G1945" s="11" t="s">
        <v>824</v>
      </c>
      <c r="H1945" s="11" t="s">
        <v>112</v>
      </c>
      <c r="I1945" s="14" t="s">
        <v>825</v>
      </c>
      <c r="J1945" s="14" t="s">
        <v>406</v>
      </c>
      <c r="K1945" s="15" t="s">
        <v>47</v>
      </c>
      <c r="L1945" s="14" t="s">
        <v>2573</v>
      </c>
      <c r="M1945" s="14"/>
      <c r="N1945" s="14" t="s">
        <v>275</v>
      </c>
      <c r="O1945" s="14"/>
      <c r="P1945" s="15" t="s">
        <v>2454</v>
      </c>
      <c r="Q1945" s="16">
        <v>2629</v>
      </c>
      <c r="R1945" s="17">
        <v>40</v>
      </c>
      <c r="S1945" s="18">
        <v>1814.01</v>
      </c>
      <c r="T1945" s="19" t="s">
        <v>117</v>
      </c>
      <c r="U1945" s="20" t="s">
        <v>2437</v>
      </c>
      <c r="V1945" s="25" t="s">
        <v>829</v>
      </c>
      <c r="W1945" s="21">
        <v>1</v>
      </c>
      <c r="X1945" s="22"/>
    </row>
    <row r="1946" spans="1:24" s="1" customFormat="1" ht="108" customHeight="1" x14ac:dyDescent="0.3">
      <c r="A1946" s="11" t="s">
        <v>2392</v>
      </c>
      <c r="B1946" s="11" t="s">
        <v>2451</v>
      </c>
      <c r="C1946" s="12" t="s">
        <v>2574</v>
      </c>
      <c r="D1946" s="24"/>
      <c r="E1946" s="69" t="str">
        <f>HYPERLINK("https://www.google.ru/search?q=C005W-YB&amp;newwindow=1&amp;tbm=isch","Еще фото")</f>
        <v>Еще фото</v>
      </c>
      <c r="F1946" s="13"/>
      <c r="G1946" s="11" t="s">
        <v>824</v>
      </c>
      <c r="H1946" s="11" t="s">
        <v>112</v>
      </c>
      <c r="I1946" s="14" t="s">
        <v>825</v>
      </c>
      <c r="J1946" s="14" t="s">
        <v>406</v>
      </c>
      <c r="K1946" s="15" t="s">
        <v>47</v>
      </c>
      <c r="L1946" s="14" t="s">
        <v>2573</v>
      </c>
      <c r="M1946" s="14"/>
      <c r="N1946" s="14" t="s">
        <v>2575</v>
      </c>
      <c r="O1946" s="14"/>
      <c r="P1946" s="15" t="s">
        <v>2454</v>
      </c>
      <c r="Q1946" s="16">
        <v>2629</v>
      </c>
      <c r="R1946" s="17">
        <v>40</v>
      </c>
      <c r="S1946" s="18">
        <v>1814.01</v>
      </c>
      <c r="T1946" s="19" t="s">
        <v>117</v>
      </c>
      <c r="U1946" s="20" t="s">
        <v>2404</v>
      </c>
      <c r="V1946" s="25" t="s">
        <v>828</v>
      </c>
      <c r="W1946" s="21">
        <v>1</v>
      </c>
      <c r="X1946" s="22"/>
    </row>
    <row r="1947" spans="1:24" s="1" customFormat="1" ht="108" customHeight="1" x14ac:dyDescent="0.3">
      <c r="A1947" s="11" t="s">
        <v>2392</v>
      </c>
      <c r="B1947" s="11" t="s">
        <v>2502</v>
      </c>
      <c r="C1947" s="12" t="s">
        <v>2576</v>
      </c>
      <c r="D1947" s="24"/>
      <c r="E1947" s="69" t="str">
        <f>HYPERLINK("https://www.google.ru/search?q=C053W-2&amp;newwindow=1&amp;tbm=isch","Еще фото")</f>
        <v>Еще фото</v>
      </c>
      <c r="F1947" s="13"/>
      <c r="G1947" s="11" t="s">
        <v>2577</v>
      </c>
      <c r="H1947" s="11" t="s">
        <v>112</v>
      </c>
      <c r="I1947" s="14" t="s">
        <v>825</v>
      </c>
      <c r="J1947" s="14" t="s">
        <v>29</v>
      </c>
      <c r="K1947" s="15" t="s">
        <v>47</v>
      </c>
      <c r="L1947" s="14" t="s">
        <v>2578</v>
      </c>
      <c r="M1947" s="14"/>
      <c r="N1947" s="14" t="s">
        <v>49</v>
      </c>
      <c r="O1947" s="14"/>
      <c r="P1947" s="15" t="s">
        <v>2579</v>
      </c>
      <c r="Q1947" s="16">
        <v>2949</v>
      </c>
      <c r="R1947" s="17">
        <v>40</v>
      </c>
      <c r="S1947" s="18">
        <v>2034.81</v>
      </c>
      <c r="T1947" s="19" t="s">
        <v>117</v>
      </c>
      <c r="U1947" s="20" t="s">
        <v>2437</v>
      </c>
      <c r="V1947" s="25" t="s">
        <v>829</v>
      </c>
      <c r="W1947" s="21">
        <v>3</v>
      </c>
      <c r="X1947" s="22"/>
    </row>
    <row r="1948" spans="1:24" s="1" customFormat="1" ht="108" customHeight="1" x14ac:dyDescent="0.3">
      <c r="A1948" s="11" t="s">
        <v>2392</v>
      </c>
      <c r="B1948" s="11" t="s">
        <v>2502</v>
      </c>
      <c r="C1948" s="12" t="s">
        <v>2580</v>
      </c>
      <c r="D1948" s="24"/>
      <c r="E1948" s="69" t="str">
        <f>HYPERLINK("https://www.google.ru/search?q=C053W-N&amp;newwindow=1&amp;tbm=isch","Еще фото")</f>
        <v>Еще фото</v>
      </c>
      <c r="F1948" s="13"/>
      <c r="G1948" s="11" t="s">
        <v>2577</v>
      </c>
      <c r="H1948" s="11" t="s">
        <v>112</v>
      </c>
      <c r="I1948" s="14" t="s">
        <v>825</v>
      </c>
      <c r="J1948" s="14" t="s">
        <v>29</v>
      </c>
      <c r="K1948" s="15" t="s">
        <v>47</v>
      </c>
      <c r="L1948" s="14" t="s">
        <v>2581</v>
      </c>
      <c r="M1948" s="14"/>
      <c r="N1948" s="14" t="s">
        <v>2582</v>
      </c>
      <c r="O1948" s="14"/>
      <c r="P1948" s="15" t="s">
        <v>2583</v>
      </c>
      <c r="Q1948" s="16">
        <v>2949</v>
      </c>
      <c r="R1948" s="17">
        <v>40</v>
      </c>
      <c r="S1948" s="18">
        <v>2034.81</v>
      </c>
      <c r="T1948" s="19" t="s">
        <v>117</v>
      </c>
      <c r="U1948" s="20" t="s">
        <v>2404</v>
      </c>
      <c r="V1948" s="25" t="s">
        <v>828</v>
      </c>
      <c r="W1948" s="21">
        <v>3</v>
      </c>
      <c r="X1948" s="22"/>
    </row>
    <row r="1949" spans="1:24" s="1" customFormat="1" ht="51.95" customHeight="1" x14ac:dyDescent="0.3">
      <c r="A1949" s="11" t="s">
        <v>2392</v>
      </c>
      <c r="B1949" s="11" t="s">
        <v>2456</v>
      </c>
      <c r="C1949" s="12" t="s">
        <v>2584</v>
      </c>
      <c r="D1949" s="89"/>
      <c r="E1949" s="69" t="str">
        <f>HYPERLINK("https://www.google.ru/search?q=C095M-0&amp;newwindow=1&amp;tbm=isch","Еще фото")</f>
        <v>Еще фото</v>
      </c>
      <c r="F1949" s="13"/>
      <c r="G1949" s="11" t="s">
        <v>824</v>
      </c>
      <c r="H1949" s="11" t="s">
        <v>112</v>
      </c>
      <c r="I1949" s="14" t="s">
        <v>825</v>
      </c>
      <c r="J1949" s="14" t="s">
        <v>406</v>
      </c>
      <c r="K1949" s="15" t="s">
        <v>55</v>
      </c>
      <c r="L1949" s="86" t="s">
        <v>2585</v>
      </c>
      <c r="M1949" s="14"/>
      <c r="N1949" s="14" t="s">
        <v>89</v>
      </c>
      <c r="O1949" s="14"/>
      <c r="P1949" s="15" t="s">
        <v>2459</v>
      </c>
      <c r="Q1949" s="16">
        <v>2629</v>
      </c>
      <c r="R1949" s="17">
        <v>40</v>
      </c>
      <c r="S1949" s="18">
        <v>1814.01</v>
      </c>
      <c r="T1949" s="19" t="s">
        <v>117</v>
      </c>
      <c r="U1949" s="20" t="s">
        <v>2437</v>
      </c>
      <c r="V1949" s="25" t="s">
        <v>2443</v>
      </c>
      <c r="W1949" s="21">
        <v>1</v>
      </c>
      <c r="X1949" s="22"/>
    </row>
    <row r="1950" spans="1:24" s="1" customFormat="1" ht="60.95" customHeight="1" x14ac:dyDescent="0.3">
      <c r="A1950" s="23" t="s">
        <v>2392</v>
      </c>
      <c r="B1950" s="23" t="s">
        <v>2456</v>
      </c>
      <c r="C1950" s="12" t="s">
        <v>2584</v>
      </c>
      <c r="D1950" s="90"/>
      <c r="E1950" s="69" t="str">
        <f>HYPERLINK("https://www.google.ru/search?q=C095M-0&amp;newwindow=1&amp;tbm=isch","Еще фото")</f>
        <v>Еще фото</v>
      </c>
      <c r="F1950" s="13"/>
      <c r="G1950" s="23" t="s">
        <v>824</v>
      </c>
      <c r="H1950" s="23" t="s">
        <v>112</v>
      </c>
      <c r="I1950" s="23" t="s">
        <v>825</v>
      </c>
      <c r="J1950" s="14" t="s">
        <v>406</v>
      </c>
      <c r="K1950" s="15" t="s">
        <v>55</v>
      </c>
      <c r="L1950" s="88"/>
      <c r="M1950" s="14"/>
      <c r="N1950" s="14" t="s">
        <v>89</v>
      </c>
      <c r="O1950" s="14"/>
      <c r="P1950" s="15" t="s">
        <v>2459</v>
      </c>
      <c r="Q1950" s="16">
        <v>2629</v>
      </c>
      <c r="R1950" s="17">
        <v>40</v>
      </c>
      <c r="S1950" s="18">
        <v>1814.01</v>
      </c>
      <c r="T1950" s="19" t="s">
        <v>117</v>
      </c>
      <c r="U1950" s="20" t="s">
        <v>2444</v>
      </c>
      <c r="V1950" s="25" t="s">
        <v>2445</v>
      </c>
      <c r="W1950" s="21">
        <v>12</v>
      </c>
      <c r="X1950" s="22"/>
    </row>
    <row r="1951" spans="1:24" s="1" customFormat="1" ht="108" customHeight="1" x14ac:dyDescent="0.3">
      <c r="A1951" s="11" t="s">
        <v>2392</v>
      </c>
      <c r="B1951" s="11" t="s">
        <v>2456</v>
      </c>
      <c r="C1951" s="12" t="s">
        <v>2586</v>
      </c>
      <c r="D1951" s="24"/>
      <c r="E1951" s="69" t="str">
        <f>HYPERLINK("https://www.google.ru/search?q=C095M-3&amp;newwindow=1&amp;tbm=isch","Еще фото")</f>
        <v>Еще фото</v>
      </c>
      <c r="F1951" s="13"/>
      <c r="G1951" s="11" t="s">
        <v>824</v>
      </c>
      <c r="H1951" s="11" t="s">
        <v>112</v>
      </c>
      <c r="I1951" s="14" t="s">
        <v>825</v>
      </c>
      <c r="J1951" s="14" t="s">
        <v>406</v>
      </c>
      <c r="K1951" s="15" t="s">
        <v>55</v>
      </c>
      <c r="L1951" s="14" t="s">
        <v>2585</v>
      </c>
      <c r="M1951" s="14"/>
      <c r="N1951" s="14" t="s">
        <v>70</v>
      </c>
      <c r="O1951" s="14"/>
      <c r="P1951" s="15" t="s">
        <v>2459</v>
      </c>
      <c r="Q1951" s="16">
        <v>2629</v>
      </c>
      <c r="R1951" s="17">
        <v>40</v>
      </c>
      <c r="S1951" s="18">
        <v>1814.01</v>
      </c>
      <c r="T1951" s="19" t="s">
        <v>117</v>
      </c>
      <c r="U1951" s="20" t="s">
        <v>2437</v>
      </c>
      <c r="V1951" s="25" t="s">
        <v>2443</v>
      </c>
      <c r="W1951" s="21">
        <v>14</v>
      </c>
      <c r="X1951" s="22"/>
    </row>
    <row r="1952" spans="1:24" s="1" customFormat="1" ht="51.95" customHeight="1" x14ac:dyDescent="0.3">
      <c r="A1952" s="11" t="s">
        <v>2392</v>
      </c>
      <c r="B1952" s="11" t="s">
        <v>2456</v>
      </c>
      <c r="C1952" s="12" t="s">
        <v>2587</v>
      </c>
      <c r="D1952" s="89"/>
      <c r="E1952" s="69" t="str">
        <f>HYPERLINK("https://www.google.ru/search?q=C095M-5&amp;newwindow=1&amp;tbm=isch","Еще фото")</f>
        <v>Еще фото</v>
      </c>
      <c r="F1952" s="13"/>
      <c r="G1952" s="11" t="s">
        <v>824</v>
      </c>
      <c r="H1952" s="11" t="s">
        <v>112</v>
      </c>
      <c r="I1952" s="14" t="s">
        <v>825</v>
      </c>
      <c r="J1952" s="14" t="s">
        <v>406</v>
      </c>
      <c r="K1952" s="15" t="s">
        <v>55</v>
      </c>
      <c r="L1952" s="86" t="s">
        <v>2585</v>
      </c>
      <c r="M1952" s="14"/>
      <c r="N1952" s="14" t="s">
        <v>49</v>
      </c>
      <c r="O1952" s="14"/>
      <c r="P1952" s="15" t="s">
        <v>2459</v>
      </c>
      <c r="Q1952" s="16">
        <v>2629</v>
      </c>
      <c r="R1952" s="17">
        <v>40</v>
      </c>
      <c r="S1952" s="18">
        <v>1814.01</v>
      </c>
      <c r="T1952" s="19" t="s">
        <v>117</v>
      </c>
      <c r="U1952" s="20" t="s">
        <v>2437</v>
      </c>
      <c r="V1952" s="25" t="s">
        <v>2443</v>
      </c>
      <c r="W1952" s="21">
        <v>17</v>
      </c>
      <c r="X1952" s="22"/>
    </row>
    <row r="1953" spans="1:24" s="1" customFormat="1" ht="60.95" customHeight="1" x14ac:dyDescent="0.3">
      <c r="A1953" s="23" t="s">
        <v>2392</v>
      </c>
      <c r="B1953" s="23" t="s">
        <v>2456</v>
      </c>
      <c r="C1953" s="12" t="s">
        <v>2587</v>
      </c>
      <c r="D1953" s="90"/>
      <c r="E1953" s="69" t="str">
        <f>HYPERLINK("https://www.google.ru/search?q=C095M-5&amp;newwindow=1&amp;tbm=isch","Еще фото")</f>
        <v>Еще фото</v>
      </c>
      <c r="F1953" s="13"/>
      <c r="G1953" s="23" t="s">
        <v>824</v>
      </c>
      <c r="H1953" s="23" t="s">
        <v>112</v>
      </c>
      <c r="I1953" s="23" t="s">
        <v>825</v>
      </c>
      <c r="J1953" s="14" t="s">
        <v>406</v>
      </c>
      <c r="K1953" s="15" t="s">
        <v>55</v>
      </c>
      <c r="L1953" s="88"/>
      <c r="M1953" s="14"/>
      <c r="N1953" s="14" t="s">
        <v>49</v>
      </c>
      <c r="O1953" s="14"/>
      <c r="P1953" s="15" t="s">
        <v>2459</v>
      </c>
      <c r="Q1953" s="16">
        <v>2629</v>
      </c>
      <c r="R1953" s="17">
        <v>40</v>
      </c>
      <c r="S1953" s="18">
        <v>1814.01</v>
      </c>
      <c r="T1953" s="19" t="s">
        <v>117</v>
      </c>
      <c r="U1953" s="20" t="s">
        <v>2410</v>
      </c>
      <c r="V1953" s="25" t="s">
        <v>65</v>
      </c>
      <c r="W1953" s="21">
        <v>3</v>
      </c>
      <c r="X1953" s="22"/>
    </row>
    <row r="1954" spans="1:24" s="1" customFormat="1" ht="108" customHeight="1" x14ac:dyDescent="0.3">
      <c r="A1954" s="11" t="s">
        <v>2392</v>
      </c>
      <c r="B1954" s="11" t="s">
        <v>2456</v>
      </c>
      <c r="C1954" s="12" t="s">
        <v>2588</v>
      </c>
      <c r="D1954" s="24"/>
      <c r="E1954" s="69" t="str">
        <f>HYPERLINK("https://www.google.ru/search?q=C095M-5Y&amp;newwindow=1&amp;tbm=isch","Еще фото")</f>
        <v>Еще фото</v>
      </c>
      <c r="F1954" s="13"/>
      <c r="G1954" s="11" t="s">
        <v>824</v>
      </c>
      <c r="H1954" s="11" t="s">
        <v>112</v>
      </c>
      <c r="I1954" s="14" t="s">
        <v>825</v>
      </c>
      <c r="J1954" s="14" t="s">
        <v>406</v>
      </c>
      <c r="K1954" s="15" t="s">
        <v>55</v>
      </c>
      <c r="L1954" s="14" t="s">
        <v>2585</v>
      </c>
      <c r="M1954" s="14"/>
      <c r="N1954" s="14" t="s">
        <v>2549</v>
      </c>
      <c r="O1954" s="14"/>
      <c r="P1954" s="15" t="s">
        <v>2459</v>
      </c>
      <c r="Q1954" s="16">
        <v>2629</v>
      </c>
      <c r="R1954" s="17">
        <v>40</v>
      </c>
      <c r="S1954" s="18">
        <v>1814.01</v>
      </c>
      <c r="T1954" s="19" t="s">
        <v>117</v>
      </c>
      <c r="U1954" s="20" t="s">
        <v>2437</v>
      </c>
      <c r="V1954" s="25" t="s">
        <v>2443</v>
      </c>
      <c r="W1954" s="21">
        <v>1</v>
      </c>
      <c r="X1954" s="22"/>
    </row>
    <row r="1955" spans="1:24" s="1" customFormat="1" ht="108" customHeight="1" x14ac:dyDescent="0.3">
      <c r="A1955" s="11" t="s">
        <v>2392</v>
      </c>
      <c r="B1955" s="11" t="s">
        <v>2456</v>
      </c>
      <c r="C1955" s="12" t="s">
        <v>2589</v>
      </c>
      <c r="D1955" s="24"/>
      <c r="E1955" s="69" t="str">
        <f>HYPERLINK("https://www.google.ru/search?q=C095W-YB&amp;newwindow=1&amp;tbm=isch","Еще фото")</f>
        <v>Еще фото</v>
      </c>
      <c r="F1955" s="13"/>
      <c r="G1955" s="11" t="s">
        <v>824</v>
      </c>
      <c r="H1955" s="11" t="s">
        <v>112</v>
      </c>
      <c r="I1955" s="14" t="s">
        <v>825</v>
      </c>
      <c r="J1955" s="14" t="s">
        <v>406</v>
      </c>
      <c r="K1955" s="15" t="s">
        <v>47</v>
      </c>
      <c r="L1955" s="14" t="s">
        <v>2458</v>
      </c>
      <c r="M1955" s="14"/>
      <c r="N1955" s="14" t="s">
        <v>2575</v>
      </c>
      <c r="O1955" s="14"/>
      <c r="P1955" s="15" t="s">
        <v>2459</v>
      </c>
      <c r="Q1955" s="16">
        <v>2629</v>
      </c>
      <c r="R1955" s="17">
        <v>40</v>
      </c>
      <c r="S1955" s="18">
        <v>1814.01</v>
      </c>
      <c r="T1955" s="19" t="s">
        <v>117</v>
      </c>
      <c r="U1955" s="20" t="s">
        <v>2404</v>
      </c>
      <c r="V1955" s="25" t="s">
        <v>828</v>
      </c>
      <c r="W1955" s="21">
        <v>2</v>
      </c>
      <c r="X1955" s="22"/>
    </row>
    <row r="1956" spans="1:24" s="1" customFormat="1" ht="108" customHeight="1" x14ac:dyDescent="0.3">
      <c r="A1956" s="11" t="s">
        <v>2392</v>
      </c>
      <c r="B1956" s="11" t="s">
        <v>2438</v>
      </c>
      <c r="C1956" s="12" t="s">
        <v>2590</v>
      </c>
      <c r="D1956" s="24"/>
      <c r="E1956" s="69" t="str">
        <f>HYPERLINK("https://www.google.ru/search?q=C09UUM-5&amp;newwindow=1&amp;tbm=isch","Еще фото")</f>
        <v>Еще фото</v>
      </c>
      <c r="F1956" s="13"/>
      <c r="G1956" s="11" t="s">
        <v>2463</v>
      </c>
      <c r="H1956" s="11" t="s">
        <v>112</v>
      </c>
      <c r="I1956" s="14" t="s">
        <v>825</v>
      </c>
      <c r="J1956" s="14" t="s">
        <v>406</v>
      </c>
      <c r="K1956" s="15" t="s">
        <v>55</v>
      </c>
      <c r="L1956" s="14" t="s">
        <v>2591</v>
      </c>
      <c r="M1956" s="14"/>
      <c r="N1956" s="14" t="s">
        <v>49</v>
      </c>
      <c r="O1956" s="14" t="s">
        <v>940</v>
      </c>
      <c r="P1956" s="15" t="s">
        <v>2442</v>
      </c>
      <c r="Q1956" s="16">
        <v>2629</v>
      </c>
      <c r="R1956" s="17">
        <v>40</v>
      </c>
      <c r="S1956" s="18">
        <v>1814.01</v>
      </c>
      <c r="T1956" s="19" t="s">
        <v>117</v>
      </c>
      <c r="U1956" s="20" t="s">
        <v>2437</v>
      </c>
      <c r="V1956" s="25" t="s">
        <v>2443</v>
      </c>
      <c r="W1956" s="21">
        <v>2</v>
      </c>
      <c r="X1956" s="22"/>
    </row>
    <row r="1957" spans="1:24" s="1" customFormat="1" ht="108" customHeight="1" x14ac:dyDescent="0.3">
      <c r="A1957" s="11" t="s">
        <v>2392</v>
      </c>
      <c r="B1957" s="11" t="s">
        <v>2438</v>
      </c>
      <c r="C1957" s="12" t="s">
        <v>2592</v>
      </c>
      <c r="D1957" s="24"/>
      <c r="E1957" s="69" t="str">
        <f>HYPERLINK("https://www.google.ru/search?q=C09UUW-0-1&amp;newwindow=1&amp;tbm=isch","Еще фото")</f>
        <v>Еще фото</v>
      </c>
      <c r="F1957" s="13"/>
      <c r="G1957" s="11" t="s">
        <v>2466</v>
      </c>
      <c r="H1957" s="11" t="s">
        <v>112</v>
      </c>
      <c r="I1957" s="14" t="s">
        <v>825</v>
      </c>
      <c r="J1957" s="14" t="s">
        <v>406</v>
      </c>
      <c r="K1957" s="15" t="s">
        <v>47</v>
      </c>
      <c r="L1957" s="14" t="s">
        <v>2469</v>
      </c>
      <c r="M1957" s="14"/>
      <c r="N1957" s="14" t="s">
        <v>89</v>
      </c>
      <c r="O1957" s="14"/>
      <c r="P1957" s="15" t="s">
        <v>2442</v>
      </c>
      <c r="Q1957" s="16">
        <v>2629</v>
      </c>
      <c r="R1957" s="17">
        <v>40</v>
      </c>
      <c r="S1957" s="18">
        <v>1814.01</v>
      </c>
      <c r="T1957" s="19" t="s">
        <v>117</v>
      </c>
      <c r="U1957" s="20" t="s">
        <v>2410</v>
      </c>
      <c r="V1957" s="25" t="s">
        <v>830</v>
      </c>
      <c r="W1957" s="21">
        <v>8</v>
      </c>
      <c r="X1957" s="22"/>
    </row>
    <row r="1958" spans="1:24" s="1" customFormat="1" ht="108" customHeight="1" x14ac:dyDescent="0.3">
      <c r="A1958" s="11" t="s">
        <v>2392</v>
      </c>
      <c r="B1958" s="11" t="s">
        <v>2438</v>
      </c>
      <c r="C1958" s="12" t="s">
        <v>2593</v>
      </c>
      <c r="D1958" s="24"/>
      <c r="E1958" s="69" t="str">
        <f>HYPERLINK("https://www.google.ru/search?q=C0UUM-S3&amp;newwindow=1&amp;tbm=isch","Еще фото")</f>
        <v>Еще фото</v>
      </c>
      <c r="F1958" s="13"/>
      <c r="G1958" s="11" t="s">
        <v>2594</v>
      </c>
      <c r="H1958" s="11" t="s">
        <v>112</v>
      </c>
      <c r="I1958" s="14" t="s">
        <v>825</v>
      </c>
      <c r="J1958" s="14" t="s">
        <v>29</v>
      </c>
      <c r="K1958" s="15" t="s">
        <v>55</v>
      </c>
      <c r="L1958" s="14" t="s">
        <v>2595</v>
      </c>
      <c r="M1958" s="14"/>
      <c r="N1958" s="14" t="s">
        <v>265</v>
      </c>
      <c r="O1958" s="14"/>
      <c r="P1958" s="15" t="s">
        <v>2442</v>
      </c>
      <c r="Q1958" s="16">
        <v>2629</v>
      </c>
      <c r="R1958" s="17">
        <v>40</v>
      </c>
      <c r="S1958" s="18">
        <v>1814.01</v>
      </c>
      <c r="T1958" s="19" t="s">
        <v>117</v>
      </c>
      <c r="U1958" s="20" t="s">
        <v>2437</v>
      </c>
      <c r="V1958" s="25" t="s">
        <v>2443</v>
      </c>
      <c r="W1958" s="21">
        <v>2</v>
      </c>
      <c r="X1958" s="22"/>
    </row>
    <row r="1959" spans="1:24" s="1" customFormat="1" ht="108" customHeight="1" x14ac:dyDescent="0.3">
      <c r="A1959" s="11" t="s">
        <v>2392</v>
      </c>
      <c r="B1959" s="11" t="s">
        <v>2438</v>
      </c>
      <c r="C1959" s="12" t="s">
        <v>2596</v>
      </c>
      <c r="D1959" s="24"/>
      <c r="E1959" s="69" t="str">
        <f>HYPERLINK("https://www.google.ru/search?q=C0UUW-5&amp;newwindow=1&amp;tbm=isch","Еще фото")</f>
        <v>Еще фото</v>
      </c>
      <c r="F1959" s="13"/>
      <c r="G1959" s="11" t="s">
        <v>2474</v>
      </c>
      <c r="H1959" s="11" t="s">
        <v>112</v>
      </c>
      <c r="I1959" s="14" t="s">
        <v>825</v>
      </c>
      <c r="J1959" s="14" t="s">
        <v>29</v>
      </c>
      <c r="K1959" s="15" t="s">
        <v>47</v>
      </c>
      <c r="L1959" s="14" t="s">
        <v>2475</v>
      </c>
      <c r="M1959" s="14"/>
      <c r="N1959" s="14" t="s">
        <v>49</v>
      </c>
      <c r="O1959" s="14" t="s">
        <v>940</v>
      </c>
      <c r="P1959" s="15" t="s">
        <v>2442</v>
      </c>
      <c r="Q1959" s="16">
        <v>2629</v>
      </c>
      <c r="R1959" s="17">
        <v>40</v>
      </c>
      <c r="S1959" s="18">
        <v>1814.01</v>
      </c>
      <c r="T1959" s="19" t="s">
        <v>117</v>
      </c>
      <c r="U1959" s="20" t="s">
        <v>2410</v>
      </c>
      <c r="V1959" s="25" t="s">
        <v>830</v>
      </c>
      <c r="W1959" s="21">
        <v>4</v>
      </c>
      <c r="X1959" s="22"/>
    </row>
    <row r="1960" spans="1:24" s="1" customFormat="1" ht="108" customHeight="1" x14ac:dyDescent="0.3">
      <c r="A1960" s="11" t="s">
        <v>2392</v>
      </c>
      <c r="B1960" s="11" t="s">
        <v>2532</v>
      </c>
      <c r="C1960" s="12" t="s">
        <v>2597</v>
      </c>
      <c r="D1960" s="24"/>
      <c r="E1960" s="69" t="str">
        <f>HYPERLINK("https://www.google.ru/search?q=C105M-5&amp;newwindow=1&amp;tbm=isch","Еще фото")</f>
        <v>Еще фото</v>
      </c>
      <c r="F1960" s="13"/>
      <c r="G1960" s="11" t="s">
        <v>824</v>
      </c>
      <c r="H1960" s="11" t="s">
        <v>112</v>
      </c>
      <c r="I1960" s="14" t="s">
        <v>825</v>
      </c>
      <c r="J1960" s="14" t="s">
        <v>406</v>
      </c>
      <c r="K1960" s="15" t="s">
        <v>55</v>
      </c>
      <c r="L1960" s="14" t="s">
        <v>2598</v>
      </c>
      <c r="M1960" s="14"/>
      <c r="N1960" s="14" t="s">
        <v>49</v>
      </c>
      <c r="O1960" s="14"/>
      <c r="P1960" s="15" t="s">
        <v>2531</v>
      </c>
      <c r="Q1960" s="16">
        <v>2949</v>
      </c>
      <c r="R1960" s="17">
        <v>40</v>
      </c>
      <c r="S1960" s="18">
        <v>2034.81</v>
      </c>
      <c r="T1960" s="19" t="s">
        <v>117</v>
      </c>
      <c r="U1960" s="20" t="s">
        <v>2437</v>
      </c>
      <c r="V1960" s="25" t="s">
        <v>2443</v>
      </c>
      <c r="W1960" s="21">
        <v>10</v>
      </c>
      <c r="X1960" s="22"/>
    </row>
    <row r="1961" spans="1:24" s="1" customFormat="1" ht="35.1" customHeight="1" x14ac:dyDescent="0.3">
      <c r="A1961" s="11" t="s">
        <v>2392</v>
      </c>
      <c r="B1961" s="11" t="s">
        <v>2599</v>
      </c>
      <c r="C1961" s="12" t="s">
        <v>2600</v>
      </c>
      <c r="D1961" s="83"/>
      <c r="E1961" s="69" t="str">
        <f>HYPERLINK("https://www.google.ru/search?q=C105RM-5&amp;newwindow=1&amp;tbm=isch","Еще фото")</f>
        <v>Еще фото</v>
      </c>
      <c r="F1961" s="13"/>
      <c r="G1961" s="11" t="s">
        <v>824</v>
      </c>
      <c r="H1961" s="11" t="s">
        <v>112</v>
      </c>
      <c r="I1961" s="14" t="s">
        <v>825</v>
      </c>
      <c r="J1961" s="14" t="s">
        <v>406</v>
      </c>
      <c r="K1961" s="15" t="s">
        <v>55</v>
      </c>
      <c r="L1961" s="86"/>
      <c r="M1961" s="14"/>
      <c r="N1961" s="14" t="s">
        <v>49</v>
      </c>
      <c r="O1961" s="14"/>
      <c r="P1961" s="15" t="s">
        <v>2531</v>
      </c>
      <c r="Q1961" s="16">
        <v>2949</v>
      </c>
      <c r="R1961" s="17">
        <v>40</v>
      </c>
      <c r="S1961" s="18">
        <v>2034.81</v>
      </c>
      <c r="T1961" s="19" t="s">
        <v>117</v>
      </c>
      <c r="U1961" s="20" t="s">
        <v>2437</v>
      </c>
      <c r="V1961" s="25" t="s">
        <v>2443</v>
      </c>
      <c r="W1961" s="21">
        <v>3</v>
      </c>
      <c r="X1961" s="22"/>
    </row>
    <row r="1962" spans="1:24" s="1" customFormat="1" ht="35.1" customHeight="1" x14ac:dyDescent="0.3">
      <c r="A1962" s="23" t="s">
        <v>2392</v>
      </c>
      <c r="B1962" s="23" t="s">
        <v>2599</v>
      </c>
      <c r="C1962" s="12" t="s">
        <v>2600</v>
      </c>
      <c r="D1962" s="84"/>
      <c r="E1962" s="69" t="str">
        <f>HYPERLINK("https://www.google.ru/search?q=C105RM-5&amp;newwindow=1&amp;tbm=isch","Еще фото")</f>
        <v>Еще фото</v>
      </c>
      <c r="F1962" s="13"/>
      <c r="G1962" s="23" t="s">
        <v>824</v>
      </c>
      <c r="H1962" s="23" t="s">
        <v>112</v>
      </c>
      <c r="I1962" s="23" t="s">
        <v>825</v>
      </c>
      <c r="J1962" s="14" t="s">
        <v>406</v>
      </c>
      <c r="K1962" s="15" t="s">
        <v>55</v>
      </c>
      <c r="L1962" s="87"/>
      <c r="M1962" s="14"/>
      <c r="N1962" s="14" t="s">
        <v>49</v>
      </c>
      <c r="O1962" s="14"/>
      <c r="P1962" s="15" t="s">
        <v>2531</v>
      </c>
      <c r="Q1962" s="16">
        <v>2949</v>
      </c>
      <c r="R1962" s="17">
        <v>40</v>
      </c>
      <c r="S1962" s="18">
        <v>2034.81</v>
      </c>
      <c r="T1962" s="19" t="s">
        <v>117</v>
      </c>
      <c r="U1962" s="20" t="s">
        <v>2410</v>
      </c>
      <c r="V1962" s="25" t="s">
        <v>65</v>
      </c>
      <c r="W1962" s="21">
        <v>1</v>
      </c>
      <c r="X1962" s="22"/>
    </row>
    <row r="1963" spans="1:24" s="1" customFormat="1" ht="36.950000000000003" customHeight="1" x14ac:dyDescent="0.3">
      <c r="A1963" s="23" t="s">
        <v>2392</v>
      </c>
      <c r="B1963" s="23" t="s">
        <v>2599</v>
      </c>
      <c r="C1963" s="12" t="s">
        <v>2600</v>
      </c>
      <c r="D1963" s="85"/>
      <c r="E1963" s="69" t="str">
        <f>HYPERLINK("https://www.google.ru/search?q=C105RM-5&amp;newwindow=1&amp;tbm=isch","Еще фото")</f>
        <v>Еще фото</v>
      </c>
      <c r="F1963" s="13"/>
      <c r="G1963" s="23" t="s">
        <v>824</v>
      </c>
      <c r="H1963" s="23" t="s">
        <v>112</v>
      </c>
      <c r="I1963" s="23" t="s">
        <v>825</v>
      </c>
      <c r="J1963" s="14" t="s">
        <v>406</v>
      </c>
      <c r="K1963" s="15" t="s">
        <v>55</v>
      </c>
      <c r="L1963" s="88"/>
      <c r="M1963" s="14"/>
      <c r="N1963" s="14" t="s">
        <v>49</v>
      </c>
      <c r="O1963" s="14"/>
      <c r="P1963" s="15" t="s">
        <v>2531</v>
      </c>
      <c r="Q1963" s="16">
        <v>2949</v>
      </c>
      <c r="R1963" s="17">
        <v>40</v>
      </c>
      <c r="S1963" s="18">
        <v>2034.81</v>
      </c>
      <c r="T1963" s="19" t="s">
        <v>117</v>
      </c>
      <c r="U1963" s="20" t="s">
        <v>2444</v>
      </c>
      <c r="V1963" s="25" t="s">
        <v>2445</v>
      </c>
      <c r="W1963" s="21">
        <v>4</v>
      </c>
      <c r="X1963" s="22"/>
    </row>
    <row r="1964" spans="1:24" s="1" customFormat="1" ht="108" customHeight="1" x14ac:dyDescent="0.3">
      <c r="A1964" s="11" t="s">
        <v>2392</v>
      </c>
      <c r="B1964" s="11" t="s">
        <v>2601</v>
      </c>
      <c r="C1964" s="12" t="s">
        <v>2602</v>
      </c>
      <c r="D1964" s="24"/>
      <c r="E1964" s="69" t="str">
        <f>HYPERLINK("https://www.google.ru/search?q=C124W-NB&amp;newwindow=1&amp;tbm=isch","Еще фото")</f>
        <v>Еще фото</v>
      </c>
      <c r="F1964" s="13"/>
      <c r="G1964" s="11" t="s">
        <v>2556</v>
      </c>
      <c r="H1964" s="11" t="s">
        <v>112</v>
      </c>
      <c r="I1964" s="14" t="s">
        <v>825</v>
      </c>
      <c r="J1964" s="14" t="s">
        <v>29</v>
      </c>
      <c r="K1964" s="15" t="s">
        <v>47</v>
      </c>
      <c r="L1964" s="14" t="s">
        <v>2603</v>
      </c>
      <c r="M1964" s="14"/>
      <c r="N1964" s="14" t="s">
        <v>70</v>
      </c>
      <c r="O1964" s="14" t="s">
        <v>940</v>
      </c>
      <c r="P1964" s="15" t="s">
        <v>2540</v>
      </c>
      <c r="Q1964" s="16">
        <v>6309</v>
      </c>
      <c r="R1964" s="17">
        <v>40</v>
      </c>
      <c r="S1964" s="18">
        <v>4353.21</v>
      </c>
      <c r="T1964" s="19" t="s">
        <v>117</v>
      </c>
      <c r="U1964" s="20" t="s">
        <v>2404</v>
      </c>
      <c r="V1964" s="25" t="s">
        <v>828</v>
      </c>
      <c r="W1964" s="21">
        <v>1</v>
      </c>
      <c r="X1964" s="22"/>
    </row>
    <row r="1965" spans="1:24" s="1" customFormat="1" ht="108" customHeight="1" x14ac:dyDescent="0.3">
      <c r="A1965" s="11" t="s">
        <v>2392</v>
      </c>
      <c r="B1965" s="11" t="s">
        <v>2486</v>
      </c>
      <c r="C1965" s="12" t="s">
        <v>2604</v>
      </c>
      <c r="D1965" s="24"/>
      <c r="E1965" s="69" t="str">
        <f>HYPERLINK("https://www.google.ru/search?q=C125M-3&amp;newwindow=1&amp;tbm=isch","Еще фото")</f>
        <v>Еще фото</v>
      </c>
      <c r="F1965" s="13"/>
      <c r="G1965" s="11" t="s">
        <v>824</v>
      </c>
      <c r="H1965" s="11" t="s">
        <v>112</v>
      </c>
      <c r="I1965" s="14" t="s">
        <v>825</v>
      </c>
      <c r="J1965" s="14" t="s">
        <v>406</v>
      </c>
      <c r="K1965" s="15" t="s">
        <v>55</v>
      </c>
      <c r="L1965" s="14" t="s">
        <v>2488</v>
      </c>
      <c r="M1965" s="14"/>
      <c r="N1965" s="14" t="s">
        <v>70</v>
      </c>
      <c r="O1965" s="14"/>
      <c r="P1965" s="15" t="s">
        <v>2470</v>
      </c>
      <c r="Q1965" s="16">
        <v>6309</v>
      </c>
      <c r="R1965" s="17">
        <v>40</v>
      </c>
      <c r="S1965" s="18">
        <v>4353.21</v>
      </c>
      <c r="T1965" s="19" t="s">
        <v>117</v>
      </c>
      <c r="U1965" s="20" t="s">
        <v>2437</v>
      </c>
      <c r="V1965" s="25" t="s">
        <v>2443</v>
      </c>
      <c r="W1965" s="21">
        <v>5</v>
      </c>
      <c r="X1965" s="22"/>
    </row>
    <row r="1966" spans="1:24" s="1" customFormat="1" ht="51.95" customHeight="1" x14ac:dyDescent="0.3">
      <c r="A1966" s="11" t="s">
        <v>2392</v>
      </c>
      <c r="B1966" s="11" t="s">
        <v>2486</v>
      </c>
      <c r="C1966" s="12" t="s">
        <v>2605</v>
      </c>
      <c r="D1966" s="89"/>
      <c r="E1966" s="69" t="str">
        <f>HYPERLINK("https://www.google.ru/search?q=C125W-4&amp;newwindow=1&amp;tbm=isch","Еще фото")</f>
        <v>Еще фото</v>
      </c>
      <c r="F1966" s="13"/>
      <c r="G1966" s="11" t="s">
        <v>824</v>
      </c>
      <c r="H1966" s="11" t="s">
        <v>112</v>
      </c>
      <c r="I1966" s="14" t="s">
        <v>825</v>
      </c>
      <c r="J1966" s="14" t="s">
        <v>406</v>
      </c>
      <c r="K1966" s="15" t="s">
        <v>47</v>
      </c>
      <c r="L1966" s="86" t="s">
        <v>2497</v>
      </c>
      <c r="M1966" s="14"/>
      <c r="N1966" s="14" t="s">
        <v>275</v>
      </c>
      <c r="O1966" s="14"/>
      <c r="P1966" s="15" t="s">
        <v>2470</v>
      </c>
      <c r="Q1966" s="16">
        <v>6309</v>
      </c>
      <c r="R1966" s="17">
        <v>40</v>
      </c>
      <c r="S1966" s="18">
        <v>4353.21</v>
      </c>
      <c r="T1966" s="19" t="s">
        <v>117</v>
      </c>
      <c r="U1966" s="20" t="s">
        <v>2404</v>
      </c>
      <c r="V1966" s="25" t="s">
        <v>828</v>
      </c>
      <c r="W1966" s="21">
        <v>1</v>
      </c>
      <c r="X1966" s="22"/>
    </row>
    <row r="1967" spans="1:24" s="1" customFormat="1" ht="60.95" customHeight="1" x14ac:dyDescent="0.3">
      <c r="A1967" s="23" t="s">
        <v>2392</v>
      </c>
      <c r="B1967" s="23" t="s">
        <v>2486</v>
      </c>
      <c r="C1967" s="12" t="s">
        <v>2605</v>
      </c>
      <c r="D1967" s="90"/>
      <c r="E1967" s="69" t="str">
        <f>HYPERLINK("https://www.google.ru/search?q=C125W-4&amp;newwindow=1&amp;tbm=isch","Еще фото")</f>
        <v>Еще фото</v>
      </c>
      <c r="F1967" s="13"/>
      <c r="G1967" s="23" t="s">
        <v>824</v>
      </c>
      <c r="H1967" s="23" t="s">
        <v>112</v>
      </c>
      <c r="I1967" s="23" t="s">
        <v>825</v>
      </c>
      <c r="J1967" s="14" t="s">
        <v>406</v>
      </c>
      <c r="K1967" s="15" t="s">
        <v>47</v>
      </c>
      <c r="L1967" s="88"/>
      <c r="M1967" s="14"/>
      <c r="N1967" s="14" t="s">
        <v>275</v>
      </c>
      <c r="O1967" s="14"/>
      <c r="P1967" s="15" t="s">
        <v>2470</v>
      </c>
      <c r="Q1967" s="16">
        <v>6309</v>
      </c>
      <c r="R1967" s="17">
        <v>40</v>
      </c>
      <c r="S1967" s="18">
        <v>4353.21</v>
      </c>
      <c r="T1967" s="19" t="s">
        <v>117</v>
      </c>
      <c r="U1967" s="20" t="s">
        <v>2410</v>
      </c>
      <c r="V1967" s="25" t="s">
        <v>830</v>
      </c>
      <c r="W1967" s="21">
        <v>6</v>
      </c>
      <c r="X1967" s="22"/>
    </row>
    <row r="1968" spans="1:24" s="1" customFormat="1" ht="51.95" customHeight="1" x14ac:dyDescent="0.3">
      <c r="A1968" s="11" t="s">
        <v>2392</v>
      </c>
      <c r="B1968" s="11" t="s">
        <v>2486</v>
      </c>
      <c r="C1968" s="12" t="s">
        <v>2606</v>
      </c>
      <c r="D1968" s="89"/>
      <c r="E1968" s="69" t="str">
        <f>HYPERLINK("https://www.google.ru/search?q=C125W-5&amp;newwindow=1&amp;tbm=isch","Еще фото")</f>
        <v>Еще фото</v>
      </c>
      <c r="F1968" s="13"/>
      <c r="G1968" s="11" t="s">
        <v>824</v>
      </c>
      <c r="H1968" s="11" t="s">
        <v>112</v>
      </c>
      <c r="I1968" s="14" t="s">
        <v>825</v>
      </c>
      <c r="J1968" s="14" t="s">
        <v>406</v>
      </c>
      <c r="K1968" s="15" t="s">
        <v>47</v>
      </c>
      <c r="L1968" s="86" t="s">
        <v>2497</v>
      </c>
      <c r="M1968" s="14"/>
      <c r="N1968" s="14" t="s">
        <v>49</v>
      </c>
      <c r="O1968" s="14"/>
      <c r="P1968" s="15" t="s">
        <v>2470</v>
      </c>
      <c r="Q1968" s="16">
        <v>6309</v>
      </c>
      <c r="R1968" s="17">
        <v>40</v>
      </c>
      <c r="S1968" s="18">
        <v>4353.21</v>
      </c>
      <c r="T1968" s="19" t="s">
        <v>117</v>
      </c>
      <c r="U1968" s="20" t="s">
        <v>2404</v>
      </c>
      <c r="V1968" s="25" t="s">
        <v>828</v>
      </c>
      <c r="W1968" s="21">
        <v>3</v>
      </c>
      <c r="X1968" s="22"/>
    </row>
    <row r="1969" spans="1:24" s="1" customFormat="1" ht="60.95" customHeight="1" x14ac:dyDescent="0.3">
      <c r="A1969" s="23" t="s">
        <v>2392</v>
      </c>
      <c r="B1969" s="23" t="s">
        <v>2486</v>
      </c>
      <c r="C1969" s="12" t="s">
        <v>2606</v>
      </c>
      <c r="D1969" s="90"/>
      <c r="E1969" s="69" t="str">
        <f>HYPERLINK("https://www.google.ru/search?q=C125W-5&amp;newwindow=1&amp;tbm=isch","Еще фото")</f>
        <v>Еще фото</v>
      </c>
      <c r="F1969" s="13"/>
      <c r="G1969" s="23" t="s">
        <v>824</v>
      </c>
      <c r="H1969" s="23" t="s">
        <v>112</v>
      </c>
      <c r="I1969" s="23" t="s">
        <v>825</v>
      </c>
      <c r="J1969" s="14" t="s">
        <v>406</v>
      </c>
      <c r="K1969" s="15" t="s">
        <v>47</v>
      </c>
      <c r="L1969" s="88"/>
      <c r="M1969" s="14"/>
      <c r="N1969" s="14" t="s">
        <v>49</v>
      </c>
      <c r="O1969" s="14"/>
      <c r="P1969" s="15" t="s">
        <v>2470</v>
      </c>
      <c r="Q1969" s="16">
        <v>6309</v>
      </c>
      <c r="R1969" s="17">
        <v>40</v>
      </c>
      <c r="S1969" s="18">
        <v>4353.21</v>
      </c>
      <c r="T1969" s="19" t="s">
        <v>117</v>
      </c>
      <c r="U1969" s="20" t="s">
        <v>2437</v>
      </c>
      <c r="V1969" s="25" t="s">
        <v>829</v>
      </c>
      <c r="W1969" s="21">
        <v>2</v>
      </c>
      <c r="X1969" s="22"/>
    </row>
    <row r="1970" spans="1:24" s="1" customFormat="1" ht="51.95" customHeight="1" x14ac:dyDescent="0.3">
      <c r="A1970" s="11" t="s">
        <v>2392</v>
      </c>
      <c r="B1970" s="11" t="s">
        <v>2498</v>
      </c>
      <c r="C1970" s="12" t="s">
        <v>2607</v>
      </c>
      <c r="D1970" s="89"/>
      <c r="E1970" s="69" t="str">
        <f>HYPERLINK("https://www.google.ru/search?q=C12EM-RY&amp;newwindow=1&amp;tbm=isch","Еще фото")</f>
        <v>Еще фото</v>
      </c>
      <c r="F1970" s="13"/>
      <c r="G1970" s="11" t="s">
        <v>824</v>
      </c>
      <c r="H1970" s="11" t="s">
        <v>112</v>
      </c>
      <c r="I1970" s="14" t="s">
        <v>825</v>
      </c>
      <c r="J1970" s="14" t="s">
        <v>406</v>
      </c>
      <c r="K1970" s="15" t="s">
        <v>55</v>
      </c>
      <c r="L1970" s="86" t="s">
        <v>2500</v>
      </c>
      <c r="M1970" s="14"/>
      <c r="N1970" s="14" t="s">
        <v>2608</v>
      </c>
      <c r="O1970" s="14"/>
      <c r="P1970" s="15" t="s">
        <v>2470</v>
      </c>
      <c r="Q1970" s="16">
        <v>6309</v>
      </c>
      <c r="R1970" s="17">
        <v>40</v>
      </c>
      <c r="S1970" s="18">
        <v>4353.21</v>
      </c>
      <c r="T1970" s="19" t="s">
        <v>117</v>
      </c>
      <c r="U1970" s="20" t="s">
        <v>2437</v>
      </c>
      <c r="V1970" s="25" t="s">
        <v>2443</v>
      </c>
      <c r="W1970" s="21">
        <v>4</v>
      </c>
      <c r="X1970" s="22"/>
    </row>
    <row r="1971" spans="1:24" s="1" customFormat="1" ht="60.95" customHeight="1" x14ac:dyDescent="0.3">
      <c r="A1971" s="23" t="s">
        <v>2392</v>
      </c>
      <c r="B1971" s="23" t="s">
        <v>2498</v>
      </c>
      <c r="C1971" s="12" t="s">
        <v>2607</v>
      </c>
      <c r="D1971" s="90"/>
      <c r="E1971" s="69" t="str">
        <f>HYPERLINK("https://www.google.ru/search?q=C12EM-RY&amp;newwindow=1&amp;tbm=isch","Еще фото")</f>
        <v>Еще фото</v>
      </c>
      <c r="F1971" s="13"/>
      <c r="G1971" s="23" t="s">
        <v>824</v>
      </c>
      <c r="H1971" s="23" t="s">
        <v>112</v>
      </c>
      <c r="I1971" s="23" t="s">
        <v>825</v>
      </c>
      <c r="J1971" s="14" t="s">
        <v>406</v>
      </c>
      <c r="K1971" s="15" t="s">
        <v>55</v>
      </c>
      <c r="L1971" s="88"/>
      <c r="M1971" s="14"/>
      <c r="N1971" s="14" t="s">
        <v>2608</v>
      </c>
      <c r="O1971" s="14"/>
      <c r="P1971" s="15" t="s">
        <v>2470</v>
      </c>
      <c r="Q1971" s="16">
        <v>6309</v>
      </c>
      <c r="R1971" s="17">
        <v>40</v>
      </c>
      <c r="S1971" s="18">
        <v>4353.21</v>
      </c>
      <c r="T1971" s="19" t="s">
        <v>117</v>
      </c>
      <c r="U1971" s="20" t="s">
        <v>2410</v>
      </c>
      <c r="V1971" s="25" t="s">
        <v>65</v>
      </c>
      <c r="W1971" s="21">
        <v>2</v>
      </c>
      <c r="X1971" s="22"/>
    </row>
    <row r="1972" spans="1:24" s="1" customFormat="1" ht="108" customHeight="1" x14ac:dyDescent="0.3">
      <c r="A1972" s="11" t="s">
        <v>2392</v>
      </c>
      <c r="B1972" s="11" t="s">
        <v>2498</v>
      </c>
      <c r="C1972" s="12" t="s">
        <v>2609</v>
      </c>
      <c r="D1972" s="24"/>
      <c r="E1972" s="69" t="str">
        <f>HYPERLINK("https://www.google.ru/search?q=C12EW-GY&amp;newwindow=1&amp;tbm=isch","Еще фото")</f>
        <v>Еще фото</v>
      </c>
      <c r="F1972" s="13"/>
      <c r="G1972" s="11" t="s">
        <v>824</v>
      </c>
      <c r="H1972" s="11" t="s">
        <v>112</v>
      </c>
      <c r="I1972" s="14" t="s">
        <v>825</v>
      </c>
      <c r="J1972" s="14" t="s">
        <v>406</v>
      </c>
      <c r="K1972" s="15" t="s">
        <v>47</v>
      </c>
      <c r="L1972" s="14" t="s">
        <v>2610</v>
      </c>
      <c r="M1972" s="14"/>
      <c r="N1972" s="14" t="s">
        <v>2501</v>
      </c>
      <c r="O1972" s="14"/>
      <c r="P1972" s="15" t="s">
        <v>2470</v>
      </c>
      <c r="Q1972" s="16">
        <v>6309</v>
      </c>
      <c r="R1972" s="17">
        <v>40</v>
      </c>
      <c r="S1972" s="18">
        <v>4353.21</v>
      </c>
      <c r="T1972" s="19" t="s">
        <v>117</v>
      </c>
      <c r="U1972" s="20" t="s">
        <v>2410</v>
      </c>
      <c r="V1972" s="25" t="s">
        <v>830</v>
      </c>
      <c r="W1972" s="21">
        <v>2</v>
      </c>
      <c r="X1972" s="22"/>
    </row>
    <row r="1973" spans="1:24" s="1" customFormat="1" ht="35.1" customHeight="1" x14ac:dyDescent="0.3">
      <c r="A1973" s="11" t="s">
        <v>2392</v>
      </c>
      <c r="B1973" s="11" t="s">
        <v>2562</v>
      </c>
      <c r="C1973" s="12" t="s">
        <v>2611</v>
      </c>
      <c r="D1973" s="83"/>
      <c r="E1973" s="69" t="str">
        <f>HYPERLINK("https://www.google.ru/search?q=C1UPM-G&amp;newwindow=1&amp;tbm=isch","Еще фото")</f>
        <v>Еще фото</v>
      </c>
      <c r="F1973" s="13"/>
      <c r="G1973" s="11" t="s">
        <v>824</v>
      </c>
      <c r="H1973" s="11" t="s">
        <v>112</v>
      </c>
      <c r="I1973" s="14" t="s">
        <v>825</v>
      </c>
      <c r="J1973" s="14" t="s">
        <v>406</v>
      </c>
      <c r="K1973" s="15" t="s">
        <v>55</v>
      </c>
      <c r="L1973" s="86" t="s">
        <v>2564</v>
      </c>
      <c r="M1973" s="14"/>
      <c r="N1973" s="14" t="s">
        <v>242</v>
      </c>
      <c r="O1973" s="14"/>
      <c r="P1973" s="15" t="s">
        <v>2565</v>
      </c>
      <c r="Q1973" s="16">
        <v>6999</v>
      </c>
      <c r="R1973" s="17">
        <v>40</v>
      </c>
      <c r="S1973" s="18">
        <v>4829.3099999999995</v>
      </c>
      <c r="T1973" s="19" t="s">
        <v>117</v>
      </c>
      <c r="U1973" s="20" t="s">
        <v>2437</v>
      </c>
      <c r="V1973" s="25" t="s">
        <v>2443</v>
      </c>
      <c r="W1973" s="21">
        <v>11</v>
      </c>
      <c r="X1973" s="22"/>
    </row>
    <row r="1974" spans="1:24" s="1" customFormat="1" ht="35.1" customHeight="1" x14ac:dyDescent="0.3">
      <c r="A1974" s="23" t="s">
        <v>2392</v>
      </c>
      <c r="B1974" s="23" t="s">
        <v>2562</v>
      </c>
      <c r="C1974" s="12" t="s">
        <v>2611</v>
      </c>
      <c r="D1974" s="84"/>
      <c r="E1974" s="69" t="str">
        <f>HYPERLINK("https://www.google.ru/search?q=C1UPM-G&amp;newwindow=1&amp;tbm=isch","Еще фото")</f>
        <v>Еще фото</v>
      </c>
      <c r="F1974" s="13"/>
      <c r="G1974" s="23" t="s">
        <v>824</v>
      </c>
      <c r="H1974" s="23" t="s">
        <v>112</v>
      </c>
      <c r="I1974" s="23" t="s">
        <v>825</v>
      </c>
      <c r="J1974" s="14" t="s">
        <v>406</v>
      </c>
      <c r="K1974" s="15" t="s">
        <v>55</v>
      </c>
      <c r="L1974" s="87"/>
      <c r="M1974" s="14"/>
      <c r="N1974" s="14" t="s">
        <v>242</v>
      </c>
      <c r="O1974" s="14"/>
      <c r="P1974" s="15" t="s">
        <v>2565</v>
      </c>
      <c r="Q1974" s="16">
        <v>6999</v>
      </c>
      <c r="R1974" s="17">
        <v>40</v>
      </c>
      <c r="S1974" s="18">
        <v>4829.3099999999995</v>
      </c>
      <c r="T1974" s="19" t="s">
        <v>117</v>
      </c>
      <c r="U1974" s="20" t="s">
        <v>2410</v>
      </c>
      <c r="V1974" s="25" t="s">
        <v>65</v>
      </c>
      <c r="W1974" s="21">
        <v>3</v>
      </c>
      <c r="X1974" s="22"/>
    </row>
    <row r="1975" spans="1:24" s="1" customFormat="1" ht="36.950000000000003" customHeight="1" x14ac:dyDescent="0.3">
      <c r="A1975" s="23" t="s">
        <v>2392</v>
      </c>
      <c r="B1975" s="23" t="s">
        <v>2562</v>
      </c>
      <c r="C1975" s="12" t="s">
        <v>2611</v>
      </c>
      <c r="D1975" s="85"/>
      <c r="E1975" s="69" t="str">
        <f>HYPERLINK("https://www.google.ru/search?q=C1UPM-G&amp;newwindow=1&amp;tbm=isch","Еще фото")</f>
        <v>Еще фото</v>
      </c>
      <c r="F1975" s="13"/>
      <c r="G1975" s="23" t="s">
        <v>824</v>
      </c>
      <c r="H1975" s="23" t="s">
        <v>112</v>
      </c>
      <c r="I1975" s="23" t="s">
        <v>825</v>
      </c>
      <c r="J1975" s="14" t="s">
        <v>406</v>
      </c>
      <c r="K1975" s="15" t="s">
        <v>55</v>
      </c>
      <c r="L1975" s="88"/>
      <c r="M1975" s="14"/>
      <c r="N1975" s="14" t="s">
        <v>242</v>
      </c>
      <c r="O1975" s="14"/>
      <c r="P1975" s="15" t="s">
        <v>2565</v>
      </c>
      <c r="Q1975" s="16">
        <v>6999</v>
      </c>
      <c r="R1975" s="17">
        <v>40</v>
      </c>
      <c r="S1975" s="18">
        <v>4829.3099999999995</v>
      </c>
      <c r="T1975" s="19" t="s">
        <v>117</v>
      </c>
      <c r="U1975" s="20" t="s">
        <v>2444</v>
      </c>
      <c r="V1975" s="25" t="s">
        <v>2445</v>
      </c>
      <c r="W1975" s="21">
        <v>2</v>
      </c>
      <c r="X1975" s="22"/>
    </row>
    <row r="1976" spans="1:24" s="1" customFormat="1" ht="108" customHeight="1" x14ac:dyDescent="0.3">
      <c r="A1976" s="11" t="s">
        <v>2392</v>
      </c>
      <c r="B1976" s="11" t="s">
        <v>2510</v>
      </c>
      <c r="C1976" s="12" t="s">
        <v>2612</v>
      </c>
      <c r="D1976" s="24"/>
      <c r="E1976" s="69" t="str">
        <f>HYPERLINK("https://www.google.ru/search?q=C1UUM-S3&amp;newwindow=1&amp;tbm=isch","Еще фото")</f>
        <v>Еще фото</v>
      </c>
      <c r="F1976" s="13"/>
      <c r="G1976" s="11" t="s">
        <v>2448</v>
      </c>
      <c r="H1976" s="11" t="s">
        <v>112</v>
      </c>
      <c r="I1976" s="14" t="s">
        <v>825</v>
      </c>
      <c r="J1976" s="14" t="s">
        <v>406</v>
      </c>
      <c r="K1976" s="15" t="s">
        <v>55</v>
      </c>
      <c r="L1976" s="14" t="s">
        <v>2613</v>
      </c>
      <c r="M1976" s="14"/>
      <c r="N1976" s="14" t="s">
        <v>70</v>
      </c>
      <c r="O1976" s="14"/>
      <c r="P1976" s="15" t="s">
        <v>2403</v>
      </c>
      <c r="Q1976" s="16">
        <v>6309</v>
      </c>
      <c r="R1976" s="17">
        <v>40</v>
      </c>
      <c r="S1976" s="18">
        <v>4353.21</v>
      </c>
      <c r="T1976" s="19" t="s">
        <v>117</v>
      </c>
      <c r="U1976" s="20" t="s">
        <v>2444</v>
      </c>
      <c r="V1976" s="25" t="s">
        <v>2445</v>
      </c>
      <c r="W1976" s="21">
        <v>1</v>
      </c>
      <c r="X1976" s="22"/>
    </row>
    <row r="1977" spans="1:24" s="1" customFormat="1" ht="51.95" customHeight="1" x14ac:dyDescent="0.3">
      <c r="A1977" s="11" t="s">
        <v>2392</v>
      </c>
      <c r="B1977" s="11" t="s">
        <v>2502</v>
      </c>
      <c r="C1977" s="12" t="s">
        <v>2614</v>
      </c>
      <c r="D1977" s="89"/>
      <c r="E1977" s="69" t="str">
        <f>HYPERLINK("https://www.google.ru/search?q=C1UUW-0-1&amp;newwindow=1&amp;tbm=isch","Еще фото")</f>
        <v>Еще фото</v>
      </c>
      <c r="F1977" s="13"/>
      <c r="G1977" s="11" t="s">
        <v>2504</v>
      </c>
      <c r="H1977" s="11" t="s">
        <v>112</v>
      </c>
      <c r="I1977" s="14" t="s">
        <v>825</v>
      </c>
      <c r="J1977" s="14" t="s">
        <v>406</v>
      </c>
      <c r="K1977" s="15" t="s">
        <v>47</v>
      </c>
      <c r="L1977" s="86" t="s">
        <v>2615</v>
      </c>
      <c r="M1977" s="14"/>
      <c r="N1977" s="14" t="s">
        <v>89</v>
      </c>
      <c r="O1977" s="14"/>
      <c r="P1977" s="15" t="s">
        <v>2403</v>
      </c>
      <c r="Q1977" s="16">
        <v>6309</v>
      </c>
      <c r="R1977" s="17">
        <v>40</v>
      </c>
      <c r="S1977" s="18">
        <v>4353.21</v>
      </c>
      <c r="T1977" s="19" t="s">
        <v>117</v>
      </c>
      <c r="U1977" s="20" t="s">
        <v>2437</v>
      </c>
      <c r="V1977" s="25" t="s">
        <v>829</v>
      </c>
      <c r="W1977" s="21">
        <v>1</v>
      </c>
      <c r="X1977" s="22"/>
    </row>
    <row r="1978" spans="1:24" s="1" customFormat="1" ht="60.95" customHeight="1" x14ac:dyDescent="0.3">
      <c r="A1978" s="23" t="s">
        <v>2392</v>
      </c>
      <c r="B1978" s="23" t="s">
        <v>2502</v>
      </c>
      <c r="C1978" s="12" t="s">
        <v>2614</v>
      </c>
      <c r="D1978" s="90"/>
      <c r="E1978" s="69" t="str">
        <f>HYPERLINK("https://www.google.ru/search?q=C1UUW-0-1&amp;newwindow=1&amp;tbm=isch","Еще фото")</f>
        <v>Еще фото</v>
      </c>
      <c r="F1978" s="13"/>
      <c r="G1978" s="23" t="s">
        <v>2504</v>
      </c>
      <c r="H1978" s="23" t="s">
        <v>112</v>
      </c>
      <c r="I1978" s="23" t="s">
        <v>825</v>
      </c>
      <c r="J1978" s="14" t="s">
        <v>406</v>
      </c>
      <c r="K1978" s="15" t="s">
        <v>47</v>
      </c>
      <c r="L1978" s="88"/>
      <c r="M1978" s="14"/>
      <c r="N1978" s="14" t="s">
        <v>89</v>
      </c>
      <c r="O1978" s="14"/>
      <c r="P1978" s="15" t="s">
        <v>2403</v>
      </c>
      <c r="Q1978" s="16">
        <v>6309</v>
      </c>
      <c r="R1978" s="17">
        <v>40</v>
      </c>
      <c r="S1978" s="18">
        <v>4353.21</v>
      </c>
      <c r="T1978" s="19" t="s">
        <v>117</v>
      </c>
      <c r="U1978" s="20" t="s">
        <v>2410</v>
      </c>
      <c r="V1978" s="25" t="s">
        <v>830</v>
      </c>
      <c r="W1978" s="21">
        <v>4</v>
      </c>
      <c r="X1978" s="22"/>
    </row>
    <row r="1979" spans="1:24" s="1" customFormat="1" ht="108" customHeight="1" x14ac:dyDescent="0.3">
      <c r="A1979" s="11" t="s">
        <v>2392</v>
      </c>
      <c r="B1979" s="11" t="s">
        <v>2438</v>
      </c>
      <c r="C1979" s="12" t="s">
        <v>2616</v>
      </c>
      <c r="D1979" s="24"/>
      <c r="E1979" s="69" t="str">
        <f>HYPERLINK("https://www.google.ru/search?q=C1UUW-5-1&amp;newwindow=1&amp;tbm=isch","Еще фото")</f>
        <v>Еще фото</v>
      </c>
      <c r="F1979" s="13"/>
      <c r="G1979" s="11" t="s">
        <v>2504</v>
      </c>
      <c r="H1979" s="11" t="s">
        <v>112</v>
      </c>
      <c r="I1979" s="14" t="s">
        <v>825</v>
      </c>
      <c r="J1979" s="14" t="s">
        <v>29</v>
      </c>
      <c r="K1979" s="15" t="s">
        <v>47</v>
      </c>
      <c r="L1979" s="14" t="s">
        <v>2509</v>
      </c>
      <c r="M1979" s="14"/>
      <c r="N1979" s="14" t="s">
        <v>49</v>
      </c>
      <c r="O1979" s="14"/>
      <c r="P1979" s="15" t="s">
        <v>2403</v>
      </c>
      <c r="Q1979" s="16">
        <v>6309</v>
      </c>
      <c r="R1979" s="17">
        <v>40</v>
      </c>
      <c r="S1979" s="18">
        <v>4353.21</v>
      </c>
      <c r="T1979" s="19" t="s">
        <v>117</v>
      </c>
      <c r="U1979" s="20" t="s">
        <v>2404</v>
      </c>
      <c r="V1979" s="25" t="s">
        <v>828</v>
      </c>
      <c r="W1979" s="21">
        <v>2</v>
      </c>
      <c r="X1979" s="22"/>
    </row>
    <row r="1980" spans="1:24" s="1" customFormat="1" ht="108" customHeight="1" x14ac:dyDescent="0.3">
      <c r="A1980" s="11" t="s">
        <v>2392</v>
      </c>
      <c r="B1980" s="11" t="s">
        <v>2510</v>
      </c>
      <c r="C1980" s="12" t="s">
        <v>2617</v>
      </c>
      <c r="D1980" s="24"/>
      <c r="E1980" s="69" t="str">
        <f>HYPERLINK("https://www.google.ru/search?q=C214W-25&amp;newwindow=1&amp;tbm=isch","Еще фото")</f>
        <v>Еще фото</v>
      </c>
      <c r="F1980" s="13"/>
      <c r="G1980" s="11" t="s">
        <v>2618</v>
      </c>
      <c r="H1980" s="11" t="s">
        <v>112</v>
      </c>
      <c r="I1980" s="14" t="s">
        <v>825</v>
      </c>
      <c r="J1980" s="14" t="s">
        <v>2396</v>
      </c>
      <c r="K1980" s="15" t="s">
        <v>47</v>
      </c>
      <c r="L1980" s="14" t="s">
        <v>2619</v>
      </c>
      <c r="M1980" s="14"/>
      <c r="N1980" s="14" t="s">
        <v>2620</v>
      </c>
      <c r="O1980" s="14"/>
      <c r="P1980" s="15" t="s">
        <v>2560</v>
      </c>
      <c r="Q1980" s="16">
        <v>6309</v>
      </c>
      <c r="R1980" s="17">
        <v>40</v>
      </c>
      <c r="S1980" s="18">
        <v>4353.21</v>
      </c>
      <c r="T1980" s="19" t="s">
        <v>117</v>
      </c>
      <c r="U1980" s="20" t="s">
        <v>2410</v>
      </c>
      <c r="V1980" s="25" t="s">
        <v>830</v>
      </c>
      <c r="W1980" s="21">
        <v>1</v>
      </c>
      <c r="X1980" s="22"/>
    </row>
    <row r="1981" spans="1:24" s="1" customFormat="1" ht="108" customHeight="1" x14ac:dyDescent="0.3">
      <c r="A1981" s="11" t="s">
        <v>2392</v>
      </c>
      <c r="B1981" s="11" t="s">
        <v>2438</v>
      </c>
      <c r="C1981" s="12" t="s">
        <v>2621</v>
      </c>
      <c r="D1981" s="24"/>
      <c r="E1981" s="69" t="str">
        <f>HYPERLINK("https://www.google.ru/search?q=C221W-5&amp;newwindow=1&amp;tbm=isch","Еще фото")</f>
        <v>Еще фото</v>
      </c>
      <c r="F1981" s="13"/>
      <c r="G1981" s="11" t="s">
        <v>2556</v>
      </c>
      <c r="H1981" s="11" t="s">
        <v>112</v>
      </c>
      <c r="I1981" s="14" t="s">
        <v>825</v>
      </c>
      <c r="J1981" s="14" t="s">
        <v>406</v>
      </c>
      <c r="K1981" s="15" t="s">
        <v>47</v>
      </c>
      <c r="L1981" s="14" t="s">
        <v>2622</v>
      </c>
      <c r="M1981" s="14"/>
      <c r="N1981" s="14" t="s">
        <v>49</v>
      </c>
      <c r="O1981" s="14"/>
      <c r="P1981" s="15" t="s">
        <v>2623</v>
      </c>
      <c r="Q1981" s="16">
        <v>5799</v>
      </c>
      <c r="R1981" s="17">
        <v>40</v>
      </c>
      <c r="S1981" s="18">
        <v>4001.31</v>
      </c>
      <c r="T1981" s="19" t="s">
        <v>117</v>
      </c>
      <c r="U1981" s="20" t="s">
        <v>2437</v>
      </c>
      <c r="V1981" s="25" t="s">
        <v>829</v>
      </c>
      <c r="W1981" s="21">
        <v>4</v>
      </c>
      <c r="X1981" s="22"/>
    </row>
    <row r="1982" spans="1:24" s="1" customFormat="1" ht="108" customHeight="1" x14ac:dyDescent="0.3">
      <c r="A1982" s="11" t="s">
        <v>2392</v>
      </c>
      <c r="B1982" s="11" t="s">
        <v>2438</v>
      </c>
      <c r="C1982" s="12" t="s">
        <v>2624</v>
      </c>
      <c r="D1982" s="24"/>
      <c r="E1982" s="69" t="str">
        <f>HYPERLINK("https://www.google.ru/search?q=C2UUM-S3&amp;newwindow=1&amp;tbm=isch","Еще фото")</f>
        <v>Еще фото</v>
      </c>
      <c r="F1982" s="13"/>
      <c r="G1982" s="11" t="s">
        <v>2625</v>
      </c>
      <c r="H1982" s="11" t="s">
        <v>112</v>
      </c>
      <c r="I1982" s="14" t="s">
        <v>825</v>
      </c>
      <c r="J1982" s="14" t="s">
        <v>406</v>
      </c>
      <c r="K1982" s="15" t="s">
        <v>55</v>
      </c>
      <c r="L1982" s="14" t="s">
        <v>2626</v>
      </c>
      <c r="M1982" s="14"/>
      <c r="N1982" s="14" t="s">
        <v>265</v>
      </c>
      <c r="O1982" s="14"/>
      <c r="P1982" s="15" t="s">
        <v>2470</v>
      </c>
      <c r="Q1982" s="16">
        <v>2949</v>
      </c>
      <c r="R1982" s="17">
        <v>40</v>
      </c>
      <c r="S1982" s="18">
        <v>2034.81</v>
      </c>
      <c r="T1982" s="19" t="s">
        <v>117</v>
      </c>
      <c r="U1982" s="20" t="s">
        <v>2437</v>
      </c>
      <c r="V1982" s="25" t="s">
        <v>2443</v>
      </c>
      <c r="W1982" s="21">
        <v>1</v>
      </c>
      <c r="X1982" s="22"/>
    </row>
    <row r="1983" spans="1:24" s="1" customFormat="1" ht="108" customHeight="1" x14ac:dyDescent="0.3">
      <c r="A1983" s="11" t="s">
        <v>2392</v>
      </c>
      <c r="B1983" s="11" t="s">
        <v>2438</v>
      </c>
      <c r="C1983" s="12" t="s">
        <v>2627</v>
      </c>
      <c r="D1983" s="24"/>
      <c r="E1983" s="69" t="str">
        <f>HYPERLINK("https://www.google.ru/search?q=C2UUW-5-1&amp;newwindow=1&amp;tbm=isch","Еще фото")</f>
        <v>Еще фото</v>
      </c>
      <c r="F1983" s="13"/>
      <c r="G1983" s="11" t="s">
        <v>2538</v>
      </c>
      <c r="H1983" s="11" t="s">
        <v>112</v>
      </c>
      <c r="I1983" s="14" t="s">
        <v>825</v>
      </c>
      <c r="J1983" s="14" t="s">
        <v>29</v>
      </c>
      <c r="K1983" s="15" t="s">
        <v>47</v>
      </c>
      <c r="L1983" s="14" t="s">
        <v>2539</v>
      </c>
      <c r="M1983" s="14"/>
      <c r="N1983" s="14" t="s">
        <v>49</v>
      </c>
      <c r="O1983" s="14"/>
      <c r="P1983" s="15" t="s">
        <v>2540</v>
      </c>
      <c r="Q1983" s="16">
        <v>2949</v>
      </c>
      <c r="R1983" s="17">
        <v>40</v>
      </c>
      <c r="S1983" s="18">
        <v>2034.81</v>
      </c>
      <c r="T1983" s="19" t="s">
        <v>117</v>
      </c>
      <c r="U1983" s="20" t="s">
        <v>2437</v>
      </c>
      <c r="V1983" s="25" t="s">
        <v>829</v>
      </c>
      <c r="W1983" s="21">
        <v>1</v>
      </c>
      <c r="X1983" s="22"/>
    </row>
    <row r="1984" spans="1:24" s="1" customFormat="1" ht="108" customHeight="1" x14ac:dyDescent="0.3">
      <c r="A1984" s="11" t="s">
        <v>2392</v>
      </c>
      <c r="B1984" s="11" t="s">
        <v>2628</v>
      </c>
      <c r="C1984" s="12" t="s">
        <v>2629</v>
      </c>
      <c r="D1984" s="24"/>
      <c r="E1984" s="69" t="str">
        <f>HYPERLINK("https://www.google.ru/search?q=C305M-0&amp;newwindow=1&amp;tbm=isch","Еще фото")</f>
        <v>Еще фото</v>
      </c>
      <c r="F1984" s="13"/>
      <c r="G1984" s="11" t="s">
        <v>2630</v>
      </c>
      <c r="H1984" s="11" t="s">
        <v>112</v>
      </c>
      <c r="I1984" s="14" t="s">
        <v>825</v>
      </c>
      <c r="J1984" s="14" t="s">
        <v>406</v>
      </c>
      <c r="K1984" s="15" t="s">
        <v>55</v>
      </c>
      <c r="L1984" s="14" t="s">
        <v>2631</v>
      </c>
      <c r="M1984" s="14"/>
      <c r="N1984" s="14" t="s">
        <v>89</v>
      </c>
      <c r="O1984" s="14"/>
      <c r="P1984" s="15" t="s">
        <v>2632</v>
      </c>
      <c r="Q1984" s="16">
        <v>4519</v>
      </c>
      <c r="R1984" s="17">
        <v>40</v>
      </c>
      <c r="S1984" s="18">
        <v>3118.1099999999997</v>
      </c>
      <c r="T1984" s="19" t="s">
        <v>117</v>
      </c>
      <c r="U1984" s="20" t="s">
        <v>2410</v>
      </c>
      <c r="V1984" s="25" t="s">
        <v>65</v>
      </c>
      <c r="W1984" s="21">
        <v>1</v>
      </c>
      <c r="X1984" s="22"/>
    </row>
    <row r="1985" spans="1:24" s="1" customFormat="1" ht="51.95" customHeight="1" x14ac:dyDescent="0.3">
      <c r="A1985" s="11" t="s">
        <v>2392</v>
      </c>
      <c r="B1985" s="11" t="s">
        <v>2628</v>
      </c>
      <c r="C1985" s="12" t="s">
        <v>2633</v>
      </c>
      <c r="D1985" s="89"/>
      <c r="E1985" s="69" t="str">
        <f>HYPERLINK("https://www.google.ru/search?q=C305M-3&amp;newwindow=1&amp;tbm=isch","Еще фото")</f>
        <v>Еще фото</v>
      </c>
      <c r="F1985" s="13"/>
      <c r="G1985" s="11" t="s">
        <v>2630</v>
      </c>
      <c r="H1985" s="11" t="s">
        <v>112</v>
      </c>
      <c r="I1985" s="14" t="s">
        <v>825</v>
      </c>
      <c r="J1985" s="14" t="s">
        <v>406</v>
      </c>
      <c r="K1985" s="15" t="s">
        <v>55</v>
      </c>
      <c r="L1985" s="86" t="s">
        <v>2631</v>
      </c>
      <c r="M1985" s="14"/>
      <c r="N1985" s="14" t="s">
        <v>70</v>
      </c>
      <c r="O1985" s="14"/>
      <c r="P1985" s="15" t="s">
        <v>2632</v>
      </c>
      <c r="Q1985" s="16">
        <v>4519</v>
      </c>
      <c r="R1985" s="17">
        <v>40</v>
      </c>
      <c r="S1985" s="18">
        <v>3118.1099999999997</v>
      </c>
      <c r="T1985" s="19" t="s">
        <v>117</v>
      </c>
      <c r="U1985" s="20" t="s">
        <v>2410</v>
      </c>
      <c r="V1985" s="25" t="s">
        <v>65</v>
      </c>
      <c r="W1985" s="21">
        <v>1</v>
      </c>
      <c r="X1985" s="22"/>
    </row>
    <row r="1986" spans="1:24" s="1" customFormat="1" ht="60.95" customHeight="1" x14ac:dyDescent="0.3">
      <c r="A1986" s="23" t="s">
        <v>2392</v>
      </c>
      <c r="B1986" s="23" t="s">
        <v>2628</v>
      </c>
      <c r="C1986" s="12" t="s">
        <v>2633</v>
      </c>
      <c r="D1986" s="90"/>
      <c r="E1986" s="69" t="str">
        <f>HYPERLINK("https://www.google.ru/search?q=C305M-3&amp;newwindow=1&amp;tbm=isch","Еще фото")</f>
        <v>Еще фото</v>
      </c>
      <c r="F1986" s="13"/>
      <c r="G1986" s="23" t="s">
        <v>2630</v>
      </c>
      <c r="H1986" s="23" t="s">
        <v>112</v>
      </c>
      <c r="I1986" s="23" t="s">
        <v>825</v>
      </c>
      <c r="J1986" s="14" t="s">
        <v>406</v>
      </c>
      <c r="K1986" s="15" t="s">
        <v>55</v>
      </c>
      <c r="L1986" s="88"/>
      <c r="M1986" s="14"/>
      <c r="N1986" s="14" t="s">
        <v>70</v>
      </c>
      <c r="O1986" s="14"/>
      <c r="P1986" s="15" t="s">
        <v>2632</v>
      </c>
      <c r="Q1986" s="16">
        <v>4519</v>
      </c>
      <c r="R1986" s="17">
        <v>40</v>
      </c>
      <c r="S1986" s="18">
        <v>3118.1099999999997</v>
      </c>
      <c r="T1986" s="19" t="s">
        <v>117</v>
      </c>
      <c r="U1986" s="20" t="s">
        <v>2444</v>
      </c>
      <c r="V1986" s="25" t="s">
        <v>2445</v>
      </c>
      <c r="W1986" s="21">
        <v>2</v>
      </c>
      <c r="X1986" s="22"/>
    </row>
    <row r="1987" spans="1:24" s="1" customFormat="1" ht="108" customHeight="1" x14ac:dyDescent="0.3">
      <c r="A1987" s="11" t="s">
        <v>2392</v>
      </c>
      <c r="B1987" s="11" t="s">
        <v>2628</v>
      </c>
      <c r="C1987" s="12" t="s">
        <v>2634</v>
      </c>
      <c r="D1987" s="24"/>
      <c r="E1987" s="69" t="str">
        <f>HYPERLINK("https://www.google.ru/search?q=C305W-4&amp;newwindow=1&amp;tbm=isch","Еще фото")</f>
        <v>Еще фото</v>
      </c>
      <c r="F1987" s="13"/>
      <c r="G1987" s="11" t="s">
        <v>2630</v>
      </c>
      <c r="H1987" s="11" t="s">
        <v>112</v>
      </c>
      <c r="I1987" s="14" t="s">
        <v>825</v>
      </c>
      <c r="J1987" s="14" t="s">
        <v>406</v>
      </c>
      <c r="K1987" s="15" t="s">
        <v>47</v>
      </c>
      <c r="L1987" s="14" t="s">
        <v>2635</v>
      </c>
      <c r="M1987" s="14"/>
      <c r="N1987" s="14" t="s">
        <v>275</v>
      </c>
      <c r="O1987" s="14"/>
      <c r="P1987" s="15" t="s">
        <v>2632</v>
      </c>
      <c r="Q1987" s="16">
        <v>4519</v>
      </c>
      <c r="R1987" s="17">
        <v>40</v>
      </c>
      <c r="S1987" s="18">
        <v>3118.1099999999997</v>
      </c>
      <c r="T1987" s="19" t="s">
        <v>117</v>
      </c>
      <c r="U1987" s="20" t="s">
        <v>2410</v>
      </c>
      <c r="V1987" s="25" t="s">
        <v>830</v>
      </c>
      <c r="W1987" s="21">
        <v>4</v>
      </c>
      <c r="X1987" s="22"/>
    </row>
    <row r="1988" spans="1:24" s="1" customFormat="1" ht="108" customHeight="1" x14ac:dyDescent="0.3">
      <c r="A1988" s="11" t="s">
        <v>2392</v>
      </c>
      <c r="B1988" s="11" t="s">
        <v>2477</v>
      </c>
      <c r="C1988" s="12" t="s">
        <v>2636</v>
      </c>
      <c r="D1988" s="24"/>
      <c r="E1988" s="69" t="str">
        <f>HYPERLINK("https://www.google.ru/search?q=C3UUW-5-1&amp;newwindow=1&amp;tbm=isch","Еще фото")</f>
        <v>Еще фото</v>
      </c>
      <c r="F1988" s="13"/>
      <c r="G1988" s="11" t="s">
        <v>2637</v>
      </c>
      <c r="H1988" s="11" t="s">
        <v>112</v>
      </c>
      <c r="I1988" s="14" t="s">
        <v>825</v>
      </c>
      <c r="J1988" s="14" t="s">
        <v>406</v>
      </c>
      <c r="K1988" s="15" t="s">
        <v>114</v>
      </c>
      <c r="L1988" s="14" t="s">
        <v>2638</v>
      </c>
      <c r="M1988" s="14"/>
      <c r="N1988" s="14" t="s">
        <v>49</v>
      </c>
      <c r="O1988" s="14"/>
      <c r="P1988" s="15" t="s">
        <v>2481</v>
      </c>
      <c r="Q1988" s="16">
        <v>4599</v>
      </c>
      <c r="R1988" s="17">
        <v>40</v>
      </c>
      <c r="S1988" s="18">
        <v>3173.31</v>
      </c>
      <c r="T1988" s="19" t="s">
        <v>117</v>
      </c>
      <c r="U1988" s="20" t="s">
        <v>2404</v>
      </c>
      <c r="V1988" s="25" t="s">
        <v>828</v>
      </c>
      <c r="W1988" s="21">
        <v>1</v>
      </c>
      <c r="X1988" s="22"/>
    </row>
    <row r="1989" spans="1:24" s="1" customFormat="1" ht="35.1" customHeight="1" x14ac:dyDescent="0.3">
      <c r="A1989" s="11" t="s">
        <v>2392</v>
      </c>
      <c r="B1989" s="11" t="s">
        <v>2477</v>
      </c>
      <c r="C1989" s="12" t="s">
        <v>2639</v>
      </c>
      <c r="D1989" s="83"/>
      <c r="E1989" s="69" t="str">
        <f>HYPERLINK("https://www.google.ru/search?q=C3UUW-S3&amp;newwindow=1&amp;tbm=isch","Еще фото")</f>
        <v>Еще фото</v>
      </c>
      <c r="F1989" s="13"/>
      <c r="G1989" s="11" t="s">
        <v>2479</v>
      </c>
      <c r="H1989" s="11" t="s">
        <v>112</v>
      </c>
      <c r="I1989" s="14" t="s">
        <v>825</v>
      </c>
      <c r="J1989" s="14" t="s">
        <v>406</v>
      </c>
      <c r="K1989" s="15" t="s">
        <v>47</v>
      </c>
      <c r="L1989" s="86" t="s">
        <v>2640</v>
      </c>
      <c r="M1989" s="14"/>
      <c r="N1989" s="14" t="s">
        <v>265</v>
      </c>
      <c r="O1989" s="14"/>
      <c r="P1989" s="15" t="s">
        <v>2470</v>
      </c>
      <c r="Q1989" s="16">
        <v>4519</v>
      </c>
      <c r="R1989" s="17">
        <v>40</v>
      </c>
      <c r="S1989" s="18">
        <v>3118.1099999999997</v>
      </c>
      <c r="T1989" s="19" t="s">
        <v>117</v>
      </c>
      <c r="U1989" s="20" t="s">
        <v>2404</v>
      </c>
      <c r="V1989" s="25" t="s">
        <v>828</v>
      </c>
      <c r="W1989" s="21">
        <v>1</v>
      </c>
      <c r="X1989" s="22"/>
    </row>
    <row r="1990" spans="1:24" s="1" customFormat="1" ht="35.1" customHeight="1" x14ac:dyDescent="0.3">
      <c r="A1990" s="23" t="s">
        <v>2392</v>
      </c>
      <c r="B1990" s="23" t="s">
        <v>2477</v>
      </c>
      <c r="C1990" s="12" t="s">
        <v>2639</v>
      </c>
      <c r="D1990" s="84"/>
      <c r="E1990" s="69" t="str">
        <f>HYPERLINK("https://www.google.ru/search?q=C3UUW-S3&amp;newwindow=1&amp;tbm=isch","Еще фото")</f>
        <v>Еще фото</v>
      </c>
      <c r="F1990" s="13"/>
      <c r="G1990" s="23" t="s">
        <v>2479</v>
      </c>
      <c r="H1990" s="23" t="s">
        <v>112</v>
      </c>
      <c r="I1990" s="23" t="s">
        <v>825</v>
      </c>
      <c r="J1990" s="14" t="s">
        <v>406</v>
      </c>
      <c r="K1990" s="15" t="s">
        <v>47</v>
      </c>
      <c r="L1990" s="87"/>
      <c r="M1990" s="14"/>
      <c r="N1990" s="14" t="s">
        <v>265</v>
      </c>
      <c r="O1990" s="14"/>
      <c r="P1990" s="15" t="s">
        <v>2470</v>
      </c>
      <c r="Q1990" s="16">
        <v>4519</v>
      </c>
      <c r="R1990" s="17">
        <v>40</v>
      </c>
      <c r="S1990" s="18">
        <v>3118.1099999999997</v>
      </c>
      <c r="T1990" s="19" t="s">
        <v>117</v>
      </c>
      <c r="U1990" s="20" t="s">
        <v>2437</v>
      </c>
      <c r="V1990" s="25" t="s">
        <v>829</v>
      </c>
      <c r="W1990" s="21">
        <v>7</v>
      </c>
      <c r="X1990" s="22"/>
    </row>
    <row r="1991" spans="1:24" s="1" customFormat="1" ht="36.950000000000003" customHeight="1" x14ac:dyDescent="0.3">
      <c r="A1991" s="23" t="s">
        <v>2392</v>
      </c>
      <c r="B1991" s="23" t="s">
        <v>2477</v>
      </c>
      <c r="C1991" s="12" t="s">
        <v>2639</v>
      </c>
      <c r="D1991" s="85"/>
      <c r="E1991" s="69" t="str">
        <f>HYPERLINK("https://www.google.ru/search?q=C3UUW-S3&amp;newwindow=1&amp;tbm=isch","Еще фото")</f>
        <v>Еще фото</v>
      </c>
      <c r="F1991" s="13"/>
      <c r="G1991" s="23" t="s">
        <v>2479</v>
      </c>
      <c r="H1991" s="23" t="s">
        <v>112</v>
      </c>
      <c r="I1991" s="23" t="s">
        <v>825</v>
      </c>
      <c r="J1991" s="14" t="s">
        <v>406</v>
      </c>
      <c r="K1991" s="15" t="s">
        <v>47</v>
      </c>
      <c r="L1991" s="88"/>
      <c r="M1991" s="14"/>
      <c r="N1991" s="14" t="s">
        <v>265</v>
      </c>
      <c r="O1991" s="14"/>
      <c r="P1991" s="15" t="s">
        <v>2470</v>
      </c>
      <c r="Q1991" s="16">
        <v>4519</v>
      </c>
      <c r="R1991" s="17">
        <v>40</v>
      </c>
      <c r="S1991" s="18">
        <v>3118.1099999999997</v>
      </c>
      <c r="T1991" s="19" t="s">
        <v>117</v>
      </c>
      <c r="U1991" s="20" t="s">
        <v>2410</v>
      </c>
      <c r="V1991" s="25" t="s">
        <v>830</v>
      </c>
      <c r="W1991" s="21">
        <v>3</v>
      </c>
      <c r="X1991" s="22"/>
    </row>
    <row r="1992" spans="1:24" s="1" customFormat="1" ht="35.1" customHeight="1" x14ac:dyDescent="0.3">
      <c r="A1992" s="11" t="s">
        <v>2392</v>
      </c>
      <c r="B1992" s="11" t="s">
        <v>2641</v>
      </c>
      <c r="C1992" s="12" t="s">
        <v>2642</v>
      </c>
      <c r="D1992" s="83"/>
      <c r="E1992" s="69" t="str">
        <f>HYPERLINK("https://www.google.ru/search?q=C516UM-22&amp;newwindow=1&amp;tbm=isch","Еще фото")</f>
        <v>Еще фото</v>
      </c>
      <c r="F1992" s="13"/>
      <c r="G1992" s="11" t="s">
        <v>2643</v>
      </c>
      <c r="H1992" s="11" t="s">
        <v>112</v>
      </c>
      <c r="I1992" s="14" t="s">
        <v>825</v>
      </c>
      <c r="J1992" s="14" t="s">
        <v>406</v>
      </c>
      <c r="K1992" s="15" t="s">
        <v>55</v>
      </c>
      <c r="L1992" s="86" t="s">
        <v>2644</v>
      </c>
      <c r="M1992" s="14"/>
      <c r="N1992" s="14" t="s">
        <v>41</v>
      </c>
      <c r="O1992" s="14"/>
      <c r="P1992" s="15" t="s">
        <v>2645</v>
      </c>
      <c r="Q1992" s="16">
        <v>2949</v>
      </c>
      <c r="R1992" s="17">
        <v>40</v>
      </c>
      <c r="S1992" s="18">
        <v>2034.81</v>
      </c>
      <c r="T1992" s="19" t="s">
        <v>117</v>
      </c>
      <c r="U1992" s="20" t="s">
        <v>2437</v>
      </c>
      <c r="V1992" s="25" t="s">
        <v>2443</v>
      </c>
      <c r="W1992" s="21">
        <v>6</v>
      </c>
      <c r="X1992" s="22"/>
    </row>
    <row r="1993" spans="1:24" s="1" customFormat="1" ht="35.1" customHeight="1" x14ac:dyDescent="0.3">
      <c r="A1993" s="23" t="s">
        <v>2392</v>
      </c>
      <c r="B1993" s="23" t="s">
        <v>2641</v>
      </c>
      <c r="C1993" s="12" t="s">
        <v>2642</v>
      </c>
      <c r="D1993" s="84"/>
      <c r="E1993" s="69" t="str">
        <f>HYPERLINK("https://www.google.ru/search?q=C516UM-22&amp;newwindow=1&amp;tbm=isch","Еще фото")</f>
        <v>Еще фото</v>
      </c>
      <c r="F1993" s="13"/>
      <c r="G1993" s="23" t="s">
        <v>2643</v>
      </c>
      <c r="H1993" s="23" t="s">
        <v>112</v>
      </c>
      <c r="I1993" s="23" t="s">
        <v>825</v>
      </c>
      <c r="J1993" s="14" t="s">
        <v>406</v>
      </c>
      <c r="K1993" s="15" t="s">
        <v>55</v>
      </c>
      <c r="L1993" s="87"/>
      <c r="M1993" s="14"/>
      <c r="N1993" s="14" t="s">
        <v>41</v>
      </c>
      <c r="O1993" s="14"/>
      <c r="P1993" s="15" t="s">
        <v>2645</v>
      </c>
      <c r="Q1993" s="16">
        <v>2949</v>
      </c>
      <c r="R1993" s="17">
        <v>40</v>
      </c>
      <c r="S1993" s="18">
        <v>2034.81</v>
      </c>
      <c r="T1993" s="19" t="s">
        <v>117</v>
      </c>
      <c r="U1993" s="20" t="s">
        <v>2410</v>
      </c>
      <c r="V1993" s="25" t="s">
        <v>65</v>
      </c>
      <c r="W1993" s="21">
        <v>5</v>
      </c>
      <c r="X1993" s="22"/>
    </row>
    <row r="1994" spans="1:24" s="1" customFormat="1" ht="36.950000000000003" customHeight="1" x14ac:dyDescent="0.3">
      <c r="A1994" s="23" t="s">
        <v>2392</v>
      </c>
      <c r="B1994" s="23" t="s">
        <v>2641</v>
      </c>
      <c r="C1994" s="12" t="s">
        <v>2642</v>
      </c>
      <c r="D1994" s="85"/>
      <c r="E1994" s="69" t="str">
        <f>HYPERLINK("https://www.google.ru/search?q=C516UM-22&amp;newwindow=1&amp;tbm=isch","Еще фото")</f>
        <v>Еще фото</v>
      </c>
      <c r="F1994" s="13"/>
      <c r="G1994" s="23" t="s">
        <v>2643</v>
      </c>
      <c r="H1994" s="23" t="s">
        <v>112</v>
      </c>
      <c r="I1994" s="23" t="s">
        <v>825</v>
      </c>
      <c r="J1994" s="14" t="s">
        <v>406</v>
      </c>
      <c r="K1994" s="15" t="s">
        <v>55</v>
      </c>
      <c r="L1994" s="88"/>
      <c r="M1994" s="14"/>
      <c r="N1994" s="14" t="s">
        <v>41</v>
      </c>
      <c r="O1994" s="14"/>
      <c r="P1994" s="15" t="s">
        <v>2645</v>
      </c>
      <c r="Q1994" s="16">
        <v>2949</v>
      </c>
      <c r="R1994" s="17">
        <v>40</v>
      </c>
      <c r="S1994" s="18">
        <v>2034.81</v>
      </c>
      <c r="T1994" s="19" t="s">
        <v>117</v>
      </c>
      <c r="U1994" s="20" t="s">
        <v>2444</v>
      </c>
      <c r="V1994" s="25" t="s">
        <v>2445</v>
      </c>
      <c r="W1994" s="21">
        <v>1</v>
      </c>
      <c r="X1994" s="22"/>
    </row>
    <row r="1995" spans="1:24" s="1" customFormat="1" ht="108" customHeight="1" x14ac:dyDescent="0.3">
      <c r="A1995" s="11" t="s">
        <v>2392</v>
      </c>
      <c r="B1995" s="11" t="s">
        <v>2646</v>
      </c>
      <c r="C1995" s="12" t="s">
        <v>2647</v>
      </c>
      <c r="D1995" s="24"/>
      <c r="E1995" s="69" t="str">
        <f>HYPERLINK("https://www.google.ru/search?q=C516UM-2G&amp;newwindow=1&amp;tbm=isch","Еще фото")</f>
        <v>Еще фото</v>
      </c>
      <c r="F1995" s="13"/>
      <c r="G1995" s="11" t="s">
        <v>824</v>
      </c>
      <c r="H1995" s="11" t="s">
        <v>112</v>
      </c>
      <c r="I1995" s="14" t="s">
        <v>825</v>
      </c>
      <c r="J1995" s="14" t="s">
        <v>2401</v>
      </c>
      <c r="K1995" s="15" t="s">
        <v>55</v>
      </c>
      <c r="L1995" s="14" t="s">
        <v>2644</v>
      </c>
      <c r="M1995" s="14"/>
      <c r="N1995" s="14" t="s">
        <v>2620</v>
      </c>
      <c r="O1995" s="14"/>
      <c r="P1995" s="15" t="s">
        <v>2645</v>
      </c>
      <c r="Q1995" s="16">
        <v>2949</v>
      </c>
      <c r="R1995" s="17">
        <v>40</v>
      </c>
      <c r="S1995" s="18">
        <v>2034.81</v>
      </c>
      <c r="T1995" s="19" t="s">
        <v>117</v>
      </c>
      <c r="U1995" s="20" t="s">
        <v>2437</v>
      </c>
      <c r="V1995" s="25" t="s">
        <v>2443</v>
      </c>
      <c r="W1995" s="21">
        <v>3</v>
      </c>
      <c r="X1995" s="22"/>
    </row>
    <row r="1996" spans="1:24" s="1" customFormat="1" ht="35.1" customHeight="1" x14ac:dyDescent="0.3">
      <c r="A1996" s="11" t="s">
        <v>2392</v>
      </c>
      <c r="B1996" s="11" t="s">
        <v>2641</v>
      </c>
      <c r="C1996" s="12" t="s">
        <v>2648</v>
      </c>
      <c r="D1996" s="83"/>
      <c r="E1996" s="69" t="str">
        <f>HYPERLINK("https://www.google.ru/search?q=C516UM-52&amp;newwindow=1&amp;tbm=isch","Еще фото")</f>
        <v>Еще фото</v>
      </c>
      <c r="F1996" s="13"/>
      <c r="G1996" s="11" t="s">
        <v>2643</v>
      </c>
      <c r="H1996" s="11" t="s">
        <v>112</v>
      </c>
      <c r="I1996" s="14" t="s">
        <v>825</v>
      </c>
      <c r="J1996" s="14" t="s">
        <v>406</v>
      </c>
      <c r="K1996" s="15" t="s">
        <v>55</v>
      </c>
      <c r="L1996" s="86" t="s">
        <v>2644</v>
      </c>
      <c r="M1996" s="14"/>
      <c r="N1996" s="14" t="s">
        <v>1527</v>
      </c>
      <c r="O1996" s="14"/>
      <c r="P1996" s="15" t="s">
        <v>2645</v>
      </c>
      <c r="Q1996" s="16">
        <v>2949</v>
      </c>
      <c r="R1996" s="17">
        <v>40</v>
      </c>
      <c r="S1996" s="18">
        <v>2034.81</v>
      </c>
      <c r="T1996" s="19" t="s">
        <v>117</v>
      </c>
      <c r="U1996" s="20" t="s">
        <v>2437</v>
      </c>
      <c r="V1996" s="25" t="s">
        <v>2443</v>
      </c>
      <c r="W1996" s="21">
        <v>5</v>
      </c>
      <c r="X1996" s="22"/>
    </row>
    <row r="1997" spans="1:24" s="1" customFormat="1" ht="35.1" customHeight="1" x14ac:dyDescent="0.3">
      <c r="A1997" s="23" t="s">
        <v>2392</v>
      </c>
      <c r="B1997" s="23" t="s">
        <v>2641</v>
      </c>
      <c r="C1997" s="12" t="s">
        <v>2648</v>
      </c>
      <c r="D1997" s="84"/>
      <c r="E1997" s="69" t="str">
        <f>HYPERLINK("https://www.google.ru/search?q=C516UM-52&amp;newwindow=1&amp;tbm=isch","Еще фото")</f>
        <v>Еще фото</v>
      </c>
      <c r="F1997" s="13"/>
      <c r="G1997" s="23" t="s">
        <v>2643</v>
      </c>
      <c r="H1997" s="23" t="s">
        <v>112</v>
      </c>
      <c r="I1997" s="23" t="s">
        <v>825</v>
      </c>
      <c r="J1997" s="14" t="s">
        <v>406</v>
      </c>
      <c r="K1997" s="15" t="s">
        <v>55</v>
      </c>
      <c r="L1997" s="87"/>
      <c r="M1997" s="14"/>
      <c r="N1997" s="14" t="s">
        <v>1527</v>
      </c>
      <c r="O1997" s="14"/>
      <c r="P1997" s="15" t="s">
        <v>2645</v>
      </c>
      <c r="Q1997" s="16">
        <v>2949</v>
      </c>
      <c r="R1997" s="17">
        <v>40</v>
      </c>
      <c r="S1997" s="18">
        <v>2034.81</v>
      </c>
      <c r="T1997" s="19" t="s">
        <v>117</v>
      </c>
      <c r="U1997" s="20" t="s">
        <v>2410</v>
      </c>
      <c r="V1997" s="25" t="s">
        <v>65</v>
      </c>
      <c r="W1997" s="21">
        <v>10</v>
      </c>
      <c r="X1997" s="22"/>
    </row>
    <row r="1998" spans="1:24" s="1" customFormat="1" ht="36.950000000000003" customHeight="1" x14ac:dyDescent="0.3">
      <c r="A1998" s="23" t="s">
        <v>2392</v>
      </c>
      <c r="B1998" s="23" t="s">
        <v>2641</v>
      </c>
      <c r="C1998" s="12" t="s">
        <v>2648</v>
      </c>
      <c r="D1998" s="85"/>
      <c r="E1998" s="69" t="str">
        <f>HYPERLINK("https://www.google.ru/search?q=C516UM-52&amp;newwindow=1&amp;tbm=isch","Еще фото")</f>
        <v>Еще фото</v>
      </c>
      <c r="F1998" s="13"/>
      <c r="G1998" s="23" t="s">
        <v>2643</v>
      </c>
      <c r="H1998" s="23" t="s">
        <v>112</v>
      </c>
      <c r="I1998" s="23" t="s">
        <v>825</v>
      </c>
      <c r="J1998" s="14" t="s">
        <v>406</v>
      </c>
      <c r="K1998" s="15" t="s">
        <v>55</v>
      </c>
      <c r="L1998" s="88"/>
      <c r="M1998" s="14"/>
      <c r="N1998" s="14" t="s">
        <v>1527</v>
      </c>
      <c r="O1998" s="14"/>
      <c r="P1998" s="15" t="s">
        <v>2645</v>
      </c>
      <c r="Q1998" s="16">
        <v>2949</v>
      </c>
      <c r="R1998" s="17">
        <v>40</v>
      </c>
      <c r="S1998" s="18">
        <v>2034.81</v>
      </c>
      <c r="T1998" s="19" t="s">
        <v>117</v>
      </c>
      <c r="U1998" s="20" t="s">
        <v>2444</v>
      </c>
      <c r="V1998" s="25" t="s">
        <v>2445</v>
      </c>
      <c r="W1998" s="21">
        <v>4</v>
      </c>
      <c r="X1998" s="22"/>
    </row>
    <row r="1999" spans="1:24" s="1" customFormat="1" ht="35.1" customHeight="1" x14ac:dyDescent="0.3">
      <c r="A1999" s="11" t="s">
        <v>2392</v>
      </c>
      <c r="B1999" s="11" t="s">
        <v>2649</v>
      </c>
      <c r="C1999" s="12" t="s">
        <v>2650</v>
      </c>
      <c r="D1999" s="83"/>
      <c r="E1999" s="69" t="str">
        <f>HYPERLINK("https://www.google.ru/search?q=C516UW-2G&amp;newwindow=1&amp;tbm=isch","Еще фото")</f>
        <v>Еще фото</v>
      </c>
      <c r="F1999" s="13"/>
      <c r="G1999" s="11" t="s">
        <v>824</v>
      </c>
      <c r="H1999" s="11" t="s">
        <v>112</v>
      </c>
      <c r="I1999" s="14" t="s">
        <v>825</v>
      </c>
      <c r="J1999" s="14" t="s">
        <v>2401</v>
      </c>
      <c r="K1999" s="15" t="s">
        <v>47</v>
      </c>
      <c r="L1999" s="86" t="s">
        <v>2651</v>
      </c>
      <c r="M1999" s="14"/>
      <c r="N1999" s="14" t="s">
        <v>2620</v>
      </c>
      <c r="O1999" s="14"/>
      <c r="P1999" s="15" t="s">
        <v>2645</v>
      </c>
      <c r="Q1999" s="16">
        <v>2949</v>
      </c>
      <c r="R1999" s="17">
        <v>40</v>
      </c>
      <c r="S1999" s="18">
        <v>2034.81</v>
      </c>
      <c r="T1999" s="19" t="s">
        <v>117</v>
      </c>
      <c r="U1999" s="20" t="s">
        <v>2404</v>
      </c>
      <c r="V1999" s="25" t="s">
        <v>828</v>
      </c>
      <c r="W1999" s="21">
        <v>2</v>
      </c>
      <c r="X1999" s="22"/>
    </row>
    <row r="2000" spans="1:24" s="1" customFormat="1" ht="35.1" customHeight="1" x14ac:dyDescent="0.3">
      <c r="A2000" s="23" t="s">
        <v>2392</v>
      </c>
      <c r="B2000" s="23" t="s">
        <v>2649</v>
      </c>
      <c r="C2000" s="12" t="s">
        <v>2650</v>
      </c>
      <c r="D2000" s="84"/>
      <c r="E2000" s="69" t="str">
        <f>HYPERLINK("https://www.google.ru/search?q=C516UW-2G&amp;newwindow=1&amp;tbm=isch","Еще фото")</f>
        <v>Еще фото</v>
      </c>
      <c r="F2000" s="13"/>
      <c r="G2000" s="23" t="s">
        <v>824</v>
      </c>
      <c r="H2000" s="23" t="s">
        <v>112</v>
      </c>
      <c r="I2000" s="23" t="s">
        <v>825</v>
      </c>
      <c r="J2000" s="14" t="s">
        <v>2401</v>
      </c>
      <c r="K2000" s="15" t="s">
        <v>47</v>
      </c>
      <c r="L2000" s="87"/>
      <c r="M2000" s="14"/>
      <c r="N2000" s="14" t="s">
        <v>2620</v>
      </c>
      <c r="O2000" s="14"/>
      <c r="P2000" s="15" t="s">
        <v>2645</v>
      </c>
      <c r="Q2000" s="16">
        <v>2949</v>
      </c>
      <c r="R2000" s="17">
        <v>40</v>
      </c>
      <c r="S2000" s="18">
        <v>2034.81</v>
      </c>
      <c r="T2000" s="19" t="s">
        <v>117</v>
      </c>
      <c r="U2000" s="20" t="s">
        <v>2437</v>
      </c>
      <c r="V2000" s="25" t="s">
        <v>829</v>
      </c>
      <c r="W2000" s="21">
        <v>4</v>
      </c>
      <c r="X2000" s="22"/>
    </row>
    <row r="2001" spans="1:24" s="1" customFormat="1" ht="36.950000000000003" customHeight="1" x14ac:dyDescent="0.3">
      <c r="A2001" s="23" t="s">
        <v>2392</v>
      </c>
      <c r="B2001" s="23" t="s">
        <v>2649</v>
      </c>
      <c r="C2001" s="12" t="s">
        <v>2650</v>
      </c>
      <c r="D2001" s="85"/>
      <c r="E2001" s="69" t="str">
        <f>HYPERLINK("https://www.google.ru/search?q=C516UW-2G&amp;newwindow=1&amp;tbm=isch","Еще фото")</f>
        <v>Еще фото</v>
      </c>
      <c r="F2001" s="13"/>
      <c r="G2001" s="23" t="s">
        <v>824</v>
      </c>
      <c r="H2001" s="23" t="s">
        <v>112</v>
      </c>
      <c r="I2001" s="23" t="s">
        <v>825</v>
      </c>
      <c r="J2001" s="14" t="s">
        <v>2401</v>
      </c>
      <c r="K2001" s="15" t="s">
        <v>47</v>
      </c>
      <c r="L2001" s="88"/>
      <c r="M2001" s="14"/>
      <c r="N2001" s="14" t="s">
        <v>2620</v>
      </c>
      <c r="O2001" s="14"/>
      <c r="P2001" s="15" t="s">
        <v>2645</v>
      </c>
      <c r="Q2001" s="16">
        <v>2949</v>
      </c>
      <c r="R2001" s="17">
        <v>40</v>
      </c>
      <c r="S2001" s="18">
        <v>2034.81</v>
      </c>
      <c r="T2001" s="19" t="s">
        <v>117</v>
      </c>
      <c r="U2001" s="20" t="s">
        <v>2410</v>
      </c>
      <c r="V2001" s="25" t="s">
        <v>830</v>
      </c>
      <c r="W2001" s="21">
        <v>1</v>
      </c>
      <c r="X2001" s="22"/>
    </row>
    <row r="2002" spans="1:24" s="1" customFormat="1" ht="35.1" customHeight="1" x14ac:dyDescent="0.3">
      <c r="A2002" s="11" t="s">
        <v>2392</v>
      </c>
      <c r="B2002" s="11" t="s">
        <v>2649</v>
      </c>
      <c r="C2002" s="12" t="s">
        <v>2652</v>
      </c>
      <c r="D2002" s="83"/>
      <c r="E2002" s="69" t="str">
        <f>HYPERLINK("https://www.google.ru/search?q=C516UW-52&amp;newwindow=1&amp;tbm=isch","Еще фото")</f>
        <v>Еще фото</v>
      </c>
      <c r="F2002" s="13"/>
      <c r="G2002" s="11" t="s">
        <v>824</v>
      </c>
      <c r="H2002" s="11" t="s">
        <v>112</v>
      </c>
      <c r="I2002" s="14" t="s">
        <v>825</v>
      </c>
      <c r="J2002" s="14" t="s">
        <v>2401</v>
      </c>
      <c r="K2002" s="15" t="s">
        <v>47</v>
      </c>
      <c r="L2002" s="86" t="s">
        <v>2651</v>
      </c>
      <c r="M2002" s="14"/>
      <c r="N2002" s="14" t="s">
        <v>1527</v>
      </c>
      <c r="O2002" s="14"/>
      <c r="P2002" s="15" t="s">
        <v>2645</v>
      </c>
      <c r="Q2002" s="16">
        <v>2949</v>
      </c>
      <c r="R2002" s="17">
        <v>40</v>
      </c>
      <c r="S2002" s="18">
        <v>2034.81</v>
      </c>
      <c r="T2002" s="19" t="s">
        <v>117</v>
      </c>
      <c r="U2002" s="20" t="s">
        <v>2404</v>
      </c>
      <c r="V2002" s="25" t="s">
        <v>828</v>
      </c>
      <c r="W2002" s="21">
        <v>3</v>
      </c>
      <c r="X2002" s="22"/>
    </row>
    <row r="2003" spans="1:24" s="1" customFormat="1" ht="35.1" customHeight="1" x14ac:dyDescent="0.3">
      <c r="A2003" s="23" t="s">
        <v>2392</v>
      </c>
      <c r="B2003" s="23" t="s">
        <v>2649</v>
      </c>
      <c r="C2003" s="12" t="s">
        <v>2652</v>
      </c>
      <c r="D2003" s="84"/>
      <c r="E2003" s="69" t="str">
        <f>HYPERLINK("https://www.google.ru/search?q=C516UW-52&amp;newwindow=1&amp;tbm=isch","Еще фото")</f>
        <v>Еще фото</v>
      </c>
      <c r="F2003" s="13"/>
      <c r="G2003" s="23" t="s">
        <v>824</v>
      </c>
      <c r="H2003" s="23" t="s">
        <v>112</v>
      </c>
      <c r="I2003" s="23" t="s">
        <v>825</v>
      </c>
      <c r="J2003" s="14" t="s">
        <v>2401</v>
      </c>
      <c r="K2003" s="15" t="s">
        <v>47</v>
      </c>
      <c r="L2003" s="87"/>
      <c r="M2003" s="14"/>
      <c r="N2003" s="14" t="s">
        <v>1527</v>
      </c>
      <c r="O2003" s="14"/>
      <c r="P2003" s="15" t="s">
        <v>2645</v>
      </c>
      <c r="Q2003" s="16">
        <v>2949</v>
      </c>
      <c r="R2003" s="17">
        <v>40</v>
      </c>
      <c r="S2003" s="18">
        <v>2034.81</v>
      </c>
      <c r="T2003" s="19" t="s">
        <v>117</v>
      </c>
      <c r="U2003" s="20" t="s">
        <v>2437</v>
      </c>
      <c r="V2003" s="25" t="s">
        <v>829</v>
      </c>
      <c r="W2003" s="21">
        <v>6</v>
      </c>
      <c r="X2003" s="22"/>
    </row>
    <row r="2004" spans="1:24" s="1" customFormat="1" ht="36.950000000000003" customHeight="1" x14ac:dyDescent="0.3">
      <c r="A2004" s="23" t="s">
        <v>2392</v>
      </c>
      <c r="B2004" s="23" t="s">
        <v>2649</v>
      </c>
      <c r="C2004" s="12" t="s">
        <v>2652</v>
      </c>
      <c r="D2004" s="85"/>
      <c r="E2004" s="69" t="str">
        <f>HYPERLINK("https://www.google.ru/search?q=C516UW-52&amp;newwindow=1&amp;tbm=isch","Еще фото")</f>
        <v>Еще фото</v>
      </c>
      <c r="F2004" s="13"/>
      <c r="G2004" s="23" t="s">
        <v>824</v>
      </c>
      <c r="H2004" s="23" t="s">
        <v>112</v>
      </c>
      <c r="I2004" s="23" t="s">
        <v>825</v>
      </c>
      <c r="J2004" s="14" t="s">
        <v>2401</v>
      </c>
      <c r="K2004" s="15" t="s">
        <v>47</v>
      </c>
      <c r="L2004" s="88"/>
      <c r="M2004" s="14"/>
      <c r="N2004" s="14" t="s">
        <v>1527</v>
      </c>
      <c r="O2004" s="14"/>
      <c r="P2004" s="15" t="s">
        <v>2645</v>
      </c>
      <c r="Q2004" s="16">
        <v>2949</v>
      </c>
      <c r="R2004" s="17">
        <v>40</v>
      </c>
      <c r="S2004" s="18">
        <v>2034.81</v>
      </c>
      <c r="T2004" s="19" t="s">
        <v>117</v>
      </c>
      <c r="U2004" s="20" t="s">
        <v>2410</v>
      </c>
      <c r="V2004" s="25" t="s">
        <v>830</v>
      </c>
      <c r="W2004" s="21">
        <v>2</v>
      </c>
      <c r="X2004" s="22"/>
    </row>
    <row r="2005" spans="1:24" s="1" customFormat="1" ht="108" customHeight="1" x14ac:dyDescent="0.3">
      <c r="A2005" s="11" t="s">
        <v>2392</v>
      </c>
      <c r="B2005" s="11" t="s">
        <v>2477</v>
      </c>
      <c r="C2005" s="12" t="s">
        <v>2653</v>
      </c>
      <c r="D2005" s="24"/>
      <c r="E2005" s="69" t="str">
        <f>HYPERLINK("https://www.google.ru/search?q=CS152U-5&amp;newwindow=1&amp;tbm=isch","Еще фото")</f>
        <v>Еще фото</v>
      </c>
      <c r="F2005" s="13"/>
      <c r="G2005" s="11" t="s">
        <v>2654</v>
      </c>
      <c r="H2005" s="11" t="s">
        <v>112</v>
      </c>
      <c r="I2005" s="14" t="s">
        <v>825</v>
      </c>
      <c r="J2005" s="14" t="s">
        <v>406</v>
      </c>
      <c r="K2005" s="15" t="s">
        <v>114</v>
      </c>
      <c r="L2005" s="14" t="s">
        <v>2655</v>
      </c>
      <c r="M2005" s="14"/>
      <c r="N2005" s="14" t="s">
        <v>49</v>
      </c>
      <c r="O2005" s="14"/>
      <c r="P2005" s="15" t="s">
        <v>2656</v>
      </c>
      <c r="Q2005" s="16">
        <v>4309</v>
      </c>
      <c r="R2005" s="17">
        <v>40</v>
      </c>
      <c r="S2005" s="18">
        <v>2973.21</v>
      </c>
      <c r="T2005" s="19" t="s">
        <v>328</v>
      </c>
      <c r="U2005" s="20" t="s">
        <v>64</v>
      </c>
      <c r="V2005" s="25" t="s">
        <v>2657</v>
      </c>
      <c r="W2005" s="21">
        <v>1</v>
      </c>
      <c r="X2005" s="22"/>
    </row>
    <row r="2006" spans="1:24" s="1" customFormat="1" ht="108" customHeight="1" x14ac:dyDescent="0.3">
      <c r="A2006" s="11" t="s">
        <v>2392</v>
      </c>
      <c r="B2006" s="11" t="s">
        <v>2658</v>
      </c>
      <c r="C2006" s="12" t="s">
        <v>2659</v>
      </c>
      <c r="D2006" s="24"/>
      <c r="E2006" s="69" t="str">
        <f>HYPERLINK("https://www.google.ru/search?q=CB949U-5&amp;newwindow=1&amp;tbm=isch","Еще фото")</f>
        <v>Еще фото</v>
      </c>
      <c r="F2006" s="13"/>
      <c r="G2006" s="11" t="s">
        <v>2660</v>
      </c>
      <c r="H2006" s="11" t="s">
        <v>112</v>
      </c>
      <c r="I2006" s="14" t="s">
        <v>1210</v>
      </c>
      <c r="J2006" s="14" t="s">
        <v>29</v>
      </c>
      <c r="K2006" s="15" t="s">
        <v>114</v>
      </c>
      <c r="L2006" s="14" t="s">
        <v>2661</v>
      </c>
      <c r="M2006" s="14"/>
      <c r="N2006" s="14" t="s">
        <v>49</v>
      </c>
      <c r="O2006" s="14"/>
      <c r="P2006" s="15" t="s">
        <v>2662</v>
      </c>
      <c r="Q2006" s="16">
        <v>2319</v>
      </c>
      <c r="R2006" s="17">
        <v>40</v>
      </c>
      <c r="S2006" s="18">
        <v>1600.11</v>
      </c>
      <c r="T2006" s="19" t="s">
        <v>117</v>
      </c>
      <c r="U2006" s="20" t="s">
        <v>2417</v>
      </c>
      <c r="V2006" s="25" t="s">
        <v>119</v>
      </c>
      <c r="W2006" s="21">
        <v>5</v>
      </c>
      <c r="X2006" s="22"/>
    </row>
    <row r="2007" spans="1:24" s="1" customFormat="1" ht="51.95" customHeight="1" x14ac:dyDescent="0.3">
      <c r="A2007" s="11" t="s">
        <v>2392</v>
      </c>
      <c r="B2007" s="11" t="s">
        <v>2663</v>
      </c>
      <c r="C2007" s="12" t="s">
        <v>2664</v>
      </c>
      <c r="D2007" s="89"/>
      <c r="E2007" s="69" t="str">
        <f>HYPERLINK("https://www.google.ru/search?q=CU71U-5&amp;newwindow=1&amp;tbm=isch","Еще фото")</f>
        <v>Еще фото</v>
      </c>
      <c r="F2007" s="13"/>
      <c r="G2007" s="11" t="s">
        <v>2665</v>
      </c>
      <c r="H2007" s="11" t="s">
        <v>112</v>
      </c>
      <c r="I2007" s="14" t="s">
        <v>514</v>
      </c>
      <c r="J2007" s="14" t="s">
        <v>406</v>
      </c>
      <c r="K2007" s="15" t="s">
        <v>114</v>
      </c>
      <c r="L2007" s="86" t="s">
        <v>2666</v>
      </c>
      <c r="M2007" s="14"/>
      <c r="N2007" s="14" t="s">
        <v>49</v>
      </c>
      <c r="O2007" s="14"/>
      <c r="P2007" s="15" t="s">
        <v>2667</v>
      </c>
      <c r="Q2007" s="16">
        <v>4299</v>
      </c>
      <c r="R2007" s="17">
        <v>45.16</v>
      </c>
      <c r="S2007" s="18">
        <v>2711.4354999999996</v>
      </c>
      <c r="T2007" s="19" t="s">
        <v>117</v>
      </c>
      <c r="U2007" s="20" t="s">
        <v>2437</v>
      </c>
      <c r="V2007" s="25" t="s">
        <v>829</v>
      </c>
      <c r="W2007" s="21">
        <v>12</v>
      </c>
      <c r="X2007" s="22"/>
    </row>
    <row r="2008" spans="1:24" s="1" customFormat="1" ht="60.95" customHeight="1" x14ac:dyDescent="0.3">
      <c r="A2008" s="23" t="s">
        <v>2392</v>
      </c>
      <c r="B2008" s="23" t="s">
        <v>2663</v>
      </c>
      <c r="C2008" s="12" t="s">
        <v>2664</v>
      </c>
      <c r="D2008" s="90"/>
      <c r="E2008" s="69" t="str">
        <f>HYPERLINK("https://www.google.ru/search?q=CU71U-5&amp;newwindow=1&amp;tbm=isch","Еще фото")</f>
        <v>Еще фото</v>
      </c>
      <c r="F2008" s="13"/>
      <c r="G2008" s="23" t="s">
        <v>2665</v>
      </c>
      <c r="H2008" s="23" t="s">
        <v>112</v>
      </c>
      <c r="I2008" s="23" t="s">
        <v>514</v>
      </c>
      <c r="J2008" s="14" t="s">
        <v>406</v>
      </c>
      <c r="K2008" s="15" t="s">
        <v>114</v>
      </c>
      <c r="L2008" s="88"/>
      <c r="M2008" s="14"/>
      <c r="N2008" s="14" t="s">
        <v>49</v>
      </c>
      <c r="O2008" s="14"/>
      <c r="P2008" s="15" t="s">
        <v>2667</v>
      </c>
      <c r="Q2008" s="16">
        <v>4299</v>
      </c>
      <c r="R2008" s="17">
        <v>45.16</v>
      </c>
      <c r="S2008" s="18">
        <v>2711.4354999999996</v>
      </c>
      <c r="T2008" s="19" t="s">
        <v>117</v>
      </c>
      <c r="U2008" s="20" t="s">
        <v>2410</v>
      </c>
      <c r="V2008" s="25" t="s">
        <v>830</v>
      </c>
      <c r="W2008" s="21">
        <v>8</v>
      </c>
      <c r="X2008" s="22"/>
    </row>
    <row r="2009" spans="1:24" s="1" customFormat="1" ht="51.95" customHeight="1" x14ac:dyDescent="0.3">
      <c r="A2009" s="11" t="s">
        <v>2392</v>
      </c>
      <c r="B2009" s="11" t="s">
        <v>2668</v>
      </c>
      <c r="C2009" s="12" t="s">
        <v>2669</v>
      </c>
      <c r="D2009" s="89"/>
      <c r="E2009" s="69" t="str">
        <f>HYPERLINK("https://www.google.ru/search?q=CU70U-0&amp;newwindow=1&amp;tbm=isch","Еще фото")</f>
        <v>Еще фото</v>
      </c>
      <c r="F2009" s="13"/>
      <c r="G2009" s="11" t="s">
        <v>2665</v>
      </c>
      <c r="H2009" s="11" t="s">
        <v>112</v>
      </c>
      <c r="I2009" s="14" t="s">
        <v>514</v>
      </c>
      <c r="J2009" s="14" t="s">
        <v>406</v>
      </c>
      <c r="K2009" s="15" t="s">
        <v>114</v>
      </c>
      <c r="L2009" s="86" t="s">
        <v>2670</v>
      </c>
      <c r="M2009" s="14"/>
      <c r="N2009" s="14" t="s">
        <v>89</v>
      </c>
      <c r="O2009" s="14"/>
      <c r="P2009" s="15" t="s">
        <v>2667</v>
      </c>
      <c r="Q2009" s="16">
        <v>4299</v>
      </c>
      <c r="R2009" s="17">
        <v>40</v>
      </c>
      <c r="S2009" s="18">
        <v>2966.31</v>
      </c>
      <c r="T2009" s="19" t="s">
        <v>117</v>
      </c>
      <c r="U2009" s="20" t="s">
        <v>2404</v>
      </c>
      <c r="V2009" s="25" t="s">
        <v>828</v>
      </c>
      <c r="W2009" s="21">
        <v>7</v>
      </c>
      <c r="X2009" s="22"/>
    </row>
    <row r="2010" spans="1:24" s="1" customFormat="1" ht="60.95" customHeight="1" x14ac:dyDescent="0.3">
      <c r="A2010" s="23" t="s">
        <v>2392</v>
      </c>
      <c r="B2010" s="23" t="s">
        <v>2668</v>
      </c>
      <c r="C2010" s="12" t="s">
        <v>2669</v>
      </c>
      <c r="D2010" s="90"/>
      <c r="E2010" s="69" t="str">
        <f>HYPERLINK("https://www.google.ru/search?q=CU70U-0&amp;newwindow=1&amp;tbm=isch","Еще фото")</f>
        <v>Еще фото</v>
      </c>
      <c r="F2010" s="13"/>
      <c r="G2010" s="23" t="s">
        <v>2665</v>
      </c>
      <c r="H2010" s="23" t="s">
        <v>112</v>
      </c>
      <c r="I2010" s="23" t="s">
        <v>514</v>
      </c>
      <c r="J2010" s="14" t="s">
        <v>406</v>
      </c>
      <c r="K2010" s="15" t="s">
        <v>114</v>
      </c>
      <c r="L2010" s="88"/>
      <c r="M2010" s="14"/>
      <c r="N2010" s="14" t="s">
        <v>89</v>
      </c>
      <c r="O2010" s="14"/>
      <c r="P2010" s="15" t="s">
        <v>2667</v>
      </c>
      <c r="Q2010" s="16">
        <v>4299</v>
      </c>
      <c r="R2010" s="17">
        <v>40</v>
      </c>
      <c r="S2010" s="18">
        <v>2966.31</v>
      </c>
      <c r="T2010" s="19" t="s">
        <v>117</v>
      </c>
      <c r="U2010" s="20" t="s">
        <v>2437</v>
      </c>
      <c r="V2010" s="25" t="s">
        <v>829</v>
      </c>
      <c r="W2010" s="21">
        <v>4</v>
      </c>
      <c r="X2010" s="22"/>
    </row>
    <row r="2011" spans="1:24" s="1" customFormat="1" ht="108" customHeight="1" x14ac:dyDescent="0.3">
      <c r="A2011" s="11" t="s">
        <v>2392</v>
      </c>
      <c r="B2011" s="11" t="s">
        <v>2668</v>
      </c>
      <c r="C2011" s="12" t="s">
        <v>2671</v>
      </c>
      <c r="D2011" s="24"/>
      <c r="E2011" s="69" t="str">
        <f>HYPERLINK("https://www.google.ru/search?q=CU70U-5&amp;newwindow=1&amp;tbm=isch","Еще фото")</f>
        <v>Еще фото</v>
      </c>
      <c r="F2011" s="13"/>
      <c r="G2011" s="11" t="s">
        <v>2665</v>
      </c>
      <c r="H2011" s="11" t="s">
        <v>112</v>
      </c>
      <c r="I2011" s="14" t="s">
        <v>514</v>
      </c>
      <c r="J2011" s="14" t="s">
        <v>406</v>
      </c>
      <c r="K2011" s="15" t="s">
        <v>114</v>
      </c>
      <c r="L2011" s="14" t="s">
        <v>2670</v>
      </c>
      <c r="M2011" s="14"/>
      <c r="N2011" s="14" t="s">
        <v>49</v>
      </c>
      <c r="O2011" s="14"/>
      <c r="P2011" s="15" t="s">
        <v>2667</v>
      </c>
      <c r="Q2011" s="16">
        <v>4299</v>
      </c>
      <c r="R2011" s="17">
        <v>40</v>
      </c>
      <c r="S2011" s="18">
        <v>2966.31</v>
      </c>
      <c r="T2011" s="19" t="s">
        <v>117</v>
      </c>
      <c r="U2011" s="20" t="s">
        <v>2404</v>
      </c>
      <c r="V2011" s="25" t="s">
        <v>828</v>
      </c>
      <c r="W2011" s="21">
        <v>4</v>
      </c>
      <c r="X2011" s="22"/>
    </row>
    <row r="2012" spans="1:24" s="1" customFormat="1" ht="108" customHeight="1" x14ac:dyDescent="0.3">
      <c r="A2012" s="11" t="s">
        <v>2392</v>
      </c>
      <c r="B2012" s="11" t="s">
        <v>2663</v>
      </c>
      <c r="C2012" s="12" t="s">
        <v>2672</v>
      </c>
      <c r="D2012" s="24"/>
      <c r="E2012" s="69" t="str">
        <f>HYPERLINK("https://www.google.ru/search?q=CU71U-0&amp;newwindow=1&amp;tbm=isch","Еще фото")</f>
        <v>Еще фото</v>
      </c>
      <c r="F2012" s="13"/>
      <c r="G2012" s="11" t="s">
        <v>2665</v>
      </c>
      <c r="H2012" s="11" t="s">
        <v>112</v>
      </c>
      <c r="I2012" s="14" t="s">
        <v>514</v>
      </c>
      <c r="J2012" s="14" t="s">
        <v>406</v>
      </c>
      <c r="K2012" s="15" t="s">
        <v>114</v>
      </c>
      <c r="L2012" s="14" t="s">
        <v>2666</v>
      </c>
      <c r="M2012" s="14"/>
      <c r="N2012" s="14" t="s">
        <v>89</v>
      </c>
      <c r="O2012" s="14"/>
      <c r="P2012" s="15" t="s">
        <v>2667</v>
      </c>
      <c r="Q2012" s="16">
        <v>4299</v>
      </c>
      <c r="R2012" s="17">
        <v>40</v>
      </c>
      <c r="S2012" s="18">
        <v>2966.31</v>
      </c>
      <c r="T2012" s="19" t="s">
        <v>117</v>
      </c>
      <c r="U2012" s="20" t="s">
        <v>2410</v>
      </c>
      <c r="V2012" s="25" t="s">
        <v>830</v>
      </c>
      <c r="W2012" s="21">
        <v>1</v>
      </c>
      <c r="X2012" s="22"/>
    </row>
    <row r="2013" spans="1:24" s="1" customFormat="1" ht="35.1" customHeight="1" x14ac:dyDescent="0.3">
      <c r="A2013" s="11" t="s">
        <v>2392</v>
      </c>
      <c r="B2013" s="11" t="s">
        <v>2673</v>
      </c>
      <c r="C2013" s="12" t="s">
        <v>2674</v>
      </c>
      <c r="D2013" s="83"/>
      <c r="E2013" s="69" t="str">
        <f>HYPERLINK("https://www.google.ru/search?q=C625TM-5&amp;newwindow=1&amp;tbm=isch","Еще фото")</f>
        <v>Еще фото</v>
      </c>
      <c r="F2013" s="13"/>
      <c r="G2013" s="11" t="s">
        <v>2675</v>
      </c>
      <c r="H2013" s="11" t="s">
        <v>27</v>
      </c>
      <c r="I2013" s="14" t="s">
        <v>2676</v>
      </c>
      <c r="J2013" s="14" t="s">
        <v>406</v>
      </c>
      <c r="K2013" s="15" t="s">
        <v>55</v>
      </c>
      <c r="L2013" s="86" t="s">
        <v>2677</v>
      </c>
      <c r="M2013" s="14"/>
      <c r="N2013" s="14" t="s">
        <v>49</v>
      </c>
      <c r="O2013" s="14"/>
      <c r="P2013" s="15" t="s">
        <v>2678</v>
      </c>
      <c r="Q2013" s="16">
        <v>12609</v>
      </c>
      <c r="R2013" s="17">
        <v>52.43</v>
      </c>
      <c r="S2013" s="18">
        <v>6897.4354999999996</v>
      </c>
      <c r="T2013" s="19" t="s">
        <v>328</v>
      </c>
      <c r="U2013" s="20" t="s">
        <v>66</v>
      </c>
      <c r="V2013" s="25" t="s">
        <v>68</v>
      </c>
      <c r="W2013" s="21">
        <v>1</v>
      </c>
      <c r="X2013" s="22"/>
    </row>
    <row r="2014" spans="1:24" s="1" customFormat="1" ht="35.1" customHeight="1" x14ac:dyDescent="0.3">
      <c r="A2014" s="23" t="s">
        <v>2392</v>
      </c>
      <c r="B2014" s="23" t="s">
        <v>2673</v>
      </c>
      <c r="C2014" s="12" t="s">
        <v>2674</v>
      </c>
      <c r="D2014" s="84"/>
      <c r="E2014" s="69" t="str">
        <f>HYPERLINK("https://www.google.ru/search?q=C625TM-5&amp;newwindow=1&amp;tbm=isch","Еще фото")</f>
        <v>Еще фото</v>
      </c>
      <c r="F2014" s="13"/>
      <c r="G2014" s="23" t="s">
        <v>2675</v>
      </c>
      <c r="H2014" s="23" t="s">
        <v>27</v>
      </c>
      <c r="I2014" s="23" t="s">
        <v>2676</v>
      </c>
      <c r="J2014" s="14" t="s">
        <v>406</v>
      </c>
      <c r="K2014" s="15" t="s">
        <v>55</v>
      </c>
      <c r="L2014" s="87"/>
      <c r="M2014" s="14"/>
      <c r="N2014" s="14" t="s">
        <v>49</v>
      </c>
      <c r="O2014" s="14"/>
      <c r="P2014" s="15" t="s">
        <v>2678</v>
      </c>
      <c r="Q2014" s="16">
        <v>12609</v>
      </c>
      <c r="R2014" s="17">
        <v>52.43</v>
      </c>
      <c r="S2014" s="18">
        <v>6897.4354999999996</v>
      </c>
      <c r="T2014" s="19" t="s">
        <v>328</v>
      </c>
      <c r="U2014" s="20" t="s">
        <v>58</v>
      </c>
      <c r="V2014" s="25" t="s">
        <v>53</v>
      </c>
      <c r="W2014" s="21">
        <v>5</v>
      </c>
      <c r="X2014" s="22"/>
    </row>
    <row r="2015" spans="1:24" s="1" customFormat="1" ht="36.950000000000003" customHeight="1" x14ac:dyDescent="0.3">
      <c r="A2015" s="23" t="s">
        <v>2392</v>
      </c>
      <c r="B2015" s="23" t="s">
        <v>2673</v>
      </c>
      <c r="C2015" s="12" t="s">
        <v>2674</v>
      </c>
      <c r="D2015" s="85"/>
      <c r="E2015" s="69" t="str">
        <f>HYPERLINK("https://www.google.ru/search?q=C625TM-5&amp;newwindow=1&amp;tbm=isch","Еще фото")</f>
        <v>Еще фото</v>
      </c>
      <c r="F2015" s="13"/>
      <c r="G2015" s="23" t="s">
        <v>2675</v>
      </c>
      <c r="H2015" s="23" t="s">
        <v>27</v>
      </c>
      <c r="I2015" s="23" t="s">
        <v>2676</v>
      </c>
      <c r="J2015" s="14" t="s">
        <v>406</v>
      </c>
      <c r="K2015" s="15" t="s">
        <v>55</v>
      </c>
      <c r="L2015" s="88"/>
      <c r="M2015" s="14"/>
      <c r="N2015" s="14" t="s">
        <v>49</v>
      </c>
      <c r="O2015" s="14"/>
      <c r="P2015" s="15" t="s">
        <v>2678</v>
      </c>
      <c r="Q2015" s="16">
        <v>12609</v>
      </c>
      <c r="R2015" s="17">
        <v>52.43</v>
      </c>
      <c r="S2015" s="18">
        <v>6897.4354999999996</v>
      </c>
      <c r="T2015" s="19" t="s">
        <v>328</v>
      </c>
      <c r="U2015" s="20" t="s">
        <v>64</v>
      </c>
      <c r="V2015" s="21">
        <v>44</v>
      </c>
      <c r="W2015" s="21">
        <v>1</v>
      </c>
      <c r="X2015" s="22"/>
    </row>
    <row r="2016" spans="1:24" s="1" customFormat="1" ht="108" customHeight="1" x14ac:dyDescent="0.3">
      <c r="A2016" s="11" t="s">
        <v>2392</v>
      </c>
      <c r="B2016" s="11" t="s">
        <v>2679</v>
      </c>
      <c r="C2016" s="12" t="s">
        <v>2680</v>
      </c>
      <c r="D2016" s="24"/>
      <c r="E2016" s="69" t="str">
        <f>HYPERLINK("https://www.google.ru/search?q=CT88M-5&amp;newwindow=1&amp;tbm=isch","Еще фото")</f>
        <v>Еще фото</v>
      </c>
      <c r="F2016" s="13"/>
      <c r="G2016" s="11" t="s">
        <v>599</v>
      </c>
      <c r="H2016" s="11" t="s">
        <v>27</v>
      </c>
      <c r="I2016" s="14" t="s">
        <v>569</v>
      </c>
      <c r="J2016" s="14" t="s">
        <v>406</v>
      </c>
      <c r="K2016" s="15" t="s">
        <v>55</v>
      </c>
      <c r="L2016" s="14" t="s">
        <v>2681</v>
      </c>
      <c r="M2016" s="14"/>
      <c r="N2016" s="14" t="s">
        <v>49</v>
      </c>
      <c r="O2016" s="14"/>
      <c r="P2016" s="15" t="s">
        <v>2682</v>
      </c>
      <c r="Q2016" s="16">
        <v>14999</v>
      </c>
      <c r="R2016" s="17">
        <v>45.33</v>
      </c>
      <c r="S2016" s="18">
        <v>9429.9884999999995</v>
      </c>
      <c r="T2016" s="19" t="s">
        <v>328</v>
      </c>
      <c r="U2016" s="20" t="s">
        <v>64</v>
      </c>
      <c r="V2016" s="21">
        <v>44</v>
      </c>
      <c r="W2016" s="21">
        <v>1</v>
      </c>
      <c r="X2016" s="22"/>
    </row>
    <row r="2017" spans="1:24" s="1" customFormat="1" ht="108" customHeight="1" x14ac:dyDescent="0.3">
      <c r="A2017" s="11" t="s">
        <v>2392</v>
      </c>
      <c r="B2017" s="11" t="s">
        <v>2683</v>
      </c>
      <c r="C2017" s="12" t="s">
        <v>2684</v>
      </c>
      <c r="D2017" s="24"/>
      <c r="E2017" s="69" t="str">
        <f>HYPERLINK("https://www.google.ru/search?q=C821W-5&amp;newwindow=1&amp;tbm=isch","Еще фото")</f>
        <v>Еще фото</v>
      </c>
      <c r="F2017" s="13"/>
      <c r="G2017" s="11" t="s">
        <v>2685</v>
      </c>
      <c r="H2017" s="11" t="s">
        <v>27</v>
      </c>
      <c r="I2017" s="14" t="s">
        <v>616</v>
      </c>
      <c r="J2017" s="14" t="s">
        <v>406</v>
      </c>
      <c r="K2017" s="15" t="s">
        <v>47</v>
      </c>
      <c r="L2017" s="14" t="s">
        <v>2686</v>
      </c>
      <c r="M2017" s="14"/>
      <c r="N2017" s="14" t="s">
        <v>49</v>
      </c>
      <c r="O2017" s="14" t="s">
        <v>940</v>
      </c>
      <c r="P2017" s="15" t="s">
        <v>2687</v>
      </c>
      <c r="Q2017" s="16">
        <v>5569</v>
      </c>
      <c r="R2017" s="17">
        <v>53.35</v>
      </c>
      <c r="S2017" s="18">
        <v>2987.4354999999996</v>
      </c>
      <c r="T2017" s="19" t="s">
        <v>328</v>
      </c>
      <c r="U2017" s="20" t="s">
        <v>354</v>
      </c>
      <c r="V2017" s="25" t="s">
        <v>355</v>
      </c>
      <c r="W2017" s="21">
        <v>1</v>
      </c>
      <c r="X2017" s="22"/>
    </row>
    <row r="2018" spans="1:24" s="1" customFormat="1" ht="26.1" customHeight="1" x14ac:dyDescent="0.3">
      <c r="A2018" s="11" t="s">
        <v>2392</v>
      </c>
      <c r="B2018" s="11" t="s">
        <v>2688</v>
      </c>
      <c r="C2018" s="12" t="s">
        <v>2689</v>
      </c>
      <c r="D2018" s="83"/>
      <c r="E2018" s="69" t="str">
        <f>HYPERLINK("https://www.google.ru/search?q=CT80W-I&amp;newwindow=1&amp;tbm=isch","Еще фото")</f>
        <v>Еще фото</v>
      </c>
      <c r="F2018" s="13"/>
      <c r="G2018" s="11" t="s">
        <v>615</v>
      </c>
      <c r="H2018" s="11" t="s">
        <v>27</v>
      </c>
      <c r="I2018" s="14" t="s">
        <v>616</v>
      </c>
      <c r="J2018" s="14" t="s">
        <v>406</v>
      </c>
      <c r="K2018" s="15" t="s">
        <v>47</v>
      </c>
      <c r="L2018" s="86" t="s">
        <v>2690</v>
      </c>
      <c r="M2018" s="14"/>
      <c r="N2018" s="14" t="s">
        <v>89</v>
      </c>
      <c r="O2018" s="14"/>
      <c r="P2018" s="15" t="s">
        <v>2691</v>
      </c>
      <c r="Q2018" s="16">
        <v>4999</v>
      </c>
      <c r="R2018" s="17">
        <v>52.44</v>
      </c>
      <c r="S2018" s="18">
        <v>2734.4354999999996</v>
      </c>
      <c r="T2018" s="19" t="s">
        <v>328</v>
      </c>
      <c r="U2018" s="20" t="s">
        <v>354</v>
      </c>
      <c r="V2018" s="25" t="s">
        <v>355</v>
      </c>
      <c r="W2018" s="21">
        <v>2</v>
      </c>
      <c r="X2018" s="22"/>
    </row>
    <row r="2019" spans="1:24" s="1" customFormat="1" ht="26.1" customHeight="1" x14ac:dyDescent="0.3">
      <c r="A2019" s="23" t="s">
        <v>2392</v>
      </c>
      <c r="B2019" s="23" t="s">
        <v>2688</v>
      </c>
      <c r="C2019" s="12" t="s">
        <v>2689</v>
      </c>
      <c r="D2019" s="84"/>
      <c r="E2019" s="69" t="str">
        <f>HYPERLINK("https://www.google.ru/search?q=CT80W-I&amp;newwindow=1&amp;tbm=isch","Еще фото")</f>
        <v>Еще фото</v>
      </c>
      <c r="F2019" s="13"/>
      <c r="G2019" s="23" t="s">
        <v>615</v>
      </c>
      <c r="H2019" s="23" t="s">
        <v>27</v>
      </c>
      <c r="I2019" s="23" t="s">
        <v>616</v>
      </c>
      <c r="J2019" s="14" t="s">
        <v>406</v>
      </c>
      <c r="K2019" s="15" t="s">
        <v>47</v>
      </c>
      <c r="L2019" s="87"/>
      <c r="M2019" s="14"/>
      <c r="N2019" s="14" t="s">
        <v>89</v>
      </c>
      <c r="O2019" s="14"/>
      <c r="P2019" s="15" t="s">
        <v>2691</v>
      </c>
      <c r="Q2019" s="16">
        <v>4999</v>
      </c>
      <c r="R2019" s="17">
        <v>52.44</v>
      </c>
      <c r="S2019" s="18">
        <v>2734.4354999999996</v>
      </c>
      <c r="T2019" s="19" t="s">
        <v>328</v>
      </c>
      <c r="U2019" s="20" t="s">
        <v>64</v>
      </c>
      <c r="V2019" s="25" t="s">
        <v>65</v>
      </c>
      <c r="W2019" s="21">
        <v>8</v>
      </c>
      <c r="X2019" s="22"/>
    </row>
    <row r="2020" spans="1:24" s="1" customFormat="1" ht="26.1" customHeight="1" x14ac:dyDescent="0.3">
      <c r="A2020" s="23" t="s">
        <v>2392</v>
      </c>
      <c r="B2020" s="23" t="s">
        <v>2688</v>
      </c>
      <c r="C2020" s="12" t="s">
        <v>2689</v>
      </c>
      <c r="D2020" s="84"/>
      <c r="E2020" s="69" t="str">
        <f>HYPERLINK("https://www.google.ru/search?q=CT80W-I&amp;newwindow=1&amp;tbm=isch","Еще фото")</f>
        <v>Еще фото</v>
      </c>
      <c r="F2020" s="13"/>
      <c r="G2020" s="23" t="s">
        <v>615</v>
      </c>
      <c r="H2020" s="23" t="s">
        <v>27</v>
      </c>
      <c r="I2020" s="23" t="s">
        <v>616</v>
      </c>
      <c r="J2020" s="14" t="s">
        <v>406</v>
      </c>
      <c r="K2020" s="15" t="s">
        <v>47</v>
      </c>
      <c r="L2020" s="87"/>
      <c r="M2020" s="14"/>
      <c r="N2020" s="14" t="s">
        <v>89</v>
      </c>
      <c r="O2020" s="14"/>
      <c r="P2020" s="15" t="s">
        <v>2691</v>
      </c>
      <c r="Q2020" s="16">
        <v>4999</v>
      </c>
      <c r="R2020" s="17">
        <v>52.44</v>
      </c>
      <c r="S2020" s="18">
        <v>2734.4354999999996</v>
      </c>
      <c r="T2020" s="19" t="s">
        <v>328</v>
      </c>
      <c r="U2020" s="20" t="s">
        <v>66</v>
      </c>
      <c r="V2020" s="25" t="s">
        <v>67</v>
      </c>
      <c r="W2020" s="21">
        <v>7</v>
      </c>
      <c r="X2020" s="22"/>
    </row>
    <row r="2021" spans="1:24" s="1" customFormat="1" ht="26.1" customHeight="1" x14ac:dyDescent="0.3">
      <c r="A2021" s="23" t="s">
        <v>2392</v>
      </c>
      <c r="B2021" s="23" t="s">
        <v>2688</v>
      </c>
      <c r="C2021" s="12" t="s">
        <v>2689</v>
      </c>
      <c r="D2021" s="85"/>
      <c r="E2021" s="69" t="str">
        <f>HYPERLINK("https://www.google.ru/search?q=CT80W-I&amp;newwindow=1&amp;tbm=isch","Еще фото")</f>
        <v>Еще фото</v>
      </c>
      <c r="F2021" s="13"/>
      <c r="G2021" s="23" t="s">
        <v>615</v>
      </c>
      <c r="H2021" s="23" t="s">
        <v>27</v>
      </c>
      <c r="I2021" s="23" t="s">
        <v>616</v>
      </c>
      <c r="J2021" s="14" t="s">
        <v>406</v>
      </c>
      <c r="K2021" s="15" t="s">
        <v>47</v>
      </c>
      <c r="L2021" s="88"/>
      <c r="M2021" s="14"/>
      <c r="N2021" s="14" t="s">
        <v>89</v>
      </c>
      <c r="O2021" s="14"/>
      <c r="P2021" s="15" t="s">
        <v>2691</v>
      </c>
      <c r="Q2021" s="16">
        <v>4999</v>
      </c>
      <c r="R2021" s="17">
        <v>52.44</v>
      </c>
      <c r="S2021" s="18">
        <v>2734.4354999999996</v>
      </c>
      <c r="T2021" s="19" t="s">
        <v>328</v>
      </c>
      <c r="U2021" s="20" t="s">
        <v>58</v>
      </c>
      <c r="V2021" s="25" t="s">
        <v>68</v>
      </c>
      <c r="W2021" s="21">
        <v>1</v>
      </c>
      <c r="X2021" s="22"/>
    </row>
    <row r="2022" spans="1:24" s="1" customFormat="1" ht="26.1" customHeight="1" x14ac:dyDescent="0.3">
      <c r="A2022" s="11" t="s">
        <v>2392</v>
      </c>
      <c r="B2022" s="11" t="s">
        <v>2692</v>
      </c>
      <c r="C2022" s="12" t="s">
        <v>2693</v>
      </c>
      <c r="D2022" s="83"/>
      <c r="E2022" s="69" t="str">
        <f>HYPERLINK("https://www.google.ru/search?q=C845MM-5&amp;newwindow=1&amp;tbm=isch","Еще фото")</f>
        <v>Еще фото</v>
      </c>
      <c r="F2022" s="13"/>
      <c r="G2022" s="11" t="s">
        <v>2694</v>
      </c>
      <c r="H2022" s="11" t="s">
        <v>27</v>
      </c>
      <c r="I2022" s="14" t="s">
        <v>616</v>
      </c>
      <c r="J2022" s="14" t="s">
        <v>29</v>
      </c>
      <c r="K2022" s="15" t="s">
        <v>55</v>
      </c>
      <c r="L2022" s="86" t="s">
        <v>2695</v>
      </c>
      <c r="M2022" s="14"/>
      <c r="N2022" s="14" t="s">
        <v>49</v>
      </c>
      <c r="O2022" s="14"/>
      <c r="P2022" s="15" t="s">
        <v>2696</v>
      </c>
      <c r="Q2022" s="16">
        <v>9999</v>
      </c>
      <c r="R2022" s="17">
        <v>52.42</v>
      </c>
      <c r="S2022" s="18">
        <v>5471.4355000000005</v>
      </c>
      <c r="T2022" s="19" t="s">
        <v>328</v>
      </c>
      <c r="U2022" s="20" t="s">
        <v>64</v>
      </c>
      <c r="V2022" s="25" t="s">
        <v>67</v>
      </c>
      <c r="W2022" s="21">
        <v>3</v>
      </c>
      <c r="X2022" s="22"/>
    </row>
    <row r="2023" spans="1:24" s="1" customFormat="1" ht="26.1" customHeight="1" x14ac:dyDescent="0.3">
      <c r="A2023" s="23" t="s">
        <v>2392</v>
      </c>
      <c r="B2023" s="23" t="s">
        <v>2692</v>
      </c>
      <c r="C2023" s="12" t="s">
        <v>2693</v>
      </c>
      <c r="D2023" s="84"/>
      <c r="E2023" s="69" t="str">
        <f>HYPERLINK("https://www.google.ru/search?q=C845MM-5&amp;newwindow=1&amp;tbm=isch","Еще фото")</f>
        <v>Еще фото</v>
      </c>
      <c r="F2023" s="13"/>
      <c r="G2023" s="23" t="s">
        <v>2694</v>
      </c>
      <c r="H2023" s="23" t="s">
        <v>27</v>
      </c>
      <c r="I2023" s="23" t="s">
        <v>616</v>
      </c>
      <c r="J2023" s="14" t="s">
        <v>29</v>
      </c>
      <c r="K2023" s="15" t="s">
        <v>55</v>
      </c>
      <c r="L2023" s="87"/>
      <c r="M2023" s="14"/>
      <c r="N2023" s="14" t="s">
        <v>49</v>
      </c>
      <c r="O2023" s="14"/>
      <c r="P2023" s="15" t="s">
        <v>2696</v>
      </c>
      <c r="Q2023" s="16">
        <v>9999</v>
      </c>
      <c r="R2023" s="17">
        <v>52.42</v>
      </c>
      <c r="S2023" s="18">
        <v>5471.4355000000005</v>
      </c>
      <c r="T2023" s="19" t="s">
        <v>328</v>
      </c>
      <c r="U2023" s="20" t="s">
        <v>66</v>
      </c>
      <c r="V2023" s="25" t="s">
        <v>68</v>
      </c>
      <c r="W2023" s="21">
        <v>4</v>
      </c>
      <c r="X2023" s="22"/>
    </row>
    <row r="2024" spans="1:24" s="1" customFormat="1" ht="26.1" customHeight="1" x14ac:dyDescent="0.3">
      <c r="A2024" s="23" t="s">
        <v>2392</v>
      </c>
      <c r="B2024" s="23" t="s">
        <v>2692</v>
      </c>
      <c r="C2024" s="12" t="s">
        <v>2693</v>
      </c>
      <c r="D2024" s="84"/>
      <c r="E2024" s="69" t="str">
        <f>HYPERLINK("https://www.google.ru/search?q=C845MM-5&amp;newwindow=1&amp;tbm=isch","Еще фото")</f>
        <v>Еще фото</v>
      </c>
      <c r="F2024" s="13"/>
      <c r="G2024" s="23" t="s">
        <v>2694</v>
      </c>
      <c r="H2024" s="23" t="s">
        <v>27</v>
      </c>
      <c r="I2024" s="23" t="s">
        <v>616</v>
      </c>
      <c r="J2024" s="14" t="s">
        <v>29</v>
      </c>
      <c r="K2024" s="15" t="s">
        <v>55</v>
      </c>
      <c r="L2024" s="87"/>
      <c r="M2024" s="14"/>
      <c r="N2024" s="14" t="s">
        <v>49</v>
      </c>
      <c r="O2024" s="14"/>
      <c r="P2024" s="15" t="s">
        <v>2696</v>
      </c>
      <c r="Q2024" s="16">
        <v>9999</v>
      </c>
      <c r="R2024" s="17">
        <v>52.42</v>
      </c>
      <c r="S2024" s="18">
        <v>5471.4355000000005</v>
      </c>
      <c r="T2024" s="19" t="s">
        <v>328</v>
      </c>
      <c r="U2024" s="20" t="s">
        <v>58</v>
      </c>
      <c r="V2024" s="25" t="s">
        <v>53</v>
      </c>
      <c r="W2024" s="21">
        <v>4</v>
      </c>
      <c r="X2024" s="22"/>
    </row>
    <row r="2025" spans="1:24" s="1" customFormat="1" ht="26.1" customHeight="1" x14ac:dyDescent="0.3">
      <c r="A2025" s="23" t="s">
        <v>2392</v>
      </c>
      <c r="B2025" s="23" t="s">
        <v>2692</v>
      </c>
      <c r="C2025" s="12" t="s">
        <v>2693</v>
      </c>
      <c r="D2025" s="85"/>
      <c r="E2025" s="69" t="str">
        <f>HYPERLINK("https://www.google.ru/search?q=C845MM-5&amp;newwindow=1&amp;tbm=isch","Еще фото")</f>
        <v>Еще фото</v>
      </c>
      <c r="F2025" s="13"/>
      <c r="G2025" s="23" t="s">
        <v>2694</v>
      </c>
      <c r="H2025" s="23" t="s">
        <v>27</v>
      </c>
      <c r="I2025" s="23" t="s">
        <v>616</v>
      </c>
      <c r="J2025" s="14" t="s">
        <v>29</v>
      </c>
      <c r="K2025" s="15" t="s">
        <v>55</v>
      </c>
      <c r="L2025" s="88"/>
      <c r="M2025" s="14"/>
      <c r="N2025" s="14" t="s">
        <v>49</v>
      </c>
      <c r="O2025" s="14"/>
      <c r="P2025" s="15" t="s">
        <v>2696</v>
      </c>
      <c r="Q2025" s="16">
        <v>9999</v>
      </c>
      <c r="R2025" s="17">
        <v>52.42</v>
      </c>
      <c r="S2025" s="18">
        <v>5471.4355000000005</v>
      </c>
      <c r="T2025" s="19" t="s">
        <v>328</v>
      </c>
      <c r="U2025" s="20" t="s">
        <v>52</v>
      </c>
      <c r="V2025" s="25" t="s">
        <v>59</v>
      </c>
      <c r="W2025" s="21">
        <v>1</v>
      </c>
      <c r="X2025" s="22"/>
    </row>
    <row r="2026" spans="1:24" s="1" customFormat="1" ht="35.1" customHeight="1" x14ac:dyDescent="0.3">
      <c r="A2026" s="11" t="s">
        <v>2392</v>
      </c>
      <c r="B2026" s="11" t="s">
        <v>2697</v>
      </c>
      <c r="C2026" s="12" t="s">
        <v>2698</v>
      </c>
      <c r="D2026" s="83"/>
      <c r="E2026" s="69" t="str">
        <f>HYPERLINK("https://www.google.ru/search?q=CT81M-5&amp;newwindow=1&amp;tbm=isch","Еще фото")</f>
        <v>Еще фото</v>
      </c>
      <c r="F2026" s="13"/>
      <c r="G2026" s="11" t="s">
        <v>654</v>
      </c>
      <c r="H2026" s="11" t="s">
        <v>27</v>
      </c>
      <c r="I2026" s="14" t="s">
        <v>616</v>
      </c>
      <c r="J2026" s="14" t="s">
        <v>406</v>
      </c>
      <c r="K2026" s="15" t="s">
        <v>55</v>
      </c>
      <c r="L2026" s="86" t="s">
        <v>2699</v>
      </c>
      <c r="M2026" s="14"/>
      <c r="N2026" s="14" t="s">
        <v>70</v>
      </c>
      <c r="O2026" s="14"/>
      <c r="P2026" s="15" t="s">
        <v>2691</v>
      </c>
      <c r="Q2026" s="16">
        <v>5999</v>
      </c>
      <c r="R2026" s="17">
        <v>52.36</v>
      </c>
      <c r="S2026" s="18">
        <v>3286.4354999999996</v>
      </c>
      <c r="T2026" s="19" t="s">
        <v>328</v>
      </c>
      <c r="U2026" s="20" t="s">
        <v>64</v>
      </c>
      <c r="V2026" s="25" t="s">
        <v>67</v>
      </c>
      <c r="W2026" s="21">
        <v>1</v>
      </c>
      <c r="X2026" s="22"/>
    </row>
    <row r="2027" spans="1:24" s="1" customFormat="1" ht="35.1" customHeight="1" x14ac:dyDescent="0.3">
      <c r="A2027" s="23" t="s">
        <v>2392</v>
      </c>
      <c r="B2027" s="23" t="s">
        <v>2697</v>
      </c>
      <c r="C2027" s="12" t="s">
        <v>2698</v>
      </c>
      <c r="D2027" s="84"/>
      <c r="E2027" s="69" t="str">
        <f>HYPERLINK("https://www.google.ru/search?q=CT81M-5&amp;newwindow=1&amp;tbm=isch","Еще фото")</f>
        <v>Еще фото</v>
      </c>
      <c r="F2027" s="13"/>
      <c r="G2027" s="23" t="s">
        <v>654</v>
      </c>
      <c r="H2027" s="23" t="s">
        <v>27</v>
      </c>
      <c r="I2027" s="23" t="s">
        <v>616</v>
      </c>
      <c r="J2027" s="14" t="s">
        <v>406</v>
      </c>
      <c r="K2027" s="15" t="s">
        <v>55</v>
      </c>
      <c r="L2027" s="87"/>
      <c r="M2027" s="14"/>
      <c r="N2027" s="14" t="s">
        <v>70</v>
      </c>
      <c r="O2027" s="14"/>
      <c r="P2027" s="15" t="s">
        <v>2691</v>
      </c>
      <c r="Q2027" s="16">
        <v>5999</v>
      </c>
      <c r="R2027" s="17">
        <v>52.36</v>
      </c>
      <c r="S2027" s="18">
        <v>3286.4354999999996</v>
      </c>
      <c r="T2027" s="19" t="s">
        <v>328</v>
      </c>
      <c r="U2027" s="20" t="s">
        <v>58</v>
      </c>
      <c r="V2027" s="25" t="s">
        <v>53</v>
      </c>
      <c r="W2027" s="21">
        <v>1</v>
      </c>
      <c r="X2027" s="22"/>
    </row>
    <row r="2028" spans="1:24" s="1" customFormat="1" ht="36.950000000000003" customHeight="1" x14ac:dyDescent="0.3">
      <c r="A2028" s="23" t="s">
        <v>2392</v>
      </c>
      <c r="B2028" s="23" t="s">
        <v>2697</v>
      </c>
      <c r="C2028" s="12" t="s">
        <v>2698</v>
      </c>
      <c r="D2028" s="85"/>
      <c r="E2028" s="69" t="str">
        <f>HYPERLINK("https://www.google.ru/search?q=CT81M-5&amp;newwindow=1&amp;tbm=isch","Еще фото")</f>
        <v>Еще фото</v>
      </c>
      <c r="F2028" s="13"/>
      <c r="G2028" s="23" t="s">
        <v>654</v>
      </c>
      <c r="H2028" s="23" t="s">
        <v>27</v>
      </c>
      <c r="I2028" s="23" t="s">
        <v>616</v>
      </c>
      <c r="J2028" s="14" t="s">
        <v>406</v>
      </c>
      <c r="K2028" s="15" t="s">
        <v>55</v>
      </c>
      <c r="L2028" s="88"/>
      <c r="M2028" s="14"/>
      <c r="N2028" s="14" t="s">
        <v>70</v>
      </c>
      <c r="O2028" s="14"/>
      <c r="P2028" s="15" t="s">
        <v>2691</v>
      </c>
      <c r="Q2028" s="16">
        <v>5999</v>
      </c>
      <c r="R2028" s="17">
        <v>52.36</v>
      </c>
      <c r="S2028" s="18">
        <v>3286.4354999999996</v>
      </c>
      <c r="T2028" s="19" t="s">
        <v>328</v>
      </c>
      <c r="U2028" s="20" t="s">
        <v>52</v>
      </c>
      <c r="V2028" s="25" t="s">
        <v>59</v>
      </c>
      <c r="W2028" s="21">
        <v>1</v>
      </c>
      <c r="X2028" s="22"/>
    </row>
    <row r="2029" spans="1:24" s="1" customFormat="1" ht="26.1" customHeight="1" x14ac:dyDescent="0.3">
      <c r="A2029" s="11" t="s">
        <v>2392</v>
      </c>
      <c r="B2029" s="11" t="s">
        <v>2688</v>
      </c>
      <c r="C2029" s="12" t="s">
        <v>2700</v>
      </c>
      <c r="D2029" s="83"/>
      <c r="E2029" s="69" t="str">
        <f>HYPERLINK("https://www.google.ru/search?q=CT80M-2&amp;newwindow=1&amp;tbm=isch","Еще фото")</f>
        <v>Еще фото</v>
      </c>
      <c r="F2029" s="13"/>
      <c r="G2029" s="11" t="s">
        <v>615</v>
      </c>
      <c r="H2029" s="11" t="s">
        <v>27</v>
      </c>
      <c r="I2029" s="14" t="s">
        <v>616</v>
      </c>
      <c r="J2029" s="14" t="s">
        <v>406</v>
      </c>
      <c r="K2029" s="15" t="s">
        <v>55</v>
      </c>
      <c r="L2029" s="86" t="s">
        <v>2701</v>
      </c>
      <c r="M2029" s="14"/>
      <c r="N2029" s="14" t="s">
        <v>41</v>
      </c>
      <c r="O2029" s="14"/>
      <c r="P2029" s="15" t="s">
        <v>2691</v>
      </c>
      <c r="Q2029" s="16">
        <v>4999</v>
      </c>
      <c r="R2029" s="17">
        <v>48.83</v>
      </c>
      <c r="S2029" s="18">
        <v>2941.4354999999996</v>
      </c>
      <c r="T2029" s="19" t="s">
        <v>328</v>
      </c>
      <c r="U2029" s="20" t="s">
        <v>64</v>
      </c>
      <c r="V2029" s="25" t="s">
        <v>67</v>
      </c>
      <c r="W2029" s="21">
        <v>2</v>
      </c>
      <c r="X2029" s="22"/>
    </row>
    <row r="2030" spans="1:24" s="1" customFormat="1" ht="26.1" customHeight="1" x14ac:dyDescent="0.3">
      <c r="A2030" s="23" t="s">
        <v>2392</v>
      </c>
      <c r="B2030" s="23" t="s">
        <v>2688</v>
      </c>
      <c r="C2030" s="12" t="s">
        <v>2700</v>
      </c>
      <c r="D2030" s="84"/>
      <c r="E2030" s="69" t="str">
        <f>HYPERLINK("https://www.google.ru/search?q=CT80M-2&amp;newwindow=1&amp;tbm=isch","Еще фото")</f>
        <v>Еще фото</v>
      </c>
      <c r="F2030" s="13"/>
      <c r="G2030" s="23" t="s">
        <v>615</v>
      </c>
      <c r="H2030" s="23" t="s">
        <v>27</v>
      </c>
      <c r="I2030" s="23" t="s">
        <v>616</v>
      </c>
      <c r="J2030" s="14" t="s">
        <v>406</v>
      </c>
      <c r="K2030" s="15" t="s">
        <v>55</v>
      </c>
      <c r="L2030" s="87"/>
      <c r="M2030" s="14"/>
      <c r="N2030" s="14" t="s">
        <v>41</v>
      </c>
      <c r="O2030" s="14"/>
      <c r="P2030" s="15" t="s">
        <v>2691</v>
      </c>
      <c r="Q2030" s="16">
        <v>4999</v>
      </c>
      <c r="R2030" s="17">
        <v>48.83</v>
      </c>
      <c r="S2030" s="18">
        <v>2941.4354999999996</v>
      </c>
      <c r="T2030" s="19" t="s">
        <v>328</v>
      </c>
      <c r="U2030" s="20" t="s">
        <v>66</v>
      </c>
      <c r="V2030" s="25" t="s">
        <v>68</v>
      </c>
      <c r="W2030" s="21">
        <v>6</v>
      </c>
      <c r="X2030" s="22"/>
    </row>
    <row r="2031" spans="1:24" s="1" customFormat="1" ht="26.1" customHeight="1" x14ac:dyDescent="0.3">
      <c r="A2031" s="23" t="s">
        <v>2392</v>
      </c>
      <c r="B2031" s="23" t="s">
        <v>2688</v>
      </c>
      <c r="C2031" s="12" t="s">
        <v>2700</v>
      </c>
      <c r="D2031" s="84"/>
      <c r="E2031" s="69" t="str">
        <f>HYPERLINK("https://www.google.ru/search?q=CT80M-2&amp;newwindow=1&amp;tbm=isch","Еще фото")</f>
        <v>Еще фото</v>
      </c>
      <c r="F2031" s="13"/>
      <c r="G2031" s="23" t="s">
        <v>615</v>
      </c>
      <c r="H2031" s="23" t="s">
        <v>27</v>
      </c>
      <c r="I2031" s="23" t="s">
        <v>616</v>
      </c>
      <c r="J2031" s="14" t="s">
        <v>406</v>
      </c>
      <c r="K2031" s="15" t="s">
        <v>55</v>
      </c>
      <c r="L2031" s="87"/>
      <c r="M2031" s="14"/>
      <c r="N2031" s="14" t="s">
        <v>41</v>
      </c>
      <c r="O2031" s="14"/>
      <c r="P2031" s="15" t="s">
        <v>2691</v>
      </c>
      <c r="Q2031" s="16">
        <v>4999</v>
      </c>
      <c r="R2031" s="17">
        <v>48.83</v>
      </c>
      <c r="S2031" s="18">
        <v>2941.4354999999996</v>
      </c>
      <c r="T2031" s="19" t="s">
        <v>328</v>
      </c>
      <c r="U2031" s="20" t="s">
        <v>58</v>
      </c>
      <c r="V2031" s="25" t="s">
        <v>53</v>
      </c>
      <c r="W2031" s="21">
        <v>3</v>
      </c>
      <c r="X2031" s="22"/>
    </row>
    <row r="2032" spans="1:24" s="1" customFormat="1" ht="26.1" customHeight="1" x14ac:dyDescent="0.3">
      <c r="A2032" s="23" t="s">
        <v>2392</v>
      </c>
      <c r="B2032" s="23" t="s">
        <v>2688</v>
      </c>
      <c r="C2032" s="12" t="s">
        <v>2700</v>
      </c>
      <c r="D2032" s="85"/>
      <c r="E2032" s="69" t="str">
        <f>HYPERLINK("https://www.google.ru/search?q=CT80M-2&amp;newwindow=1&amp;tbm=isch","Еще фото")</f>
        <v>Еще фото</v>
      </c>
      <c r="F2032" s="13"/>
      <c r="G2032" s="23" t="s">
        <v>615</v>
      </c>
      <c r="H2032" s="23" t="s">
        <v>27</v>
      </c>
      <c r="I2032" s="23" t="s">
        <v>616</v>
      </c>
      <c r="J2032" s="14" t="s">
        <v>406</v>
      </c>
      <c r="K2032" s="15" t="s">
        <v>55</v>
      </c>
      <c r="L2032" s="88"/>
      <c r="M2032" s="14"/>
      <c r="N2032" s="14" t="s">
        <v>41</v>
      </c>
      <c r="O2032" s="14"/>
      <c r="P2032" s="15" t="s">
        <v>2691</v>
      </c>
      <c r="Q2032" s="16">
        <v>4999</v>
      </c>
      <c r="R2032" s="17">
        <v>48.83</v>
      </c>
      <c r="S2032" s="18">
        <v>2941.4354999999996</v>
      </c>
      <c r="T2032" s="19" t="s">
        <v>328</v>
      </c>
      <c r="U2032" s="20" t="s">
        <v>52</v>
      </c>
      <c r="V2032" s="25" t="s">
        <v>59</v>
      </c>
      <c r="W2032" s="21">
        <v>1</v>
      </c>
      <c r="X2032" s="22"/>
    </row>
    <row r="2033" spans="1:24" s="1" customFormat="1" ht="35.1" customHeight="1" x14ac:dyDescent="0.3">
      <c r="A2033" s="11" t="s">
        <v>2392</v>
      </c>
      <c r="B2033" s="11" t="s">
        <v>2688</v>
      </c>
      <c r="C2033" s="12" t="s">
        <v>2702</v>
      </c>
      <c r="D2033" s="83"/>
      <c r="E2033" s="69" t="str">
        <f>HYPERLINK("https://www.google.ru/search?q=CT80M-5&amp;newwindow=1&amp;tbm=isch","Еще фото")</f>
        <v>Еще фото</v>
      </c>
      <c r="F2033" s="13"/>
      <c r="G2033" s="11" t="s">
        <v>615</v>
      </c>
      <c r="H2033" s="11" t="s">
        <v>27</v>
      </c>
      <c r="I2033" s="14" t="s">
        <v>616</v>
      </c>
      <c r="J2033" s="14" t="s">
        <v>406</v>
      </c>
      <c r="K2033" s="15" t="s">
        <v>55</v>
      </c>
      <c r="L2033" s="86" t="s">
        <v>2701</v>
      </c>
      <c r="M2033" s="14"/>
      <c r="N2033" s="14" t="s">
        <v>49</v>
      </c>
      <c r="O2033" s="14"/>
      <c r="P2033" s="15" t="s">
        <v>2691</v>
      </c>
      <c r="Q2033" s="16">
        <v>4999</v>
      </c>
      <c r="R2033" s="17">
        <v>48.83</v>
      </c>
      <c r="S2033" s="18">
        <v>2941.4354999999996</v>
      </c>
      <c r="T2033" s="19" t="s">
        <v>328</v>
      </c>
      <c r="U2033" s="20" t="s">
        <v>64</v>
      </c>
      <c r="V2033" s="25" t="s">
        <v>67</v>
      </c>
      <c r="W2033" s="21">
        <v>4</v>
      </c>
      <c r="X2033" s="22"/>
    </row>
    <row r="2034" spans="1:24" s="1" customFormat="1" ht="35.1" customHeight="1" x14ac:dyDescent="0.3">
      <c r="A2034" s="23" t="s">
        <v>2392</v>
      </c>
      <c r="B2034" s="23" t="s">
        <v>2688</v>
      </c>
      <c r="C2034" s="12" t="s">
        <v>2702</v>
      </c>
      <c r="D2034" s="84"/>
      <c r="E2034" s="69" t="str">
        <f>HYPERLINK("https://www.google.ru/search?q=CT80M-5&amp;newwindow=1&amp;tbm=isch","Еще фото")</f>
        <v>Еще фото</v>
      </c>
      <c r="F2034" s="13"/>
      <c r="G2034" s="23" t="s">
        <v>615</v>
      </c>
      <c r="H2034" s="23" t="s">
        <v>27</v>
      </c>
      <c r="I2034" s="23" t="s">
        <v>616</v>
      </c>
      <c r="J2034" s="14" t="s">
        <v>406</v>
      </c>
      <c r="K2034" s="15" t="s">
        <v>55</v>
      </c>
      <c r="L2034" s="87"/>
      <c r="M2034" s="14"/>
      <c r="N2034" s="14" t="s">
        <v>49</v>
      </c>
      <c r="O2034" s="14"/>
      <c r="P2034" s="15" t="s">
        <v>2691</v>
      </c>
      <c r="Q2034" s="16">
        <v>4999</v>
      </c>
      <c r="R2034" s="17">
        <v>48.83</v>
      </c>
      <c r="S2034" s="18">
        <v>2941.4354999999996</v>
      </c>
      <c r="T2034" s="19" t="s">
        <v>328</v>
      </c>
      <c r="U2034" s="20" t="s">
        <v>66</v>
      </c>
      <c r="V2034" s="25" t="s">
        <v>68</v>
      </c>
      <c r="W2034" s="21">
        <v>6</v>
      </c>
      <c r="X2034" s="22"/>
    </row>
    <row r="2035" spans="1:24" s="1" customFormat="1" ht="36.950000000000003" customHeight="1" x14ac:dyDescent="0.3">
      <c r="A2035" s="23" t="s">
        <v>2392</v>
      </c>
      <c r="B2035" s="23" t="s">
        <v>2688</v>
      </c>
      <c r="C2035" s="12" t="s">
        <v>2702</v>
      </c>
      <c r="D2035" s="85"/>
      <c r="E2035" s="69" t="str">
        <f>HYPERLINK("https://www.google.ru/search?q=CT80M-5&amp;newwindow=1&amp;tbm=isch","Еще фото")</f>
        <v>Еще фото</v>
      </c>
      <c r="F2035" s="13"/>
      <c r="G2035" s="23" t="s">
        <v>615</v>
      </c>
      <c r="H2035" s="23" t="s">
        <v>27</v>
      </c>
      <c r="I2035" s="23" t="s">
        <v>616</v>
      </c>
      <c r="J2035" s="14" t="s">
        <v>406</v>
      </c>
      <c r="K2035" s="15" t="s">
        <v>55</v>
      </c>
      <c r="L2035" s="88"/>
      <c r="M2035" s="14"/>
      <c r="N2035" s="14" t="s">
        <v>49</v>
      </c>
      <c r="O2035" s="14"/>
      <c r="P2035" s="15" t="s">
        <v>2691</v>
      </c>
      <c r="Q2035" s="16">
        <v>4999</v>
      </c>
      <c r="R2035" s="17">
        <v>48.83</v>
      </c>
      <c r="S2035" s="18">
        <v>2941.4354999999996</v>
      </c>
      <c r="T2035" s="19" t="s">
        <v>328</v>
      </c>
      <c r="U2035" s="20" t="s">
        <v>58</v>
      </c>
      <c r="V2035" s="25" t="s">
        <v>53</v>
      </c>
      <c r="W2035" s="21">
        <v>3</v>
      </c>
      <c r="X2035" s="22"/>
    </row>
    <row r="2036" spans="1:24" s="1" customFormat="1" ht="26.1" customHeight="1" x14ac:dyDescent="0.3">
      <c r="A2036" s="11" t="s">
        <v>2392</v>
      </c>
      <c r="B2036" s="11" t="s">
        <v>2688</v>
      </c>
      <c r="C2036" s="12" t="s">
        <v>2703</v>
      </c>
      <c r="D2036" s="83"/>
      <c r="E2036" s="69" t="str">
        <f>HYPERLINK("https://www.google.ru/search?q=CT80W-5&amp;newwindow=1&amp;tbm=isch","Еще фото")</f>
        <v>Еще фото</v>
      </c>
      <c r="F2036" s="13"/>
      <c r="G2036" s="11" t="s">
        <v>615</v>
      </c>
      <c r="H2036" s="11" t="s">
        <v>27</v>
      </c>
      <c r="I2036" s="14" t="s">
        <v>616</v>
      </c>
      <c r="J2036" s="14" t="s">
        <v>406</v>
      </c>
      <c r="K2036" s="15" t="s">
        <v>47</v>
      </c>
      <c r="L2036" s="86" t="s">
        <v>2690</v>
      </c>
      <c r="M2036" s="14"/>
      <c r="N2036" s="14" t="s">
        <v>49</v>
      </c>
      <c r="O2036" s="14"/>
      <c r="P2036" s="15" t="s">
        <v>2691</v>
      </c>
      <c r="Q2036" s="16">
        <v>4999</v>
      </c>
      <c r="R2036" s="17">
        <v>48.83</v>
      </c>
      <c r="S2036" s="18">
        <v>2941.4354999999996</v>
      </c>
      <c r="T2036" s="19" t="s">
        <v>328</v>
      </c>
      <c r="U2036" s="20" t="s">
        <v>354</v>
      </c>
      <c r="V2036" s="25" t="s">
        <v>355</v>
      </c>
      <c r="W2036" s="21">
        <v>2</v>
      </c>
      <c r="X2036" s="22"/>
    </row>
    <row r="2037" spans="1:24" s="1" customFormat="1" ht="26.1" customHeight="1" x14ac:dyDescent="0.3">
      <c r="A2037" s="23" t="s">
        <v>2392</v>
      </c>
      <c r="B2037" s="23" t="s">
        <v>2688</v>
      </c>
      <c r="C2037" s="12" t="s">
        <v>2703</v>
      </c>
      <c r="D2037" s="84"/>
      <c r="E2037" s="69" t="str">
        <f>HYPERLINK("https://www.google.ru/search?q=CT80W-5&amp;newwindow=1&amp;tbm=isch","Еще фото")</f>
        <v>Еще фото</v>
      </c>
      <c r="F2037" s="13"/>
      <c r="G2037" s="23" t="s">
        <v>615</v>
      </c>
      <c r="H2037" s="23" t="s">
        <v>27</v>
      </c>
      <c r="I2037" s="23" t="s">
        <v>616</v>
      </c>
      <c r="J2037" s="14" t="s">
        <v>406</v>
      </c>
      <c r="K2037" s="15" t="s">
        <v>47</v>
      </c>
      <c r="L2037" s="87"/>
      <c r="M2037" s="14"/>
      <c r="N2037" s="14" t="s">
        <v>49</v>
      </c>
      <c r="O2037" s="14"/>
      <c r="P2037" s="15" t="s">
        <v>2691</v>
      </c>
      <c r="Q2037" s="16">
        <v>4999</v>
      </c>
      <c r="R2037" s="17">
        <v>48.83</v>
      </c>
      <c r="S2037" s="18">
        <v>2941.4354999999996</v>
      </c>
      <c r="T2037" s="19" t="s">
        <v>328</v>
      </c>
      <c r="U2037" s="20" t="s">
        <v>64</v>
      </c>
      <c r="V2037" s="25" t="s">
        <v>65</v>
      </c>
      <c r="W2037" s="21">
        <v>5</v>
      </c>
      <c r="X2037" s="22"/>
    </row>
    <row r="2038" spans="1:24" s="1" customFormat="1" ht="26.1" customHeight="1" x14ac:dyDescent="0.3">
      <c r="A2038" s="23" t="s">
        <v>2392</v>
      </c>
      <c r="B2038" s="23" t="s">
        <v>2688</v>
      </c>
      <c r="C2038" s="12" t="s">
        <v>2703</v>
      </c>
      <c r="D2038" s="84"/>
      <c r="E2038" s="69" t="str">
        <f>HYPERLINK("https://www.google.ru/search?q=CT80W-5&amp;newwindow=1&amp;tbm=isch","Еще фото")</f>
        <v>Еще фото</v>
      </c>
      <c r="F2038" s="13"/>
      <c r="G2038" s="23" t="s">
        <v>615</v>
      </c>
      <c r="H2038" s="23" t="s">
        <v>27</v>
      </c>
      <c r="I2038" s="23" t="s">
        <v>616</v>
      </c>
      <c r="J2038" s="14" t="s">
        <v>406</v>
      </c>
      <c r="K2038" s="15" t="s">
        <v>47</v>
      </c>
      <c r="L2038" s="87"/>
      <c r="M2038" s="14"/>
      <c r="N2038" s="14" t="s">
        <v>49</v>
      </c>
      <c r="O2038" s="14"/>
      <c r="P2038" s="15" t="s">
        <v>2691</v>
      </c>
      <c r="Q2038" s="16">
        <v>4999</v>
      </c>
      <c r="R2038" s="17">
        <v>48.83</v>
      </c>
      <c r="S2038" s="18">
        <v>2941.4354999999996</v>
      </c>
      <c r="T2038" s="19" t="s">
        <v>328</v>
      </c>
      <c r="U2038" s="20" t="s">
        <v>66</v>
      </c>
      <c r="V2038" s="25" t="s">
        <v>67</v>
      </c>
      <c r="W2038" s="21">
        <v>3</v>
      </c>
      <c r="X2038" s="22"/>
    </row>
    <row r="2039" spans="1:24" s="1" customFormat="1" ht="26.1" customHeight="1" x14ac:dyDescent="0.3">
      <c r="A2039" s="23" t="s">
        <v>2392</v>
      </c>
      <c r="B2039" s="23" t="s">
        <v>2688</v>
      </c>
      <c r="C2039" s="12" t="s">
        <v>2703</v>
      </c>
      <c r="D2039" s="85"/>
      <c r="E2039" s="69" t="str">
        <f>HYPERLINK("https://www.google.ru/search?q=CT80W-5&amp;newwindow=1&amp;tbm=isch","Еще фото")</f>
        <v>Еще фото</v>
      </c>
      <c r="F2039" s="13"/>
      <c r="G2039" s="23" t="s">
        <v>615</v>
      </c>
      <c r="H2039" s="23" t="s">
        <v>27</v>
      </c>
      <c r="I2039" s="23" t="s">
        <v>616</v>
      </c>
      <c r="J2039" s="14" t="s">
        <v>406</v>
      </c>
      <c r="K2039" s="15" t="s">
        <v>47</v>
      </c>
      <c r="L2039" s="88"/>
      <c r="M2039" s="14"/>
      <c r="N2039" s="14" t="s">
        <v>49</v>
      </c>
      <c r="O2039" s="14"/>
      <c r="P2039" s="15" t="s">
        <v>2691</v>
      </c>
      <c r="Q2039" s="16">
        <v>4999</v>
      </c>
      <c r="R2039" s="17">
        <v>48.83</v>
      </c>
      <c r="S2039" s="18">
        <v>2941.4354999999996</v>
      </c>
      <c r="T2039" s="19" t="s">
        <v>328</v>
      </c>
      <c r="U2039" s="20" t="s">
        <v>58</v>
      </c>
      <c r="V2039" s="25" t="s">
        <v>68</v>
      </c>
      <c r="W2039" s="21">
        <v>2</v>
      </c>
      <c r="X2039" s="22"/>
    </row>
    <row r="2040" spans="1:24" s="1" customFormat="1" ht="26.1" customHeight="1" x14ac:dyDescent="0.3">
      <c r="A2040" s="11" t="s">
        <v>2392</v>
      </c>
      <c r="B2040" s="11" t="s">
        <v>2704</v>
      </c>
      <c r="C2040" s="12" t="s">
        <v>2705</v>
      </c>
      <c r="D2040" s="83"/>
      <c r="E2040" s="69" t="str">
        <f>HYPERLINK("https://www.google.ru/search?q=CT82M-5&amp;newwindow=1&amp;tbm=isch","Еще фото")</f>
        <v>Еще фото</v>
      </c>
      <c r="F2040" s="13"/>
      <c r="G2040" s="11" t="s">
        <v>615</v>
      </c>
      <c r="H2040" s="11" t="s">
        <v>27</v>
      </c>
      <c r="I2040" s="14" t="s">
        <v>616</v>
      </c>
      <c r="J2040" s="14" t="s">
        <v>406</v>
      </c>
      <c r="K2040" s="15" t="s">
        <v>55</v>
      </c>
      <c r="L2040" s="86" t="s">
        <v>2706</v>
      </c>
      <c r="M2040" s="14"/>
      <c r="N2040" s="14" t="s">
        <v>49</v>
      </c>
      <c r="O2040" s="14"/>
      <c r="P2040" s="15" t="s">
        <v>2691</v>
      </c>
      <c r="Q2040" s="16">
        <v>4999</v>
      </c>
      <c r="R2040" s="17">
        <v>48.83</v>
      </c>
      <c r="S2040" s="18">
        <v>2941.4354999999996</v>
      </c>
      <c r="T2040" s="19" t="s">
        <v>328</v>
      </c>
      <c r="U2040" s="20" t="s">
        <v>64</v>
      </c>
      <c r="V2040" s="25" t="s">
        <v>67</v>
      </c>
      <c r="W2040" s="21">
        <v>3</v>
      </c>
      <c r="X2040" s="22"/>
    </row>
    <row r="2041" spans="1:24" s="1" customFormat="1" ht="26.1" customHeight="1" x14ac:dyDescent="0.3">
      <c r="A2041" s="23" t="s">
        <v>2392</v>
      </c>
      <c r="B2041" s="23" t="s">
        <v>2704</v>
      </c>
      <c r="C2041" s="12" t="s">
        <v>2705</v>
      </c>
      <c r="D2041" s="84"/>
      <c r="E2041" s="69" t="str">
        <f>HYPERLINK("https://www.google.ru/search?q=CT82M-5&amp;newwindow=1&amp;tbm=isch","Еще фото")</f>
        <v>Еще фото</v>
      </c>
      <c r="F2041" s="13"/>
      <c r="G2041" s="23" t="s">
        <v>615</v>
      </c>
      <c r="H2041" s="23" t="s">
        <v>27</v>
      </c>
      <c r="I2041" s="23" t="s">
        <v>616</v>
      </c>
      <c r="J2041" s="14" t="s">
        <v>406</v>
      </c>
      <c r="K2041" s="15" t="s">
        <v>55</v>
      </c>
      <c r="L2041" s="87"/>
      <c r="M2041" s="14"/>
      <c r="N2041" s="14" t="s">
        <v>49</v>
      </c>
      <c r="O2041" s="14"/>
      <c r="P2041" s="15" t="s">
        <v>2691</v>
      </c>
      <c r="Q2041" s="16">
        <v>4999</v>
      </c>
      <c r="R2041" s="17">
        <v>48.83</v>
      </c>
      <c r="S2041" s="18">
        <v>2941.4354999999996</v>
      </c>
      <c r="T2041" s="19" t="s">
        <v>328</v>
      </c>
      <c r="U2041" s="20" t="s">
        <v>66</v>
      </c>
      <c r="V2041" s="25" t="s">
        <v>68</v>
      </c>
      <c r="W2041" s="21">
        <v>4</v>
      </c>
      <c r="X2041" s="22"/>
    </row>
    <row r="2042" spans="1:24" s="1" customFormat="1" ht="26.1" customHeight="1" x14ac:dyDescent="0.3">
      <c r="A2042" s="23" t="s">
        <v>2392</v>
      </c>
      <c r="B2042" s="23" t="s">
        <v>2704</v>
      </c>
      <c r="C2042" s="12" t="s">
        <v>2705</v>
      </c>
      <c r="D2042" s="84"/>
      <c r="E2042" s="69" t="str">
        <f>HYPERLINK("https://www.google.ru/search?q=CT82M-5&amp;newwindow=1&amp;tbm=isch","Еще фото")</f>
        <v>Еще фото</v>
      </c>
      <c r="F2042" s="13"/>
      <c r="G2042" s="23" t="s">
        <v>615</v>
      </c>
      <c r="H2042" s="23" t="s">
        <v>27</v>
      </c>
      <c r="I2042" s="23" t="s">
        <v>616</v>
      </c>
      <c r="J2042" s="14" t="s">
        <v>406</v>
      </c>
      <c r="K2042" s="15" t="s">
        <v>55</v>
      </c>
      <c r="L2042" s="87"/>
      <c r="M2042" s="14"/>
      <c r="N2042" s="14" t="s">
        <v>49</v>
      </c>
      <c r="O2042" s="14"/>
      <c r="P2042" s="15" t="s">
        <v>2691</v>
      </c>
      <c r="Q2042" s="16">
        <v>4999</v>
      </c>
      <c r="R2042" s="17">
        <v>48.83</v>
      </c>
      <c r="S2042" s="18">
        <v>2941.4354999999996</v>
      </c>
      <c r="T2042" s="19" t="s">
        <v>328</v>
      </c>
      <c r="U2042" s="20" t="s">
        <v>58</v>
      </c>
      <c r="V2042" s="25" t="s">
        <v>53</v>
      </c>
      <c r="W2042" s="21">
        <v>2</v>
      </c>
      <c r="X2042" s="22"/>
    </row>
    <row r="2043" spans="1:24" s="1" customFormat="1" ht="26.1" customHeight="1" x14ac:dyDescent="0.3">
      <c r="A2043" s="23" t="s">
        <v>2392</v>
      </c>
      <c r="B2043" s="23" t="s">
        <v>2704</v>
      </c>
      <c r="C2043" s="12" t="s">
        <v>2705</v>
      </c>
      <c r="D2043" s="85"/>
      <c r="E2043" s="69" t="str">
        <f>HYPERLINK("https://www.google.ru/search?q=CT82M-5&amp;newwindow=1&amp;tbm=isch","Еще фото")</f>
        <v>Еще фото</v>
      </c>
      <c r="F2043" s="13"/>
      <c r="G2043" s="23" t="s">
        <v>615</v>
      </c>
      <c r="H2043" s="23" t="s">
        <v>27</v>
      </c>
      <c r="I2043" s="23" t="s">
        <v>616</v>
      </c>
      <c r="J2043" s="14" t="s">
        <v>406</v>
      </c>
      <c r="K2043" s="15" t="s">
        <v>55</v>
      </c>
      <c r="L2043" s="88"/>
      <c r="M2043" s="14"/>
      <c r="N2043" s="14" t="s">
        <v>49</v>
      </c>
      <c r="O2043" s="14"/>
      <c r="P2043" s="15" t="s">
        <v>2691</v>
      </c>
      <c r="Q2043" s="16">
        <v>4999</v>
      </c>
      <c r="R2043" s="17">
        <v>48.83</v>
      </c>
      <c r="S2043" s="18">
        <v>2941.4354999999996</v>
      </c>
      <c r="T2043" s="19" t="s">
        <v>328</v>
      </c>
      <c r="U2043" s="20" t="s">
        <v>52</v>
      </c>
      <c r="V2043" s="25" t="s">
        <v>59</v>
      </c>
      <c r="W2043" s="21">
        <v>1</v>
      </c>
      <c r="X2043" s="22"/>
    </row>
    <row r="2044" spans="1:24" s="1" customFormat="1" ht="26.1" customHeight="1" x14ac:dyDescent="0.3">
      <c r="A2044" s="11" t="s">
        <v>2392</v>
      </c>
      <c r="B2044" s="11" t="s">
        <v>2692</v>
      </c>
      <c r="C2044" s="12" t="s">
        <v>2707</v>
      </c>
      <c r="D2044" s="83"/>
      <c r="E2044" s="69" t="str">
        <f>HYPERLINK("https://www.google.ru/search?q=C801M-5&amp;newwindow=1&amp;tbm=isch","Еще фото")</f>
        <v>Еще фото</v>
      </c>
      <c r="F2044" s="13"/>
      <c r="G2044" s="11" t="s">
        <v>2708</v>
      </c>
      <c r="H2044" s="11" t="s">
        <v>27</v>
      </c>
      <c r="I2044" s="14" t="s">
        <v>616</v>
      </c>
      <c r="J2044" s="14" t="s">
        <v>406</v>
      </c>
      <c r="K2044" s="15" t="s">
        <v>55</v>
      </c>
      <c r="L2044" s="86" t="s">
        <v>2709</v>
      </c>
      <c r="M2044" s="14"/>
      <c r="N2044" s="14" t="s">
        <v>49</v>
      </c>
      <c r="O2044" s="14"/>
      <c r="P2044" s="15" t="s">
        <v>2687</v>
      </c>
      <c r="Q2044" s="16">
        <v>6309</v>
      </c>
      <c r="R2044" s="17">
        <v>40</v>
      </c>
      <c r="S2044" s="18">
        <v>4353.21</v>
      </c>
      <c r="T2044" s="19" t="s">
        <v>328</v>
      </c>
      <c r="U2044" s="20" t="s">
        <v>64</v>
      </c>
      <c r="V2044" s="25" t="s">
        <v>67</v>
      </c>
      <c r="W2044" s="21">
        <v>2</v>
      </c>
      <c r="X2044" s="22"/>
    </row>
    <row r="2045" spans="1:24" s="1" customFormat="1" ht="26.1" customHeight="1" x14ac:dyDescent="0.3">
      <c r="A2045" s="23" t="s">
        <v>2392</v>
      </c>
      <c r="B2045" s="23" t="s">
        <v>2692</v>
      </c>
      <c r="C2045" s="12" t="s">
        <v>2707</v>
      </c>
      <c r="D2045" s="84"/>
      <c r="E2045" s="69" t="str">
        <f>HYPERLINK("https://www.google.ru/search?q=C801M-5&amp;newwindow=1&amp;tbm=isch","Еще фото")</f>
        <v>Еще фото</v>
      </c>
      <c r="F2045" s="13"/>
      <c r="G2045" s="23" t="s">
        <v>2708</v>
      </c>
      <c r="H2045" s="23" t="s">
        <v>27</v>
      </c>
      <c r="I2045" s="23" t="s">
        <v>616</v>
      </c>
      <c r="J2045" s="14" t="s">
        <v>406</v>
      </c>
      <c r="K2045" s="15" t="s">
        <v>55</v>
      </c>
      <c r="L2045" s="87"/>
      <c r="M2045" s="14"/>
      <c r="N2045" s="14" t="s">
        <v>49</v>
      </c>
      <c r="O2045" s="14"/>
      <c r="P2045" s="15" t="s">
        <v>2687</v>
      </c>
      <c r="Q2045" s="16">
        <v>6309</v>
      </c>
      <c r="R2045" s="17">
        <v>40</v>
      </c>
      <c r="S2045" s="18">
        <v>4353.21</v>
      </c>
      <c r="T2045" s="19" t="s">
        <v>328</v>
      </c>
      <c r="U2045" s="20" t="s">
        <v>66</v>
      </c>
      <c r="V2045" s="25" t="s">
        <v>68</v>
      </c>
      <c r="W2045" s="21">
        <v>2</v>
      </c>
      <c r="X2045" s="22"/>
    </row>
    <row r="2046" spans="1:24" s="1" customFormat="1" ht="26.1" customHeight="1" x14ac:dyDescent="0.3">
      <c r="A2046" s="23" t="s">
        <v>2392</v>
      </c>
      <c r="B2046" s="23" t="s">
        <v>2692</v>
      </c>
      <c r="C2046" s="12" t="s">
        <v>2707</v>
      </c>
      <c r="D2046" s="84"/>
      <c r="E2046" s="69" t="str">
        <f>HYPERLINK("https://www.google.ru/search?q=C801M-5&amp;newwindow=1&amp;tbm=isch","Еще фото")</f>
        <v>Еще фото</v>
      </c>
      <c r="F2046" s="13"/>
      <c r="G2046" s="23" t="s">
        <v>2708</v>
      </c>
      <c r="H2046" s="23" t="s">
        <v>27</v>
      </c>
      <c r="I2046" s="23" t="s">
        <v>616</v>
      </c>
      <c r="J2046" s="14" t="s">
        <v>406</v>
      </c>
      <c r="K2046" s="15" t="s">
        <v>55</v>
      </c>
      <c r="L2046" s="87"/>
      <c r="M2046" s="14"/>
      <c r="N2046" s="14" t="s">
        <v>49</v>
      </c>
      <c r="O2046" s="14"/>
      <c r="P2046" s="15" t="s">
        <v>2687</v>
      </c>
      <c r="Q2046" s="16">
        <v>6309</v>
      </c>
      <c r="R2046" s="17">
        <v>40</v>
      </c>
      <c r="S2046" s="18">
        <v>4353.21</v>
      </c>
      <c r="T2046" s="19" t="s">
        <v>328</v>
      </c>
      <c r="U2046" s="20" t="s">
        <v>58</v>
      </c>
      <c r="V2046" s="25" t="s">
        <v>53</v>
      </c>
      <c r="W2046" s="21">
        <v>4</v>
      </c>
      <c r="X2046" s="22"/>
    </row>
    <row r="2047" spans="1:24" s="1" customFormat="1" ht="26.1" customHeight="1" x14ac:dyDescent="0.3">
      <c r="A2047" s="23" t="s">
        <v>2392</v>
      </c>
      <c r="B2047" s="23" t="s">
        <v>2692</v>
      </c>
      <c r="C2047" s="12" t="s">
        <v>2707</v>
      </c>
      <c r="D2047" s="85"/>
      <c r="E2047" s="69" t="str">
        <f>HYPERLINK("https://www.google.ru/search?q=C801M-5&amp;newwindow=1&amp;tbm=isch","Еще фото")</f>
        <v>Еще фото</v>
      </c>
      <c r="F2047" s="13"/>
      <c r="G2047" s="23" t="s">
        <v>2708</v>
      </c>
      <c r="H2047" s="23" t="s">
        <v>27</v>
      </c>
      <c r="I2047" s="23" t="s">
        <v>616</v>
      </c>
      <c r="J2047" s="14" t="s">
        <v>406</v>
      </c>
      <c r="K2047" s="15" t="s">
        <v>55</v>
      </c>
      <c r="L2047" s="88"/>
      <c r="M2047" s="14"/>
      <c r="N2047" s="14" t="s">
        <v>49</v>
      </c>
      <c r="O2047" s="14"/>
      <c r="P2047" s="15" t="s">
        <v>2687</v>
      </c>
      <c r="Q2047" s="16">
        <v>6309</v>
      </c>
      <c r="R2047" s="17">
        <v>40</v>
      </c>
      <c r="S2047" s="18">
        <v>4353.21</v>
      </c>
      <c r="T2047" s="19" t="s">
        <v>328</v>
      </c>
      <c r="U2047" s="20" t="s">
        <v>52</v>
      </c>
      <c r="V2047" s="25" t="s">
        <v>59</v>
      </c>
      <c r="W2047" s="21">
        <v>1</v>
      </c>
      <c r="X2047" s="22"/>
    </row>
    <row r="2048" spans="1:24" s="1" customFormat="1" ht="108" customHeight="1" x14ac:dyDescent="0.3">
      <c r="A2048" s="11" t="s">
        <v>2392</v>
      </c>
      <c r="B2048" s="11" t="s">
        <v>2710</v>
      </c>
      <c r="C2048" s="12" t="s">
        <v>2711</v>
      </c>
      <c r="D2048" s="24"/>
      <c r="E2048" s="69" t="str">
        <f>HYPERLINK("https://www.google.ru/search?q=CB941U-0&amp;newwindow=1&amp;tbm=isch","Еще фото")</f>
        <v>Еще фото</v>
      </c>
      <c r="F2048" s="13"/>
      <c r="G2048" s="11" t="s">
        <v>2712</v>
      </c>
      <c r="H2048" s="11" t="s">
        <v>112</v>
      </c>
      <c r="I2048" s="14" t="s">
        <v>667</v>
      </c>
      <c r="J2048" s="14" t="s">
        <v>406</v>
      </c>
      <c r="K2048" s="15" t="s">
        <v>114</v>
      </c>
      <c r="L2048" s="14" t="s">
        <v>2713</v>
      </c>
      <c r="M2048" s="14"/>
      <c r="N2048" s="14" t="s">
        <v>89</v>
      </c>
      <c r="O2048" s="14"/>
      <c r="P2048" s="15" t="s">
        <v>108</v>
      </c>
      <c r="Q2048" s="16">
        <v>3159</v>
      </c>
      <c r="R2048" s="17">
        <v>53.54</v>
      </c>
      <c r="S2048" s="18">
        <v>1687.9354999999998</v>
      </c>
      <c r="T2048" s="19" t="s">
        <v>117</v>
      </c>
      <c r="U2048" s="20" t="s">
        <v>2417</v>
      </c>
      <c r="V2048" s="25" t="s">
        <v>119</v>
      </c>
      <c r="W2048" s="21">
        <v>16</v>
      </c>
      <c r="X2048" s="22"/>
    </row>
    <row r="2049" spans="1:24" s="1" customFormat="1" ht="108" customHeight="1" x14ac:dyDescent="0.3">
      <c r="A2049" s="11" t="s">
        <v>2392</v>
      </c>
      <c r="B2049" s="11" t="s">
        <v>2710</v>
      </c>
      <c r="C2049" s="12" t="s">
        <v>2714</v>
      </c>
      <c r="D2049" s="24"/>
      <c r="E2049" s="69" t="str">
        <f>HYPERLINK("https://www.google.ru/search?q=CB941U-3&amp;newwindow=1&amp;tbm=isch","Еще фото")</f>
        <v>Еще фото</v>
      </c>
      <c r="F2049" s="13"/>
      <c r="G2049" s="11" t="s">
        <v>2712</v>
      </c>
      <c r="H2049" s="11" t="s">
        <v>112</v>
      </c>
      <c r="I2049" s="14" t="s">
        <v>667</v>
      </c>
      <c r="J2049" s="14" t="s">
        <v>406</v>
      </c>
      <c r="K2049" s="15" t="s">
        <v>114</v>
      </c>
      <c r="L2049" s="14" t="s">
        <v>2713</v>
      </c>
      <c r="M2049" s="14"/>
      <c r="N2049" s="14" t="s">
        <v>70</v>
      </c>
      <c r="O2049" s="14"/>
      <c r="P2049" s="15" t="s">
        <v>108</v>
      </c>
      <c r="Q2049" s="16">
        <v>3159</v>
      </c>
      <c r="R2049" s="17">
        <v>50.05</v>
      </c>
      <c r="S2049" s="18">
        <v>1814.4354999999998</v>
      </c>
      <c r="T2049" s="19" t="s">
        <v>117</v>
      </c>
      <c r="U2049" s="20" t="s">
        <v>2417</v>
      </c>
      <c r="V2049" s="25" t="s">
        <v>119</v>
      </c>
      <c r="W2049" s="21">
        <v>7</v>
      </c>
      <c r="X2049" s="22"/>
    </row>
    <row r="2050" spans="1:24" s="1" customFormat="1" ht="108" customHeight="1" x14ac:dyDescent="0.3">
      <c r="A2050" s="11" t="s">
        <v>2392</v>
      </c>
      <c r="B2050" s="11" t="s">
        <v>2710</v>
      </c>
      <c r="C2050" s="12" t="s">
        <v>2715</v>
      </c>
      <c r="D2050" s="24"/>
      <c r="E2050" s="69" t="str">
        <f>HYPERLINK("https://www.google.ru/search?q=CB941U-5&amp;newwindow=1&amp;tbm=isch","Еще фото")</f>
        <v>Еще фото</v>
      </c>
      <c r="F2050" s="13"/>
      <c r="G2050" s="11" t="s">
        <v>2712</v>
      </c>
      <c r="H2050" s="11" t="s">
        <v>112</v>
      </c>
      <c r="I2050" s="14" t="s">
        <v>667</v>
      </c>
      <c r="J2050" s="14" t="s">
        <v>406</v>
      </c>
      <c r="K2050" s="15" t="s">
        <v>114</v>
      </c>
      <c r="L2050" s="14" t="s">
        <v>2713</v>
      </c>
      <c r="M2050" s="14"/>
      <c r="N2050" s="14" t="s">
        <v>49</v>
      </c>
      <c r="O2050" s="14"/>
      <c r="P2050" s="15" t="s">
        <v>108</v>
      </c>
      <c r="Q2050" s="16">
        <v>3159</v>
      </c>
      <c r="R2050" s="17">
        <v>40</v>
      </c>
      <c r="S2050" s="18">
        <v>2179.71</v>
      </c>
      <c r="T2050" s="19" t="s">
        <v>117</v>
      </c>
      <c r="U2050" s="20" t="s">
        <v>2417</v>
      </c>
      <c r="V2050" s="25" t="s">
        <v>119</v>
      </c>
      <c r="W2050" s="21">
        <v>3</v>
      </c>
      <c r="X2050" s="22"/>
    </row>
    <row r="2051" spans="1:24" s="1" customFormat="1" ht="108" customHeight="1" x14ac:dyDescent="0.3">
      <c r="A2051" s="11" t="s">
        <v>2392</v>
      </c>
      <c r="B2051" s="11" t="s">
        <v>2716</v>
      </c>
      <c r="C2051" s="12" t="s">
        <v>2717</v>
      </c>
      <c r="D2051" s="24"/>
      <c r="E2051" s="69" t="str">
        <f>HYPERLINK("https://www.google.ru/search?q=CB947U-3&amp;newwindow=1&amp;tbm=isch","Еще фото")</f>
        <v>Еще фото</v>
      </c>
      <c r="F2051" s="13"/>
      <c r="G2051" s="11" t="s">
        <v>2718</v>
      </c>
      <c r="H2051" s="11" t="s">
        <v>112</v>
      </c>
      <c r="I2051" s="14" t="s">
        <v>2719</v>
      </c>
      <c r="J2051" s="14" t="s">
        <v>29</v>
      </c>
      <c r="K2051" s="15" t="s">
        <v>114</v>
      </c>
      <c r="L2051" s="14" t="s">
        <v>2720</v>
      </c>
      <c r="M2051" s="14"/>
      <c r="N2051" s="14" t="s">
        <v>70</v>
      </c>
      <c r="O2051" s="14"/>
      <c r="P2051" s="15" t="s">
        <v>2662</v>
      </c>
      <c r="Q2051" s="16">
        <v>2419</v>
      </c>
      <c r="R2051" s="17">
        <v>45.11</v>
      </c>
      <c r="S2051" s="18">
        <v>1526.9354999999998</v>
      </c>
      <c r="T2051" s="19" t="s">
        <v>117</v>
      </c>
      <c r="U2051" s="20" t="s">
        <v>2417</v>
      </c>
      <c r="V2051" s="25" t="s">
        <v>119</v>
      </c>
      <c r="W2051" s="21">
        <v>4</v>
      </c>
      <c r="X2051" s="22"/>
    </row>
    <row r="2052" spans="1:24" s="1" customFormat="1" ht="108" customHeight="1" x14ac:dyDescent="0.3">
      <c r="A2052" s="11" t="s">
        <v>2392</v>
      </c>
      <c r="B2052" s="11" t="s">
        <v>2716</v>
      </c>
      <c r="C2052" s="12" t="s">
        <v>2721</v>
      </c>
      <c r="D2052" s="24"/>
      <c r="E2052" s="69" t="str">
        <f>HYPERLINK("https://www.google.ru/search?q=CB947U-H&amp;newwindow=1&amp;tbm=isch","Еще фото")</f>
        <v>Еще фото</v>
      </c>
      <c r="F2052" s="13"/>
      <c r="G2052" s="11" t="s">
        <v>2718</v>
      </c>
      <c r="H2052" s="11" t="s">
        <v>112</v>
      </c>
      <c r="I2052" s="14" t="s">
        <v>2719</v>
      </c>
      <c r="J2052" s="14" t="s">
        <v>29</v>
      </c>
      <c r="K2052" s="15" t="s">
        <v>114</v>
      </c>
      <c r="L2052" s="14" t="s">
        <v>2720</v>
      </c>
      <c r="M2052" s="14"/>
      <c r="N2052" s="14" t="s">
        <v>242</v>
      </c>
      <c r="O2052" s="14"/>
      <c r="P2052" s="15" t="s">
        <v>2662</v>
      </c>
      <c r="Q2052" s="16">
        <v>2419</v>
      </c>
      <c r="R2052" s="17">
        <v>40</v>
      </c>
      <c r="S2052" s="18">
        <v>1669.11</v>
      </c>
      <c r="T2052" s="19" t="s">
        <v>117</v>
      </c>
      <c r="U2052" s="20" t="s">
        <v>2417</v>
      </c>
      <c r="V2052" s="25" t="s">
        <v>119</v>
      </c>
      <c r="W2052" s="21">
        <v>1</v>
      </c>
      <c r="X2052" s="22"/>
    </row>
    <row r="2053" spans="1:24" s="1" customFormat="1" ht="21" customHeight="1" x14ac:dyDescent="0.3">
      <c r="A2053" s="11" t="s">
        <v>2392</v>
      </c>
      <c r="B2053" s="11" t="s">
        <v>2722</v>
      </c>
      <c r="C2053" s="27" t="s">
        <v>2723</v>
      </c>
      <c r="D2053" s="83"/>
      <c r="E2053" s="69" t="str">
        <f>HYPERLINK("https://www.google.ru/search?q=C48M-5&amp;newwindow=1&amp;tbm=isch","Еще фото")</f>
        <v>Еще фото</v>
      </c>
      <c r="F2053" s="13"/>
      <c r="G2053" s="11" t="s">
        <v>2724</v>
      </c>
      <c r="H2053" s="11" t="s">
        <v>27</v>
      </c>
      <c r="I2053" s="14" t="s">
        <v>675</v>
      </c>
      <c r="J2053" s="14" t="s">
        <v>406</v>
      </c>
      <c r="K2053" s="15" t="s">
        <v>55</v>
      </c>
      <c r="L2053" s="86" t="s">
        <v>2725</v>
      </c>
      <c r="M2053" s="14"/>
      <c r="N2053" s="14" t="s">
        <v>49</v>
      </c>
      <c r="O2053" s="14"/>
      <c r="P2053" s="15" t="s">
        <v>2726</v>
      </c>
      <c r="Q2053" s="16">
        <v>11559</v>
      </c>
      <c r="R2053" s="17">
        <v>52.35</v>
      </c>
      <c r="S2053" s="18">
        <v>6333.9354999999996</v>
      </c>
      <c r="T2053" s="19" t="s">
        <v>328</v>
      </c>
      <c r="U2053" s="20" t="s">
        <v>64</v>
      </c>
      <c r="V2053" s="25" t="s">
        <v>67</v>
      </c>
      <c r="W2053" s="21">
        <v>7</v>
      </c>
      <c r="X2053" s="22"/>
    </row>
    <row r="2054" spans="1:24" s="1" customFormat="1" ht="21" customHeight="1" x14ac:dyDescent="0.3">
      <c r="A2054" s="23" t="s">
        <v>2392</v>
      </c>
      <c r="B2054" s="23" t="s">
        <v>2722</v>
      </c>
      <c r="C2054" s="28" t="s">
        <v>2723</v>
      </c>
      <c r="D2054" s="84"/>
      <c r="E2054" s="69" t="str">
        <f>HYPERLINK("https://www.google.ru/search?q=C48M-5&amp;newwindow=1&amp;tbm=isch","Еще фото")</f>
        <v>Еще фото</v>
      </c>
      <c r="F2054" s="13"/>
      <c r="G2054" s="23" t="s">
        <v>2724</v>
      </c>
      <c r="H2054" s="23" t="s">
        <v>27</v>
      </c>
      <c r="I2054" s="23" t="s">
        <v>675</v>
      </c>
      <c r="J2054" s="14" t="s">
        <v>406</v>
      </c>
      <c r="K2054" s="15" t="s">
        <v>55</v>
      </c>
      <c r="L2054" s="87"/>
      <c r="M2054" s="14"/>
      <c r="N2054" s="14" t="s">
        <v>49</v>
      </c>
      <c r="O2054" s="14"/>
      <c r="P2054" s="15" t="s">
        <v>2726</v>
      </c>
      <c r="Q2054" s="16">
        <v>11559</v>
      </c>
      <c r="R2054" s="17">
        <v>52.35</v>
      </c>
      <c r="S2054" s="18">
        <v>6333.9354999999996</v>
      </c>
      <c r="T2054" s="19" t="s">
        <v>328</v>
      </c>
      <c r="U2054" s="20" t="s">
        <v>66</v>
      </c>
      <c r="V2054" s="25" t="s">
        <v>68</v>
      </c>
      <c r="W2054" s="21">
        <v>18</v>
      </c>
      <c r="X2054" s="22"/>
    </row>
    <row r="2055" spans="1:24" s="1" customFormat="1" ht="21" customHeight="1" x14ac:dyDescent="0.3">
      <c r="A2055" s="23" t="s">
        <v>2392</v>
      </c>
      <c r="B2055" s="23" t="s">
        <v>2722</v>
      </c>
      <c r="C2055" s="28" t="s">
        <v>2723</v>
      </c>
      <c r="D2055" s="84"/>
      <c r="E2055" s="69" t="str">
        <f>HYPERLINK("https://www.google.ru/search?q=C48M-5&amp;newwindow=1&amp;tbm=isch","Еще фото")</f>
        <v>Еще фото</v>
      </c>
      <c r="F2055" s="13"/>
      <c r="G2055" s="23" t="s">
        <v>2724</v>
      </c>
      <c r="H2055" s="23" t="s">
        <v>27</v>
      </c>
      <c r="I2055" s="23" t="s">
        <v>675</v>
      </c>
      <c r="J2055" s="14" t="s">
        <v>406</v>
      </c>
      <c r="K2055" s="15" t="s">
        <v>55</v>
      </c>
      <c r="L2055" s="87"/>
      <c r="M2055" s="14"/>
      <c r="N2055" s="14" t="s">
        <v>49</v>
      </c>
      <c r="O2055" s="14"/>
      <c r="P2055" s="15" t="s">
        <v>2726</v>
      </c>
      <c r="Q2055" s="16">
        <v>11559</v>
      </c>
      <c r="R2055" s="17">
        <v>52.35</v>
      </c>
      <c r="S2055" s="18">
        <v>6333.9354999999996</v>
      </c>
      <c r="T2055" s="19" t="s">
        <v>328</v>
      </c>
      <c r="U2055" s="20" t="s">
        <v>58</v>
      </c>
      <c r="V2055" s="25" t="s">
        <v>53</v>
      </c>
      <c r="W2055" s="21">
        <v>9</v>
      </c>
      <c r="X2055" s="22"/>
    </row>
    <row r="2056" spans="1:24" s="1" customFormat="1" ht="21" customHeight="1" x14ac:dyDescent="0.3">
      <c r="A2056" s="23" t="s">
        <v>2392</v>
      </c>
      <c r="B2056" s="23" t="s">
        <v>2722</v>
      </c>
      <c r="C2056" s="28" t="s">
        <v>2723</v>
      </c>
      <c r="D2056" s="84"/>
      <c r="E2056" s="69" t="str">
        <f>HYPERLINK("https://www.google.ru/search?q=C48M-5&amp;newwindow=1&amp;tbm=isch","Еще фото")</f>
        <v>Еще фото</v>
      </c>
      <c r="F2056" s="13"/>
      <c r="G2056" s="23" t="s">
        <v>2724</v>
      </c>
      <c r="H2056" s="23" t="s">
        <v>27</v>
      </c>
      <c r="I2056" s="23" t="s">
        <v>675</v>
      </c>
      <c r="J2056" s="14" t="s">
        <v>406</v>
      </c>
      <c r="K2056" s="15" t="s">
        <v>55</v>
      </c>
      <c r="L2056" s="87"/>
      <c r="M2056" s="14"/>
      <c r="N2056" s="14" t="s">
        <v>49</v>
      </c>
      <c r="O2056" s="14"/>
      <c r="P2056" s="15" t="s">
        <v>2726</v>
      </c>
      <c r="Q2056" s="16">
        <v>11559</v>
      </c>
      <c r="R2056" s="17">
        <v>52.35</v>
      </c>
      <c r="S2056" s="18">
        <v>6333.9354999999996</v>
      </c>
      <c r="T2056" s="19" t="s">
        <v>328</v>
      </c>
      <c r="U2056" s="20" t="s">
        <v>52</v>
      </c>
      <c r="V2056" s="25" t="s">
        <v>59</v>
      </c>
      <c r="W2056" s="21">
        <v>4</v>
      </c>
      <c r="X2056" s="22"/>
    </row>
    <row r="2057" spans="1:24" s="1" customFormat="1" ht="32.1" customHeight="1" x14ac:dyDescent="0.3">
      <c r="A2057" s="23" t="s">
        <v>2392</v>
      </c>
      <c r="B2057" s="23" t="s">
        <v>2722</v>
      </c>
      <c r="C2057" s="28" t="s">
        <v>2723</v>
      </c>
      <c r="D2057" s="85"/>
      <c r="E2057" s="69" t="str">
        <f>HYPERLINK("https://www.google.ru/search?q=C48M-5&amp;newwindow=1&amp;tbm=isch","Еще фото")</f>
        <v>Еще фото</v>
      </c>
      <c r="F2057" s="13"/>
      <c r="G2057" s="23" t="s">
        <v>2724</v>
      </c>
      <c r="H2057" s="23" t="s">
        <v>27</v>
      </c>
      <c r="I2057" s="23" t="s">
        <v>675</v>
      </c>
      <c r="J2057" s="14" t="s">
        <v>406</v>
      </c>
      <c r="K2057" s="15" t="s">
        <v>55</v>
      </c>
      <c r="L2057" s="88"/>
      <c r="M2057" s="14"/>
      <c r="N2057" s="14" t="s">
        <v>49</v>
      </c>
      <c r="O2057" s="14"/>
      <c r="P2057" s="15" t="s">
        <v>2726</v>
      </c>
      <c r="Q2057" s="16">
        <v>11559</v>
      </c>
      <c r="R2057" s="17">
        <v>52.35</v>
      </c>
      <c r="S2057" s="18">
        <v>6333.9354999999996</v>
      </c>
      <c r="T2057" s="19" t="s">
        <v>328</v>
      </c>
      <c r="U2057" s="20" t="s">
        <v>596</v>
      </c>
      <c r="V2057" s="25" t="s">
        <v>60</v>
      </c>
      <c r="W2057" s="21">
        <v>2</v>
      </c>
      <c r="X2057" s="22"/>
    </row>
    <row r="2058" spans="1:24" s="1" customFormat="1" ht="21" customHeight="1" x14ac:dyDescent="0.3">
      <c r="A2058" s="11" t="s">
        <v>2392</v>
      </c>
      <c r="B2058" s="11" t="s">
        <v>2722</v>
      </c>
      <c r="C2058" s="27" t="s">
        <v>2727</v>
      </c>
      <c r="D2058" s="83"/>
      <c r="E2058" s="69" t="str">
        <f>HYPERLINK("https://www.google.ru/search?q=C48W-5&amp;newwindow=1&amp;tbm=isch","Еще фото")</f>
        <v>Еще фото</v>
      </c>
      <c r="F2058" s="13"/>
      <c r="G2058" s="11" t="s">
        <v>2728</v>
      </c>
      <c r="H2058" s="11" t="s">
        <v>27</v>
      </c>
      <c r="I2058" s="14" t="s">
        <v>675</v>
      </c>
      <c r="J2058" s="14" t="s">
        <v>406</v>
      </c>
      <c r="K2058" s="15" t="s">
        <v>47</v>
      </c>
      <c r="L2058" s="86" t="s">
        <v>2725</v>
      </c>
      <c r="M2058" s="14" t="s">
        <v>2729</v>
      </c>
      <c r="N2058" s="14" t="s">
        <v>49</v>
      </c>
      <c r="O2058" s="14" t="s">
        <v>940</v>
      </c>
      <c r="P2058" s="15" t="s">
        <v>2730</v>
      </c>
      <c r="Q2058" s="16">
        <v>11559</v>
      </c>
      <c r="R2058" s="17">
        <v>52.35</v>
      </c>
      <c r="S2058" s="18">
        <v>6333.9354999999996</v>
      </c>
      <c r="T2058" s="19" t="s">
        <v>328</v>
      </c>
      <c r="U2058" s="20" t="s">
        <v>58</v>
      </c>
      <c r="V2058" s="25" t="s">
        <v>68</v>
      </c>
      <c r="W2058" s="21">
        <v>3</v>
      </c>
      <c r="X2058" s="22"/>
    </row>
    <row r="2059" spans="1:24" s="1" customFormat="1" ht="21" customHeight="1" x14ac:dyDescent="0.3">
      <c r="A2059" s="23" t="s">
        <v>2392</v>
      </c>
      <c r="B2059" s="23" t="s">
        <v>2722</v>
      </c>
      <c r="C2059" s="28" t="s">
        <v>2727</v>
      </c>
      <c r="D2059" s="84"/>
      <c r="E2059" s="69" t="str">
        <f>HYPERLINK("https://www.google.ru/search?q=C48W-5&amp;newwindow=1&amp;tbm=isch","Еще фото")</f>
        <v>Еще фото</v>
      </c>
      <c r="F2059" s="13"/>
      <c r="G2059" s="23" t="s">
        <v>2728</v>
      </c>
      <c r="H2059" s="23" t="s">
        <v>27</v>
      </c>
      <c r="I2059" s="23" t="s">
        <v>675</v>
      </c>
      <c r="J2059" s="14" t="s">
        <v>406</v>
      </c>
      <c r="K2059" s="15" t="s">
        <v>47</v>
      </c>
      <c r="L2059" s="87"/>
      <c r="M2059" s="14" t="s">
        <v>2729</v>
      </c>
      <c r="N2059" s="14" t="s">
        <v>49</v>
      </c>
      <c r="O2059" s="14" t="s">
        <v>940</v>
      </c>
      <c r="P2059" s="15" t="s">
        <v>2730</v>
      </c>
      <c r="Q2059" s="16">
        <v>11559</v>
      </c>
      <c r="R2059" s="17">
        <v>52.35</v>
      </c>
      <c r="S2059" s="18">
        <v>6333.9354999999996</v>
      </c>
      <c r="T2059" s="19" t="s">
        <v>328</v>
      </c>
      <c r="U2059" s="20" t="s">
        <v>66</v>
      </c>
      <c r="V2059" s="25" t="s">
        <v>2731</v>
      </c>
      <c r="W2059" s="21">
        <v>7</v>
      </c>
      <c r="X2059" s="22"/>
    </row>
    <row r="2060" spans="1:24" s="1" customFormat="1" ht="21" customHeight="1" x14ac:dyDescent="0.3">
      <c r="A2060" s="23" t="s">
        <v>2392</v>
      </c>
      <c r="B2060" s="23" t="s">
        <v>2722</v>
      </c>
      <c r="C2060" s="28" t="s">
        <v>2727</v>
      </c>
      <c r="D2060" s="84"/>
      <c r="E2060" s="69" t="str">
        <f>HYPERLINK("https://www.google.ru/search?q=C48W-5&amp;newwindow=1&amp;tbm=isch","Еще фото")</f>
        <v>Еще фото</v>
      </c>
      <c r="F2060" s="13"/>
      <c r="G2060" s="23" t="s">
        <v>2728</v>
      </c>
      <c r="H2060" s="23" t="s">
        <v>27</v>
      </c>
      <c r="I2060" s="23" t="s">
        <v>675</v>
      </c>
      <c r="J2060" s="14" t="s">
        <v>406</v>
      </c>
      <c r="K2060" s="15" t="s">
        <v>47</v>
      </c>
      <c r="L2060" s="87"/>
      <c r="M2060" s="14" t="s">
        <v>2729</v>
      </c>
      <c r="N2060" s="14" t="s">
        <v>49</v>
      </c>
      <c r="O2060" s="14" t="s">
        <v>940</v>
      </c>
      <c r="P2060" s="15" t="s">
        <v>2730</v>
      </c>
      <c r="Q2060" s="16">
        <v>11559</v>
      </c>
      <c r="R2060" s="17">
        <v>52.35</v>
      </c>
      <c r="S2060" s="18">
        <v>6333.9354999999996</v>
      </c>
      <c r="T2060" s="19" t="s">
        <v>328</v>
      </c>
      <c r="U2060" s="20" t="s">
        <v>64</v>
      </c>
      <c r="V2060" s="25" t="s">
        <v>65</v>
      </c>
      <c r="W2060" s="21">
        <v>8</v>
      </c>
      <c r="X2060" s="22"/>
    </row>
    <row r="2061" spans="1:24" s="1" customFormat="1" ht="21" customHeight="1" x14ac:dyDescent="0.3">
      <c r="A2061" s="23" t="s">
        <v>2392</v>
      </c>
      <c r="B2061" s="23" t="s">
        <v>2722</v>
      </c>
      <c r="C2061" s="28" t="s">
        <v>2727</v>
      </c>
      <c r="D2061" s="84"/>
      <c r="E2061" s="69" t="str">
        <f>HYPERLINK("https://www.google.ru/search?q=C48W-5&amp;newwindow=1&amp;tbm=isch","Еще фото")</f>
        <v>Еще фото</v>
      </c>
      <c r="F2061" s="13"/>
      <c r="G2061" s="23" t="s">
        <v>2728</v>
      </c>
      <c r="H2061" s="23" t="s">
        <v>27</v>
      </c>
      <c r="I2061" s="23" t="s">
        <v>675</v>
      </c>
      <c r="J2061" s="14" t="s">
        <v>406</v>
      </c>
      <c r="K2061" s="15" t="s">
        <v>47</v>
      </c>
      <c r="L2061" s="87"/>
      <c r="M2061" s="14" t="s">
        <v>2729</v>
      </c>
      <c r="N2061" s="14" t="s">
        <v>49</v>
      </c>
      <c r="O2061" s="14" t="s">
        <v>940</v>
      </c>
      <c r="P2061" s="15" t="s">
        <v>2730</v>
      </c>
      <c r="Q2061" s="16">
        <v>11559</v>
      </c>
      <c r="R2061" s="17">
        <v>52.35</v>
      </c>
      <c r="S2061" s="18">
        <v>6333.9354999999996</v>
      </c>
      <c r="T2061" s="19" t="s">
        <v>328</v>
      </c>
      <c r="U2061" s="20" t="s">
        <v>354</v>
      </c>
      <c r="V2061" s="25" t="s">
        <v>355</v>
      </c>
      <c r="W2061" s="21">
        <v>3</v>
      </c>
      <c r="X2061" s="22"/>
    </row>
    <row r="2062" spans="1:24" s="1" customFormat="1" ht="32.1" customHeight="1" x14ac:dyDescent="0.3">
      <c r="A2062" s="23" t="s">
        <v>2392</v>
      </c>
      <c r="B2062" s="23" t="s">
        <v>2722</v>
      </c>
      <c r="C2062" s="28" t="s">
        <v>2727</v>
      </c>
      <c r="D2062" s="85"/>
      <c r="E2062" s="69" t="str">
        <f>HYPERLINK("https://www.google.ru/search?q=C48W-5&amp;newwindow=1&amp;tbm=isch","Еще фото")</f>
        <v>Еще фото</v>
      </c>
      <c r="F2062" s="13"/>
      <c r="G2062" s="23" t="s">
        <v>2728</v>
      </c>
      <c r="H2062" s="23" t="s">
        <v>27</v>
      </c>
      <c r="I2062" s="23" t="s">
        <v>675</v>
      </c>
      <c r="J2062" s="14" t="s">
        <v>406</v>
      </c>
      <c r="K2062" s="15" t="s">
        <v>47</v>
      </c>
      <c r="L2062" s="88"/>
      <c r="M2062" s="14" t="s">
        <v>2729</v>
      </c>
      <c r="N2062" s="14" t="s">
        <v>49</v>
      </c>
      <c r="O2062" s="14" t="s">
        <v>940</v>
      </c>
      <c r="P2062" s="15" t="s">
        <v>2730</v>
      </c>
      <c r="Q2062" s="16">
        <v>11559</v>
      </c>
      <c r="R2062" s="17">
        <v>52.35</v>
      </c>
      <c r="S2062" s="18">
        <v>6333.9354999999996</v>
      </c>
      <c r="T2062" s="19" t="s">
        <v>328</v>
      </c>
      <c r="U2062" s="20" t="s">
        <v>52</v>
      </c>
      <c r="V2062" s="25" t="s">
        <v>53</v>
      </c>
      <c r="W2062" s="21">
        <v>1</v>
      </c>
      <c r="X2062" s="22"/>
    </row>
    <row r="2063" spans="1:24" s="1" customFormat="1" ht="26.1" customHeight="1" x14ac:dyDescent="0.3">
      <c r="A2063" s="11" t="s">
        <v>2392</v>
      </c>
      <c r="B2063" s="11" t="s">
        <v>2732</v>
      </c>
      <c r="C2063" s="12" t="s">
        <v>2733</v>
      </c>
      <c r="D2063" s="83"/>
      <c r="E2063" s="69" t="str">
        <f>HYPERLINK("https://www.google.ru/search?q=CT45W-5&amp;newwindow=1&amp;tbm=isch","Еще фото")</f>
        <v>Еще фото</v>
      </c>
      <c r="F2063" s="13"/>
      <c r="G2063" s="11" t="s">
        <v>675</v>
      </c>
      <c r="H2063" s="11" t="s">
        <v>27</v>
      </c>
      <c r="I2063" s="14" t="s">
        <v>675</v>
      </c>
      <c r="J2063" s="14" t="s">
        <v>2401</v>
      </c>
      <c r="K2063" s="15" t="s">
        <v>47</v>
      </c>
      <c r="L2063" s="86" t="s">
        <v>2734</v>
      </c>
      <c r="M2063" s="14"/>
      <c r="N2063" s="14" t="s">
        <v>49</v>
      </c>
      <c r="O2063" s="14"/>
      <c r="P2063" s="15" t="s">
        <v>2735</v>
      </c>
      <c r="Q2063" s="16">
        <v>5999</v>
      </c>
      <c r="R2063" s="17">
        <v>45.03</v>
      </c>
      <c r="S2063" s="18">
        <v>3792.4354999999996</v>
      </c>
      <c r="T2063" s="19" t="s">
        <v>328</v>
      </c>
      <c r="U2063" s="20" t="s">
        <v>58</v>
      </c>
      <c r="V2063" s="25" t="s">
        <v>68</v>
      </c>
      <c r="W2063" s="21">
        <v>1</v>
      </c>
      <c r="X2063" s="22"/>
    </row>
    <row r="2064" spans="1:24" s="1" customFormat="1" ht="26.1" customHeight="1" x14ac:dyDescent="0.3">
      <c r="A2064" s="23" t="s">
        <v>2392</v>
      </c>
      <c r="B2064" s="23" t="s">
        <v>2732</v>
      </c>
      <c r="C2064" s="12" t="s">
        <v>2733</v>
      </c>
      <c r="D2064" s="84"/>
      <c r="E2064" s="69" t="str">
        <f>HYPERLINK("https://www.google.ru/search?q=CT45W-5&amp;newwindow=1&amp;tbm=isch","Еще фото")</f>
        <v>Еще фото</v>
      </c>
      <c r="F2064" s="13"/>
      <c r="G2064" s="23" t="s">
        <v>675</v>
      </c>
      <c r="H2064" s="23" t="s">
        <v>27</v>
      </c>
      <c r="I2064" s="23" t="s">
        <v>675</v>
      </c>
      <c r="J2064" s="14" t="s">
        <v>2401</v>
      </c>
      <c r="K2064" s="15" t="s">
        <v>47</v>
      </c>
      <c r="L2064" s="87"/>
      <c r="M2064" s="14"/>
      <c r="N2064" s="14" t="s">
        <v>49</v>
      </c>
      <c r="O2064" s="14"/>
      <c r="P2064" s="15" t="s">
        <v>2735</v>
      </c>
      <c r="Q2064" s="16">
        <v>5999</v>
      </c>
      <c r="R2064" s="17">
        <v>45.03</v>
      </c>
      <c r="S2064" s="18">
        <v>3792.4354999999996</v>
      </c>
      <c r="T2064" s="19" t="s">
        <v>328</v>
      </c>
      <c r="U2064" s="20" t="s">
        <v>66</v>
      </c>
      <c r="V2064" s="25" t="s">
        <v>2731</v>
      </c>
      <c r="W2064" s="21">
        <v>1</v>
      </c>
      <c r="X2064" s="22"/>
    </row>
    <row r="2065" spans="1:24" s="1" customFormat="1" ht="26.1" customHeight="1" x14ac:dyDescent="0.3">
      <c r="A2065" s="23" t="s">
        <v>2392</v>
      </c>
      <c r="B2065" s="23" t="s">
        <v>2732</v>
      </c>
      <c r="C2065" s="12" t="s">
        <v>2733</v>
      </c>
      <c r="D2065" s="84"/>
      <c r="E2065" s="69" t="str">
        <f>HYPERLINK("https://www.google.ru/search?q=CT45W-5&amp;newwindow=1&amp;tbm=isch","Еще фото")</f>
        <v>Еще фото</v>
      </c>
      <c r="F2065" s="13"/>
      <c r="G2065" s="23" t="s">
        <v>675</v>
      </c>
      <c r="H2065" s="23" t="s">
        <v>27</v>
      </c>
      <c r="I2065" s="23" t="s">
        <v>675</v>
      </c>
      <c r="J2065" s="14" t="s">
        <v>2401</v>
      </c>
      <c r="K2065" s="15" t="s">
        <v>47</v>
      </c>
      <c r="L2065" s="87"/>
      <c r="M2065" s="14"/>
      <c r="N2065" s="14" t="s">
        <v>49</v>
      </c>
      <c r="O2065" s="14"/>
      <c r="P2065" s="15" t="s">
        <v>2735</v>
      </c>
      <c r="Q2065" s="16">
        <v>5999</v>
      </c>
      <c r="R2065" s="17">
        <v>45.03</v>
      </c>
      <c r="S2065" s="18">
        <v>3792.4354999999996</v>
      </c>
      <c r="T2065" s="19" t="s">
        <v>328</v>
      </c>
      <c r="U2065" s="20" t="s">
        <v>64</v>
      </c>
      <c r="V2065" s="25" t="s">
        <v>65</v>
      </c>
      <c r="W2065" s="21">
        <v>3</v>
      </c>
      <c r="X2065" s="22"/>
    </row>
    <row r="2066" spans="1:24" s="1" customFormat="1" ht="26.1" customHeight="1" x14ac:dyDescent="0.3">
      <c r="A2066" s="23" t="s">
        <v>2392</v>
      </c>
      <c r="B2066" s="23" t="s">
        <v>2732</v>
      </c>
      <c r="C2066" s="12" t="s">
        <v>2733</v>
      </c>
      <c r="D2066" s="85"/>
      <c r="E2066" s="69" t="str">
        <f>HYPERLINK("https://www.google.ru/search?q=CT45W-5&amp;newwindow=1&amp;tbm=isch","Еще фото")</f>
        <v>Еще фото</v>
      </c>
      <c r="F2066" s="13"/>
      <c r="G2066" s="23" t="s">
        <v>675</v>
      </c>
      <c r="H2066" s="23" t="s">
        <v>27</v>
      </c>
      <c r="I2066" s="23" t="s">
        <v>675</v>
      </c>
      <c r="J2066" s="14" t="s">
        <v>2401</v>
      </c>
      <c r="K2066" s="15" t="s">
        <v>47</v>
      </c>
      <c r="L2066" s="88"/>
      <c r="M2066" s="14"/>
      <c r="N2066" s="14" t="s">
        <v>49</v>
      </c>
      <c r="O2066" s="14"/>
      <c r="P2066" s="15" t="s">
        <v>2735</v>
      </c>
      <c r="Q2066" s="16">
        <v>5999</v>
      </c>
      <c r="R2066" s="17">
        <v>45.03</v>
      </c>
      <c r="S2066" s="18">
        <v>3792.4354999999996</v>
      </c>
      <c r="T2066" s="19" t="s">
        <v>328</v>
      </c>
      <c r="U2066" s="20" t="s">
        <v>354</v>
      </c>
      <c r="V2066" s="25" t="s">
        <v>355</v>
      </c>
      <c r="W2066" s="21">
        <v>1</v>
      </c>
      <c r="X2066" s="22"/>
    </row>
    <row r="2067" spans="1:24" s="1" customFormat="1" ht="51.95" customHeight="1" x14ac:dyDescent="0.3">
      <c r="A2067" s="11" t="s">
        <v>2392</v>
      </c>
      <c r="B2067" s="11" t="s">
        <v>2736</v>
      </c>
      <c r="C2067" s="12" t="s">
        <v>2737</v>
      </c>
      <c r="D2067" s="89"/>
      <c r="E2067" s="69" t="str">
        <f>HYPERLINK("https://www.google.ru/search?q=CT45M-5&amp;newwindow=1&amp;tbm=isch","Еще фото")</f>
        <v>Еще фото</v>
      </c>
      <c r="F2067" s="13"/>
      <c r="G2067" s="11" t="s">
        <v>675</v>
      </c>
      <c r="H2067" s="11" t="s">
        <v>27</v>
      </c>
      <c r="I2067" s="14" t="s">
        <v>675</v>
      </c>
      <c r="J2067" s="14" t="s">
        <v>406</v>
      </c>
      <c r="K2067" s="15" t="s">
        <v>55</v>
      </c>
      <c r="L2067" s="86" t="s">
        <v>2738</v>
      </c>
      <c r="M2067" s="14"/>
      <c r="N2067" s="14" t="s">
        <v>49</v>
      </c>
      <c r="O2067" s="14"/>
      <c r="P2067" s="15" t="s">
        <v>2735</v>
      </c>
      <c r="Q2067" s="16">
        <v>5999</v>
      </c>
      <c r="R2067" s="17">
        <v>40</v>
      </c>
      <c r="S2067" s="18">
        <v>4139.3099999999995</v>
      </c>
      <c r="T2067" s="19" t="s">
        <v>328</v>
      </c>
      <c r="U2067" s="20" t="s">
        <v>64</v>
      </c>
      <c r="V2067" s="25" t="s">
        <v>67</v>
      </c>
      <c r="W2067" s="21">
        <v>1</v>
      </c>
      <c r="X2067" s="22"/>
    </row>
    <row r="2068" spans="1:24" s="1" customFormat="1" ht="60.95" customHeight="1" x14ac:dyDescent="0.3">
      <c r="A2068" s="23" t="s">
        <v>2392</v>
      </c>
      <c r="B2068" s="23" t="s">
        <v>2736</v>
      </c>
      <c r="C2068" s="12" t="s">
        <v>2737</v>
      </c>
      <c r="D2068" s="90"/>
      <c r="E2068" s="69" t="str">
        <f>HYPERLINK("https://www.google.ru/search?q=CT45M-5&amp;newwindow=1&amp;tbm=isch","Еще фото")</f>
        <v>Еще фото</v>
      </c>
      <c r="F2068" s="13"/>
      <c r="G2068" s="23" t="s">
        <v>675</v>
      </c>
      <c r="H2068" s="23" t="s">
        <v>27</v>
      </c>
      <c r="I2068" s="23" t="s">
        <v>675</v>
      </c>
      <c r="J2068" s="14" t="s">
        <v>406</v>
      </c>
      <c r="K2068" s="15" t="s">
        <v>55</v>
      </c>
      <c r="L2068" s="88"/>
      <c r="M2068" s="14"/>
      <c r="N2068" s="14" t="s">
        <v>49</v>
      </c>
      <c r="O2068" s="14"/>
      <c r="P2068" s="15" t="s">
        <v>2735</v>
      </c>
      <c r="Q2068" s="16">
        <v>5999</v>
      </c>
      <c r="R2068" s="17">
        <v>40</v>
      </c>
      <c r="S2068" s="18">
        <v>4139.3099999999995</v>
      </c>
      <c r="T2068" s="19" t="s">
        <v>328</v>
      </c>
      <c r="U2068" s="20" t="s">
        <v>58</v>
      </c>
      <c r="V2068" s="25" t="s">
        <v>53</v>
      </c>
      <c r="W2068" s="21">
        <v>1</v>
      </c>
      <c r="X2068" s="22"/>
    </row>
    <row r="2069" spans="1:24" s="1" customFormat="1" ht="108" customHeight="1" x14ac:dyDescent="0.3">
      <c r="A2069" s="11" t="s">
        <v>2392</v>
      </c>
      <c r="B2069" s="11" t="s">
        <v>2736</v>
      </c>
      <c r="C2069" s="12" t="s">
        <v>2739</v>
      </c>
      <c r="D2069" s="24"/>
      <c r="E2069" s="69" t="str">
        <f>HYPERLINK("https://www.google.ru/search?q=CT45M-N&amp;newwindow=1&amp;tbm=isch","Еще фото")</f>
        <v>Еще фото</v>
      </c>
      <c r="F2069" s="13"/>
      <c r="G2069" s="11" t="s">
        <v>675</v>
      </c>
      <c r="H2069" s="11" t="s">
        <v>27</v>
      </c>
      <c r="I2069" s="14" t="s">
        <v>675</v>
      </c>
      <c r="J2069" s="14" t="s">
        <v>406</v>
      </c>
      <c r="K2069" s="15" t="s">
        <v>55</v>
      </c>
      <c r="L2069" s="14" t="s">
        <v>2738</v>
      </c>
      <c r="M2069" s="14"/>
      <c r="N2069" s="14" t="s">
        <v>70</v>
      </c>
      <c r="O2069" s="14"/>
      <c r="P2069" s="15" t="s">
        <v>2735</v>
      </c>
      <c r="Q2069" s="16">
        <v>5999</v>
      </c>
      <c r="R2069" s="17">
        <v>40</v>
      </c>
      <c r="S2069" s="18">
        <v>4139.3099999999995</v>
      </c>
      <c r="T2069" s="19" t="s">
        <v>328</v>
      </c>
      <c r="U2069" s="20" t="s">
        <v>58</v>
      </c>
      <c r="V2069" s="25" t="s">
        <v>53</v>
      </c>
      <c r="W2069" s="21">
        <v>1</v>
      </c>
      <c r="X2069" s="22"/>
    </row>
    <row r="2070" spans="1:24" s="1" customFormat="1" ht="108" customHeight="1" x14ac:dyDescent="0.3">
      <c r="A2070" s="62">
        <v>4</v>
      </c>
      <c r="B2070" s="11" t="s">
        <v>2740</v>
      </c>
      <c r="C2070" s="12" t="s">
        <v>2741</v>
      </c>
      <c r="D2070" s="24"/>
      <c r="E2070" s="69" t="str">
        <f>HYPERLINK("https://www.google.ru/search?q=4FSS23TFTIF052-20S&amp;newwindow=1&amp;tbm=isch","Еще фото")</f>
        <v>Еще фото</v>
      </c>
      <c r="F2070" s="13"/>
      <c r="G2070" s="11" t="s">
        <v>1358</v>
      </c>
      <c r="H2070" s="11" t="s">
        <v>27</v>
      </c>
      <c r="I2070" s="14" t="s">
        <v>28</v>
      </c>
      <c r="J2070" s="14" t="s">
        <v>406</v>
      </c>
      <c r="K2070" s="15" t="s">
        <v>47</v>
      </c>
      <c r="L2070" s="14" t="s">
        <v>2742</v>
      </c>
      <c r="M2070" s="14"/>
      <c r="N2070" s="14" t="s">
        <v>49</v>
      </c>
      <c r="O2070" s="14"/>
      <c r="P2070" s="15" t="s">
        <v>2743</v>
      </c>
      <c r="Q2070" s="16">
        <v>4699</v>
      </c>
      <c r="R2070" s="17">
        <v>55.78</v>
      </c>
      <c r="S2070" s="18">
        <v>2389.4354999999996</v>
      </c>
      <c r="T2070" s="19" t="s">
        <v>328</v>
      </c>
      <c r="U2070" s="20" t="s">
        <v>52</v>
      </c>
      <c r="V2070" s="21">
        <v>50</v>
      </c>
      <c r="W2070" s="21">
        <v>1</v>
      </c>
      <c r="X2070" s="22"/>
    </row>
    <row r="2071" spans="1:24" s="1" customFormat="1" ht="108" customHeight="1" x14ac:dyDescent="0.3">
      <c r="A2071" s="62">
        <v>4</v>
      </c>
      <c r="B2071" s="11" t="s">
        <v>2744</v>
      </c>
      <c r="C2071" s="12" t="s">
        <v>2745</v>
      </c>
      <c r="D2071" s="24"/>
      <c r="E2071" s="69" t="str">
        <f>HYPERLINK("https://www.google.ru/search?q=4FJSS23TTROF130-83S&amp;newwindow=1&amp;tbm=isch","Еще фото")</f>
        <v>Еще фото</v>
      </c>
      <c r="F2071" s="13"/>
      <c r="G2071" s="11" t="s">
        <v>28</v>
      </c>
      <c r="H2071" s="11" t="s">
        <v>27</v>
      </c>
      <c r="I2071" s="14" t="s">
        <v>28</v>
      </c>
      <c r="J2071" s="14" t="s">
        <v>29</v>
      </c>
      <c r="K2071" s="15" t="s">
        <v>30</v>
      </c>
      <c r="L2071" s="14" t="s">
        <v>2746</v>
      </c>
      <c r="M2071" s="14"/>
      <c r="N2071" s="14" t="s">
        <v>326</v>
      </c>
      <c r="O2071" s="14"/>
      <c r="P2071" s="15" t="s">
        <v>2747</v>
      </c>
      <c r="Q2071" s="16">
        <v>2799</v>
      </c>
      <c r="R2071" s="17">
        <v>53.63</v>
      </c>
      <c r="S2071" s="18">
        <v>1492.4354999999998</v>
      </c>
      <c r="T2071" s="19" t="s">
        <v>328</v>
      </c>
      <c r="U2071" s="20" t="s">
        <v>2161</v>
      </c>
      <c r="V2071" s="21">
        <v>164</v>
      </c>
      <c r="W2071" s="21">
        <v>1</v>
      </c>
      <c r="X2071" s="22"/>
    </row>
    <row r="2072" spans="1:24" s="1" customFormat="1" ht="108" customHeight="1" x14ac:dyDescent="0.3">
      <c r="A2072" s="62">
        <v>4</v>
      </c>
      <c r="B2072" s="11" t="s">
        <v>2748</v>
      </c>
      <c r="C2072" s="12" t="s">
        <v>2749</v>
      </c>
      <c r="D2072" s="24"/>
      <c r="E2072" s="69" t="str">
        <f>HYPERLINK("https://www.google.ru/search?q=H4Z20-SPDD012-20S&amp;newwindow=1&amp;tbm=isch","Еще фото")</f>
        <v>Еще фото</v>
      </c>
      <c r="F2072" s="13"/>
      <c r="G2072" s="11" t="s">
        <v>28</v>
      </c>
      <c r="H2072" s="11" t="s">
        <v>27</v>
      </c>
      <c r="I2072" s="14" t="s">
        <v>28</v>
      </c>
      <c r="J2072" s="14" t="s">
        <v>29</v>
      </c>
      <c r="K2072" s="15" t="s">
        <v>47</v>
      </c>
      <c r="L2072" s="14" t="s">
        <v>2750</v>
      </c>
      <c r="M2072" s="14"/>
      <c r="N2072" s="14" t="s">
        <v>49</v>
      </c>
      <c r="O2072" s="14"/>
      <c r="P2072" s="15" t="s">
        <v>2751</v>
      </c>
      <c r="Q2072" s="16">
        <v>6490</v>
      </c>
      <c r="R2072" s="17">
        <v>46.07</v>
      </c>
      <c r="S2072" s="18">
        <v>4024.9884999999995</v>
      </c>
      <c r="T2072" s="19" t="s">
        <v>328</v>
      </c>
      <c r="U2072" s="20" t="s">
        <v>354</v>
      </c>
      <c r="V2072" s="21">
        <v>42</v>
      </c>
      <c r="W2072" s="21">
        <v>1</v>
      </c>
      <c r="X2072" s="22"/>
    </row>
    <row r="2073" spans="1:24" s="1" customFormat="1" ht="26.1" customHeight="1" x14ac:dyDescent="0.3">
      <c r="A2073" s="62">
        <v>4</v>
      </c>
      <c r="B2073" s="11" t="s">
        <v>2752</v>
      </c>
      <c r="C2073" s="12" t="s">
        <v>2753</v>
      </c>
      <c r="D2073" s="83"/>
      <c r="E2073" s="69" t="str">
        <f>HYPERLINK("https://www.google.ru/search?q=4FWAW23TDJAM348-44S&amp;newwindow=1&amp;tbm=isch","Еще фото")</f>
        <v>Еще фото</v>
      </c>
      <c r="F2073" s="13" t="s">
        <v>507</v>
      </c>
      <c r="G2073" s="11" t="s">
        <v>324</v>
      </c>
      <c r="H2073" s="11" t="s">
        <v>27</v>
      </c>
      <c r="I2073" s="14" t="s">
        <v>308</v>
      </c>
      <c r="J2073" s="14" t="s">
        <v>29</v>
      </c>
      <c r="K2073" s="15" t="s">
        <v>55</v>
      </c>
      <c r="L2073" s="86" t="s">
        <v>2754</v>
      </c>
      <c r="M2073" s="14"/>
      <c r="N2073" s="14" t="s">
        <v>242</v>
      </c>
      <c r="O2073" s="14"/>
      <c r="P2073" s="15" t="s">
        <v>108</v>
      </c>
      <c r="Q2073" s="16">
        <v>11699</v>
      </c>
      <c r="R2073" s="17">
        <v>86.6</v>
      </c>
      <c r="S2073" s="18">
        <v>1802.9354999999998</v>
      </c>
      <c r="T2073" s="19" t="s">
        <v>328</v>
      </c>
      <c r="U2073" s="20" t="s">
        <v>64</v>
      </c>
      <c r="V2073" s="21">
        <v>46</v>
      </c>
      <c r="W2073" s="21">
        <v>17</v>
      </c>
      <c r="X2073" s="22"/>
    </row>
    <row r="2074" spans="1:24" s="1" customFormat="1" ht="26.1" customHeight="1" x14ac:dyDescent="0.3">
      <c r="A2074" s="63">
        <v>4</v>
      </c>
      <c r="B2074" s="23" t="s">
        <v>2752</v>
      </c>
      <c r="C2074" s="12" t="s">
        <v>2753</v>
      </c>
      <c r="D2074" s="84"/>
      <c r="E2074" s="69" t="str">
        <f>HYPERLINK("https://www.google.ru/search?q=4FWAW23TDJAM348-44S&amp;newwindow=1&amp;tbm=isch","Еще фото")</f>
        <v>Еще фото</v>
      </c>
      <c r="F2074" s="13" t="s">
        <v>507</v>
      </c>
      <c r="G2074" s="23" t="s">
        <v>324</v>
      </c>
      <c r="H2074" s="23" t="s">
        <v>27</v>
      </c>
      <c r="I2074" s="23" t="s">
        <v>308</v>
      </c>
      <c r="J2074" s="14" t="s">
        <v>29</v>
      </c>
      <c r="K2074" s="15" t="s">
        <v>55</v>
      </c>
      <c r="L2074" s="87"/>
      <c r="M2074" s="14"/>
      <c r="N2074" s="14" t="s">
        <v>242</v>
      </c>
      <c r="O2074" s="14"/>
      <c r="P2074" s="15" t="s">
        <v>108</v>
      </c>
      <c r="Q2074" s="16">
        <v>11699</v>
      </c>
      <c r="R2074" s="17">
        <v>86.6</v>
      </c>
      <c r="S2074" s="18">
        <v>1802.9354999999998</v>
      </c>
      <c r="T2074" s="19" t="s">
        <v>328</v>
      </c>
      <c r="U2074" s="20" t="s">
        <v>66</v>
      </c>
      <c r="V2074" s="21">
        <v>48</v>
      </c>
      <c r="W2074" s="21">
        <v>30</v>
      </c>
      <c r="X2074" s="22"/>
    </row>
    <row r="2075" spans="1:24" s="1" customFormat="1" ht="26.1" customHeight="1" x14ac:dyDescent="0.3">
      <c r="A2075" s="63">
        <v>4</v>
      </c>
      <c r="B2075" s="23" t="s">
        <v>2752</v>
      </c>
      <c r="C2075" s="12" t="s">
        <v>2753</v>
      </c>
      <c r="D2075" s="84"/>
      <c r="E2075" s="69" t="str">
        <f>HYPERLINK("https://www.google.ru/search?q=4FWAW23TDJAM348-44S&amp;newwindow=1&amp;tbm=isch","Еще фото")</f>
        <v>Еще фото</v>
      </c>
      <c r="F2075" s="13" t="s">
        <v>507</v>
      </c>
      <c r="G2075" s="23" t="s">
        <v>324</v>
      </c>
      <c r="H2075" s="23" t="s">
        <v>27</v>
      </c>
      <c r="I2075" s="23" t="s">
        <v>308</v>
      </c>
      <c r="J2075" s="14" t="s">
        <v>29</v>
      </c>
      <c r="K2075" s="15" t="s">
        <v>55</v>
      </c>
      <c r="L2075" s="87"/>
      <c r="M2075" s="14"/>
      <c r="N2075" s="14" t="s">
        <v>242</v>
      </c>
      <c r="O2075" s="14"/>
      <c r="P2075" s="15" t="s">
        <v>108</v>
      </c>
      <c r="Q2075" s="16">
        <v>11699</v>
      </c>
      <c r="R2075" s="17">
        <v>86.6</v>
      </c>
      <c r="S2075" s="18">
        <v>1802.9354999999998</v>
      </c>
      <c r="T2075" s="19" t="s">
        <v>328</v>
      </c>
      <c r="U2075" s="20" t="s">
        <v>58</v>
      </c>
      <c r="V2075" s="21">
        <v>50</v>
      </c>
      <c r="W2075" s="21">
        <v>35</v>
      </c>
      <c r="X2075" s="22"/>
    </row>
    <row r="2076" spans="1:24" s="1" customFormat="1" ht="26.1" customHeight="1" x14ac:dyDescent="0.3">
      <c r="A2076" s="63">
        <v>4</v>
      </c>
      <c r="B2076" s="23" t="s">
        <v>2752</v>
      </c>
      <c r="C2076" s="12" t="s">
        <v>2753</v>
      </c>
      <c r="D2076" s="85"/>
      <c r="E2076" s="69" t="str">
        <f>HYPERLINK("https://www.google.ru/search?q=4FWAW23TDJAM348-44S&amp;newwindow=1&amp;tbm=isch","Еще фото")</f>
        <v>Еще фото</v>
      </c>
      <c r="F2076" s="13" t="s">
        <v>507</v>
      </c>
      <c r="G2076" s="23" t="s">
        <v>324</v>
      </c>
      <c r="H2076" s="23" t="s">
        <v>27</v>
      </c>
      <c r="I2076" s="23" t="s">
        <v>308</v>
      </c>
      <c r="J2076" s="14" t="s">
        <v>29</v>
      </c>
      <c r="K2076" s="15" t="s">
        <v>55</v>
      </c>
      <c r="L2076" s="88"/>
      <c r="M2076" s="14"/>
      <c r="N2076" s="14" t="s">
        <v>242</v>
      </c>
      <c r="O2076" s="14"/>
      <c r="P2076" s="15" t="s">
        <v>108</v>
      </c>
      <c r="Q2076" s="16">
        <v>11699</v>
      </c>
      <c r="R2076" s="17">
        <v>86.6</v>
      </c>
      <c r="S2076" s="18">
        <v>1802.9354999999998</v>
      </c>
      <c r="T2076" s="19" t="s">
        <v>328</v>
      </c>
      <c r="U2076" s="20" t="s">
        <v>52</v>
      </c>
      <c r="V2076" s="21">
        <v>52</v>
      </c>
      <c r="W2076" s="21">
        <v>6</v>
      </c>
      <c r="X2076" s="22"/>
    </row>
    <row r="2077" spans="1:24" s="1" customFormat="1" ht="26.1" customHeight="1" x14ac:dyDescent="0.3">
      <c r="A2077" s="62">
        <v>4</v>
      </c>
      <c r="B2077" s="11" t="s">
        <v>2755</v>
      </c>
      <c r="C2077" s="12" t="s">
        <v>2756</v>
      </c>
      <c r="D2077" s="83"/>
      <c r="E2077" s="69" t="str">
        <f>HYPERLINK("https://www.google.ru/search?q=4FAW23TDJAM249-32S&amp;newwindow=1&amp;tbm=isch","Еще фото")</f>
        <v>Еще фото</v>
      </c>
      <c r="F2077" s="13"/>
      <c r="G2077" s="11" t="s">
        <v>324</v>
      </c>
      <c r="H2077" s="11" t="s">
        <v>27</v>
      </c>
      <c r="I2077" s="14" t="s">
        <v>308</v>
      </c>
      <c r="J2077" s="14" t="s">
        <v>29</v>
      </c>
      <c r="K2077" s="15" t="s">
        <v>55</v>
      </c>
      <c r="L2077" s="86" t="s">
        <v>2757</v>
      </c>
      <c r="M2077" s="14"/>
      <c r="N2077" s="14" t="s">
        <v>70</v>
      </c>
      <c r="O2077" s="14"/>
      <c r="P2077" s="15" t="s">
        <v>108</v>
      </c>
      <c r="Q2077" s="16">
        <v>14999</v>
      </c>
      <c r="R2077" s="17">
        <v>86.15</v>
      </c>
      <c r="S2077" s="18">
        <v>2389.4354999999996</v>
      </c>
      <c r="T2077" s="19" t="s">
        <v>328</v>
      </c>
      <c r="U2077" s="20" t="s">
        <v>64</v>
      </c>
      <c r="V2077" s="21">
        <v>46</v>
      </c>
      <c r="W2077" s="21">
        <v>22</v>
      </c>
      <c r="X2077" s="22"/>
    </row>
    <row r="2078" spans="1:24" s="1" customFormat="1" ht="26.1" customHeight="1" x14ac:dyDescent="0.3">
      <c r="A2078" s="63">
        <v>4</v>
      </c>
      <c r="B2078" s="23" t="s">
        <v>2755</v>
      </c>
      <c r="C2078" s="12" t="s">
        <v>2756</v>
      </c>
      <c r="D2078" s="84"/>
      <c r="E2078" s="69" t="str">
        <f>HYPERLINK("https://www.google.ru/search?q=4FAW23TDJAM249-32S&amp;newwindow=1&amp;tbm=isch","Еще фото")</f>
        <v>Еще фото</v>
      </c>
      <c r="F2078" s="13"/>
      <c r="G2078" s="23" t="s">
        <v>324</v>
      </c>
      <c r="H2078" s="23" t="s">
        <v>27</v>
      </c>
      <c r="I2078" s="23" t="s">
        <v>308</v>
      </c>
      <c r="J2078" s="14" t="s">
        <v>29</v>
      </c>
      <c r="K2078" s="15" t="s">
        <v>55</v>
      </c>
      <c r="L2078" s="87"/>
      <c r="M2078" s="14"/>
      <c r="N2078" s="14" t="s">
        <v>70</v>
      </c>
      <c r="O2078" s="14"/>
      <c r="P2078" s="15" t="s">
        <v>108</v>
      </c>
      <c r="Q2078" s="16">
        <v>14999</v>
      </c>
      <c r="R2078" s="17">
        <v>86.15</v>
      </c>
      <c r="S2078" s="18">
        <v>2389.4354999999996</v>
      </c>
      <c r="T2078" s="19" t="s">
        <v>328</v>
      </c>
      <c r="U2078" s="20" t="s">
        <v>66</v>
      </c>
      <c r="V2078" s="21">
        <v>48</v>
      </c>
      <c r="W2078" s="21">
        <v>35</v>
      </c>
      <c r="X2078" s="22"/>
    </row>
    <row r="2079" spans="1:24" s="1" customFormat="1" ht="26.1" customHeight="1" x14ac:dyDescent="0.3">
      <c r="A2079" s="63">
        <v>4</v>
      </c>
      <c r="B2079" s="23" t="s">
        <v>2755</v>
      </c>
      <c r="C2079" s="12" t="s">
        <v>2756</v>
      </c>
      <c r="D2079" s="84"/>
      <c r="E2079" s="69" t="str">
        <f>HYPERLINK("https://www.google.ru/search?q=4FAW23TDJAM249-32S&amp;newwindow=1&amp;tbm=isch","Еще фото")</f>
        <v>Еще фото</v>
      </c>
      <c r="F2079" s="13"/>
      <c r="G2079" s="23" t="s">
        <v>324</v>
      </c>
      <c r="H2079" s="23" t="s">
        <v>27</v>
      </c>
      <c r="I2079" s="23" t="s">
        <v>308</v>
      </c>
      <c r="J2079" s="14" t="s">
        <v>29</v>
      </c>
      <c r="K2079" s="15" t="s">
        <v>55</v>
      </c>
      <c r="L2079" s="87"/>
      <c r="M2079" s="14"/>
      <c r="N2079" s="14" t="s">
        <v>70</v>
      </c>
      <c r="O2079" s="14"/>
      <c r="P2079" s="15" t="s">
        <v>108</v>
      </c>
      <c r="Q2079" s="16">
        <v>14999</v>
      </c>
      <c r="R2079" s="17">
        <v>86.15</v>
      </c>
      <c r="S2079" s="18">
        <v>2389.4354999999996</v>
      </c>
      <c r="T2079" s="19" t="s">
        <v>328</v>
      </c>
      <c r="U2079" s="20" t="s">
        <v>58</v>
      </c>
      <c r="V2079" s="21">
        <v>50</v>
      </c>
      <c r="W2079" s="21">
        <v>37</v>
      </c>
      <c r="X2079" s="22"/>
    </row>
    <row r="2080" spans="1:24" s="1" customFormat="1" ht="26.1" customHeight="1" x14ac:dyDescent="0.3">
      <c r="A2080" s="63">
        <v>4</v>
      </c>
      <c r="B2080" s="23" t="s">
        <v>2755</v>
      </c>
      <c r="C2080" s="12" t="s">
        <v>2756</v>
      </c>
      <c r="D2080" s="85"/>
      <c r="E2080" s="69" t="str">
        <f>HYPERLINK("https://www.google.ru/search?q=4FAW23TDJAM249-32S&amp;newwindow=1&amp;tbm=isch","Еще фото")</f>
        <v>Еще фото</v>
      </c>
      <c r="F2080" s="13"/>
      <c r="G2080" s="23" t="s">
        <v>324</v>
      </c>
      <c r="H2080" s="23" t="s">
        <v>27</v>
      </c>
      <c r="I2080" s="23" t="s">
        <v>308</v>
      </c>
      <c r="J2080" s="14" t="s">
        <v>29</v>
      </c>
      <c r="K2080" s="15" t="s">
        <v>55</v>
      </c>
      <c r="L2080" s="88"/>
      <c r="M2080" s="14"/>
      <c r="N2080" s="14" t="s">
        <v>70</v>
      </c>
      <c r="O2080" s="14"/>
      <c r="P2080" s="15" t="s">
        <v>108</v>
      </c>
      <c r="Q2080" s="16">
        <v>14999</v>
      </c>
      <c r="R2080" s="17">
        <v>86.15</v>
      </c>
      <c r="S2080" s="18">
        <v>2389.4354999999996</v>
      </c>
      <c r="T2080" s="19" t="s">
        <v>328</v>
      </c>
      <c r="U2080" s="20" t="s">
        <v>52</v>
      </c>
      <c r="V2080" s="21">
        <v>52</v>
      </c>
      <c r="W2080" s="21">
        <v>3</v>
      </c>
      <c r="X2080" s="22"/>
    </row>
    <row r="2081" spans="1:24" s="1" customFormat="1" ht="26.1" customHeight="1" x14ac:dyDescent="0.3">
      <c r="A2081" s="62">
        <v>4</v>
      </c>
      <c r="B2081" s="11" t="s">
        <v>2758</v>
      </c>
      <c r="C2081" s="12" t="s">
        <v>2759</v>
      </c>
      <c r="D2081" s="83"/>
      <c r="E2081" s="69" t="str">
        <f>HYPERLINK("https://www.google.ru/search?q=4FAW23TDJAM243-61S&amp;newwindow=1&amp;tbm=isch","Еще фото")</f>
        <v>Еще фото</v>
      </c>
      <c r="F2081" s="13"/>
      <c r="G2081" s="11" t="s">
        <v>324</v>
      </c>
      <c r="H2081" s="11" t="s">
        <v>27</v>
      </c>
      <c r="I2081" s="14" t="s">
        <v>308</v>
      </c>
      <c r="J2081" s="14" t="s">
        <v>29</v>
      </c>
      <c r="K2081" s="15" t="s">
        <v>55</v>
      </c>
      <c r="L2081" s="86" t="s">
        <v>2760</v>
      </c>
      <c r="M2081" s="14"/>
      <c r="N2081" s="14" t="s">
        <v>1001</v>
      </c>
      <c r="O2081" s="14"/>
      <c r="P2081" s="15" t="s">
        <v>2761</v>
      </c>
      <c r="Q2081" s="16">
        <v>10999</v>
      </c>
      <c r="R2081" s="17">
        <v>85.84</v>
      </c>
      <c r="S2081" s="18">
        <v>1791.4354999999998</v>
      </c>
      <c r="T2081" s="19" t="s">
        <v>328</v>
      </c>
      <c r="U2081" s="20" t="s">
        <v>64</v>
      </c>
      <c r="V2081" s="21">
        <v>46</v>
      </c>
      <c r="W2081" s="21">
        <v>26</v>
      </c>
      <c r="X2081" s="22"/>
    </row>
    <row r="2082" spans="1:24" s="1" customFormat="1" ht="26.1" customHeight="1" x14ac:dyDescent="0.3">
      <c r="A2082" s="63">
        <v>4</v>
      </c>
      <c r="B2082" s="23" t="s">
        <v>2758</v>
      </c>
      <c r="C2082" s="12" t="s">
        <v>2759</v>
      </c>
      <c r="D2082" s="84"/>
      <c r="E2082" s="69" t="str">
        <f>HYPERLINK("https://www.google.ru/search?q=4FAW23TDJAM243-61S&amp;newwindow=1&amp;tbm=isch","Еще фото")</f>
        <v>Еще фото</v>
      </c>
      <c r="F2082" s="13"/>
      <c r="G2082" s="23" t="s">
        <v>324</v>
      </c>
      <c r="H2082" s="23" t="s">
        <v>27</v>
      </c>
      <c r="I2082" s="23" t="s">
        <v>308</v>
      </c>
      <c r="J2082" s="14" t="s">
        <v>29</v>
      </c>
      <c r="K2082" s="15" t="s">
        <v>55</v>
      </c>
      <c r="L2082" s="87"/>
      <c r="M2082" s="14"/>
      <c r="N2082" s="14" t="s">
        <v>1001</v>
      </c>
      <c r="O2082" s="14"/>
      <c r="P2082" s="15" t="s">
        <v>2761</v>
      </c>
      <c r="Q2082" s="16">
        <v>10999</v>
      </c>
      <c r="R2082" s="17">
        <v>85.84</v>
      </c>
      <c r="S2082" s="18">
        <v>1791.4354999999998</v>
      </c>
      <c r="T2082" s="19" t="s">
        <v>328</v>
      </c>
      <c r="U2082" s="20" t="s">
        <v>66</v>
      </c>
      <c r="V2082" s="21">
        <v>48</v>
      </c>
      <c r="W2082" s="21">
        <v>54</v>
      </c>
      <c r="X2082" s="22"/>
    </row>
    <row r="2083" spans="1:24" s="1" customFormat="1" ht="26.1" customHeight="1" x14ac:dyDescent="0.3">
      <c r="A2083" s="63">
        <v>4</v>
      </c>
      <c r="B2083" s="23" t="s">
        <v>2758</v>
      </c>
      <c r="C2083" s="12" t="s">
        <v>2759</v>
      </c>
      <c r="D2083" s="84"/>
      <c r="E2083" s="69" t="str">
        <f>HYPERLINK("https://www.google.ru/search?q=4FAW23TDJAM243-61S&amp;newwindow=1&amp;tbm=isch","Еще фото")</f>
        <v>Еще фото</v>
      </c>
      <c r="F2083" s="13"/>
      <c r="G2083" s="23" t="s">
        <v>324</v>
      </c>
      <c r="H2083" s="23" t="s">
        <v>27</v>
      </c>
      <c r="I2083" s="23" t="s">
        <v>308</v>
      </c>
      <c r="J2083" s="14" t="s">
        <v>29</v>
      </c>
      <c r="K2083" s="15" t="s">
        <v>55</v>
      </c>
      <c r="L2083" s="87"/>
      <c r="M2083" s="14"/>
      <c r="N2083" s="14" t="s">
        <v>1001</v>
      </c>
      <c r="O2083" s="14"/>
      <c r="P2083" s="15" t="s">
        <v>2761</v>
      </c>
      <c r="Q2083" s="16">
        <v>10999</v>
      </c>
      <c r="R2083" s="17">
        <v>85.84</v>
      </c>
      <c r="S2083" s="18">
        <v>1791.4354999999998</v>
      </c>
      <c r="T2083" s="19" t="s">
        <v>328</v>
      </c>
      <c r="U2083" s="20" t="s">
        <v>58</v>
      </c>
      <c r="V2083" s="21">
        <v>50</v>
      </c>
      <c r="W2083" s="21">
        <v>42</v>
      </c>
      <c r="X2083" s="22"/>
    </row>
    <row r="2084" spans="1:24" s="1" customFormat="1" ht="26.1" customHeight="1" x14ac:dyDescent="0.3">
      <c r="A2084" s="63">
        <v>4</v>
      </c>
      <c r="B2084" s="23" t="s">
        <v>2758</v>
      </c>
      <c r="C2084" s="12" t="s">
        <v>2759</v>
      </c>
      <c r="D2084" s="85"/>
      <c r="E2084" s="69" t="str">
        <f>HYPERLINK("https://www.google.ru/search?q=4FAW23TDJAM243-61S&amp;newwindow=1&amp;tbm=isch","Еще фото")</f>
        <v>Еще фото</v>
      </c>
      <c r="F2084" s="13"/>
      <c r="G2084" s="23" t="s">
        <v>324</v>
      </c>
      <c r="H2084" s="23" t="s">
        <v>27</v>
      </c>
      <c r="I2084" s="23" t="s">
        <v>308</v>
      </c>
      <c r="J2084" s="14" t="s">
        <v>29</v>
      </c>
      <c r="K2084" s="15" t="s">
        <v>55</v>
      </c>
      <c r="L2084" s="88"/>
      <c r="M2084" s="14"/>
      <c r="N2084" s="14" t="s">
        <v>1001</v>
      </c>
      <c r="O2084" s="14"/>
      <c r="P2084" s="15" t="s">
        <v>2761</v>
      </c>
      <c r="Q2084" s="16">
        <v>10999</v>
      </c>
      <c r="R2084" s="17">
        <v>85.84</v>
      </c>
      <c r="S2084" s="18">
        <v>1791.4354999999998</v>
      </c>
      <c r="T2084" s="19" t="s">
        <v>328</v>
      </c>
      <c r="U2084" s="20" t="s">
        <v>52</v>
      </c>
      <c r="V2084" s="21">
        <v>52</v>
      </c>
      <c r="W2084" s="21">
        <v>14</v>
      </c>
      <c r="X2084" s="22"/>
    </row>
    <row r="2085" spans="1:24" s="1" customFormat="1" ht="35.1" customHeight="1" x14ac:dyDescent="0.3">
      <c r="A2085" s="62">
        <v>4</v>
      </c>
      <c r="B2085" s="11" t="s">
        <v>2752</v>
      </c>
      <c r="C2085" s="12" t="s">
        <v>2762</v>
      </c>
      <c r="D2085" s="83"/>
      <c r="E2085" s="69" t="str">
        <f>HYPERLINK("https://www.google.ru/search?q=4FWAW23TDJAM348-82S&amp;newwindow=1&amp;tbm=isch","Еще фото")</f>
        <v>Еще фото</v>
      </c>
      <c r="F2085" s="13"/>
      <c r="G2085" s="11" t="s">
        <v>324</v>
      </c>
      <c r="H2085" s="11" t="s">
        <v>27</v>
      </c>
      <c r="I2085" s="14" t="s">
        <v>308</v>
      </c>
      <c r="J2085" s="14" t="s">
        <v>29</v>
      </c>
      <c r="K2085" s="15" t="s">
        <v>55</v>
      </c>
      <c r="L2085" s="86" t="s">
        <v>2754</v>
      </c>
      <c r="M2085" s="14"/>
      <c r="N2085" s="14" t="s">
        <v>2763</v>
      </c>
      <c r="O2085" s="14"/>
      <c r="P2085" s="15" t="s">
        <v>108</v>
      </c>
      <c r="Q2085" s="16">
        <v>11699</v>
      </c>
      <c r="R2085" s="17">
        <v>84.63</v>
      </c>
      <c r="S2085" s="18">
        <v>2067.4354999999996</v>
      </c>
      <c r="T2085" s="19" t="s">
        <v>328</v>
      </c>
      <c r="U2085" s="20" t="s">
        <v>64</v>
      </c>
      <c r="V2085" s="21">
        <v>46</v>
      </c>
      <c r="W2085" s="21">
        <v>12</v>
      </c>
      <c r="X2085" s="22"/>
    </row>
    <row r="2086" spans="1:24" s="1" customFormat="1" ht="35.1" customHeight="1" x14ac:dyDescent="0.3">
      <c r="A2086" s="63">
        <v>4</v>
      </c>
      <c r="B2086" s="23" t="s">
        <v>2752</v>
      </c>
      <c r="C2086" s="12" t="s">
        <v>2762</v>
      </c>
      <c r="D2086" s="84"/>
      <c r="E2086" s="69" t="str">
        <f>HYPERLINK("https://www.google.ru/search?q=4FWAW23TDJAM348-82S&amp;newwindow=1&amp;tbm=isch","Еще фото")</f>
        <v>Еще фото</v>
      </c>
      <c r="F2086" s="13"/>
      <c r="G2086" s="23" t="s">
        <v>324</v>
      </c>
      <c r="H2086" s="23" t="s">
        <v>27</v>
      </c>
      <c r="I2086" s="23" t="s">
        <v>308</v>
      </c>
      <c r="J2086" s="14" t="s">
        <v>29</v>
      </c>
      <c r="K2086" s="15" t="s">
        <v>55</v>
      </c>
      <c r="L2086" s="87"/>
      <c r="M2086" s="14"/>
      <c r="N2086" s="14" t="s">
        <v>2763</v>
      </c>
      <c r="O2086" s="14"/>
      <c r="P2086" s="15" t="s">
        <v>108</v>
      </c>
      <c r="Q2086" s="16">
        <v>11699</v>
      </c>
      <c r="R2086" s="17">
        <v>84.63</v>
      </c>
      <c r="S2086" s="18">
        <v>2067.4354999999996</v>
      </c>
      <c r="T2086" s="19" t="s">
        <v>328</v>
      </c>
      <c r="U2086" s="20" t="s">
        <v>66</v>
      </c>
      <c r="V2086" s="21">
        <v>48</v>
      </c>
      <c r="W2086" s="21">
        <v>21</v>
      </c>
      <c r="X2086" s="22"/>
    </row>
    <row r="2087" spans="1:24" s="1" customFormat="1" ht="36.950000000000003" customHeight="1" x14ac:dyDescent="0.3">
      <c r="A2087" s="63">
        <v>4</v>
      </c>
      <c r="B2087" s="23" t="s">
        <v>2752</v>
      </c>
      <c r="C2087" s="12" t="s">
        <v>2762</v>
      </c>
      <c r="D2087" s="85"/>
      <c r="E2087" s="69" t="str">
        <f>HYPERLINK("https://www.google.ru/search?q=4FWAW23TDJAM348-82S&amp;newwindow=1&amp;tbm=isch","Еще фото")</f>
        <v>Еще фото</v>
      </c>
      <c r="F2087" s="13"/>
      <c r="G2087" s="23" t="s">
        <v>324</v>
      </c>
      <c r="H2087" s="23" t="s">
        <v>27</v>
      </c>
      <c r="I2087" s="23" t="s">
        <v>308</v>
      </c>
      <c r="J2087" s="14" t="s">
        <v>29</v>
      </c>
      <c r="K2087" s="15" t="s">
        <v>55</v>
      </c>
      <c r="L2087" s="88"/>
      <c r="M2087" s="14"/>
      <c r="N2087" s="14" t="s">
        <v>2763</v>
      </c>
      <c r="O2087" s="14"/>
      <c r="P2087" s="15" t="s">
        <v>108</v>
      </c>
      <c r="Q2087" s="16">
        <v>11699</v>
      </c>
      <c r="R2087" s="17">
        <v>84.63</v>
      </c>
      <c r="S2087" s="18">
        <v>2067.4354999999996</v>
      </c>
      <c r="T2087" s="19" t="s">
        <v>328</v>
      </c>
      <c r="U2087" s="20" t="s">
        <v>58</v>
      </c>
      <c r="V2087" s="21">
        <v>50</v>
      </c>
      <c r="W2087" s="21">
        <v>13</v>
      </c>
      <c r="X2087" s="22"/>
    </row>
    <row r="2088" spans="1:24" s="1" customFormat="1" ht="26.1" customHeight="1" x14ac:dyDescent="0.3">
      <c r="A2088" s="62">
        <v>4</v>
      </c>
      <c r="B2088" s="11" t="s">
        <v>2758</v>
      </c>
      <c r="C2088" s="12" t="s">
        <v>2764</v>
      </c>
      <c r="D2088" s="83"/>
      <c r="E2088" s="69" t="str">
        <f>HYPERLINK("https://www.google.ru/search?q=4FAW23TDJAM243-36S&amp;newwindow=1&amp;tbm=isch","Еще фото")</f>
        <v>Еще фото</v>
      </c>
      <c r="F2088" s="13"/>
      <c r="G2088" s="11" t="s">
        <v>324</v>
      </c>
      <c r="H2088" s="11" t="s">
        <v>27</v>
      </c>
      <c r="I2088" s="14" t="s">
        <v>308</v>
      </c>
      <c r="J2088" s="14" t="s">
        <v>29</v>
      </c>
      <c r="K2088" s="15" t="s">
        <v>55</v>
      </c>
      <c r="L2088" s="86" t="s">
        <v>2760</v>
      </c>
      <c r="M2088" s="14"/>
      <c r="N2088" s="14" t="s">
        <v>70</v>
      </c>
      <c r="O2088" s="14"/>
      <c r="P2088" s="15" t="s">
        <v>2761</v>
      </c>
      <c r="Q2088" s="16">
        <v>10999</v>
      </c>
      <c r="R2088" s="17">
        <v>83.75</v>
      </c>
      <c r="S2088" s="18">
        <v>2055.9355</v>
      </c>
      <c r="T2088" s="19" t="s">
        <v>328</v>
      </c>
      <c r="U2088" s="20" t="s">
        <v>64</v>
      </c>
      <c r="V2088" s="21">
        <v>46</v>
      </c>
      <c r="W2088" s="21">
        <v>16</v>
      </c>
      <c r="X2088" s="22"/>
    </row>
    <row r="2089" spans="1:24" s="1" customFormat="1" ht="26.1" customHeight="1" x14ac:dyDescent="0.3">
      <c r="A2089" s="63">
        <v>4</v>
      </c>
      <c r="B2089" s="23" t="s">
        <v>2758</v>
      </c>
      <c r="C2089" s="12" t="s">
        <v>2764</v>
      </c>
      <c r="D2089" s="84"/>
      <c r="E2089" s="69" t="str">
        <f>HYPERLINK("https://www.google.ru/search?q=4FAW23TDJAM243-36S&amp;newwindow=1&amp;tbm=isch","Еще фото")</f>
        <v>Еще фото</v>
      </c>
      <c r="F2089" s="13"/>
      <c r="G2089" s="23" t="s">
        <v>324</v>
      </c>
      <c r="H2089" s="23" t="s">
        <v>27</v>
      </c>
      <c r="I2089" s="23" t="s">
        <v>308</v>
      </c>
      <c r="J2089" s="14" t="s">
        <v>29</v>
      </c>
      <c r="K2089" s="15" t="s">
        <v>55</v>
      </c>
      <c r="L2089" s="87"/>
      <c r="M2089" s="14"/>
      <c r="N2089" s="14" t="s">
        <v>70</v>
      </c>
      <c r="O2089" s="14"/>
      <c r="P2089" s="15" t="s">
        <v>2761</v>
      </c>
      <c r="Q2089" s="16">
        <v>10999</v>
      </c>
      <c r="R2089" s="17">
        <v>83.75</v>
      </c>
      <c r="S2089" s="18">
        <v>2055.9355</v>
      </c>
      <c r="T2089" s="19" t="s">
        <v>328</v>
      </c>
      <c r="U2089" s="20" t="s">
        <v>66</v>
      </c>
      <c r="V2089" s="21">
        <v>48</v>
      </c>
      <c r="W2089" s="21">
        <v>29</v>
      </c>
      <c r="X2089" s="22"/>
    </row>
    <row r="2090" spans="1:24" s="1" customFormat="1" ht="26.1" customHeight="1" x14ac:dyDescent="0.3">
      <c r="A2090" s="63">
        <v>4</v>
      </c>
      <c r="B2090" s="23" t="s">
        <v>2758</v>
      </c>
      <c r="C2090" s="12" t="s">
        <v>2764</v>
      </c>
      <c r="D2090" s="84"/>
      <c r="E2090" s="69" t="str">
        <f>HYPERLINK("https://www.google.ru/search?q=4FAW23TDJAM243-36S&amp;newwindow=1&amp;tbm=isch","Еще фото")</f>
        <v>Еще фото</v>
      </c>
      <c r="F2090" s="13"/>
      <c r="G2090" s="23" t="s">
        <v>324</v>
      </c>
      <c r="H2090" s="23" t="s">
        <v>27</v>
      </c>
      <c r="I2090" s="23" t="s">
        <v>308</v>
      </c>
      <c r="J2090" s="14" t="s">
        <v>29</v>
      </c>
      <c r="K2090" s="15" t="s">
        <v>55</v>
      </c>
      <c r="L2090" s="87"/>
      <c r="M2090" s="14"/>
      <c r="N2090" s="14" t="s">
        <v>70</v>
      </c>
      <c r="O2090" s="14"/>
      <c r="P2090" s="15" t="s">
        <v>2761</v>
      </c>
      <c r="Q2090" s="16">
        <v>10999</v>
      </c>
      <c r="R2090" s="17">
        <v>83.75</v>
      </c>
      <c r="S2090" s="18">
        <v>2055.9355</v>
      </c>
      <c r="T2090" s="19" t="s">
        <v>328</v>
      </c>
      <c r="U2090" s="20" t="s">
        <v>58</v>
      </c>
      <c r="V2090" s="21">
        <v>50</v>
      </c>
      <c r="W2090" s="21">
        <v>24</v>
      </c>
      <c r="X2090" s="22"/>
    </row>
    <row r="2091" spans="1:24" s="1" customFormat="1" ht="26.1" customHeight="1" x14ac:dyDescent="0.3">
      <c r="A2091" s="63">
        <v>4</v>
      </c>
      <c r="B2091" s="23" t="s">
        <v>2758</v>
      </c>
      <c r="C2091" s="12" t="s">
        <v>2764</v>
      </c>
      <c r="D2091" s="85"/>
      <c r="E2091" s="69" t="str">
        <f>HYPERLINK("https://www.google.ru/search?q=4FAW23TDJAM243-36S&amp;newwindow=1&amp;tbm=isch","Еще фото")</f>
        <v>Еще фото</v>
      </c>
      <c r="F2091" s="13"/>
      <c r="G2091" s="23" t="s">
        <v>324</v>
      </c>
      <c r="H2091" s="23" t="s">
        <v>27</v>
      </c>
      <c r="I2091" s="23" t="s">
        <v>308</v>
      </c>
      <c r="J2091" s="14" t="s">
        <v>29</v>
      </c>
      <c r="K2091" s="15" t="s">
        <v>55</v>
      </c>
      <c r="L2091" s="88"/>
      <c r="M2091" s="14"/>
      <c r="N2091" s="14" t="s">
        <v>70</v>
      </c>
      <c r="O2091" s="14"/>
      <c r="P2091" s="15" t="s">
        <v>2761</v>
      </c>
      <c r="Q2091" s="16">
        <v>10999</v>
      </c>
      <c r="R2091" s="17">
        <v>83.75</v>
      </c>
      <c r="S2091" s="18">
        <v>2055.9355</v>
      </c>
      <c r="T2091" s="19" t="s">
        <v>328</v>
      </c>
      <c r="U2091" s="20" t="s">
        <v>52</v>
      </c>
      <c r="V2091" s="21">
        <v>52</v>
      </c>
      <c r="W2091" s="21">
        <v>6</v>
      </c>
      <c r="X2091" s="22"/>
    </row>
    <row r="2092" spans="1:24" s="1" customFormat="1" ht="26.1" customHeight="1" x14ac:dyDescent="0.3">
      <c r="A2092" s="62">
        <v>4</v>
      </c>
      <c r="B2092" s="11" t="s">
        <v>2765</v>
      </c>
      <c r="C2092" s="12" t="s">
        <v>2766</v>
      </c>
      <c r="D2092" s="83"/>
      <c r="E2092" s="69" t="str">
        <f>HYPERLINK("https://www.google.ru/search?q=H4Z22-KUMP007-74S&amp;newwindow=1&amp;tbm=isch","Еще фото")</f>
        <v>Еще фото</v>
      </c>
      <c r="F2092" s="13"/>
      <c r="G2092" s="11" t="s">
        <v>307</v>
      </c>
      <c r="H2092" s="11" t="s">
        <v>27</v>
      </c>
      <c r="I2092" s="14" t="s">
        <v>308</v>
      </c>
      <c r="J2092" s="14" t="s">
        <v>29</v>
      </c>
      <c r="K2092" s="15" t="s">
        <v>55</v>
      </c>
      <c r="L2092" s="86" t="s">
        <v>2767</v>
      </c>
      <c r="M2092" s="14"/>
      <c r="N2092" s="14" t="s">
        <v>154</v>
      </c>
      <c r="O2092" s="14"/>
      <c r="P2092" s="15" t="s">
        <v>2768</v>
      </c>
      <c r="Q2092" s="16">
        <v>11399</v>
      </c>
      <c r="R2092" s="17">
        <v>81.33</v>
      </c>
      <c r="S2092" s="18">
        <v>2446.9354999999996</v>
      </c>
      <c r="T2092" s="19" t="s">
        <v>328</v>
      </c>
      <c r="U2092" s="20" t="s">
        <v>64</v>
      </c>
      <c r="V2092" s="21">
        <v>46</v>
      </c>
      <c r="W2092" s="21">
        <v>4</v>
      </c>
      <c r="X2092" s="22"/>
    </row>
    <row r="2093" spans="1:24" s="1" customFormat="1" ht="26.1" customHeight="1" x14ac:dyDescent="0.3">
      <c r="A2093" s="63">
        <v>4</v>
      </c>
      <c r="B2093" s="23" t="s">
        <v>2765</v>
      </c>
      <c r="C2093" s="12" t="s">
        <v>2766</v>
      </c>
      <c r="D2093" s="84"/>
      <c r="E2093" s="69" t="str">
        <f>HYPERLINK("https://www.google.ru/search?q=H4Z22-KUMP007-74S&amp;newwindow=1&amp;tbm=isch","Еще фото")</f>
        <v>Еще фото</v>
      </c>
      <c r="F2093" s="13"/>
      <c r="G2093" s="23" t="s">
        <v>307</v>
      </c>
      <c r="H2093" s="23" t="s">
        <v>27</v>
      </c>
      <c r="I2093" s="23" t="s">
        <v>308</v>
      </c>
      <c r="J2093" s="14" t="s">
        <v>29</v>
      </c>
      <c r="K2093" s="15" t="s">
        <v>55</v>
      </c>
      <c r="L2093" s="87"/>
      <c r="M2093" s="14"/>
      <c r="N2093" s="14" t="s">
        <v>154</v>
      </c>
      <c r="O2093" s="14"/>
      <c r="P2093" s="15" t="s">
        <v>2768</v>
      </c>
      <c r="Q2093" s="16">
        <v>11399</v>
      </c>
      <c r="R2093" s="17">
        <v>81.33</v>
      </c>
      <c r="S2093" s="18">
        <v>2446.9354999999996</v>
      </c>
      <c r="T2093" s="19" t="s">
        <v>328</v>
      </c>
      <c r="U2093" s="20" t="s">
        <v>66</v>
      </c>
      <c r="V2093" s="21">
        <v>48</v>
      </c>
      <c r="W2093" s="21">
        <v>6</v>
      </c>
      <c r="X2093" s="22"/>
    </row>
    <row r="2094" spans="1:24" s="1" customFormat="1" ht="26.1" customHeight="1" x14ac:dyDescent="0.3">
      <c r="A2094" s="63">
        <v>4</v>
      </c>
      <c r="B2094" s="23" t="s">
        <v>2765</v>
      </c>
      <c r="C2094" s="12" t="s">
        <v>2766</v>
      </c>
      <c r="D2094" s="84"/>
      <c r="E2094" s="69" t="str">
        <f>HYPERLINK("https://www.google.ru/search?q=H4Z22-KUMP007-74S&amp;newwindow=1&amp;tbm=isch","Еще фото")</f>
        <v>Еще фото</v>
      </c>
      <c r="F2094" s="13"/>
      <c r="G2094" s="23" t="s">
        <v>307</v>
      </c>
      <c r="H2094" s="23" t="s">
        <v>27</v>
      </c>
      <c r="I2094" s="23" t="s">
        <v>308</v>
      </c>
      <c r="J2094" s="14" t="s">
        <v>29</v>
      </c>
      <c r="K2094" s="15" t="s">
        <v>55</v>
      </c>
      <c r="L2094" s="87"/>
      <c r="M2094" s="14"/>
      <c r="N2094" s="14" t="s">
        <v>154</v>
      </c>
      <c r="O2094" s="14"/>
      <c r="P2094" s="15" t="s">
        <v>2768</v>
      </c>
      <c r="Q2094" s="16">
        <v>11399</v>
      </c>
      <c r="R2094" s="17">
        <v>81.33</v>
      </c>
      <c r="S2094" s="18">
        <v>2446.9354999999996</v>
      </c>
      <c r="T2094" s="19" t="s">
        <v>328</v>
      </c>
      <c r="U2094" s="20" t="s">
        <v>58</v>
      </c>
      <c r="V2094" s="21">
        <v>50</v>
      </c>
      <c r="W2094" s="21">
        <v>1</v>
      </c>
      <c r="X2094" s="22"/>
    </row>
    <row r="2095" spans="1:24" s="1" customFormat="1" ht="26.1" customHeight="1" x14ac:dyDescent="0.3">
      <c r="A2095" s="63">
        <v>4</v>
      </c>
      <c r="B2095" s="23" t="s">
        <v>2765</v>
      </c>
      <c r="C2095" s="12" t="s">
        <v>2766</v>
      </c>
      <c r="D2095" s="85"/>
      <c r="E2095" s="69" t="str">
        <f>HYPERLINK("https://www.google.ru/search?q=H4Z22-KUMP007-74S&amp;newwindow=1&amp;tbm=isch","Еще фото")</f>
        <v>Еще фото</v>
      </c>
      <c r="F2095" s="13"/>
      <c r="G2095" s="23" t="s">
        <v>307</v>
      </c>
      <c r="H2095" s="23" t="s">
        <v>27</v>
      </c>
      <c r="I2095" s="23" t="s">
        <v>308</v>
      </c>
      <c r="J2095" s="14" t="s">
        <v>29</v>
      </c>
      <c r="K2095" s="15" t="s">
        <v>55</v>
      </c>
      <c r="L2095" s="88"/>
      <c r="M2095" s="14"/>
      <c r="N2095" s="14" t="s">
        <v>154</v>
      </c>
      <c r="O2095" s="14"/>
      <c r="P2095" s="15" t="s">
        <v>2768</v>
      </c>
      <c r="Q2095" s="16">
        <v>11399</v>
      </c>
      <c r="R2095" s="17">
        <v>81.33</v>
      </c>
      <c r="S2095" s="18">
        <v>2446.9354999999996</v>
      </c>
      <c r="T2095" s="19" t="s">
        <v>328</v>
      </c>
      <c r="U2095" s="20" t="s">
        <v>52</v>
      </c>
      <c r="V2095" s="21">
        <v>52</v>
      </c>
      <c r="W2095" s="21">
        <v>1</v>
      </c>
      <c r="X2095" s="22"/>
    </row>
    <row r="2096" spans="1:24" s="1" customFormat="1" ht="26.1" customHeight="1" x14ac:dyDescent="0.3">
      <c r="A2096" s="62">
        <v>4</v>
      </c>
      <c r="B2096" s="11" t="s">
        <v>2769</v>
      </c>
      <c r="C2096" s="12" t="s">
        <v>2770</v>
      </c>
      <c r="D2096" s="83"/>
      <c r="E2096" s="69" t="str">
        <f>HYPERLINK("https://www.google.ru/search?q=4FAW23TDJAM246-43S&amp;newwindow=1&amp;tbm=isch","Еще фото")</f>
        <v>Еще фото</v>
      </c>
      <c r="F2096" s="13"/>
      <c r="G2096" s="11" t="s">
        <v>324</v>
      </c>
      <c r="H2096" s="11" t="s">
        <v>27</v>
      </c>
      <c r="I2096" s="14" t="s">
        <v>308</v>
      </c>
      <c r="J2096" s="14" t="s">
        <v>29</v>
      </c>
      <c r="K2096" s="15" t="s">
        <v>55</v>
      </c>
      <c r="L2096" s="86" t="s">
        <v>2771</v>
      </c>
      <c r="M2096" s="14"/>
      <c r="N2096" s="14" t="s">
        <v>175</v>
      </c>
      <c r="O2096" s="14"/>
      <c r="P2096" s="15" t="s">
        <v>108</v>
      </c>
      <c r="Q2096" s="16">
        <v>16999</v>
      </c>
      <c r="R2096" s="17">
        <v>81.31</v>
      </c>
      <c r="S2096" s="18">
        <v>3654.4354999999996</v>
      </c>
      <c r="T2096" s="19" t="s">
        <v>328</v>
      </c>
      <c r="U2096" s="20" t="s">
        <v>64</v>
      </c>
      <c r="V2096" s="21">
        <v>46</v>
      </c>
      <c r="W2096" s="21">
        <v>12</v>
      </c>
      <c r="X2096" s="22"/>
    </row>
    <row r="2097" spans="1:24" s="1" customFormat="1" ht="26.1" customHeight="1" x14ac:dyDescent="0.3">
      <c r="A2097" s="63">
        <v>4</v>
      </c>
      <c r="B2097" s="23" t="s">
        <v>2769</v>
      </c>
      <c r="C2097" s="12" t="s">
        <v>2770</v>
      </c>
      <c r="D2097" s="84"/>
      <c r="E2097" s="69" t="str">
        <f>HYPERLINK("https://www.google.ru/search?q=4FAW23TDJAM246-43S&amp;newwindow=1&amp;tbm=isch","Еще фото")</f>
        <v>Еще фото</v>
      </c>
      <c r="F2097" s="13"/>
      <c r="G2097" s="23" t="s">
        <v>324</v>
      </c>
      <c r="H2097" s="23" t="s">
        <v>27</v>
      </c>
      <c r="I2097" s="23" t="s">
        <v>308</v>
      </c>
      <c r="J2097" s="14" t="s">
        <v>29</v>
      </c>
      <c r="K2097" s="15" t="s">
        <v>55</v>
      </c>
      <c r="L2097" s="87"/>
      <c r="M2097" s="14"/>
      <c r="N2097" s="14" t="s">
        <v>175</v>
      </c>
      <c r="O2097" s="14"/>
      <c r="P2097" s="15" t="s">
        <v>108</v>
      </c>
      <c r="Q2097" s="16">
        <v>16999</v>
      </c>
      <c r="R2097" s="17">
        <v>81.31</v>
      </c>
      <c r="S2097" s="18">
        <v>3654.4354999999996</v>
      </c>
      <c r="T2097" s="19" t="s">
        <v>328</v>
      </c>
      <c r="U2097" s="20" t="s">
        <v>66</v>
      </c>
      <c r="V2097" s="21">
        <v>48</v>
      </c>
      <c r="W2097" s="21">
        <v>26</v>
      </c>
      <c r="X2097" s="22"/>
    </row>
    <row r="2098" spans="1:24" s="1" customFormat="1" ht="26.1" customHeight="1" x14ac:dyDescent="0.3">
      <c r="A2098" s="63">
        <v>4</v>
      </c>
      <c r="B2098" s="23" t="s">
        <v>2769</v>
      </c>
      <c r="C2098" s="12" t="s">
        <v>2770</v>
      </c>
      <c r="D2098" s="84"/>
      <c r="E2098" s="69" t="str">
        <f>HYPERLINK("https://www.google.ru/search?q=4FAW23TDJAM246-43S&amp;newwindow=1&amp;tbm=isch","Еще фото")</f>
        <v>Еще фото</v>
      </c>
      <c r="F2098" s="13"/>
      <c r="G2098" s="23" t="s">
        <v>324</v>
      </c>
      <c r="H2098" s="23" t="s">
        <v>27</v>
      </c>
      <c r="I2098" s="23" t="s">
        <v>308</v>
      </c>
      <c r="J2098" s="14" t="s">
        <v>29</v>
      </c>
      <c r="K2098" s="15" t="s">
        <v>55</v>
      </c>
      <c r="L2098" s="87"/>
      <c r="M2098" s="14"/>
      <c r="N2098" s="14" t="s">
        <v>175</v>
      </c>
      <c r="O2098" s="14"/>
      <c r="P2098" s="15" t="s">
        <v>108</v>
      </c>
      <c r="Q2098" s="16">
        <v>16999</v>
      </c>
      <c r="R2098" s="17">
        <v>81.31</v>
      </c>
      <c r="S2098" s="18">
        <v>3654.4354999999996</v>
      </c>
      <c r="T2098" s="19" t="s">
        <v>328</v>
      </c>
      <c r="U2098" s="20" t="s">
        <v>58</v>
      </c>
      <c r="V2098" s="21">
        <v>50</v>
      </c>
      <c r="W2098" s="21">
        <v>19</v>
      </c>
      <c r="X2098" s="22"/>
    </row>
    <row r="2099" spans="1:24" s="1" customFormat="1" ht="26.1" customHeight="1" x14ac:dyDescent="0.3">
      <c r="A2099" s="63">
        <v>4</v>
      </c>
      <c r="B2099" s="23" t="s">
        <v>2769</v>
      </c>
      <c r="C2099" s="12" t="s">
        <v>2770</v>
      </c>
      <c r="D2099" s="85"/>
      <c r="E2099" s="69" t="str">
        <f>HYPERLINK("https://www.google.ru/search?q=4FAW23TDJAM246-43S&amp;newwindow=1&amp;tbm=isch","Еще фото")</f>
        <v>Еще фото</v>
      </c>
      <c r="F2099" s="13"/>
      <c r="G2099" s="23" t="s">
        <v>324</v>
      </c>
      <c r="H2099" s="23" t="s">
        <v>27</v>
      </c>
      <c r="I2099" s="23" t="s">
        <v>308</v>
      </c>
      <c r="J2099" s="14" t="s">
        <v>29</v>
      </c>
      <c r="K2099" s="15" t="s">
        <v>55</v>
      </c>
      <c r="L2099" s="88"/>
      <c r="M2099" s="14"/>
      <c r="N2099" s="14" t="s">
        <v>175</v>
      </c>
      <c r="O2099" s="14"/>
      <c r="P2099" s="15" t="s">
        <v>108</v>
      </c>
      <c r="Q2099" s="16">
        <v>16999</v>
      </c>
      <c r="R2099" s="17">
        <v>81.31</v>
      </c>
      <c r="S2099" s="18">
        <v>3654.4354999999996</v>
      </c>
      <c r="T2099" s="19" t="s">
        <v>328</v>
      </c>
      <c r="U2099" s="20" t="s">
        <v>52</v>
      </c>
      <c r="V2099" s="21">
        <v>52</v>
      </c>
      <c r="W2099" s="21">
        <v>3</v>
      </c>
      <c r="X2099" s="22"/>
    </row>
    <row r="2100" spans="1:24" s="1" customFormat="1" ht="21" customHeight="1" x14ac:dyDescent="0.3">
      <c r="A2100" s="62">
        <v>4</v>
      </c>
      <c r="B2100" s="11" t="s">
        <v>2772</v>
      </c>
      <c r="C2100" s="27" t="s">
        <v>2773</v>
      </c>
      <c r="D2100" s="83"/>
      <c r="E2100" s="69" t="str">
        <f>HYPERLINK("https://www.google.ru/search?q=4FAW23TDJAF238-42S&amp;newwindow=1&amp;tbm=isch","Еще фото")</f>
        <v>Еще фото</v>
      </c>
      <c r="F2100" s="13"/>
      <c r="G2100" s="11" t="s">
        <v>324</v>
      </c>
      <c r="H2100" s="11" t="s">
        <v>27</v>
      </c>
      <c r="I2100" s="14" t="s">
        <v>308</v>
      </c>
      <c r="J2100" s="14" t="s">
        <v>29</v>
      </c>
      <c r="K2100" s="15" t="s">
        <v>47</v>
      </c>
      <c r="L2100" s="86" t="s">
        <v>2774</v>
      </c>
      <c r="M2100" s="14"/>
      <c r="N2100" s="14" t="s">
        <v>242</v>
      </c>
      <c r="O2100" s="14"/>
      <c r="P2100" s="15" t="s">
        <v>2775</v>
      </c>
      <c r="Q2100" s="16">
        <v>18999</v>
      </c>
      <c r="R2100" s="17">
        <v>79.959999999999994</v>
      </c>
      <c r="S2100" s="18">
        <v>4378.9354999999996</v>
      </c>
      <c r="T2100" s="19" t="s">
        <v>328</v>
      </c>
      <c r="U2100" s="20" t="s">
        <v>354</v>
      </c>
      <c r="V2100" s="21">
        <v>42</v>
      </c>
      <c r="W2100" s="21">
        <v>7</v>
      </c>
      <c r="X2100" s="22"/>
    </row>
    <row r="2101" spans="1:24" s="1" customFormat="1" ht="21" customHeight="1" x14ac:dyDescent="0.3">
      <c r="A2101" s="63">
        <v>4</v>
      </c>
      <c r="B2101" s="23" t="s">
        <v>2772</v>
      </c>
      <c r="C2101" s="28" t="s">
        <v>2773</v>
      </c>
      <c r="D2101" s="84"/>
      <c r="E2101" s="69" t="str">
        <f>HYPERLINK("https://www.google.ru/search?q=4FAW23TDJAF238-42S&amp;newwindow=1&amp;tbm=isch","Еще фото")</f>
        <v>Еще фото</v>
      </c>
      <c r="F2101" s="13"/>
      <c r="G2101" s="23" t="s">
        <v>324</v>
      </c>
      <c r="H2101" s="23" t="s">
        <v>27</v>
      </c>
      <c r="I2101" s="23" t="s">
        <v>308</v>
      </c>
      <c r="J2101" s="14" t="s">
        <v>29</v>
      </c>
      <c r="K2101" s="15" t="s">
        <v>47</v>
      </c>
      <c r="L2101" s="87"/>
      <c r="M2101" s="14"/>
      <c r="N2101" s="14" t="s">
        <v>242</v>
      </c>
      <c r="O2101" s="14"/>
      <c r="P2101" s="15" t="s">
        <v>2775</v>
      </c>
      <c r="Q2101" s="16">
        <v>18999</v>
      </c>
      <c r="R2101" s="17">
        <v>79.959999999999994</v>
      </c>
      <c r="S2101" s="18">
        <v>4378.9354999999996</v>
      </c>
      <c r="T2101" s="19" t="s">
        <v>328</v>
      </c>
      <c r="U2101" s="20" t="s">
        <v>64</v>
      </c>
      <c r="V2101" s="21">
        <v>44</v>
      </c>
      <c r="W2101" s="21">
        <v>3</v>
      </c>
      <c r="X2101" s="22"/>
    </row>
    <row r="2102" spans="1:24" s="1" customFormat="1" ht="21" customHeight="1" x14ac:dyDescent="0.3">
      <c r="A2102" s="63">
        <v>4</v>
      </c>
      <c r="B2102" s="23" t="s">
        <v>2772</v>
      </c>
      <c r="C2102" s="28" t="s">
        <v>2773</v>
      </c>
      <c r="D2102" s="84"/>
      <c r="E2102" s="69" t="str">
        <f>HYPERLINK("https://www.google.ru/search?q=4FAW23TDJAF238-42S&amp;newwindow=1&amp;tbm=isch","Еще фото")</f>
        <v>Еще фото</v>
      </c>
      <c r="F2102" s="13"/>
      <c r="G2102" s="23" t="s">
        <v>324</v>
      </c>
      <c r="H2102" s="23" t="s">
        <v>27</v>
      </c>
      <c r="I2102" s="23" t="s">
        <v>308</v>
      </c>
      <c r="J2102" s="14" t="s">
        <v>29</v>
      </c>
      <c r="K2102" s="15" t="s">
        <v>47</v>
      </c>
      <c r="L2102" s="87"/>
      <c r="M2102" s="14"/>
      <c r="N2102" s="14" t="s">
        <v>242</v>
      </c>
      <c r="O2102" s="14"/>
      <c r="P2102" s="15" t="s">
        <v>2775</v>
      </c>
      <c r="Q2102" s="16">
        <v>18999</v>
      </c>
      <c r="R2102" s="17">
        <v>79.959999999999994</v>
      </c>
      <c r="S2102" s="18">
        <v>4378.9354999999996</v>
      </c>
      <c r="T2102" s="19" t="s">
        <v>328</v>
      </c>
      <c r="U2102" s="20" t="s">
        <v>66</v>
      </c>
      <c r="V2102" s="21">
        <v>46</v>
      </c>
      <c r="W2102" s="21">
        <v>15</v>
      </c>
      <c r="X2102" s="22"/>
    </row>
    <row r="2103" spans="1:24" s="1" customFormat="1" ht="21" customHeight="1" x14ac:dyDescent="0.3">
      <c r="A2103" s="63">
        <v>4</v>
      </c>
      <c r="B2103" s="23" t="s">
        <v>2772</v>
      </c>
      <c r="C2103" s="28" t="s">
        <v>2773</v>
      </c>
      <c r="D2103" s="84"/>
      <c r="E2103" s="69" t="str">
        <f>HYPERLINK("https://www.google.ru/search?q=4FAW23TDJAF238-42S&amp;newwindow=1&amp;tbm=isch","Еще фото")</f>
        <v>Еще фото</v>
      </c>
      <c r="F2103" s="13"/>
      <c r="G2103" s="23" t="s">
        <v>324</v>
      </c>
      <c r="H2103" s="23" t="s">
        <v>27</v>
      </c>
      <c r="I2103" s="23" t="s">
        <v>308</v>
      </c>
      <c r="J2103" s="14" t="s">
        <v>29</v>
      </c>
      <c r="K2103" s="15" t="s">
        <v>47</v>
      </c>
      <c r="L2103" s="87"/>
      <c r="M2103" s="14"/>
      <c r="N2103" s="14" t="s">
        <v>242</v>
      </c>
      <c r="O2103" s="14"/>
      <c r="P2103" s="15" t="s">
        <v>2775</v>
      </c>
      <c r="Q2103" s="16">
        <v>18999</v>
      </c>
      <c r="R2103" s="17">
        <v>79.959999999999994</v>
      </c>
      <c r="S2103" s="18">
        <v>4378.9354999999996</v>
      </c>
      <c r="T2103" s="19" t="s">
        <v>328</v>
      </c>
      <c r="U2103" s="20" t="s">
        <v>58</v>
      </c>
      <c r="V2103" s="21">
        <v>48</v>
      </c>
      <c r="W2103" s="21">
        <v>17</v>
      </c>
      <c r="X2103" s="22"/>
    </row>
    <row r="2104" spans="1:24" s="1" customFormat="1" ht="32.1" customHeight="1" x14ac:dyDescent="0.3">
      <c r="A2104" s="63">
        <v>4</v>
      </c>
      <c r="B2104" s="23" t="s">
        <v>2772</v>
      </c>
      <c r="C2104" s="28" t="s">
        <v>2773</v>
      </c>
      <c r="D2104" s="85"/>
      <c r="E2104" s="69" t="str">
        <f>HYPERLINK("https://www.google.ru/search?q=4FAW23TDJAF238-42S&amp;newwindow=1&amp;tbm=isch","Еще фото")</f>
        <v>Еще фото</v>
      </c>
      <c r="F2104" s="13"/>
      <c r="G2104" s="23" t="s">
        <v>324</v>
      </c>
      <c r="H2104" s="23" t="s">
        <v>27</v>
      </c>
      <c r="I2104" s="23" t="s">
        <v>308</v>
      </c>
      <c r="J2104" s="14" t="s">
        <v>29</v>
      </c>
      <c r="K2104" s="15" t="s">
        <v>47</v>
      </c>
      <c r="L2104" s="88"/>
      <c r="M2104" s="14"/>
      <c r="N2104" s="14" t="s">
        <v>242</v>
      </c>
      <c r="O2104" s="14"/>
      <c r="P2104" s="15" t="s">
        <v>2775</v>
      </c>
      <c r="Q2104" s="16">
        <v>18999</v>
      </c>
      <c r="R2104" s="17">
        <v>79.959999999999994</v>
      </c>
      <c r="S2104" s="18">
        <v>4378.9354999999996</v>
      </c>
      <c r="T2104" s="19" t="s">
        <v>328</v>
      </c>
      <c r="U2104" s="20" t="s">
        <v>52</v>
      </c>
      <c r="V2104" s="21">
        <v>50</v>
      </c>
      <c r="W2104" s="21">
        <v>9</v>
      </c>
      <c r="X2104" s="22"/>
    </row>
    <row r="2105" spans="1:24" s="1" customFormat="1" ht="17.100000000000001" customHeight="1" x14ac:dyDescent="0.3">
      <c r="A2105" s="62">
        <v>4</v>
      </c>
      <c r="B2105" s="11" t="s">
        <v>2776</v>
      </c>
      <c r="C2105" s="12" t="s">
        <v>2777</v>
      </c>
      <c r="D2105" s="83"/>
      <c r="E2105" s="69" t="str">
        <f t="shared" ref="E2105:E2110" si="72">HYPERLINK("https://www.google.ru/search?q=4FAW23TDJAF230-83S&amp;newwindow=1&amp;tbm=isch","Еще фото")</f>
        <v>Еще фото</v>
      </c>
      <c r="F2105" s="13"/>
      <c r="G2105" s="11" t="s">
        <v>324</v>
      </c>
      <c r="H2105" s="11" t="s">
        <v>27</v>
      </c>
      <c r="I2105" s="14" t="s">
        <v>308</v>
      </c>
      <c r="J2105" s="14" t="s">
        <v>29</v>
      </c>
      <c r="K2105" s="15" t="s">
        <v>47</v>
      </c>
      <c r="L2105" s="86" t="s">
        <v>2778</v>
      </c>
      <c r="M2105" s="14"/>
      <c r="N2105" s="14" t="s">
        <v>326</v>
      </c>
      <c r="O2105" s="14"/>
      <c r="P2105" s="15" t="s">
        <v>2775</v>
      </c>
      <c r="Q2105" s="16">
        <v>11799</v>
      </c>
      <c r="R2105" s="17">
        <v>79.849999999999994</v>
      </c>
      <c r="S2105" s="18">
        <v>2734.4354999999996</v>
      </c>
      <c r="T2105" s="19" t="s">
        <v>328</v>
      </c>
      <c r="U2105" s="20" t="s">
        <v>354</v>
      </c>
      <c r="V2105" s="21">
        <v>42</v>
      </c>
      <c r="W2105" s="21">
        <v>1</v>
      </c>
      <c r="X2105" s="22"/>
    </row>
    <row r="2106" spans="1:24" s="1" customFormat="1" ht="17.100000000000001" customHeight="1" x14ac:dyDescent="0.3">
      <c r="A2106" s="63">
        <v>4</v>
      </c>
      <c r="B2106" s="23" t="s">
        <v>2776</v>
      </c>
      <c r="C2106" s="12" t="s">
        <v>2777</v>
      </c>
      <c r="D2106" s="84"/>
      <c r="E2106" s="69" t="str">
        <f t="shared" si="72"/>
        <v>Еще фото</v>
      </c>
      <c r="F2106" s="13"/>
      <c r="G2106" s="23" t="s">
        <v>324</v>
      </c>
      <c r="H2106" s="23" t="s">
        <v>27</v>
      </c>
      <c r="I2106" s="23" t="s">
        <v>308</v>
      </c>
      <c r="J2106" s="14" t="s">
        <v>29</v>
      </c>
      <c r="K2106" s="15" t="s">
        <v>47</v>
      </c>
      <c r="L2106" s="87"/>
      <c r="M2106" s="14"/>
      <c r="N2106" s="14" t="s">
        <v>326</v>
      </c>
      <c r="O2106" s="14"/>
      <c r="P2106" s="15" t="s">
        <v>2775</v>
      </c>
      <c r="Q2106" s="16">
        <v>11799</v>
      </c>
      <c r="R2106" s="17">
        <v>79.849999999999994</v>
      </c>
      <c r="S2106" s="18">
        <v>2734.4354999999996</v>
      </c>
      <c r="T2106" s="19" t="s">
        <v>328</v>
      </c>
      <c r="U2106" s="20" t="s">
        <v>64</v>
      </c>
      <c r="V2106" s="21">
        <v>44</v>
      </c>
      <c r="W2106" s="21">
        <v>4</v>
      </c>
      <c r="X2106" s="22"/>
    </row>
    <row r="2107" spans="1:24" s="1" customFormat="1" ht="17.100000000000001" customHeight="1" x14ac:dyDescent="0.3">
      <c r="A2107" s="63">
        <v>4</v>
      </c>
      <c r="B2107" s="23" t="s">
        <v>2776</v>
      </c>
      <c r="C2107" s="12" t="s">
        <v>2777</v>
      </c>
      <c r="D2107" s="84"/>
      <c r="E2107" s="69" t="str">
        <f t="shared" si="72"/>
        <v>Еще фото</v>
      </c>
      <c r="F2107" s="13"/>
      <c r="G2107" s="23" t="s">
        <v>324</v>
      </c>
      <c r="H2107" s="23" t="s">
        <v>27</v>
      </c>
      <c r="I2107" s="23" t="s">
        <v>308</v>
      </c>
      <c r="J2107" s="14" t="s">
        <v>29</v>
      </c>
      <c r="K2107" s="15" t="s">
        <v>47</v>
      </c>
      <c r="L2107" s="87"/>
      <c r="M2107" s="14"/>
      <c r="N2107" s="14" t="s">
        <v>326</v>
      </c>
      <c r="O2107" s="14"/>
      <c r="P2107" s="15" t="s">
        <v>2775</v>
      </c>
      <c r="Q2107" s="16">
        <v>11799</v>
      </c>
      <c r="R2107" s="17">
        <v>79.849999999999994</v>
      </c>
      <c r="S2107" s="18">
        <v>2734.4354999999996</v>
      </c>
      <c r="T2107" s="19" t="s">
        <v>328</v>
      </c>
      <c r="U2107" s="20" t="s">
        <v>66</v>
      </c>
      <c r="V2107" s="21">
        <v>46</v>
      </c>
      <c r="W2107" s="21">
        <v>9</v>
      </c>
      <c r="X2107" s="22"/>
    </row>
    <row r="2108" spans="1:24" s="1" customFormat="1" ht="17.100000000000001" customHeight="1" x14ac:dyDescent="0.3">
      <c r="A2108" s="63">
        <v>4</v>
      </c>
      <c r="B2108" s="23" t="s">
        <v>2776</v>
      </c>
      <c r="C2108" s="12" t="s">
        <v>2777</v>
      </c>
      <c r="D2108" s="84"/>
      <c r="E2108" s="69" t="str">
        <f t="shared" si="72"/>
        <v>Еще фото</v>
      </c>
      <c r="F2108" s="13"/>
      <c r="G2108" s="23" t="s">
        <v>324</v>
      </c>
      <c r="H2108" s="23" t="s">
        <v>27</v>
      </c>
      <c r="I2108" s="23" t="s">
        <v>308</v>
      </c>
      <c r="J2108" s="14" t="s">
        <v>29</v>
      </c>
      <c r="K2108" s="15" t="s">
        <v>47</v>
      </c>
      <c r="L2108" s="87"/>
      <c r="M2108" s="14"/>
      <c r="N2108" s="14" t="s">
        <v>326</v>
      </c>
      <c r="O2108" s="14"/>
      <c r="P2108" s="15" t="s">
        <v>2775</v>
      </c>
      <c r="Q2108" s="16">
        <v>11799</v>
      </c>
      <c r="R2108" s="17">
        <v>79.849999999999994</v>
      </c>
      <c r="S2108" s="18">
        <v>2734.4354999999996</v>
      </c>
      <c r="T2108" s="19" t="s">
        <v>328</v>
      </c>
      <c r="U2108" s="20" t="s">
        <v>58</v>
      </c>
      <c r="V2108" s="21">
        <v>48</v>
      </c>
      <c r="W2108" s="21">
        <v>5</v>
      </c>
      <c r="X2108" s="22"/>
    </row>
    <row r="2109" spans="1:24" s="1" customFormat="1" ht="17.100000000000001" customHeight="1" x14ac:dyDescent="0.3">
      <c r="A2109" s="63">
        <v>4</v>
      </c>
      <c r="B2109" s="23" t="s">
        <v>2776</v>
      </c>
      <c r="C2109" s="12" t="s">
        <v>2777</v>
      </c>
      <c r="D2109" s="84"/>
      <c r="E2109" s="69" t="str">
        <f t="shared" si="72"/>
        <v>Еще фото</v>
      </c>
      <c r="F2109" s="13"/>
      <c r="G2109" s="23" t="s">
        <v>324</v>
      </c>
      <c r="H2109" s="23" t="s">
        <v>27</v>
      </c>
      <c r="I2109" s="23" t="s">
        <v>308</v>
      </c>
      <c r="J2109" s="14" t="s">
        <v>29</v>
      </c>
      <c r="K2109" s="15" t="s">
        <v>47</v>
      </c>
      <c r="L2109" s="87"/>
      <c r="M2109" s="14"/>
      <c r="N2109" s="14" t="s">
        <v>326</v>
      </c>
      <c r="O2109" s="14"/>
      <c r="P2109" s="15" t="s">
        <v>2775</v>
      </c>
      <c r="Q2109" s="16">
        <v>11799</v>
      </c>
      <c r="R2109" s="17">
        <v>79.849999999999994</v>
      </c>
      <c r="S2109" s="18">
        <v>2734.4354999999996</v>
      </c>
      <c r="T2109" s="19" t="s">
        <v>328</v>
      </c>
      <c r="U2109" s="20" t="s">
        <v>52</v>
      </c>
      <c r="V2109" s="21">
        <v>50</v>
      </c>
      <c r="W2109" s="21">
        <v>3</v>
      </c>
      <c r="X2109" s="22"/>
    </row>
    <row r="2110" spans="1:24" s="1" customFormat="1" ht="21.95" customHeight="1" x14ac:dyDescent="0.3">
      <c r="A2110" s="63">
        <v>4</v>
      </c>
      <c r="B2110" s="23" t="s">
        <v>2776</v>
      </c>
      <c r="C2110" s="12" t="s">
        <v>2777</v>
      </c>
      <c r="D2110" s="85"/>
      <c r="E2110" s="69" t="str">
        <f t="shared" si="72"/>
        <v>Еще фото</v>
      </c>
      <c r="F2110" s="13"/>
      <c r="G2110" s="23" t="s">
        <v>324</v>
      </c>
      <c r="H2110" s="23" t="s">
        <v>27</v>
      </c>
      <c r="I2110" s="23" t="s">
        <v>308</v>
      </c>
      <c r="J2110" s="14" t="s">
        <v>29</v>
      </c>
      <c r="K2110" s="15" t="s">
        <v>47</v>
      </c>
      <c r="L2110" s="88"/>
      <c r="M2110" s="14"/>
      <c r="N2110" s="14" t="s">
        <v>326</v>
      </c>
      <c r="O2110" s="14"/>
      <c r="P2110" s="15" t="s">
        <v>2775</v>
      </c>
      <c r="Q2110" s="16">
        <v>11799</v>
      </c>
      <c r="R2110" s="17">
        <v>79.849999999999994</v>
      </c>
      <c r="S2110" s="18">
        <v>2734.4354999999996</v>
      </c>
      <c r="T2110" s="19" t="s">
        <v>328</v>
      </c>
      <c r="U2110" s="20" t="s">
        <v>596</v>
      </c>
      <c r="V2110" s="21">
        <v>52</v>
      </c>
      <c r="W2110" s="21">
        <v>1</v>
      </c>
      <c r="X2110" s="22"/>
    </row>
    <row r="2111" spans="1:24" s="1" customFormat="1" ht="17.100000000000001" customHeight="1" x14ac:dyDescent="0.3">
      <c r="A2111" s="62">
        <v>4</v>
      </c>
      <c r="B2111" s="11" t="s">
        <v>2772</v>
      </c>
      <c r="C2111" s="12" t="s">
        <v>2779</v>
      </c>
      <c r="D2111" s="83"/>
      <c r="E2111" s="69" t="str">
        <f t="shared" ref="E2111:E2116" si="73">HYPERLINK("https://www.google.ru/search?q=4FAW23TDJAF238-20S&amp;newwindow=1&amp;tbm=isch","Еще фото")</f>
        <v>Еще фото</v>
      </c>
      <c r="F2111" s="13"/>
      <c r="G2111" s="11" t="s">
        <v>324</v>
      </c>
      <c r="H2111" s="11" t="s">
        <v>27</v>
      </c>
      <c r="I2111" s="14" t="s">
        <v>308</v>
      </c>
      <c r="J2111" s="14" t="s">
        <v>29</v>
      </c>
      <c r="K2111" s="15" t="s">
        <v>47</v>
      </c>
      <c r="L2111" s="86" t="s">
        <v>2774</v>
      </c>
      <c r="M2111" s="14"/>
      <c r="N2111" s="14" t="s">
        <v>49</v>
      </c>
      <c r="O2111" s="14"/>
      <c r="P2111" s="15" t="s">
        <v>2775</v>
      </c>
      <c r="Q2111" s="16">
        <v>18999</v>
      </c>
      <c r="R2111" s="17">
        <v>76.91</v>
      </c>
      <c r="S2111" s="18">
        <v>5045.9355000000005</v>
      </c>
      <c r="T2111" s="19" t="s">
        <v>328</v>
      </c>
      <c r="U2111" s="20" t="s">
        <v>354</v>
      </c>
      <c r="V2111" s="21">
        <v>42</v>
      </c>
      <c r="W2111" s="21">
        <v>7</v>
      </c>
      <c r="X2111" s="22"/>
    </row>
    <row r="2112" spans="1:24" s="1" customFormat="1" ht="17.100000000000001" customHeight="1" x14ac:dyDescent="0.3">
      <c r="A2112" s="63">
        <v>4</v>
      </c>
      <c r="B2112" s="23" t="s">
        <v>2772</v>
      </c>
      <c r="C2112" s="12" t="s">
        <v>2779</v>
      </c>
      <c r="D2112" s="84"/>
      <c r="E2112" s="69" t="str">
        <f t="shared" si="73"/>
        <v>Еще фото</v>
      </c>
      <c r="F2112" s="13"/>
      <c r="G2112" s="23" t="s">
        <v>324</v>
      </c>
      <c r="H2112" s="23" t="s">
        <v>27</v>
      </c>
      <c r="I2112" s="23" t="s">
        <v>308</v>
      </c>
      <c r="J2112" s="14" t="s">
        <v>29</v>
      </c>
      <c r="K2112" s="15" t="s">
        <v>47</v>
      </c>
      <c r="L2112" s="87"/>
      <c r="M2112" s="14"/>
      <c r="N2112" s="14" t="s">
        <v>49</v>
      </c>
      <c r="O2112" s="14"/>
      <c r="P2112" s="15" t="s">
        <v>2775</v>
      </c>
      <c r="Q2112" s="16">
        <v>18999</v>
      </c>
      <c r="R2112" s="17">
        <v>76.91</v>
      </c>
      <c r="S2112" s="18">
        <v>5045.9355000000005</v>
      </c>
      <c r="T2112" s="19" t="s">
        <v>328</v>
      </c>
      <c r="U2112" s="20" t="s">
        <v>64</v>
      </c>
      <c r="V2112" s="21">
        <v>44</v>
      </c>
      <c r="W2112" s="21">
        <v>16</v>
      </c>
      <c r="X2112" s="22"/>
    </row>
    <row r="2113" spans="1:24" s="1" customFormat="1" ht="17.100000000000001" customHeight="1" x14ac:dyDescent="0.3">
      <c r="A2113" s="63">
        <v>4</v>
      </c>
      <c r="B2113" s="23" t="s">
        <v>2772</v>
      </c>
      <c r="C2113" s="12" t="s">
        <v>2779</v>
      </c>
      <c r="D2113" s="84"/>
      <c r="E2113" s="69" t="str">
        <f t="shared" si="73"/>
        <v>Еще фото</v>
      </c>
      <c r="F2113" s="13"/>
      <c r="G2113" s="23" t="s">
        <v>324</v>
      </c>
      <c r="H2113" s="23" t="s">
        <v>27</v>
      </c>
      <c r="I2113" s="23" t="s">
        <v>308</v>
      </c>
      <c r="J2113" s="14" t="s">
        <v>29</v>
      </c>
      <c r="K2113" s="15" t="s">
        <v>47</v>
      </c>
      <c r="L2113" s="87"/>
      <c r="M2113" s="14"/>
      <c r="N2113" s="14" t="s">
        <v>49</v>
      </c>
      <c r="O2113" s="14"/>
      <c r="P2113" s="15" t="s">
        <v>2775</v>
      </c>
      <c r="Q2113" s="16">
        <v>18999</v>
      </c>
      <c r="R2113" s="17">
        <v>76.91</v>
      </c>
      <c r="S2113" s="18">
        <v>5045.9355000000005</v>
      </c>
      <c r="T2113" s="19" t="s">
        <v>328</v>
      </c>
      <c r="U2113" s="20" t="s">
        <v>66</v>
      </c>
      <c r="V2113" s="21">
        <v>46</v>
      </c>
      <c r="W2113" s="21">
        <v>29</v>
      </c>
      <c r="X2113" s="22"/>
    </row>
    <row r="2114" spans="1:24" s="1" customFormat="1" ht="17.100000000000001" customHeight="1" x14ac:dyDescent="0.3">
      <c r="A2114" s="63">
        <v>4</v>
      </c>
      <c r="B2114" s="23" t="s">
        <v>2772</v>
      </c>
      <c r="C2114" s="12" t="s">
        <v>2779</v>
      </c>
      <c r="D2114" s="84"/>
      <c r="E2114" s="69" t="str">
        <f t="shared" si="73"/>
        <v>Еще фото</v>
      </c>
      <c r="F2114" s="13"/>
      <c r="G2114" s="23" t="s">
        <v>324</v>
      </c>
      <c r="H2114" s="23" t="s">
        <v>27</v>
      </c>
      <c r="I2114" s="23" t="s">
        <v>308</v>
      </c>
      <c r="J2114" s="14" t="s">
        <v>29</v>
      </c>
      <c r="K2114" s="15" t="s">
        <v>47</v>
      </c>
      <c r="L2114" s="87"/>
      <c r="M2114" s="14"/>
      <c r="N2114" s="14" t="s">
        <v>49</v>
      </c>
      <c r="O2114" s="14"/>
      <c r="P2114" s="15" t="s">
        <v>2775</v>
      </c>
      <c r="Q2114" s="16">
        <v>18999</v>
      </c>
      <c r="R2114" s="17">
        <v>76.91</v>
      </c>
      <c r="S2114" s="18">
        <v>5045.9355000000005</v>
      </c>
      <c r="T2114" s="19" t="s">
        <v>328</v>
      </c>
      <c r="U2114" s="20" t="s">
        <v>58</v>
      </c>
      <c r="V2114" s="21">
        <v>48</v>
      </c>
      <c r="W2114" s="21">
        <v>21</v>
      </c>
      <c r="X2114" s="22"/>
    </row>
    <row r="2115" spans="1:24" s="1" customFormat="1" ht="17.100000000000001" customHeight="1" x14ac:dyDescent="0.3">
      <c r="A2115" s="63">
        <v>4</v>
      </c>
      <c r="B2115" s="23" t="s">
        <v>2772</v>
      </c>
      <c r="C2115" s="12" t="s">
        <v>2779</v>
      </c>
      <c r="D2115" s="84"/>
      <c r="E2115" s="69" t="str">
        <f t="shared" si="73"/>
        <v>Еще фото</v>
      </c>
      <c r="F2115" s="13"/>
      <c r="G2115" s="23" t="s">
        <v>324</v>
      </c>
      <c r="H2115" s="23" t="s">
        <v>27</v>
      </c>
      <c r="I2115" s="23" t="s">
        <v>308</v>
      </c>
      <c r="J2115" s="14" t="s">
        <v>29</v>
      </c>
      <c r="K2115" s="15" t="s">
        <v>47</v>
      </c>
      <c r="L2115" s="87"/>
      <c r="M2115" s="14"/>
      <c r="N2115" s="14" t="s">
        <v>49</v>
      </c>
      <c r="O2115" s="14"/>
      <c r="P2115" s="15" t="s">
        <v>2775</v>
      </c>
      <c r="Q2115" s="16">
        <v>18999</v>
      </c>
      <c r="R2115" s="17">
        <v>76.91</v>
      </c>
      <c r="S2115" s="18">
        <v>5045.9355000000005</v>
      </c>
      <c r="T2115" s="19" t="s">
        <v>328</v>
      </c>
      <c r="U2115" s="20" t="s">
        <v>52</v>
      </c>
      <c r="V2115" s="21">
        <v>50</v>
      </c>
      <c r="W2115" s="21">
        <v>8</v>
      </c>
      <c r="X2115" s="22"/>
    </row>
    <row r="2116" spans="1:24" s="1" customFormat="1" ht="21.95" customHeight="1" x14ac:dyDescent="0.3">
      <c r="A2116" s="63">
        <v>4</v>
      </c>
      <c r="B2116" s="23" t="s">
        <v>2772</v>
      </c>
      <c r="C2116" s="12" t="s">
        <v>2779</v>
      </c>
      <c r="D2116" s="85"/>
      <c r="E2116" s="69" t="str">
        <f t="shared" si="73"/>
        <v>Еще фото</v>
      </c>
      <c r="F2116" s="13"/>
      <c r="G2116" s="23" t="s">
        <v>324</v>
      </c>
      <c r="H2116" s="23" t="s">
        <v>27</v>
      </c>
      <c r="I2116" s="23" t="s">
        <v>308</v>
      </c>
      <c r="J2116" s="14" t="s">
        <v>29</v>
      </c>
      <c r="K2116" s="15" t="s">
        <v>47</v>
      </c>
      <c r="L2116" s="88"/>
      <c r="M2116" s="14"/>
      <c r="N2116" s="14" t="s">
        <v>49</v>
      </c>
      <c r="O2116" s="14"/>
      <c r="P2116" s="15" t="s">
        <v>2775</v>
      </c>
      <c r="Q2116" s="16">
        <v>18999</v>
      </c>
      <c r="R2116" s="17">
        <v>76.91</v>
      </c>
      <c r="S2116" s="18">
        <v>5045.9355000000005</v>
      </c>
      <c r="T2116" s="19" t="s">
        <v>328</v>
      </c>
      <c r="U2116" s="20" t="s">
        <v>596</v>
      </c>
      <c r="V2116" s="21">
        <v>52</v>
      </c>
      <c r="W2116" s="21">
        <v>2</v>
      </c>
      <c r="X2116" s="22"/>
    </row>
    <row r="2117" spans="1:24" s="1" customFormat="1" ht="35.1" customHeight="1" x14ac:dyDescent="0.3">
      <c r="A2117" s="62">
        <v>4</v>
      </c>
      <c r="B2117" s="11" t="s">
        <v>2769</v>
      </c>
      <c r="C2117" s="12" t="s">
        <v>2780</v>
      </c>
      <c r="D2117" s="83"/>
      <c r="E2117" s="69" t="str">
        <f>HYPERLINK("https://www.google.ru/search?q=4FAW23TDJAM246-20S&amp;newwindow=1&amp;tbm=isch","Еще фото")</f>
        <v>Еще фото</v>
      </c>
      <c r="F2117" s="13"/>
      <c r="G2117" s="11" t="s">
        <v>324</v>
      </c>
      <c r="H2117" s="11" t="s">
        <v>27</v>
      </c>
      <c r="I2117" s="14" t="s">
        <v>308</v>
      </c>
      <c r="J2117" s="14" t="s">
        <v>29</v>
      </c>
      <c r="K2117" s="15" t="s">
        <v>55</v>
      </c>
      <c r="L2117" s="86" t="s">
        <v>2771</v>
      </c>
      <c r="M2117" s="14"/>
      <c r="N2117" s="14" t="s">
        <v>49</v>
      </c>
      <c r="O2117" s="14"/>
      <c r="P2117" s="15" t="s">
        <v>108</v>
      </c>
      <c r="Q2117" s="16">
        <v>16999</v>
      </c>
      <c r="R2117" s="17">
        <v>76.84</v>
      </c>
      <c r="S2117" s="18">
        <v>4528.4354999999996</v>
      </c>
      <c r="T2117" s="19" t="s">
        <v>328</v>
      </c>
      <c r="U2117" s="20" t="s">
        <v>64</v>
      </c>
      <c r="V2117" s="21">
        <v>46</v>
      </c>
      <c r="W2117" s="21">
        <v>7</v>
      </c>
      <c r="X2117" s="22"/>
    </row>
    <row r="2118" spans="1:24" s="1" customFormat="1" ht="35.1" customHeight="1" x14ac:dyDescent="0.3">
      <c r="A2118" s="63">
        <v>4</v>
      </c>
      <c r="B2118" s="23" t="s">
        <v>2769</v>
      </c>
      <c r="C2118" s="12" t="s">
        <v>2780</v>
      </c>
      <c r="D2118" s="84"/>
      <c r="E2118" s="69" t="str">
        <f>HYPERLINK("https://www.google.ru/search?q=4FAW23TDJAM246-20S&amp;newwindow=1&amp;tbm=isch","Еще фото")</f>
        <v>Еще фото</v>
      </c>
      <c r="F2118" s="13"/>
      <c r="G2118" s="23" t="s">
        <v>324</v>
      </c>
      <c r="H2118" s="23" t="s">
        <v>27</v>
      </c>
      <c r="I2118" s="23" t="s">
        <v>308</v>
      </c>
      <c r="J2118" s="14" t="s">
        <v>29</v>
      </c>
      <c r="K2118" s="15" t="s">
        <v>55</v>
      </c>
      <c r="L2118" s="87"/>
      <c r="M2118" s="14"/>
      <c r="N2118" s="14" t="s">
        <v>49</v>
      </c>
      <c r="O2118" s="14"/>
      <c r="P2118" s="15" t="s">
        <v>108</v>
      </c>
      <c r="Q2118" s="16">
        <v>16999</v>
      </c>
      <c r="R2118" s="17">
        <v>76.84</v>
      </c>
      <c r="S2118" s="18">
        <v>4528.4354999999996</v>
      </c>
      <c r="T2118" s="19" t="s">
        <v>328</v>
      </c>
      <c r="U2118" s="20" t="s">
        <v>66</v>
      </c>
      <c r="V2118" s="21">
        <v>48</v>
      </c>
      <c r="W2118" s="21">
        <v>8</v>
      </c>
      <c r="X2118" s="22"/>
    </row>
    <row r="2119" spans="1:24" s="1" customFormat="1" ht="36.950000000000003" customHeight="1" x14ac:dyDescent="0.3">
      <c r="A2119" s="63">
        <v>4</v>
      </c>
      <c r="B2119" s="23" t="s">
        <v>2769</v>
      </c>
      <c r="C2119" s="12" t="s">
        <v>2780</v>
      </c>
      <c r="D2119" s="85"/>
      <c r="E2119" s="69" t="str">
        <f>HYPERLINK("https://www.google.ru/search?q=4FAW23TDJAM246-20S&amp;newwindow=1&amp;tbm=isch","Еще фото")</f>
        <v>Еще фото</v>
      </c>
      <c r="F2119" s="13"/>
      <c r="G2119" s="23" t="s">
        <v>324</v>
      </c>
      <c r="H2119" s="23" t="s">
        <v>27</v>
      </c>
      <c r="I2119" s="23" t="s">
        <v>308</v>
      </c>
      <c r="J2119" s="14" t="s">
        <v>29</v>
      </c>
      <c r="K2119" s="15" t="s">
        <v>55</v>
      </c>
      <c r="L2119" s="88"/>
      <c r="M2119" s="14"/>
      <c r="N2119" s="14" t="s">
        <v>49</v>
      </c>
      <c r="O2119" s="14"/>
      <c r="P2119" s="15" t="s">
        <v>108</v>
      </c>
      <c r="Q2119" s="16">
        <v>16999</v>
      </c>
      <c r="R2119" s="17">
        <v>76.84</v>
      </c>
      <c r="S2119" s="18">
        <v>4528.4354999999996</v>
      </c>
      <c r="T2119" s="19" t="s">
        <v>328</v>
      </c>
      <c r="U2119" s="20" t="s">
        <v>58</v>
      </c>
      <c r="V2119" s="21">
        <v>50</v>
      </c>
      <c r="W2119" s="21">
        <v>15</v>
      </c>
      <c r="X2119" s="22"/>
    </row>
    <row r="2120" spans="1:24" s="1" customFormat="1" ht="51.95" customHeight="1" x14ac:dyDescent="0.3">
      <c r="A2120" s="62">
        <v>4</v>
      </c>
      <c r="B2120" s="11" t="s">
        <v>2781</v>
      </c>
      <c r="C2120" s="12" t="s">
        <v>2782</v>
      </c>
      <c r="D2120" s="89"/>
      <c r="E2120" s="69" t="str">
        <f>HYPERLINK("https://www.google.ru/search?q=H4Z22-KUMP010-74S&amp;newwindow=1&amp;tbm=isch","Еще фото")</f>
        <v>Еще фото</v>
      </c>
      <c r="F2120" s="13"/>
      <c r="G2120" s="11" t="s">
        <v>324</v>
      </c>
      <c r="H2120" s="11" t="s">
        <v>27</v>
      </c>
      <c r="I2120" s="14" t="s">
        <v>308</v>
      </c>
      <c r="J2120" s="14" t="s">
        <v>29</v>
      </c>
      <c r="K2120" s="15" t="s">
        <v>55</v>
      </c>
      <c r="L2120" s="86" t="s">
        <v>2783</v>
      </c>
      <c r="M2120" s="14"/>
      <c r="N2120" s="14" t="s">
        <v>154</v>
      </c>
      <c r="O2120" s="14"/>
      <c r="P2120" s="15" t="s">
        <v>2768</v>
      </c>
      <c r="Q2120" s="16">
        <v>12499</v>
      </c>
      <c r="R2120" s="17">
        <v>76.819999999999993</v>
      </c>
      <c r="S2120" s="18">
        <v>3332.4354999999996</v>
      </c>
      <c r="T2120" s="19" t="s">
        <v>328</v>
      </c>
      <c r="U2120" s="20" t="s">
        <v>66</v>
      </c>
      <c r="V2120" s="21">
        <v>48</v>
      </c>
      <c r="W2120" s="21">
        <v>1</v>
      </c>
      <c r="X2120" s="22"/>
    </row>
    <row r="2121" spans="1:24" s="1" customFormat="1" ht="60.95" customHeight="1" x14ac:dyDescent="0.3">
      <c r="A2121" s="63">
        <v>4</v>
      </c>
      <c r="B2121" s="23" t="s">
        <v>2781</v>
      </c>
      <c r="C2121" s="12" t="s">
        <v>2782</v>
      </c>
      <c r="D2121" s="90"/>
      <c r="E2121" s="69" t="str">
        <f>HYPERLINK("https://www.google.ru/search?q=H4Z22-KUMP010-74S&amp;newwindow=1&amp;tbm=isch","Еще фото")</f>
        <v>Еще фото</v>
      </c>
      <c r="F2121" s="13"/>
      <c r="G2121" s="23" t="s">
        <v>324</v>
      </c>
      <c r="H2121" s="23" t="s">
        <v>27</v>
      </c>
      <c r="I2121" s="23" t="s">
        <v>308</v>
      </c>
      <c r="J2121" s="14" t="s">
        <v>29</v>
      </c>
      <c r="K2121" s="15" t="s">
        <v>55</v>
      </c>
      <c r="L2121" s="88"/>
      <c r="M2121" s="14"/>
      <c r="N2121" s="14" t="s">
        <v>154</v>
      </c>
      <c r="O2121" s="14"/>
      <c r="P2121" s="15" t="s">
        <v>2768</v>
      </c>
      <c r="Q2121" s="16">
        <v>12499</v>
      </c>
      <c r="R2121" s="17">
        <v>76.819999999999993</v>
      </c>
      <c r="S2121" s="18">
        <v>3332.4354999999996</v>
      </c>
      <c r="T2121" s="19" t="s">
        <v>328</v>
      </c>
      <c r="U2121" s="20" t="s">
        <v>58</v>
      </c>
      <c r="V2121" s="21">
        <v>50</v>
      </c>
      <c r="W2121" s="21">
        <v>1</v>
      </c>
      <c r="X2121" s="22"/>
    </row>
    <row r="2122" spans="1:24" s="1" customFormat="1" ht="35.1" customHeight="1" x14ac:dyDescent="0.3">
      <c r="A2122" s="62">
        <v>4</v>
      </c>
      <c r="B2122" s="11" t="s">
        <v>2781</v>
      </c>
      <c r="C2122" s="12" t="s">
        <v>2784</v>
      </c>
      <c r="D2122" s="83"/>
      <c r="E2122" s="69" t="str">
        <f>HYPERLINK("https://www.google.ru/search?q=H4Z22-KUMP009-61S&amp;newwindow=1&amp;tbm=isch","Еще фото")</f>
        <v>Еще фото</v>
      </c>
      <c r="F2122" s="13"/>
      <c r="G2122" s="11" t="s">
        <v>324</v>
      </c>
      <c r="H2122" s="11" t="s">
        <v>27</v>
      </c>
      <c r="I2122" s="14" t="s">
        <v>308</v>
      </c>
      <c r="J2122" s="14" t="s">
        <v>29</v>
      </c>
      <c r="K2122" s="15" t="s">
        <v>55</v>
      </c>
      <c r="L2122" s="86" t="s">
        <v>2785</v>
      </c>
      <c r="M2122" s="14"/>
      <c r="N2122" s="14" t="s">
        <v>116</v>
      </c>
      <c r="O2122" s="14"/>
      <c r="P2122" s="15" t="s">
        <v>2768</v>
      </c>
      <c r="Q2122" s="16">
        <v>7599</v>
      </c>
      <c r="R2122" s="17">
        <v>76.61</v>
      </c>
      <c r="S2122" s="18">
        <v>2044.4354999999998</v>
      </c>
      <c r="T2122" s="19" t="s">
        <v>328</v>
      </c>
      <c r="U2122" s="20" t="s">
        <v>64</v>
      </c>
      <c r="V2122" s="21">
        <v>46</v>
      </c>
      <c r="W2122" s="21">
        <v>1</v>
      </c>
      <c r="X2122" s="22"/>
    </row>
    <row r="2123" spans="1:24" s="1" customFormat="1" ht="35.1" customHeight="1" x14ac:dyDescent="0.3">
      <c r="A2123" s="63">
        <v>4</v>
      </c>
      <c r="B2123" s="23" t="s">
        <v>2781</v>
      </c>
      <c r="C2123" s="12" t="s">
        <v>2784</v>
      </c>
      <c r="D2123" s="84"/>
      <c r="E2123" s="69" t="str">
        <f>HYPERLINK("https://www.google.ru/search?q=H4Z22-KUMP009-61S&amp;newwindow=1&amp;tbm=isch","Еще фото")</f>
        <v>Еще фото</v>
      </c>
      <c r="F2123" s="13"/>
      <c r="G2123" s="23" t="s">
        <v>324</v>
      </c>
      <c r="H2123" s="23" t="s">
        <v>27</v>
      </c>
      <c r="I2123" s="23" t="s">
        <v>308</v>
      </c>
      <c r="J2123" s="14" t="s">
        <v>29</v>
      </c>
      <c r="K2123" s="15" t="s">
        <v>55</v>
      </c>
      <c r="L2123" s="87"/>
      <c r="M2123" s="14"/>
      <c r="N2123" s="14" t="s">
        <v>116</v>
      </c>
      <c r="O2123" s="14"/>
      <c r="P2123" s="15" t="s">
        <v>2768</v>
      </c>
      <c r="Q2123" s="16">
        <v>7599</v>
      </c>
      <c r="R2123" s="17">
        <v>76.61</v>
      </c>
      <c r="S2123" s="18">
        <v>2044.4354999999998</v>
      </c>
      <c r="T2123" s="19" t="s">
        <v>328</v>
      </c>
      <c r="U2123" s="20" t="s">
        <v>66</v>
      </c>
      <c r="V2123" s="21">
        <v>48</v>
      </c>
      <c r="W2123" s="21">
        <v>2</v>
      </c>
      <c r="X2123" s="22"/>
    </row>
    <row r="2124" spans="1:24" s="1" customFormat="1" ht="36.950000000000003" customHeight="1" x14ac:dyDescent="0.3">
      <c r="A2124" s="63">
        <v>4</v>
      </c>
      <c r="B2124" s="23" t="s">
        <v>2781</v>
      </c>
      <c r="C2124" s="12" t="s">
        <v>2784</v>
      </c>
      <c r="D2124" s="85"/>
      <c r="E2124" s="69" t="str">
        <f>HYPERLINK("https://www.google.ru/search?q=H4Z22-KUMP009-61S&amp;newwindow=1&amp;tbm=isch","Еще фото")</f>
        <v>Еще фото</v>
      </c>
      <c r="F2124" s="13"/>
      <c r="G2124" s="23" t="s">
        <v>324</v>
      </c>
      <c r="H2124" s="23" t="s">
        <v>27</v>
      </c>
      <c r="I2124" s="23" t="s">
        <v>308</v>
      </c>
      <c r="J2124" s="14" t="s">
        <v>29</v>
      </c>
      <c r="K2124" s="15" t="s">
        <v>55</v>
      </c>
      <c r="L2124" s="88"/>
      <c r="M2124" s="14"/>
      <c r="N2124" s="14" t="s">
        <v>116</v>
      </c>
      <c r="O2124" s="14"/>
      <c r="P2124" s="15" t="s">
        <v>2768</v>
      </c>
      <c r="Q2124" s="16">
        <v>7599</v>
      </c>
      <c r="R2124" s="17">
        <v>76.61</v>
      </c>
      <c r="S2124" s="18">
        <v>2044.4354999999998</v>
      </c>
      <c r="T2124" s="19" t="s">
        <v>328</v>
      </c>
      <c r="U2124" s="20" t="s">
        <v>58</v>
      </c>
      <c r="V2124" s="21">
        <v>50</v>
      </c>
      <c r="W2124" s="21">
        <v>3</v>
      </c>
      <c r="X2124" s="22"/>
    </row>
    <row r="2125" spans="1:24" s="1" customFormat="1" ht="26.1" customHeight="1" x14ac:dyDescent="0.3">
      <c r="A2125" s="62">
        <v>4</v>
      </c>
      <c r="B2125" s="11" t="s">
        <v>2769</v>
      </c>
      <c r="C2125" s="12" t="s">
        <v>2786</v>
      </c>
      <c r="D2125" s="83"/>
      <c r="E2125" s="69" t="str">
        <f>HYPERLINK("https://www.google.ru/search?q=4FAW23TDJAM246-82S&amp;newwindow=1&amp;tbm=isch","Еще фото")</f>
        <v>Еще фото</v>
      </c>
      <c r="F2125" s="13"/>
      <c r="G2125" s="11" t="s">
        <v>324</v>
      </c>
      <c r="H2125" s="11" t="s">
        <v>27</v>
      </c>
      <c r="I2125" s="14" t="s">
        <v>308</v>
      </c>
      <c r="J2125" s="14" t="s">
        <v>29</v>
      </c>
      <c r="K2125" s="15" t="s">
        <v>55</v>
      </c>
      <c r="L2125" s="86" t="s">
        <v>2771</v>
      </c>
      <c r="M2125" s="14"/>
      <c r="N2125" s="14" t="s">
        <v>2763</v>
      </c>
      <c r="O2125" s="14"/>
      <c r="P2125" s="15" t="s">
        <v>108</v>
      </c>
      <c r="Q2125" s="16">
        <v>16999</v>
      </c>
      <c r="R2125" s="17">
        <v>75.13</v>
      </c>
      <c r="S2125" s="18">
        <v>4861.9355000000005</v>
      </c>
      <c r="T2125" s="19" t="s">
        <v>328</v>
      </c>
      <c r="U2125" s="20" t="s">
        <v>64</v>
      </c>
      <c r="V2125" s="21">
        <v>46</v>
      </c>
      <c r="W2125" s="21">
        <v>16</v>
      </c>
      <c r="X2125" s="22"/>
    </row>
    <row r="2126" spans="1:24" s="1" customFormat="1" ht="26.1" customHeight="1" x14ac:dyDescent="0.3">
      <c r="A2126" s="63">
        <v>4</v>
      </c>
      <c r="B2126" s="23" t="s">
        <v>2769</v>
      </c>
      <c r="C2126" s="12" t="s">
        <v>2786</v>
      </c>
      <c r="D2126" s="84"/>
      <c r="E2126" s="69" t="str">
        <f>HYPERLINK("https://www.google.ru/search?q=4FAW23TDJAM246-82S&amp;newwindow=1&amp;tbm=isch","Еще фото")</f>
        <v>Еще фото</v>
      </c>
      <c r="F2126" s="13"/>
      <c r="G2126" s="23" t="s">
        <v>324</v>
      </c>
      <c r="H2126" s="23" t="s">
        <v>27</v>
      </c>
      <c r="I2126" s="23" t="s">
        <v>308</v>
      </c>
      <c r="J2126" s="14" t="s">
        <v>29</v>
      </c>
      <c r="K2126" s="15" t="s">
        <v>55</v>
      </c>
      <c r="L2126" s="87"/>
      <c r="M2126" s="14"/>
      <c r="N2126" s="14" t="s">
        <v>2763</v>
      </c>
      <c r="O2126" s="14"/>
      <c r="P2126" s="15" t="s">
        <v>108</v>
      </c>
      <c r="Q2126" s="16">
        <v>16999</v>
      </c>
      <c r="R2126" s="17">
        <v>75.13</v>
      </c>
      <c r="S2126" s="18">
        <v>4861.9355000000005</v>
      </c>
      <c r="T2126" s="19" t="s">
        <v>328</v>
      </c>
      <c r="U2126" s="20" t="s">
        <v>66</v>
      </c>
      <c r="V2126" s="21">
        <v>48</v>
      </c>
      <c r="W2126" s="21">
        <v>24</v>
      </c>
      <c r="X2126" s="22"/>
    </row>
    <row r="2127" spans="1:24" s="1" customFormat="1" ht="26.1" customHeight="1" x14ac:dyDescent="0.3">
      <c r="A2127" s="63">
        <v>4</v>
      </c>
      <c r="B2127" s="23" t="s">
        <v>2769</v>
      </c>
      <c r="C2127" s="12" t="s">
        <v>2786</v>
      </c>
      <c r="D2127" s="84"/>
      <c r="E2127" s="69" t="str">
        <f>HYPERLINK("https://www.google.ru/search?q=4FAW23TDJAM246-82S&amp;newwindow=1&amp;tbm=isch","Еще фото")</f>
        <v>Еще фото</v>
      </c>
      <c r="F2127" s="13"/>
      <c r="G2127" s="23" t="s">
        <v>324</v>
      </c>
      <c r="H2127" s="23" t="s">
        <v>27</v>
      </c>
      <c r="I2127" s="23" t="s">
        <v>308</v>
      </c>
      <c r="J2127" s="14" t="s">
        <v>29</v>
      </c>
      <c r="K2127" s="15" t="s">
        <v>55</v>
      </c>
      <c r="L2127" s="87"/>
      <c r="M2127" s="14"/>
      <c r="N2127" s="14" t="s">
        <v>2763</v>
      </c>
      <c r="O2127" s="14"/>
      <c r="P2127" s="15" t="s">
        <v>108</v>
      </c>
      <c r="Q2127" s="16">
        <v>16999</v>
      </c>
      <c r="R2127" s="17">
        <v>75.13</v>
      </c>
      <c r="S2127" s="18">
        <v>4861.9355000000005</v>
      </c>
      <c r="T2127" s="19" t="s">
        <v>328</v>
      </c>
      <c r="U2127" s="20" t="s">
        <v>58</v>
      </c>
      <c r="V2127" s="21">
        <v>50</v>
      </c>
      <c r="W2127" s="21">
        <v>11</v>
      </c>
      <c r="X2127" s="22"/>
    </row>
    <row r="2128" spans="1:24" s="1" customFormat="1" ht="26.1" customHeight="1" x14ac:dyDescent="0.3">
      <c r="A2128" s="63">
        <v>4</v>
      </c>
      <c r="B2128" s="23" t="s">
        <v>2769</v>
      </c>
      <c r="C2128" s="12" t="s">
        <v>2786</v>
      </c>
      <c r="D2128" s="85"/>
      <c r="E2128" s="69" t="str">
        <f>HYPERLINK("https://www.google.ru/search?q=4FAW23TDJAM246-82S&amp;newwindow=1&amp;tbm=isch","Еще фото")</f>
        <v>Еще фото</v>
      </c>
      <c r="F2128" s="13"/>
      <c r="G2128" s="23" t="s">
        <v>324</v>
      </c>
      <c r="H2128" s="23" t="s">
        <v>27</v>
      </c>
      <c r="I2128" s="23" t="s">
        <v>308</v>
      </c>
      <c r="J2128" s="14" t="s">
        <v>29</v>
      </c>
      <c r="K2128" s="15" t="s">
        <v>55</v>
      </c>
      <c r="L2128" s="88"/>
      <c r="M2128" s="14"/>
      <c r="N2128" s="14" t="s">
        <v>2763</v>
      </c>
      <c r="O2128" s="14"/>
      <c r="P2128" s="15" t="s">
        <v>108</v>
      </c>
      <c r="Q2128" s="16">
        <v>16999</v>
      </c>
      <c r="R2128" s="17">
        <v>75.13</v>
      </c>
      <c r="S2128" s="18">
        <v>4861.9355000000005</v>
      </c>
      <c r="T2128" s="19" t="s">
        <v>328</v>
      </c>
      <c r="U2128" s="20" t="s">
        <v>52</v>
      </c>
      <c r="V2128" s="21">
        <v>52</v>
      </c>
      <c r="W2128" s="21">
        <v>2</v>
      </c>
      <c r="X2128" s="22"/>
    </row>
    <row r="2129" spans="1:24" s="1" customFormat="1" ht="26.1" customHeight="1" x14ac:dyDescent="0.3">
      <c r="A2129" s="62">
        <v>4</v>
      </c>
      <c r="B2129" s="11" t="s">
        <v>2755</v>
      </c>
      <c r="C2129" s="12" t="s">
        <v>2787</v>
      </c>
      <c r="D2129" s="83"/>
      <c r="E2129" s="69" t="str">
        <f>HYPERLINK("https://www.google.ru/search?q=4FAW23TDJAM249-20S&amp;newwindow=1&amp;tbm=isch","Еще фото")</f>
        <v>Еще фото</v>
      </c>
      <c r="F2129" s="13"/>
      <c r="G2129" s="11" t="s">
        <v>324</v>
      </c>
      <c r="H2129" s="11" t="s">
        <v>27</v>
      </c>
      <c r="I2129" s="14" t="s">
        <v>308</v>
      </c>
      <c r="J2129" s="14" t="s">
        <v>29</v>
      </c>
      <c r="K2129" s="15" t="s">
        <v>55</v>
      </c>
      <c r="L2129" s="86" t="s">
        <v>2757</v>
      </c>
      <c r="M2129" s="14"/>
      <c r="N2129" s="14" t="s">
        <v>49</v>
      </c>
      <c r="O2129" s="14"/>
      <c r="P2129" s="15" t="s">
        <v>108</v>
      </c>
      <c r="Q2129" s="16">
        <v>14999</v>
      </c>
      <c r="R2129" s="17">
        <v>71.209999999999994</v>
      </c>
      <c r="S2129" s="18">
        <v>4965.4355000000005</v>
      </c>
      <c r="T2129" s="19" t="s">
        <v>328</v>
      </c>
      <c r="U2129" s="20" t="s">
        <v>64</v>
      </c>
      <c r="V2129" s="21">
        <v>46</v>
      </c>
      <c r="W2129" s="21">
        <v>8</v>
      </c>
      <c r="X2129" s="22"/>
    </row>
    <row r="2130" spans="1:24" s="1" customFormat="1" ht="26.1" customHeight="1" x14ac:dyDescent="0.3">
      <c r="A2130" s="63">
        <v>4</v>
      </c>
      <c r="B2130" s="23" t="s">
        <v>2755</v>
      </c>
      <c r="C2130" s="12" t="s">
        <v>2787</v>
      </c>
      <c r="D2130" s="84"/>
      <c r="E2130" s="69" t="str">
        <f>HYPERLINK("https://www.google.ru/search?q=4FAW23TDJAM249-20S&amp;newwindow=1&amp;tbm=isch","Еще фото")</f>
        <v>Еще фото</v>
      </c>
      <c r="F2130" s="13"/>
      <c r="G2130" s="23" t="s">
        <v>324</v>
      </c>
      <c r="H2130" s="23" t="s">
        <v>27</v>
      </c>
      <c r="I2130" s="23" t="s">
        <v>308</v>
      </c>
      <c r="J2130" s="14" t="s">
        <v>29</v>
      </c>
      <c r="K2130" s="15" t="s">
        <v>55</v>
      </c>
      <c r="L2130" s="87"/>
      <c r="M2130" s="14"/>
      <c r="N2130" s="14" t="s">
        <v>49</v>
      </c>
      <c r="O2130" s="14"/>
      <c r="P2130" s="15" t="s">
        <v>108</v>
      </c>
      <c r="Q2130" s="16">
        <v>14999</v>
      </c>
      <c r="R2130" s="17">
        <v>71.209999999999994</v>
      </c>
      <c r="S2130" s="18">
        <v>4965.4355000000005</v>
      </c>
      <c r="T2130" s="19" t="s">
        <v>328</v>
      </c>
      <c r="U2130" s="20" t="s">
        <v>66</v>
      </c>
      <c r="V2130" s="21">
        <v>48</v>
      </c>
      <c r="W2130" s="21">
        <v>14</v>
      </c>
      <c r="X2130" s="22"/>
    </row>
    <row r="2131" spans="1:24" s="1" customFormat="1" ht="26.1" customHeight="1" x14ac:dyDescent="0.3">
      <c r="A2131" s="63">
        <v>4</v>
      </c>
      <c r="B2131" s="23" t="s">
        <v>2755</v>
      </c>
      <c r="C2131" s="12" t="s">
        <v>2787</v>
      </c>
      <c r="D2131" s="84"/>
      <c r="E2131" s="69" t="str">
        <f>HYPERLINK("https://www.google.ru/search?q=4FAW23TDJAM249-20S&amp;newwindow=1&amp;tbm=isch","Еще фото")</f>
        <v>Еще фото</v>
      </c>
      <c r="F2131" s="13"/>
      <c r="G2131" s="23" t="s">
        <v>324</v>
      </c>
      <c r="H2131" s="23" t="s">
        <v>27</v>
      </c>
      <c r="I2131" s="23" t="s">
        <v>308</v>
      </c>
      <c r="J2131" s="14" t="s">
        <v>29</v>
      </c>
      <c r="K2131" s="15" t="s">
        <v>55</v>
      </c>
      <c r="L2131" s="87"/>
      <c r="M2131" s="14"/>
      <c r="N2131" s="14" t="s">
        <v>49</v>
      </c>
      <c r="O2131" s="14"/>
      <c r="P2131" s="15" t="s">
        <v>108</v>
      </c>
      <c r="Q2131" s="16">
        <v>14999</v>
      </c>
      <c r="R2131" s="17">
        <v>71.209999999999994</v>
      </c>
      <c r="S2131" s="18">
        <v>4965.4355000000005</v>
      </c>
      <c r="T2131" s="19" t="s">
        <v>328</v>
      </c>
      <c r="U2131" s="20" t="s">
        <v>58</v>
      </c>
      <c r="V2131" s="21">
        <v>50</v>
      </c>
      <c r="W2131" s="21">
        <v>8</v>
      </c>
      <c r="X2131" s="22"/>
    </row>
    <row r="2132" spans="1:24" s="1" customFormat="1" ht="26.1" customHeight="1" x14ac:dyDescent="0.3">
      <c r="A2132" s="63">
        <v>4</v>
      </c>
      <c r="B2132" s="23" t="s">
        <v>2755</v>
      </c>
      <c r="C2132" s="12" t="s">
        <v>2787</v>
      </c>
      <c r="D2132" s="85"/>
      <c r="E2132" s="69" t="str">
        <f>HYPERLINK("https://www.google.ru/search?q=4FAW23TDJAM249-20S&amp;newwindow=1&amp;tbm=isch","Еще фото")</f>
        <v>Еще фото</v>
      </c>
      <c r="F2132" s="13"/>
      <c r="G2132" s="23" t="s">
        <v>324</v>
      </c>
      <c r="H2132" s="23" t="s">
        <v>27</v>
      </c>
      <c r="I2132" s="23" t="s">
        <v>308</v>
      </c>
      <c r="J2132" s="14" t="s">
        <v>29</v>
      </c>
      <c r="K2132" s="15" t="s">
        <v>55</v>
      </c>
      <c r="L2132" s="88"/>
      <c r="M2132" s="14"/>
      <c r="N2132" s="14" t="s">
        <v>49</v>
      </c>
      <c r="O2132" s="14"/>
      <c r="P2132" s="15" t="s">
        <v>108</v>
      </c>
      <c r="Q2132" s="16">
        <v>14999</v>
      </c>
      <c r="R2132" s="17">
        <v>71.209999999999994</v>
      </c>
      <c r="S2132" s="18">
        <v>4965.4355000000005</v>
      </c>
      <c r="T2132" s="19" t="s">
        <v>328</v>
      </c>
      <c r="U2132" s="20" t="s">
        <v>52</v>
      </c>
      <c r="V2132" s="21">
        <v>52</v>
      </c>
      <c r="W2132" s="21">
        <v>1</v>
      </c>
      <c r="X2132" s="22"/>
    </row>
    <row r="2133" spans="1:24" s="1" customFormat="1" ht="108" customHeight="1" x14ac:dyDescent="0.3">
      <c r="A2133" s="62">
        <v>4</v>
      </c>
      <c r="B2133" s="11" t="s">
        <v>2788</v>
      </c>
      <c r="C2133" s="12" t="s">
        <v>2789</v>
      </c>
      <c r="D2133" s="24"/>
      <c r="E2133" s="69" t="str">
        <f>HYPERLINK("https://www.google.ru/search?q=4FAW23TTJAF363-20S&amp;newwindow=1&amp;tbm=isch","Еще фото")</f>
        <v>Еще фото</v>
      </c>
      <c r="F2133" s="13"/>
      <c r="G2133" s="11" t="s">
        <v>307</v>
      </c>
      <c r="H2133" s="11" t="s">
        <v>27</v>
      </c>
      <c r="I2133" s="14" t="s">
        <v>308</v>
      </c>
      <c r="J2133" s="14" t="s">
        <v>29</v>
      </c>
      <c r="K2133" s="15" t="s">
        <v>47</v>
      </c>
      <c r="L2133" s="14" t="s">
        <v>2790</v>
      </c>
      <c r="M2133" s="14"/>
      <c r="N2133" s="14" t="s">
        <v>49</v>
      </c>
      <c r="O2133" s="14"/>
      <c r="P2133" s="15" t="s">
        <v>108</v>
      </c>
      <c r="Q2133" s="16">
        <v>10299</v>
      </c>
      <c r="R2133" s="17">
        <v>71.180000000000007</v>
      </c>
      <c r="S2133" s="18">
        <v>3412.9354999999996</v>
      </c>
      <c r="T2133" s="19" t="s">
        <v>328</v>
      </c>
      <c r="U2133" s="20" t="s">
        <v>58</v>
      </c>
      <c r="V2133" s="21">
        <v>48</v>
      </c>
      <c r="W2133" s="21">
        <v>4</v>
      </c>
      <c r="X2133" s="22"/>
    </row>
    <row r="2134" spans="1:24" s="1" customFormat="1" ht="21" customHeight="1" x14ac:dyDescent="0.3">
      <c r="A2134" s="62">
        <v>4</v>
      </c>
      <c r="B2134" s="11" t="s">
        <v>2776</v>
      </c>
      <c r="C2134" s="27" t="s">
        <v>2791</v>
      </c>
      <c r="D2134" s="83"/>
      <c r="E2134" s="69" t="str">
        <f>HYPERLINK("https://www.google.ru/search?q=4FAW23TDJAF230-55S&amp;newwindow=1&amp;tbm=isch","Еще фото")</f>
        <v>Еще фото</v>
      </c>
      <c r="F2134" s="13"/>
      <c r="G2134" s="11" t="s">
        <v>324</v>
      </c>
      <c r="H2134" s="11" t="s">
        <v>27</v>
      </c>
      <c r="I2134" s="14" t="s">
        <v>308</v>
      </c>
      <c r="J2134" s="14" t="s">
        <v>29</v>
      </c>
      <c r="K2134" s="15" t="s">
        <v>47</v>
      </c>
      <c r="L2134" s="86" t="s">
        <v>2778</v>
      </c>
      <c r="M2134" s="14"/>
      <c r="N2134" s="14" t="s">
        <v>2792</v>
      </c>
      <c r="O2134" s="14"/>
      <c r="P2134" s="15" t="s">
        <v>2775</v>
      </c>
      <c r="Q2134" s="16">
        <v>11799</v>
      </c>
      <c r="R2134" s="17">
        <v>71.12</v>
      </c>
      <c r="S2134" s="18">
        <v>3918.9354999999996</v>
      </c>
      <c r="T2134" s="19" t="s">
        <v>328</v>
      </c>
      <c r="U2134" s="20" t="s">
        <v>354</v>
      </c>
      <c r="V2134" s="21">
        <v>42</v>
      </c>
      <c r="W2134" s="21">
        <v>2</v>
      </c>
      <c r="X2134" s="22"/>
    </row>
    <row r="2135" spans="1:24" s="1" customFormat="1" ht="21" customHeight="1" x14ac:dyDescent="0.3">
      <c r="A2135" s="63">
        <v>4</v>
      </c>
      <c r="B2135" s="23" t="s">
        <v>2776</v>
      </c>
      <c r="C2135" s="28" t="s">
        <v>2791</v>
      </c>
      <c r="D2135" s="84"/>
      <c r="E2135" s="69" t="str">
        <f>HYPERLINK("https://www.google.ru/search?q=4FAW23TDJAF230-55S&amp;newwindow=1&amp;tbm=isch","Еще фото")</f>
        <v>Еще фото</v>
      </c>
      <c r="F2135" s="13"/>
      <c r="G2135" s="23" t="s">
        <v>324</v>
      </c>
      <c r="H2135" s="23" t="s">
        <v>27</v>
      </c>
      <c r="I2135" s="23" t="s">
        <v>308</v>
      </c>
      <c r="J2135" s="14" t="s">
        <v>29</v>
      </c>
      <c r="K2135" s="15" t="s">
        <v>47</v>
      </c>
      <c r="L2135" s="87"/>
      <c r="M2135" s="14"/>
      <c r="N2135" s="14" t="s">
        <v>2792</v>
      </c>
      <c r="O2135" s="14"/>
      <c r="P2135" s="15" t="s">
        <v>2775</v>
      </c>
      <c r="Q2135" s="16">
        <v>11799</v>
      </c>
      <c r="R2135" s="17">
        <v>71.12</v>
      </c>
      <c r="S2135" s="18">
        <v>3918.9354999999996</v>
      </c>
      <c r="T2135" s="19" t="s">
        <v>328</v>
      </c>
      <c r="U2135" s="20" t="s">
        <v>64</v>
      </c>
      <c r="V2135" s="21">
        <v>44</v>
      </c>
      <c r="W2135" s="21">
        <v>3</v>
      </c>
      <c r="X2135" s="22"/>
    </row>
    <row r="2136" spans="1:24" s="1" customFormat="1" ht="21" customHeight="1" x14ac:dyDescent="0.3">
      <c r="A2136" s="63">
        <v>4</v>
      </c>
      <c r="B2136" s="23" t="s">
        <v>2776</v>
      </c>
      <c r="C2136" s="28" t="s">
        <v>2791</v>
      </c>
      <c r="D2136" s="84"/>
      <c r="E2136" s="69" t="str">
        <f>HYPERLINK("https://www.google.ru/search?q=4FAW23TDJAF230-55S&amp;newwindow=1&amp;tbm=isch","Еще фото")</f>
        <v>Еще фото</v>
      </c>
      <c r="F2136" s="13"/>
      <c r="G2136" s="23" t="s">
        <v>324</v>
      </c>
      <c r="H2136" s="23" t="s">
        <v>27</v>
      </c>
      <c r="I2136" s="23" t="s">
        <v>308</v>
      </c>
      <c r="J2136" s="14" t="s">
        <v>29</v>
      </c>
      <c r="K2136" s="15" t="s">
        <v>47</v>
      </c>
      <c r="L2136" s="87"/>
      <c r="M2136" s="14"/>
      <c r="N2136" s="14" t="s">
        <v>2792</v>
      </c>
      <c r="O2136" s="14"/>
      <c r="P2136" s="15" t="s">
        <v>2775</v>
      </c>
      <c r="Q2136" s="16">
        <v>11799</v>
      </c>
      <c r="R2136" s="17">
        <v>71.12</v>
      </c>
      <c r="S2136" s="18">
        <v>3918.9354999999996</v>
      </c>
      <c r="T2136" s="19" t="s">
        <v>328</v>
      </c>
      <c r="U2136" s="20" t="s">
        <v>66</v>
      </c>
      <c r="V2136" s="21">
        <v>46</v>
      </c>
      <c r="W2136" s="21">
        <v>10</v>
      </c>
      <c r="X2136" s="22"/>
    </row>
    <row r="2137" spans="1:24" s="1" customFormat="1" ht="21" customHeight="1" x14ac:dyDescent="0.3">
      <c r="A2137" s="63">
        <v>4</v>
      </c>
      <c r="B2137" s="23" t="s">
        <v>2776</v>
      </c>
      <c r="C2137" s="28" t="s">
        <v>2791</v>
      </c>
      <c r="D2137" s="84"/>
      <c r="E2137" s="69" t="str">
        <f>HYPERLINK("https://www.google.ru/search?q=4FAW23TDJAF230-55S&amp;newwindow=1&amp;tbm=isch","Еще фото")</f>
        <v>Еще фото</v>
      </c>
      <c r="F2137" s="13"/>
      <c r="G2137" s="23" t="s">
        <v>324</v>
      </c>
      <c r="H2137" s="23" t="s">
        <v>27</v>
      </c>
      <c r="I2137" s="23" t="s">
        <v>308</v>
      </c>
      <c r="J2137" s="14" t="s">
        <v>29</v>
      </c>
      <c r="K2137" s="15" t="s">
        <v>47</v>
      </c>
      <c r="L2137" s="87"/>
      <c r="M2137" s="14"/>
      <c r="N2137" s="14" t="s">
        <v>2792</v>
      </c>
      <c r="O2137" s="14"/>
      <c r="P2137" s="15" t="s">
        <v>2775</v>
      </c>
      <c r="Q2137" s="16">
        <v>11799</v>
      </c>
      <c r="R2137" s="17">
        <v>71.12</v>
      </c>
      <c r="S2137" s="18">
        <v>3918.9354999999996</v>
      </c>
      <c r="T2137" s="19" t="s">
        <v>328</v>
      </c>
      <c r="U2137" s="20" t="s">
        <v>58</v>
      </c>
      <c r="V2137" s="21">
        <v>48</v>
      </c>
      <c r="W2137" s="21">
        <v>13</v>
      </c>
      <c r="X2137" s="22"/>
    </row>
    <row r="2138" spans="1:24" s="1" customFormat="1" ht="32.1" customHeight="1" x14ac:dyDescent="0.3">
      <c r="A2138" s="63">
        <v>4</v>
      </c>
      <c r="B2138" s="23" t="s">
        <v>2776</v>
      </c>
      <c r="C2138" s="28" t="s">
        <v>2791</v>
      </c>
      <c r="D2138" s="85"/>
      <c r="E2138" s="69" t="str">
        <f>HYPERLINK("https://www.google.ru/search?q=4FAW23TDJAF230-55S&amp;newwindow=1&amp;tbm=isch","Еще фото")</f>
        <v>Еще фото</v>
      </c>
      <c r="F2138" s="13"/>
      <c r="G2138" s="23" t="s">
        <v>324</v>
      </c>
      <c r="H2138" s="23" t="s">
        <v>27</v>
      </c>
      <c r="I2138" s="23" t="s">
        <v>308</v>
      </c>
      <c r="J2138" s="14" t="s">
        <v>29</v>
      </c>
      <c r="K2138" s="15" t="s">
        <v>47</v>
      </c>
      <c r="L2138" s="88"/>
      <c r="M2138" s="14"/>
      <c r="N2138" s="14" t="s">
        <v>2792</v>
      </c>
      <c r="O2138" s="14"/>
      <c r="P2138" s="15" t="s">
        <v>2775</v>
      </c>
      <c r="Q2138" s="16">
        <v>11799</v>
      </c>
      <c r="R2138" s="17">
        <v>71.12</v>
      </c>
      <c r="S2138" s="18">
        <v>3918.9354999999996</v>
      </c>
      <c r="T2138" s="19" t="s">
        <v>328</v>
      </c>
      <c r="U2138" s="20" t="s">
        <v>52</v>
      </c>
      <c r="V2138" s="21">
        <v>50</v>
      </c>
      <c r="W2138" s="21">
        <v>1</v>
      </c>
      <c r="X2138" s="22"/>
    </row>
    <row r="2139" spans="1:24" s="1" customFormat="1" ht="51.95" customHeight="1" x14ac:dyDescent="0.3">
      <c r="A2139" s="62">
        <v>4</v>
      </c>
      <c r="B2139" s="11" t="s">
        <v>2793</v>
      </c>
      <c r="C2139" s="12" t="s">
        <v>2794</v>
      </c>
      <c r="D2139" s="89"/>
      <c r="E2139" s="69" t="str">
        <f>HYPERLINK("https://www.google.ru/search?q=H4Z21-KUMN013-36S&amp;newwindow=1&amp;tbm=isch","Еще фото")</f>
        <v>Еще фото</v>
      </c>
      <c r="F2139" s="13"/>
      <c r="G2139" s="11" t="s">
        <v>307</v>
      </c>
      <c r="H2139" s="11" t="s">
        <v>27</v>
      </c>
      <c r="I2139" s="14" t="s">
        <v>308</v>
      </c>
      <c r="J2139" s="14" t="s">
        <v>2795</v>
      </c>
      <c r="K2139" s="15" t="s">
        <v>55</v>
      </c>
      <c r="L2139" s="86" t="s">
        <v>2796</v>
      </c>
      <c r="M2139" s="14" t="s">
        <v>2797</v>
      </c>
      <c r="N2139" s="14" t="s">
        <v>242</v>
      </c>
      <c r="O2139" s="14" t="s">
        <v>2798</v>
      </c>
      <c r="P2139" s="15" t="s">
        <v>108</v>
      </c>
      <c r="Q2139" s="16">
        <v>42890</v>
      </c>
      <c r="R2139" s="17">
        <v>66.989999999999995</v>
      </c>
      <c r="S2139" s="18">
        <v>16281.4355</v>
      </c>
      <c r="T2139" s="19" t="s">
        <v>328</v>
      </c>
      <c r="U2139" s="20" t="s">
        <v>64</v>
      </c>
      <c r="V2139" s="21">
        <v>46</v>
      </c>
      <c r="W2139" s="21">
        <v>1</v>
      </c>
      <c r="X2139" s="22"/>
    </row>
    <row r="2140" spans="1:24" s="1" customFormat="1" ht="60.95" customHeight="1" x14ac:dyDescent="0.3">
      <c r="A2140" s="63">
        <v>4</v>
      </c>
      <c r="B2140" s="23" t="s">
        <v>2793</v>
      </c>
      <c r="C2140" s="12" t="s">
        <v>2794</v>
      </c>
      <c r="D2140" s="90"/>
      <c r="E2140" s="69" t="str">
        <f>HYPERLINK("https://www.google.ru/search?q=H4Z21-KUMN013-36S&amp;newwindow=1&amp;tbm=isch","Еще фото")</f>
        <v>Еще фото</v>
      </c>
      <c r="F2140" s="13"/>
      <c r="G2140" s="23" t="s">
        <v>307</v>
      </c>
      <c r="H2140" s="23" t="s">
        <v>27</v>
      </c>
      <c r="I2140" s="23" t="s">
        <v>308</v>
      </c>
      <c r="J2140" s="14" t="s">
        <v>2795</v>
      </c>
      <c r="K2140" s="15" t="s">
        <v>55</v>
      </c>
      <c r="L2140" s="88"/>
      <c r="M2140" s="14" t="s">
        <v>2797</v>
      </c>
      <c r="N2140" s="14" t="s">
        <v>242</v>
      </c>
      <c r="O2140" s="14" t="s">
        <v>2798</v>
      </c>
      <c r="P2140" s="15" t="s">
        <v>108</v>
      </c>
      <c r="Q2140" s="16">
        <v>42890</v>
      </c>
      <c r="R2140" s="17">
        <v>66.989999999999995</v>
      </c>
      <c r="S2140" s="18">
        <v>16281.4355</v>
      </c>
      <c r="T2140" s="19" t="s">
        <v>328</v>
      </c>
      <c r="U2140" s="20" t="s">
        <v>52</v>
      </c>
      <c r="V2140" s="21">
        <v>52</v>
      </c>
      <c r="W2140" s="21">
        <v>1</v>
      </c>
      <c r="X2140" s="22"/>
    </row>
    <row r="2141" spans="1:24" s="1" customFormat="1" ht="35.1" customHeight="1" x14ac:dyDescent="0.3">
      <c r="A2141" s="62">
        <v>4</v>
      </c>
      <c r="B2141" s="11" t="s">
        <v>2781</v>
      </c>
      <c r="C2141" s="12" t="s">
        <v>2799</v>
      </c>
      <c r="D2141" s="83"/>
      <c r="E2141" s="69" t="str">
        <f>HYPERLINK("https://www.google.ru/search?q=H4Z22-KUMP010-31S&amp;newwindow=1&amp;tbm=isch","Еще фото")</f>
        <v>Еще фото</v>
      </c>
      <c r="F2141" s="13"/>
      <c r="G2141" s="11" t="s">
        <v>324</v>
      </c>
      <c r="H2141" s="11" t="s">
        <v>27</v>
      </c>
      <c r="I2141" s="14" t="s">
        <v>308</v>
      </c>
      <c r="J2141" s="14" t="s">
        <v>29</v>
      </c>
      <c r="K2141" s="15" t="s">
        <v>55</v>
      </c>
      <c r="L2141" s="86" t="s">
        <v>2783</v>
      </c>
      <c r="M2141" s="14"/>
      <c r="N2141" s="14" t="s">
        <v>70</v>
      </c>
      <c r="O2141" s="14"/>
      <c r="P2141" s="15" t="s">
        <v>2768</v>
      </c>
      <c r="Q2141" s="16">
        <v>12499</v>
      </c>
      <c r="R2141" s="17">
        <v>61.61</v>
      </c>
      <c r="S2141" s="18">
        <v>5517.4355000000005</v>
      </c>
      <c r="T2141" s="19" t="s">
        <v>328</v>
      </c>
      <c r="U2141" s="20" t="s">
        <v>64</v>
      </c>
      <c r="V2141" s="21">
        <v>46</v>
      </c>
      <c r="W2141" s="21">
        <v>1</v>
      </c>
      <c r="X2141" s="22"/>
    </row>
    <row r="2142" spans="1:24" s="1" customFormat="1" ht="35.1" customHeight="1" x14ac:dyDescent="0.3">
      <c r="A2142" s="63">
        <v>4</v>
      </c>
      <c r="B2142" s="23" t="s">
        <v>2781</v>
      </c>
      <c r="C2142" s="12" t="s">
        <v>2799</v>
      </c>
      <c r="D2142" s="84"/>
      <c r="E2142" s="69" t="str">
        <f>HYPERLINK("https://www.google.ru/search?q=H4Z22-KUMP010-31S&amp;newwindow=1&amp;tbm=isch","Еще фото")</f>
        <v>Еще фото</v>
      </c>
      <c r="F2142" s="13"/>
      <c r="G2142" s="23" t="s">
        <v>324</v>
      </c>
      <c r="H2142" s="23" t="s">
        <v>27</v>
      </c>
      <c r="I2142" s="23" t="s">
        <v>308</v>
      </c>
      <c r="J2142" s="14" t="s">
        <v>29</v>
      </c>
      <c r="K2142" s="15" t="s">
        <v>55</v>
      </c>
      <c r="L2142" s="87"/>
      <c r="M2142" s="14"/>
      <c r="N2142" s="14" t="s">
        <v>70</v>
      </c>
      <c r="O2142" s="14"/>
      <c r="P2142" s="15" t="s">
        <v>2768</v>
      </c>
      <c r="Q2142" s="16">
        <v>12499</v>
      </c>
      <c r="R2142" s="17">
        <v>61.61</v>
      </c>
      <c r="S2142" s="18">
        <v>5517.4355000000005</v>
      </c>
      <c r="T2142" s="19" t="s">
        <v>328</v>
      </c>
      <c r="U2142" s="20" t="s">
        <v>66</v>
      </c>
      <c r="V2142" s="21">
        <v>48</v>
      </c>
      <c r="W2142" s="21">
        <v>1</v>
      </c>
      <c r="X2142" s="22"/>
    </row>
    <row r="2143" spans="1:24" s="1" customFormat="1" ht="36.950000000000003" customHeight="1" x14ac:dyDescent="0.3">
      <c r="A2143" s="63">
        <v>4</v>
      </c>
      <c r="B2143" s="23" t="s">
        <v>2781</v>
      </c>
      <c r="C2143" s="12" t="s">
        <v>2799</v>
      </c>
      <c r="D2143" s="85"/>
      <c r="E2143" s="69" t="str">
        <f>HYPERLINK("https://www.google.ru/search?q=H4Z22-KUMP010-31S&amp;newwindow=1&amp;tbm=isch","Еще фото")</f>
        <v>Еще фото</v>
      </c>
      <c r="F2143" s="13"/>
      <c r="G2143" s="23" t="s">
        <v>324</v>
      </c>
      <c r="H2143" s="23" t="s">
        <v>27</v>
      </c>
      <c r="I2143" s="23" t="s">
        <v>308</v>
      </c>
      <c r="J2143" s="14" t="s">
        <v>29</v>
      </c>
      <c r="K2143" s="15" t="s">
        <v>55</v>
      </c>
      <c r="L2143" s="88"/>
      <c r="M2143" s="14"/>
      <c r="N2143" s="14" t="s">
        <v>70</v>
      </c>
      <c r="O2143" s="14"/>
      <c r="P2143" s="15" t="s">
        <v>2768</v>
      </c>
      <c r="Q2143" s="16">
        <v>12499</v>
      </c>
      <c r="R2143" s="17">
        <v>61.61</v>
      </c>
      <c r="S2143" s="18">
        <v>5517.4355000000005</v>
      </c>
      <c r="T2143" s="19" t="s">
        <v>328</v>
      </c>
      <c r="U2143" s="20" t="s">
        <v>58</v>
      </c>
      <c r="V2143" s="21">
        <v>50</v>
      </c>
      <c r="W2143" s="21">
        <v>1</v>
      </c>
      <c r="X2143" s="22"/>
    </row>
    <row r="2144" spans="1:24" s="1" customFormat="1" ht="51.95" customHeight="1" x14ac:dyDescent="0.3">
      <c r="A2144" s="62">
        <v>4</v>
      </c>
      <c r="B2144" s="11" t="s">
        <v>2800</v>
      </c>
      <c r="C2144" s="12" t="s">
        <v>2801</v>
      </c>
      <c r="D2144" s="89"/>
      <c r="E2144" s="69" t="str">
        <f>HYPERLINK("https://www.google.ru/search?q=4FAW23TDJAF236-20S&amp;newwindow=1&amp;tbm=isch","Еще фото")</f>
        <v>Еще фото</v>
      </c>
      <c r="F2144" s="13"/>
      <c r="G2144" s="11" t="s">
        <v>324</v>
      </c>
      <c r="H2144" s="11" t="s">
        <v>27</v>
      </c>
      <c r="I2144" s="14" t="s">
        <v>308</v>
      </c>
      <c r="J2144" s="14" t="s">
        <v>29</v>
      </c>
      <c r="K2144" s="15" t="s">
        <v>47</v>
      </c>
      <c r="L2144" s="86" t="s">
        <v>2802</v>
      </c>
      <c r="M2144" s="14"/>
      <c r="N2144" s="14" t="s">
        <v>49</v>
      </c>
      <c r="O2144" s="14"/>
      <c r="P2144" s="15" t="s">
        <v>108</v>
      </c>
      <c r="Q2144" s="16">
        <v>14899</v>
      </c>
      <c r="R2144" s="17">
        <v>58.8</v>
      </c>
      <c r="S2144" s="18">
        <v>7058.4354999999996</v>
      </c>
      <c r="T2144" s="19" t="s">
        <v>328</v>
      </c>
      <c r="U2144" s="20" t="s">
        <v>66</v>
      </c>
      <c r="V2144" s="21">
        <v>46</v>
      </c>
      <c r="W2144" s="21">
        <v>1</v>
      </c>
      <c r="X2144" s="22"/>
    </row>
    <row r="2145" spans="1:24" s="1" customFormat="1" ht="60.95" customHeight="1" x14ac:dyDescent="0.3">
      <c r="A2145" s="63">
        <v>4</v>
      </c>
      <c r="B2145" s="23" t="s">
        <v>2800</v>
      </c>
      <c r="C2145" s="12" t="s">
        <v>2801</v>
      </c>
      <c r="D2145" s="90"/>
      <c r="E2145" s="69" t="str">
        <f>HYPERLINK("https://www.google.ru/search?q=4FAW23TDJAF236-20S&amp;newwindow=1&amp;tbm=isch","Еще фото")</f>
        <v>Еще фото</v>
      </c>
      <c r="F2145" s="13"/>
      <c r="G2145" s="23" t="s">
        <v>324</v>
      </c>
      <c r="H2145" s="23" t="s">
        <v>27</v>
      </c>
      <c r="I2145" s="23" t="s">
        <v>308</v>
      </c>
      <c r="J2145" s="14" t="s">
        <v>29</v>
      </c>
      <c r="K2145" s="15" t="s">
        <v>47</v>
      </c>
      <c r="L2145" s="88"/>
      <c r="M2145" s="14"/>
      <c r="N2145" s="14" t="s">
        <v>49</v>
      </c>
      <c r="O2145" s="14"/>
      <c r="P2145" s="15" t="s">
        <v>108</v>
      </c>
      <c r="Q2145" s="16">
        <v>14899</v>
      </c>
      <c r="R2145" s="17">
        <v>58.8</v>
      </c>
      <c r="S2145" s="18">
        <v>7058.4354999999996</v>
      </c>
      <c r="T2145" s="19" t="s">
        <v>328</v>
      </c>
      <c r="U2145" s="20" t="s">
        <v>52</v>
      </c>
      <c r="V2145" s="21">
        <v>50</v>
      </c>
      <c r="W2145" s="21">
        <v>1</v>
      </c>
      <c r="X2145" s="22"/>
    </row>
    <row r="2146" spans="1:24" s="1" customFormat="1" ht="108" customHeight="1" x14ac:dyDescent="0.3">
      <c r="A2146" s="62">
        <v>4</v>
      </c>
      <c r="B2146" s="11" t="s">
        <v>2803</v>
      </c>
      <c r="C2146" s="12" t="s">
        <v>2804</v>
      </c>
      <c r="D2146" s="24"/>
      <c r="E2146" s="69" t="str">
        <f>HYPERLINK("https://www.google.ru/search?q=H4Z20-KUDN005-54S&amp;newwindow=1&amp;tbm=isch","Еще фото")</f>
        <v>Еще фото</v>
      </c>
      <c r="F2146" s="13"/>
      <c r="G2146" s="11" t="s">
        <v>2805</v>
      </c>
      <c r="H2146" s="11" t="s">
        <v>27</v>
      </c>
      <c r="I2146" s="14" t="s">
        <v>308</v>
      </c>
      <c r="J2146" s="14" t="s">
        <v>29</v>
      </c>
      <c r="K2146" s="15" t="s">
        <v>47</v>
      </c>
      <c r="L2146" s="14" t="s">
        <v>2806</v>
      </c>
      <c r="M2146" s="14"/>
      <c r="N2146" s="14" t="s">
        <v>576</v>
      </c>
      <c r="O2146" s="14"/>
      <c r="P2146" s="15" t="s">
        <v>108</v>
      </c>
      <c r="Q2146" s="16">
        <v>12499</v>
      </c>
      <c r="R2146" s="17">
        <v>58.73</v>
      </c>
      <c r="S2146" s="18">
        <v>5931.4354999999996</v>
      </c>
      <c r="T2146" s="19" t="s">
        <v>328</v>
      </c>
      <c r="U2146" s="20" t="s">
        <v>64</v>
      </c>
      <c r="V2146" s="21">
        <v>44</v>
      </c>
      <c r="W2146" s="21">
        <v>1</v>
      </c>
      <c r="X2146" s="22"/>
    </row>
    <row r="2147" spans="1:24" s="1" customFormat="1" ht="35.1" customHeight="1" x14ac:dyDescent="0.3">
      <c r="A2147" s="62">
        <v>4</v>
      </c>
      <c r="B2147" s="11" t="s">
        <v>2800</v>
      </c>
      <c r="C2147" s="12" t="s">
        <v>2807</v>
      </c>
      <c r="D2147" s="83"/>
      <c r="E2147" s="69" t="str">
        <f>HYPERLINK("https://www.google.ru/search?q=4FAW23TDJAF236-64S&amp;newwindow=1&amp;tbm=isch","Еще фото")</f>
        <v>Еще фото</v>
      </c>
      <c r="F2147" s="13"/>
      <c r="G2147" s="11" t="s">
        <v>324</v>
      </c>
      <c r="H2147" s="11" t="s">
        <v>27</v>
      </c>
      <c r="I2147" s="14" t="s">
        <v>308</v>
      </c>
      <c r="J2147" s="14" t="s">
        <v>29</v>
      </c>
      <c r="K2147" s="15" t="s">
        <v>47</v>
      </c>
      <c r="L2147" s="86" t="s">
        <v>2802</v>
      </c>
      <c r="M2147" s="14"/>
      <c r="N2147" s="14" t="s">
        <v>275</v>
      </c>
      <c r="O2147" s="14"/>
      <c r="P2147" s="15" t="s">
        <v>108</v>
      </c>
      <c r="Q2147" s="16">
        <v>14899</v>
      </c>
      <c r="R2147" s="17">
        <v>55.72</v>
      </c>
      <c r="S2147" s="18">
        <v>7587.4354999999996</v>
      </c>
      <c r="T2147" s="19" t="s">
        <v>328</v>
      </c>
      <c r="U2147" s="20" t="s">
        <v>66</v>
      </c>
      <c r="V2147" s="21">
        <v>46</v>
      </c>
      <c r="W2147" s="21">
        <v>1</v>
      </c>
      <c r="X2147" s="22"/>
    </row>
    <row r="2148" spans="1:24" s="1" customFormat="1" ht="35.1" customHeight="1" x14ac:dyDescent="0.3">
      <c r="A2148" s="63">
        <v>4</v>
      </c>
      <c r="B2148" s="23" t="s">
        <v>2800</v>
      </c>
      <c r="C2148" s="12" t="s">
        <v>2807</v>
      </c>
      <c r="D2148" s="84"/>
      <c r="E2148" s="69" t="str">
        <f>HYPERLINK("https://www.google.ru/search?q=4FAW23TDJAF236-64S&amp;newwindow=1&amp;tbm=isch","Еще фото")</f>
        <v>Еще фото</v>
      </c>
      <c r="F2148" s="13"/>
      <c r="G2148" s="23" t="s">
        <v>324</v>
      </c>
      <c r="H2148" s="23" t="s">
        <v>27</v>
      </c>
      <c r="I2148" s="23" t="s">
        <v>308</v>
      </c>
      <c r="J2148" s="14" t="s">
        <v>29</v>
      </c>
      <c r="K2148" s="15" t="s">
        <v>47</v>
      </c>
      <c r="L2148" s="87"/>
      <c r="M2148" s="14"/>
      <c r="N2148" s="14" t="s">
        <v>275</v>
      </c>
      <c r="O2148" s="14"/>
      <c r="P2148" s="15" t="s">
        <v>108</v>
      </c>
      <c r="Q2148" s="16">
        <v>14899</v>
      </c>
      <c r="R2148" s="17">
        <v>55.72</v>
      </c>
      <c r="S2148" s="18">
        <v>7587.4354999999996</v>
      </c>
      <c r="T2148" s="19" t="s">
        <v>328</v>
      </c>
      <c r="U2148" s="20" t="s">
        <v>52</v>
      </c>
      <c r="V2148" s="21">
        <v>50</v>
      </c>
      <c r="W2148" s="21">
        <v>3</v>
      </c>
      <c r="X2148" s="22"/>
    </row>
    <row r="2149" spans="1:24" s="1" customFormat="1" ht="36.950000000000003" customHeight="1" x14ac:dyDescent="0.3">
      <c r="A2149" s="63">
        <v>4</v>
      </c>
      <c r="B2149" s="23" t="s">
        <v>2800</v>
      </c>
      <c r="C2149" s="12" t="s">
        <v>2807</v>
      </c>
      <c r="D2149" s="85"/>
      <c r="E2149" s="69" t="str">
        <f>HYPERLINK("https://www.google.ru/search?q=4FAW23TDJAF236-64S&amp;newwindow=1&amp;tbm=isch","Еще фото")</f>
        <v>Еще фото</v>
      </c>
      <c r="F2149" s="13"/>
      <c r="G2149" s="23" t="s">
        <v>324</v>
      </c>
      <c r="H2149" s="23" t="s">
        <v>27</v>
      </c>
      <c r="I2149" s="23" t="s">
        <v>308</v>
      </c>
      <c r="J2149" s="14" t="s">
        <v>29</v>
      </c>
      <c r="K2149" s="15" t="s">
        <v>47</v>
      </c>
      <c r="L2149" s="88"/>
      <c r="M2149" s="14"/>
      <c r="N2149" s="14" t="s">
        <v>275</v>
      </c>
      <c r="O2149" s="14"/>
      <c r="P2149" s="15" t="s">
        <v>108</v>
      </c>
      <c r="Q2149" s="16">
        <v>14899</v>
      </c>
      <c r="R2149" s="17">
        <v>55.72</v>
      </c>
      <c r="S2149" s="18">
        <v>7587.4354999999996</v>
      </c>
      <c r="T2149" s="19" t="s">
        <v>328</v>
      </c>
      <c r="U2149" s="20" t="s">
        <v>596</v>
      </c>
      <c r="V2149" s="21">
        <v>52</v>
      </c>
      <c r="W2149" s="21">
        <v>2</v>
      </c>
      <c r="X2149" s="22"/>
    </row>
    <row r="2150" spans="1:24" s="1" customFormat="1" ht="108" customHeight="1" x14ac:dyDescent="0.3">
      <c r="A2150" s="62">
        <v>4</v>
      </c>
      <c r="B2150" s="11" t="s">
        <v>2808</v>
      </c>
      <c r="C2150" s="12" t="s">
        <v>2809</v>
      </c>
      <c r="D2150" s="24"/>
      <c r="E2150" s="69" t="str">
        <f>HYPERLINK("https://www.google.ru/search?q=4FAW23TVESM064-61S&amp;newwindow=1&amp;tbm=isch","Еще фото")</f>
        <v>Еще фото</v>
      </c>
      <c r="F2150" s="13"/>
      <c r="G2150" s="11" t="s">
        <v>332</v>
      </c>
      <c r="H2150" s="11" t="s">
        <v>27</v>
      </c>
      <c r="I2150" s="14" t="s">
        <v>308</v>
      </c>
      <c r="J2150" s="14" t="s">
        <v>29</v>
      </c>
      <c r="K2150" s="15" t="s">
        <v>55</v>
      </c>
      <c r="L2150" s="14" t="s">
        <v>2810</v>
      </c>
      <c r="M2150" s="14"/>
      <c r="N2150" s="14" t="s">
        <v>1001</v>
      </c>
      <c r="O2150" s="14"/>
      <c r="P2150" s="15" t="s">
        <v>359</v>
      </c>
      <c r="Q2150" s="16">
        <v>7299</v>
      </c>
      <c r="R2150" s="17">
        <v>52.49</v>
      </c>
      <c r="S2150" s="18">
        <v>3987.9354999999996</v>
      </c>
      <c r="T2150" s="19" t="s">
        <v>328</v>
      </c>
      <c r="U2150" s="20" t="s">
        <v>64</v>
      </c>
      <c r="V2150" s="21">
        <v>46</v>
      </c>
      <c r="W2150" s="21">
        <v>1</v>
      </c>
      <c r="X2150" s="22"/>
    </row>
    <row r="2151" spans="1:24" s="1" customFormat="1" ht="108" customHeight="1" x14ac:dyDescent="0.3">
      <c r="A2151" s="62">
        <v>4</v>
      </c>
      <c r="B2151" s="11" t="s">
        <v>2811</v>
      </c>
      <c r="C2151" s="12" t="s">
        <v>2812</v>
      </c>
      <c r="D2151" s="24"/>
      <c r="E2151" s="69" t="str">
        <f>HYPERLINK("https://www.google.ru/search?q=4FAW23USOCF198-90S&amp;newwindow=1&amp;tbm=isch","Еще фото")</f>
        <v>Еще фото</v>
      </c>
      <c r="F2151" s="13"/>
      <c r="G2151" s="11" t="s">
        <v>833</v>
      </c>
      <c r="H2151" s="11" t="s">
        <v>112</v>
      </c>
      <c r="I2151" s="14" t="s">
        <v>825</v>
      </c>
      <c r="J2151" s="14" t="s">
        <v>29</v>
      </c>
      <c r="K2151" s="15" t="s">
        <v>47</v>
      </c>
      <c r="L2151" s="14" t="s">
        <v>2813</v>
      </c>
      <c r="M2151" s="14"/>
      <c r="N2151" s="14" t="s">
        <v>2814</v>
      </c>
      <c r="O2151" s="14"/>
      <c r="P2151" s="15" t="s">
        <v>2815</v>
      </c>
      <c r="Q2151" s="16">
        <v>1299</v>
      </c>
      <c r="R2151" s="17">
        <v>45.51</v>
      </c>
      <c r="S2151" s="29">
        <v>813.93549999999993</v>
      </c>
      <c r="T2151" s="19" t="s">
        <v>328</v>
      </c>
      <c r="U2151" s="20" t="s">
        <v>1424</v>
      </c>
      <c r="V2151" s="25" t="s">
        <v>1424</v>
      </c>
      <c r="W2151" s="21">
        <v>1</v>
      </c>
      <c r="X2151" s="22"/>
    </row>
    <row r="2152" spans="1:24" s="1" customFormat="1" ht="108" customHeight="1" x14ac:dyDescent="0.3">
      <c r="A2152" s="62">
        <v>4</v>
      </c>
      <c r="B2152" s="11" t="s">
        <v>2816</v>
      </c>
      <c r="C2152" s="12" t="s">
        <v>2817</v>
      </c>
      <c r="D2152" s="24"/>
      <c r="E2152" s="69" t="str">
        <f>HYPERLINK("https://www.google.ru/search?q=4FSS23ABACU140-46S&amp;newwindow=1&amp;tbm=isch","Еще фото")</f>
        <v>Еще фото</v>
      </c>
      <c r="F2152" s="13"/>
      <c r="G2152" s="11" t="s">
        <v>2818</v>
      </c>
      <c r="H2152" s="11" t="s">
        <v>536</v>
      </c>
      <c r="I2152" s="14" t="s">
        <v>537</v>
      </c>
      <c r="J2152" s="14" t="s">
        <v>29</v>
      </c>
      <c r="K2152" s="15" t="s">
        <v>114</v>
      </c>
      <c r="L2152" s="14" t="s">
        <v>2819</v>
      </c>
      <c r="M2152" s="14"/>
      <c r="N2152" s="14" t="s">
        <v>242</v>
      </c>
      <c r="O2152" s="14"/>
      <c r="P2152" s="15" t="s">
        <v>1553</v>
      </c>
      <c r="Q2152" s="16">
        <v>9399</v>
      </c>
      <c r="R2152" s="17">
        <v>61.62</v>
      </c>
      <c r="S2152" s="18">
        <v>4148.9354999999996</v>
      </c>
      <c r="T2152" s="19" t="s">
        <v>328</v>
      </c>
      <c r="U2152" s="20" t="s">
        <v>2387</v>
      </c>
      <c r="V2152" s="25" t="s">
        <v>119</v>
      </c>
      <c r="W2152" s="21">
        <v>2</v>
      </c>
      <c r="X2152" s="22"/>
    </row>
    <row r="2153" spans="1:24" s="1" customFormat="1" ht="108" customHeight="1" x14ac:dyDescent="0.3">
      <c r="A2153" s="62">
        <v>4</v>
      </c>
      <c r="B2153" s="11" t="s">
        <v>2820</v>
      </c>
      <c r="C2153" s="12" t="s">
        <v>2821</v>
      </c>
      <c r="D2153" s="24"/>
      <c r="E2153" s="69" t="str">
        <f>HYPERLINK("https://www.google.ru/search?q=4FSS23ABACU139-46S&amp;newwindow=1&amp;tbm=isch","Еще фото")</f>
        <v>Еще фото</v>
      </c>
      <c r="F2153" s="13"/>
      <c r="G2153" s="11" t="s">
        <v>2818</v>
      </c>
      <c r="H2153" s="11" t="s">
        <v>536</v>
      </c>
      <c r="I2153" s="14" t="s">
        <v>537</v>
      </c>
      <c r="J2153" s="14" t="s">
        <v>29</v>
      </c>
      <c r="K2153" s="15" t="s">
        <v>114</v>
      </c>
      <c r="L2153" s="14" t="s">
        <v>2822</v>
      </c>
      <c r="M2153" s="14"/>
      <c r="N2153" s="14" t="s">
        <v>242</v>
      </c>
      <c r="O2153" s="14"/>
      <c r="P2153" s="15" t="s">
        <v>1553</v>
      </c>
      <c r="Q2153" s="16">
        <v>7699</v>
      </c>
      <c r="R2153" s="17">
        <v>40</v>
      </c>
      <c r="S2153" s="18">
        <v>5312.3099999999995</v>
      </c>
      <c r="T2153" s="19" t="s">
        <v>328</v>
      </c>
      <c r="U2153" s="20" t="s">
        <v>2387</v>
      </c>
      <c r="V2153" s="25" t="s">
        <v>119</v>
      </c>
      <c r="W2153" s="21">
        <v>1</v>
      </c>
      <c r="X2153" s="22"/>
    </row>
    <row r="2154" spans="1:24" s="1" customFormat="1" ht="108" customHeight="1" x14ac:dyDescent="0.3">
      <c r="A2154" s="62">
        <v>4</v>
      </c>
      <c r="B2154" s="11" t="s">
        <v>2823</v>
      </c>
      <c r="C2154" s="12" t="s">
        <v>2824</v>
      </c>
      <c r="D2154" s="24"/>
      <c r="E2154" s="69" t="str">
        <f>HYPERLINK("https://www.google.ru/search?q=4FSS23FSANF016-22S&amp;newwindow=1&amp;tbm=isch","Еще фото")</f>
        <v>Еще фото</v>
      </c>
      <c r="F2154" s="13"/>
      <c r="G2154" s="11" t="s">
        <v>2825</v>
      </c>
      <c r="H2154" s="11" t="s">
        <v>151</v>
      </c>
      <c r="I2154" s="14" t="s">
        <v>546</v>
      </c>
      <c r="J2154" s="14" t="s">
        <v>29</v>
      </c>
      <c r="K2154" s="15" t="s">
        <v>47</v>
      </c>
      <c r="L2154" s="14" t="s">
        <v>2826</v>
      </c>
      <c r="M2154" s="14"/>
      <c r="N2154" s="14" t="s">
        <v>49</v>
      </c>
      <c r="O2154" s="14"/>
      <c r="P2154" s="15" t="s">
        <v>2827</v>
      </c>
      <c r="Q2154" s="16">
        <v>6999</v>
      </c>
      <c r="R2154" s="17">
        <v>82.32</v>
      </c>
      <c r="S2154" s="18">
        <v>1423.4354999999998</v>
      </c>
      <c r="T2154" s="19" t="s">
        <v>2828</v>
      </c>
      <c r="U2154" s="20" t="s">
        <v>413</v>
      </c>
      <c r="V2154" s="21">
        <v>39</v>
      </c>
      <c r="W2154" s="21">
        <v>1</v>
      </c>
      <c r="X2154" s="22"/>
    </row>
    <row r="2155" spans="1:24" s="1" customFormat="1" ht="26.1" customHeight="1" x14ac:dyDescent="0.3">
      <c r="A2155" s="62">
        <v>4</v>
      </c>
      <c r="B2155" s="11" t="s">
        <v>2829</v>
      </c>
      <c r="C2155" s="12" t="s">
        <v>2830</v>
      </c>
      <c r="D2155" s="83"/>
      <c r="E2155" s="69" t="str">
        <f>HYPERLINK("https://www.google.ru/search?q=4FSS23TSWSM266-20S&amp;newwindow=1&amp;tbm=isch","Еще фото")</f>
        <v>Еще фото</v>
      </c>
      <c r="F2155" s="13"/>
      <c r="G2155" s="11" t="s">
        <v>2831</v>
      </c>
      <c r="H2155" s="11" t="s">
        <v>27</v>
      </c>
      <c r="I2155" s="14" t="s">
        <v>569</v>
      </c>
      <c r="J2155" s="14" t="s">
        <v>29</v>
      </c>
      <c r="K2155" s="15" t="s">
        <v>55</v>
      </c>
      <c r="L2155" s="86" t="s">
        <v>2832</v>
      </c>
      <c r="M2155" s="14"/>
      <c r="N2155" s="14" t="s">
        <v>49</v>
      </c>
      <c r="O2155" s="14"/>
      <c r="P2155" s="15" t="s">
        <v>2833</v>
      </c>
      <c r="Q2155" s="16">
        <v>4899</v>
      </c>
      <c r="R2155" s="17">
        <v>81.06</v>
      </c>
      <c r="S2155" s="29">
        <v>1066.9354999999998</v>
      </c>
      <c r="T2155" s="19" t="s">
        <v>328</v>
      </c>
      <c r="U2155" s="20" t="s">
        <v>64</v>
      </c>
      <c r="V2155" s="21">
        <v>46</v>
      </c>
      <c r="W2155" s="21">
        <v>6</v>
      </c>
      <c r="X2155" s="22"/>
    </row>
    <row r="2156" spans="1:24" s="1" customFormat="1" ht="26.1" customHeight="1" x14ac:dyDescent="0.3">
      <c r="A2156" s="63">
        <v>4</v>
      </c>
      <c r="B2156" s="23" t="s">
        <v>2829</v>
      </c>
      <c r="C2156" s="12" t="s">
        <v>2830</v>
      </c>
      <c r="D2156" s="84"/>
      <c r="E2156" s="69" t="str">
        <f>HYPERLINK("https://www.google.ru/search?q=4FSS23TSWSM266-20S&amp;newwindow=1&amp;tbm=isch","Еще фото")</f>
        <v>Еще фото</v>
      </c>
      <c r="F2156" s="13"/>
      <c r="G2156" s="23" t="s">
        <v>2831</v>
      </c>
      <c r="H2156" s="23" t="s">
        <v>27</v>
      </c>
      <c r="I2156" s="23" t="s">
        <v>569</v>
      </c>
      <c r="J2156" s="14" t="s">
        <v>29</v>
      </c>
      <c r="K2156" s="15" t="s">
        <v>55</v>
      </c>
      <c r="L2156" s="87"/>
      <c r="M2156" s="14"/>
      <c r="N2156" s="14" t="s">
        <v>49</v>
      </c>
      <c r="O2156" s="14"/>
      <c r="P2156" s="15" t="s">
        <v>2833</v>
      </c>
      <c r="Q2156" s="16">
        <v>4899</v>
      </c>
      <c r="R2156" s="17">
        <v>81.06</v>
      </c>
      <c r="S2156" s="29">
        <v>1066.9354999999998</v>
      </c>
      <c r="T2156" s="19" t="s">
        <v>328</v>
      </c>
      <c r="U2156" s="20" t="s">
        <v>66</v>
      </c>
      <c r="V2156" s="21">
        <v>48</v>
      </c>
      <c r="W2156" s="21">
        <v>13</v>
      </c>
      <c r="X2156" s="22"/>
    </row>
    <row r="2157" spans="1:24" s="1" customFormat="1" ht="26.1" customHeight="1" x14ac:dyDescent="0.3">
      <c r="A2157" s="63">
        <v>4</v>
      </c>
      <c r="B2157" s="23" t="s">
        <v>2829</v>
      </c>
      <c r="C2157" s="12" t="s">
        <v>2830</v>
      </c>
      <c r="D2157" s="84"/>
      <c r="E2157" s="69" t="str">
        <f>HYPERLINK("https://www.google.ru/search?q=4FSS23TSWSM266-20S&amp;newwindow=1&amp;tbm=isch","Еще фото")</f>
        <v>Еще фото</v>
      </c>
      <c r="F2157" s="13"/>
      <c r="G2157" s="23" t="s">
        <v>2831</v>
      </c>
      <c r="H2157" s="23" t="s">
        <v>27</v>
      </c>
      <c r="I2157" s="23" t="s">
        <v>569</v>
      </c>
      <c r="J2157" s="14" t="s">
        <v>29</v>
      </c>
      <c r="K2157" s="15" t="s">
        <v>55</v>
      </c>
      <c r="L2157" s="87"/>
      <c r="M2157" s="14"/>
      <c r="N2157" s="14" t="s">
        <v>49</v>
      </c>
      <c r="O2157" s="14"/>
      <c r="P2157" s="15" t="s">
        <v>2833</v>
      </c>
      <c r="Q2157" s="16">
        <v>4899</v>
      </c>
      <c r="R2157" s="17">
        <v>81.06</v>
      </c>
      <c r="S2157" s="29">
        <v>1066.9354999999998</v>
      </c>
      <c r="T2157" s="19" t="s">
        <v>328</v>
      </c>
      <c r="U2157" s="20" t="s">
        <v>58</v>
      </c>
      <c r="V2157" s="21">
        <v>50</v>
      </c>
      <c r="W2157" s="21">
        <v>12</v>
      </c>
      <c r="X2157" s="22"/>
    </row>
    <row r="2158" spans="1:24" s="1" customFormat="1" ht="26.1" customHeight="1" x14ac:dyDescent="0.3">
      <c r="A2158" s="63">
        <v>4</v>
      </c>
      <c r="B2158" s="23" t="s">
        <v>2829</v>
      </c>
      <c r="C2158" s="12" t="s">
        <v>2830</v>
      </c>
      <c r="D2158" s="85"/>
      <c r="E2158" s="69" t="str">
        <f>HYPERLINK("https://www.google.ru/search?q=4FSS23TSWSM266-20S&amp;newwindow=1&amp;tbm=isch","Еще фото")</f>
        <v>Еще фото</v>
      </c>
      <c r="F2158" s="13"/>
      <c r="G2158" s="23" t="s">
        <v>2831</v>
      </c>
      <c r="H2158" s="23" t="s">
        <v>27</v>
      </c>
      <c r="I2158" s="23" t="s">
        <v>569</v>
      </c>
      <c r="J2158" s="14" t="s">
        <v>29</v>
      </c>
      <c r="K2158" s="15" t="s">
        <v>55</v>
      </c>
      <c r="L2158" s="88"/>
      <c r="M2158" s="14"/>
      <c r="N2158" s="14" t="s">
        <v>49</v>
      </c>
      <c r="O2158" s="14"/>
      <c r="P2158" s="15" t="s">
        <v>2833</v>
      </c>
      <c r="Q2158" s="16">
        <v>4899</v>
      </c>
      <c r="R2158" s="17">
        <v>81.06</v>
      </c>
      <c r="S2158" s="29">
        <v>1066.9354999999998</v>
      </c>
      <c r="T2158" s="19" t="s">
        <v>328</v>
      </c>
      <c r="U2158" s="20" t="s">
        <v>52</v>
      </c>
      <c r="V2158" s="21">
        <v>52</v>
      </c>
      <c r="W2158" s="21">
        <v>2</v>
      </c>
      <c r="X2158" s="22"/>
    </row>
    <row r="2159" spans="1:24" s="1" customFormat="1" ht="21" customHeight="1" x14ac:dyDescent="0.3">
      <c r="A2159" s="62">
        <v>4</v>
      </c>
      <c r="B2159" s="11" t="s">
        <v>2834</v>
      </c>
      <c r="C2159" s="27" t="s">
        <v>2835</v>
      </c>
      <c r="D2159" s="83"/>
      <c r="E2159" s="69" t="str">
        <f>HYPERLINK("https://www.google.ru/search?q=4FSS23TSWSM353-62S&amp;newwindow=1&amp;tbm=isch","Еще фото")</f>
        <v>Еще фото</v>
      </c>
      <c r="F2159" s="13"/>
      <c r="G2159" s="11" t="s">
        <v>2831</v>
      </c>
      <c r="H2159" s="11" t="s">
        <v>27</v>
      </c>
      <c r="I2159" s="14" t="s">
        <v>569</v>
      </c>
      <c r="J2159" s="14" t="s">
        <v>29</v>
      </c>
      <c r="K2159" s="15" t="s">
        <v>55</v>
      </c>
      <c r="L2159" s="86" t="s">
        <v>2836</v>
      </c>
      <c r="M2159" s="14"/>
      <c r="N2159" s="14" t="s">
        <v>116</v>
      </c>
      <c r="O2159" s="14"/>
      <c r="P2159" s="15" t="s">
        <v>2837</v>
      </c>
      <c r="Q2159" s="16">
        <v>5099</v>
      </c>
      <c r="R2159" s="17">
        <v>79.650000000000006</v>
      </c>
      <c r="S2159" s="18">
        <v>1193.4354999999998</v>
      </c>
      <c r="T2159" s="19" t="s">
        <v>328</v>
      </c>
      <c r="U2159" s="20" t="s">
        <v>64</v>
      </c>
      <c r="V2159" s="21">
        <v>46</v>
      </c>
      <c r="W2159" s="21">
        <v>9</v>
      </c>
      <c r="X2159" s="22"/>
    </row>
    <row r="2160" spans="1:24" s="1" customFormat="1" ht="21" customHeight="1" x14ac:dyDescent="0.3">
      <c r="A2160" s="63">
        <v>4</v>
      </c>
      <c r="B2160" s="23" t="s">
        <v>2834</v>
      </c>
      <c r="C2160" s="28" t="s">
        <v>2835</v>
      </c>
      <c r="D2160" s="84"/>
      <c r="E2160" s="69" t="str">
        <f>HYPERLINK("https://www.google.ru/search?q=4FSS23TSWSM353-62S&amp;newwindow=1&amp;tbm=isch","Еще фото")</f>
        <v>Еще фото</v>
      </c>
      <c r="F2160" s="13"/>
      <c r="G2160" s="23" t="s">
        <v>2831</v>
      </c>
      <c r="H2160" s="23" t="s">
        <v>27</v>
      </c>
      <c r="I2160" s="23" t="s">
        <v>569</v>
      </c>
      <c r="J2160" s="14" t="s">
        <v>29</v>
      </c>
      <c r="K2160" s="15" t="s">
        <v>55</v>
      </c>
      <c r="L2160" s="87"/>
      <c r="M2160" s="14"/>
      <c r="N2160" s="14" t="s">
        <v>116</v>
      </c>
      <c r="O2160" s="14"/>
      <c r="P2160" s="15" t="s">
        <v>2837</v>
      </c>
      <c r="Q2160" s="16">
        <v>5099</v>
      </c>
      <c r="R2160" s="17">
        <v>79.650000000000006</v>
      </c>
      <c r="S2160" s="18">
        <v>1193.4354999999998</v>
      </c>
      <c r="T2160" s="19" t="s">
        <v>328</v>
      </c>
      <c r="U2160" s="20" t="s">
        <v>66</v>
      </c>
      <c r="V2160" s="21">
        <v>48</v>
      </c>
      <c r="W2160" s="21">
        <v>22</v>
      </c>
      <c r="X2160" s="22"/>
    </row>
    <row r="2161" spans="1:24" s="1" customFormat="1" ht="21" customHeight="1" x14ac:dyDescent="0.3">
      <c r="A2161" s="63">
        <v>4</v>
      </c>
      <c r="B2161" s="23" t="s">
        <v>2834</v>
      </c>
      <c r="C2161" s="28" t="s">
        <v>2835</v>
      </c>
      <c r="D2161" s="84"/>
      <c r="E2161" s="69" t="str">
        <f>HYPERLINK("https://www.google.ru/search?q=4FSS23TSWSM353-62S&amp;newwindow=1&amp;tbm=isch","Еще фото")</f>
        <v>Еще фото</v>
      </c>
      <c r="F2161" s="13"/>
      <c r="G2161" s="23" t="s">
        <v>2831</v>
      </c>
      <c r="H2161" s="23" t="s">
        <v>27</v>
      </c>
      <c r="I2161" s="23" t="s">
        <v>569</v>
      </c>
      <c r="J2161" s="14" t="s">
        <v>29</v>
      </c>
      <c r="K2161" s="15" t="s">
        <v>55</v>
      </c>
      <c r="L2161" s="87"/>
      <c r="M2161" s="14"/>
      <c r="N2161" s="14" t="s">
        <v>116</v>
      </c>
      <c r="O2161" s="14"/>
      <c r="P2161" s="15" t="s">
        <v>2837</v>
      </c>
      <c r="Q2161" s="16">
        <v>5099</v>
      </c>
      <c r="R2161" s="17">
        <v>79.650000000000006</v>
      </c>
      <c r="S2161" s="18">
        <v>1193.4354999999998</v>
      </c>
      <c r="T2161" s="19" t="s">
        <v>328</v>
      </c>
      <c r="U2161" s="20" t="s">
        <v>58</v>
      </c>
      <c r="V2161" s="21">
        <v>50</v>
      </c>
      <c r="W2161" s="21">
        <v>20</v>
      </c>
      <c r="X2161" s="22"/>
    </row>
    <row r="2162" spans="1:24" s="1" customFormat="1" ht="21" customHeight="1" x14ac:dyDescent="0.3">
      <c r="A2162" s="63">
        <v>4</v>
      </c>
      <c r="B2162" s="23" t="s">
        <v>2834</v>
      </c>
      <c r="C2162" s="28" t="s">
        <v>2835</v>
      </c>
      <c r="D2162" s="84"/>
      <c r="E2162" s="69" t="str">
        <f>HYPERLINK("https://www.google.ru/search?q=4FSS23TSWSM353-62S&amp;newwindow=1&amp;tbm=isch","Еще фото")</f>
        <v>Еще фото</v>
      </c>
      <c r="F2162" s="13"/>
      <c r="G2162" s="23" t="s">
        <v>2831</v>
      </c>
      <c r="H2162" s="23" t="s">
        <v>27</v>
      </c>
      <c r="I2162" s="23" t="s">
        <v>569</v>
      </c>
      <c r="J2162" s="14" t="s">
        <v>29</v>
      </c>
      <c r="K2162" s="15" t="s">
        <v>55</v>
      </c>
      <c r="L2162" s="87"/>
      <c r="M2162" s="14"/>
      <c r="N2162" s="14" t="s">
        <v>116</v>
      </c>
      <c r="O2162" s="14"/>
      <c r="P2162" s="15" t="s">
        <v>2837</v>
      </c>
      <c r="Q2162" s="16">
        <v>5099</v>
      </c>
      <c r="R2162" s="17">
        <v>79.650000000000006</v>
      </c>
      <c r="S2162" s="18">
        <v>1193.4354999999998</v>
      </c>
      <c r="T2162" s="19" t="s">
        <v>328</v>
      </c>
      <c r="U2162" s="20" t="s">
        <v>52</v>
      </c>
      <c r="V2162" s="21">
        <v>52</v>
      </c>
      <c r="W2162" s="21">
        <v>9</v>
      </c>
      <c r="X2162" s="22"/>
    </row>
    <row r="2163" spans="1:24" s="1" customFormat="1" ht="32.1" customHeight="1" x14ac:dyDescent="0.3">
      <c r="A2163" s="63">
        <v>4</v>
      </c>
      <c r="B2163" s="23" t="s">
        <v>2834</v>
      </c>
      <c r="C2163" s="28" t="s">
        <v>2835</v>
      </c>
      <c r="D2163" s="85"/>
      <c r="E2163" s="69" t="str">
        <f>HYPERLINK("https://www.google.ru/search?q=4FSS23TSWSM353-62S&amp;newwindow=1&amp;tbm=isch","Еще фото")</f>
        <v>Еще фото</v>
      </c>
      <c r="F2163" s="13"/>
      <c r="G2163" s="23" t="s">
        <v>2831</v>
      </c>
      <c r="H2163" s="23" t="s">
        <v>27</v>
      </c>
      <c r="I2163" s="23" t="s">
        <v>569</v>
      </c>
      <c r="J2163" s="14" t="s">
        <v>29</v>
      </c>
      <c r="K2163" s="15" t="s">
        <v>55</v>
      </c>
      <c r="L2163" s="88"/>
      <c r="M2163" s="14"/>
      <c r="N2163" s="14" t="s">
        <v>116</v>
      </c>
      <c r="O2163" s="14"/>
      <c r="P2163" s="15" t="s">
        <v>2837</v>
      </c>
      <c r="Q2163" s="16">
        <v>5099</v>
      </c>
      <c r="R2163" s="17">
        <v>79.650000000000006</v>
      </c>
      <c r="S2163" s="18">
        <v>1193.4354999999998</v>
      </c>
      <c r="T2163" s="19" t="s">
        <v>328</v>
      </c>
      <c r="U2163" s="20" t="s">
        <v>596</v>
      </c>
      <c r="V2163" s="21">
        <v>54</v>
      </c>
      <c r="W2163" s="21">
        <v>3</v>
      </c>
      <c r="X2163" s="22"/>
    </row>
    <row r="2164" spans="1:24" s="1" customFormat="1" ht="26.1" customHeight="1" x14ac:dyDescent="0.3">
      <c r="A2164" s="62">
        <v>4</v>
      </c>
      <c r="B2164" s="11" t="s">
        <v>2838</v>
      </c>
      <c r="C2164" s="12" t="s">
        <v>2839</v>
      </c>
      <c r="D2164" s="83"/>
      <c r="E2164" s="69" t="str">
        <f>HYPERLINK("https://www.google.ru/search?q=4FSS23TSWSF244-83S&amp;newwindow=1&amp;tbm=isch","Еще фото")</f>
        <v>Еще фото</v>
      </c>
      <c r="F2164" s="13"/>
      <c r="G2164" s="11" t="s">
        <v>2831</v>
      </c>
      <c r="H2164" s="11" t="s">
        <v>27</v>
      </c>
      <c r="I2164" s="14" t="s">
        <v>569</v>
      </c>
      <c r="J2164" s="14" t="s">
        <v>29</v>
      </c>
      <c r="K2164" s="15" t="s">
        <v>47</v>
      </c>
      <c r="L2164" s="86" t="s">
        <v>2840</v>
      </c>
      <c r="M2164" s="14"/>
      <c r="N2164" s="14" t="s">
        <v>326</v>
      </c>
      <c r="O2164" s="14"/>
      <c r="P2164" s="15" t="s">
        <v>2841</v>
      </c>
      <c r="Q2164" s="16">
        <v>5099</v>
      </c>
      <c r="R2164" s="17">
        <v>76.709999999999994</v>
      </c>
      <c r="S2164" s="18">
        <v>1365.9354999999998</v>
      </c>
      <c r="T2164" s="19" t="s">
        <v>328</v>
      </c>
      <c r="U2164" s="20" t="s">
        <v>64</v>
      </c>
      <c r="V2164" s="21">
        <v>44</v>
      </c>
      <c r="W2164" s="21">
        <v>2</v>
      </c>
      <c r="X2164" s="22"/>
    </row>
    <row r="2165" spans="1:24" s="1" customFormat="1" ht="26.1" customHeight="1" x14ac:dyDescent="0.3">
      <c r="A2165" s="63">
        <v>4</v>
      </c>
      <c r="B2165" s="23" t="s">
        <v>2838</v>
      </c>
      <c r="C2165" s="12" t="s">
        <v>2839</v>
      </c>
      <c r="D2165" s="84"/>
      <c r="E2165" s="69" t="str">
        <f>HYPERLINK("https://www.google.ru/search?q=4FSS23TSWSF244-83S&amp;newwindow=1&amp;tbm=isch","Еще фото")</f>
        <v>Еще фото</v>
      </c>
      <c r="F2165" s="13"/>
      <c r="G2165" s="23" t="s">
        <v>2831</v>
      </c>
      <c r="H2165" s="23" t="s">
        <v>27</v>
      </c>
      <c r="I2165" s="23" t="s">
        <v>569</v>
      </c>
      <c r="J2165" s="14" t="s">
        <v>29</v>
      </c>
      <c r="K2165" s="15" t="s">
        <v>47</v>
      </c>
      <c r="L2165" s="87"/>
      <c r="M2165" s="14"/>
      <c r="N2165" s="14" t="s">
        <v>326</v>
      </c>
      <c r="O2165" s="14"/>
      <c r="P2165" s="15" t="s">
        <v>2841</v>
      </c>
      <c r="Q2165" s="16">
        <v>5099</v>
      </c>
      <c r="R2165" s="17">
        <v>76.709999999999994</v>
      </c>
      <c r="S2165" s="18">
        <v>1365.9354999999998</v>
      </c>
      <c r="T2165" s="19" t="s">
        <v>328</v>
      </c>
      <c r="U2165" s="20" t="s">
        <v>66</v>
      </c>
      <c r="V2165" s="21">
        <v>46</v>
      </c>
      <c r="W2165" s="21">
        <v>2</v>
      </c>
      <c r="X2165" s="22"/>
    </row>
    <row r="2166" spans="1:24" s="1" customFormat="1" ht="26.1" customHeight="1" x14ac:dyDescent="0.3">
      <c r="A2166" s="63">
        <v>4</v>
      </c>
      <c r="B2166" s="23" t="s">
        <v>2838</v>
      </c>
      <c r="C2166" s="12" t="s">
        <v>2839</v>
      </c>
      <c r="D2166" s="84"/>
      <c r="E2166" s="69" t="str">
        <f>HYPERLINK("https://www.google.ru/search?q=4FSS23TSWSF244-83S&amp;newwindow=1&amp;tbm=isch","Еще фото")</f>
        <v>Еще фото</v>
      </c>
      <c r="F2166" s="13"/>
      <c r="G2166" s="23" t="s">
        <v>2831</v>
      </c>
      <c r="H2166" s="23" t="s">
        <v>27</v>
      </c>
      <c r="I2166" s="23" t="s">
        <v>569</v>
      </c>
      <c r="J2166" s="14" t="s">
        <v>29</v>
      </c>
      <c r="K2166" s="15" t="s">
        <v>47</v>
      </c>
      <c r="L2166" s="87"/>
      <c r="M2166" s="14"/>
      <c r="N2166" s="14" t="s">
        <v>326</v>
      </c>
      <c r="O2166" s="14"/>
      <c r="P2166" s="15" t="s">
        <v>2841</v>
      </c>
      <c r="Q2166" s="16">
        <v>5099</v>
      </c>
      <c r="R2166" s="17">
        <v>76.709999999999994</v>
      </c>
      <c r="S2166" s="18">
        <v>1365.9354999999998</v>
      </c>
      <c r="T2166" s="19" t="s">
        <v>328</v>
      </c>
      <c r="U2166" s="20" t="s">
        <v>58</v>
      </c>
      <c r="V2166" s="21">
        <v>48</v>
      </c>
      <c r="W2166" s="21">
        <v>8</v>
      </c>
      <c r="X2166" s="22"/>
    </row>
    <row r="2167" spans="1:24" s="1" customFormat="1" ht="26.1" customHeight="1" x14ac:dyDescent="0.3">
      <c r="A2167" s="63">
        <v>4</v>
      </c>
      <c r="B2167" s="23" t="s">
        <v>2838</v>
      </c>
      <c r="C2167" s="12" t="s">
        <v>2839</v>
      </c>
      <c r="D2167" s="85"/>
      <c r="E2167" s="69" t="str">
        <f>HYPERLINK("https://www.google.ru/search?q=4FSS23TSWSF244-83S&amp;newwindow=1&amp;tbm=isch","Еще фото")</f>
        <v>Еще фото</v>
      </c>
      <c r="F2167" s="13"/>
      <c r="G2167" s="23" t="s">
        <v>2831</v>
      </c>
      <c r="H2167" s="23" t="s">
        <v>27</v>
      </c>
      <c r="I2167" s="23" t="s">
        <v>569</v>
      </c>
      <c r="J2167" s="14" t="s">
        <v>29</v>
      </c>
      <c r="K2167" s="15" t="s">
        <v>47</v>
      </c>
      <c r="L2167" s="88"/>
      <c r="M2167" s="14"/>
      <c r="N2167" s="14" t="s">
        <v>326</v>
      </c>
      <c r="O2167" s="14"/>
      <c r="P2167" s="15" t="s">
        <v>2841</v>
      </c>
      <c r="Q2167" s="16">
        <v>5099</v>
      </c>
      <c r="R2167" s="17">
        <v>76.709999999999994</v>
      </c>
      <c r="S2167" s="18">
        <v>1365.9354999999998</v>
      </c>
      <c r="T2167" s="19" t="s">
        <v>328</v>
      </c>
      <c r="U2167" s="20" t="s">
        <v>52</v>
      </c>
      <c r="V2167" s="21">
        <v>50</v>
      </c>
      <c r="W2167" s="21">
        <v>4</v>
      </c>
      <c r="X2167" s="22"/>
    </row>
    <row r="2168" spans="1:24" s="1" customFormat="1" ht="51.95" customHeight="1" x14ac:dyDescent="0.3">
      <c r="A2168" s="62">
        <v>4</v>
      </c>
      <c r="B2168" s="11" t="s">
        <v>2842</v>
      </c>
      <c r="C2168" s="12" t="s">
        <v>2843</v>
      </c>
      <c r="D2168" s="89"/>
      <c r="E2168" s="69" t="str">
        <f>HYPERLINK("https://www.google.ru/search?q=4FSS23TSWSM229-83S&amp;newwindow=1&amp;tbm=isch","Еще фото")</f>
        <v>Еще фото</v>
      </c>
      <c r="F2168" s="13"/>
      <c r="G2168" s="11" t="s">
        <v>2831</v>
      </c>
      <c r="H2168" s="11" t="s">
        <v>27</v>
      </c>
      <c r="I2168" s="14" t="s">
        <v>569</v>
      </c>
      <c r="J2168" s="14" t="s">
        <v>29</v>
      </c>
      <c r="K2168" s="15" t="s">
        <v>55</v>
      </c>
      <c r="L2168" s="86" t="s">
        <v>2844</v>
      </c>
      <c r="M2168" s="14"/>
      <c r="N2168" s="14" t="s">
        <v>326</v>
      </c>
      <c r="O2168" s="14"/>
      <c r="P2168" s="15" t="s">
        <v>2845</v>
      </c>
      <c r="Q2168" s="16">
        <v>7199</v>
      </c>
      <c r="R2168" s="17">
        <v>74.89</v>
      </c>
      <c r="S2168" s="18">
        <v>2078.9354999999996</v>
      </c>
      <c r="T2168" s="19" t="s">
        <v>328</v>
      </c>
      <c r="U2168" s="20" t="s">
        <v>64</v>
      </c>
      <c r="V2168" s="21">
        <v>46</v>
      </c>
      <c r="W2168" s="21">
        <v>1</v>
      </c>
      <c r="X2168" s="22"/>
    </row>
    <row r="2169" spans="1:24" s="1" customFormat="1" ht="60.95" customHeight="1" x14ac:dyDescent="0.3">
      <c r="A2169" s="63">
        <v>4</v>
      </c>
      <c r="B2169" s="23" t="s">
        <v>2842</v>
      </c>
      <c r="C2169" s="12" t="s">
        <v>2843</v>
      </c>
      <c r="D2169" s="90"/>
      <c r="E2169" s="69" t="str">
        <f>HYPERLINK("https://www.google.ru/search?q=4FSS23TSWSM229-83S&amp;newwindow=1&amp;tbm=isch","Еще фото")</f>
        <v>Еще фото</v>
      </c>
      <c r="F2169" s="13"/>
      <c r="G2169" s="23" t="s">
        <v>2831</v>
      </c>
      <c r="H2169" s="23" t="s">
        <v>27</v>
      </c>
      <c r="I2169" s="23" t="s">
        <v>569</v>
      </c>
      <c r="J2169" s="14" t="s">
        <v>29</v>
      </c>
      <c r="K2169" s="15" t="s">
        <v>55</v>
      </c>
      <c r="L2169" s="88"/>
      <c r="M2169" s="14"/>
      <c r="N2169" s="14" t="s">
        <v>326</v>
      </c>
      <c r="O2169" s="14"/>
      <c r="P2169" s="15" t="s">
        <v>2845</v>
      </c>
      <c r="Q2169" s="16">
        <v>7199</v>
      </c>
      <c r="R2169" s="17">
        <v>74.89</v>
      </c>
      <c r="S2169" s="18">
        <v>2078.9354999999996</v>
      </c>
      <c r="T2169" s="19" t="s">
        <v>328</v>
      </c>
      <c r="U2169" s="20" t="s">
        <v>52</v>
      </c>
      <c r="V2169" s="21">
        <v>52</v>
      </c>
      <c r="W2169" s="21">
        <v>1</v>
      </c>
      <c r="X2169" s="22"/>
    </row>
    <row r="2170" spans="1:24" s="1" customFormat="1" ht="51.95" customHeight="1" x14ac:dyDescent="0.3">
      <c r="A2170" s="62">
        <v>4</v>
      </c>
      <c r="B2170" s="11" t="s">
        <v>2846</v>
      </c>
      <c r="C2170" s="12" t="s">
        <v>2847</v>
      </c>
      <c r="D2170" s="89"/>
      <c r="E2170" s="69" t="str">
        <f>HYPERLINK("https://www.google.ru/search?q=4FAW23TSWSM694-62S&amp;newwindow=1&amp;tbm=isch","Еще фото")</f>
        <v>Еще фото</v>
      </c>
      <c r="F2170" s="13"/>
      <c r="G2170" s="11" t="s">
        <v>574</v>
      </c>
      <c r="H2170" s="11" t="s">
        <v>27</v>
      </c>
      <c r="I2170" s="14" t="s">
        <v>569</v>
      </c>
      <c r="J2170" s="14" t="s">
        <v>29</v>
      </c>
      <c r="K2170" s="15" t="s">
        <v>55</v>
      </c>
      <c r="L2170" s="86" t="s">
        <v>2848</v>
      </c>
      <c r="M2170" s="14"/>
      <c r="N2170" s="14" t="s">
        <v>116</v>
      </c>
      <c r="O2170" s="14"/>
      <c r="P2170" s="15" t="s">
        <v>2849</v>
      </c>
      <c r="Q2170" s="16">
        <v>5699</v>
      </c>
      <c r="R2170" s="17">
        <v>73.02</v>
      </c>
      <c r="S2170" s="18">
        <v>1768.4354999999998</v>
      </c>
      <c r="T2170" s="19" t="s">
        <v>328</v>
      </c>
      <c r="U2170" s="20" t="s">
        <v>66</v>
      </c>
      <c r="V2170" s="21">
        <v>48</v>
      </c>
      <c r="W2170" s="21">
        <v>1</v>
      </c>
      <c r="X2170" s="22"/>
    </row>
    <row r="2171" spans="1:24" s="1" customFormat="1" ht="60.95" customHeight="1" x14ac:dyDescent="0.3">
      <c r="A2171" s="63">
        <v>4</v>
      </c>
      <c r="B2171" s="23" t="s">
        <v>2846</v>
      </c>
      <c r="C2171" s="12" t="s">
        <v>2847</v>
      </c>
      <c r="D2171" s="90"/>
      <c r="E2171" s="69" t="str">
        <f>HYPERLINK("https://www.google.ru/search?q=4FAW23TSWSM694-62S&amp;newwindow=1&amp;tbm=isch","Еще фото")</f>
        <v>Еще фото</v>
      </c>
      <c r="F2171" s="13"/>
      <c r="G2171" s="23" t="s">
        <v>574</v>
      </c>
      <c r="H2171" s="23" t="s">
        <v>27</v>
      </c>
      <c r="I2171" s="23" t="s">
        <v>569</v>
      </c>
      <c r="J2171" s="14" t="s">
        <v>29</v>
      </c>
      <c r="K2171" s="15" t="s">
        <v>55</v>
      </c>
      <c r="L2171" s="88"/>
      <c r="M2171" s="14"/>
      <c r="N2171" s="14" t="s">
        <v>116</v>
      </c>
      <c r="O2171" s="14"/>
      <c r="P2171" s="15" t="s">
        <v>2849</v>
      </c>
      <c r="Q2171" s="16">
        <v>5699</v>
      </c>
      <c r="R2171" s="17">
        <v>73.02</v>
      </c>
      <c r="S2171" s="18">
        <v>1768.4354999999998</v>
      </c>
      <c r="T2171" s="19" t="s">
        <v>328</v>
      </c>
      <c r="U2171" s="20" t="s">
        <v>58</v>
      </c>
      <c r="V2171" s="21">
        <v>50</v>
      </c>
      <c r="W2171" s="21">
        <v>6</v>
      </c>
      <c r="X2171" s="22"/>
    </row>
    <row r="2172" spans="1:24" s="1" customFormat="1" ht="51.95" customHeight="1" x14ac:dyDescent="0.3">
      <c r="A2172" s="62">
        <v>4</v>
      </c>
      <c r="B2172" s="11" t="s">
        <v>2850</v>
      </c>
      <c r="C2172" s="12" t="s">
        <v>2851</v>
      </c>
      <c r="D2172" s="89"/>
      <c r="E2172" s="69" t="str">
        <f>HYPERLINK("https://www.google.ru/search?q=4FJSS23TFLEM040-20S&amp;newwindow=1&amp;tbm=isch","Еще фото")</f>
        <v>Еще фото</v>
      </c>
      <c r="F2172" s="13"/>
      <c r="G2172" s="11" t="s">
        <v>574</v>
      </c>
      <c r="H2172" s="11" t="s">
        <v>27</v>
      </c>
      <c r="I2172" s="14" t="s">
        <v>569</v>
      </c>
      <c r="J2172" s="14" t="s">
        <v>29</v>
      </c>
      <c r="K2172" s="15" t="s">
        <v>30</v>
      </c>
      <c r="L2172" s="86" t="s">
        <v>2852</v>
      </c>
      <c r="M2172" s="14"/>
      <c r="N2172" s="14" t="s">
        <v>49</v>
      </c>
      <c r="O2172" s="14"/>
      <c r="P2172" s="15" t="s">
        <v>108</v>
      </c>
      <c r="Q2172" s="16">
        <v>3999</v>
      </c>
      <c r="R2172" s="17">
        <v>68.8</v>
      </c>
      <c r="S2172" s="18">
        <v>1434.9354999999998</v>
      </c>
      <c r="T2172" s="19" t="s">
        <v>328</v>
      </c>
      <c r="U2172" s="20" t="s">
        <v>290</v>
      </c>
      <c r="V2172" s="21">
        <v>140</v>
      </c>
      <c r="W2172" s="21">
        <v>4</v>
      </c>
      <c r="X2172" s="22"/>
    </row>
    <row r="2173" spans="1:24" s="1" customFormat="1" ht="60.95" customHeight="1" x14ac:dyDescent="0.3">
      <c r="A2173" s="63">
        <v>4</v>
      </c>
      <c r="B2173" s="23" t="s">
        <v>2850</v>
      </c>
      <c r="C2173" s="12" t="s">
        <v>2851</v>
      </c>
      <c r="D2173" s="90"/>
      <c r="E2173" s="69" t="str">
        <f>HYPERLINK("https://www.google.ru/search?q=4FJSS23TFLEM040-20S&amp;newwindow=1&amp;tbm=isch","Еще фото")</f>
        <v>Еще фото</v>
      </c>
      <c r="F2173" s="13"/>
      <c r="G2173" s="23" t="s">
        <v>574</v>
      </c>
      <c r="H2173" s="23" t="s">
        <v>27</v>
      </c>
      <c r="I2173" s="23" t="s">
        <v>569</v>
      </c>
      <c r="J2173" s="14" t="s">
        <v>29</v>
      </c>
      <c r="K2173" s="15" t="s">
        <v>30</v>
      </c>
      <c r="L2173" s="88"/>
      <c r="M2173" s="14"/>
      <c r="N2173" s="14" t="s">
        <v>49</v>
      </c>
      <c r="O2173" s="14"/>
      <c r="P2173" s="15" t="s">
        <v>108</v>
      </c>
      <c r="Q2173" s="16">
        <v>3999</v>
      </c>
      <c r="R2173" s="17">
        <v>68.8</v>
      </c>
      <c r="S2173" s="18">
        <v>1434.9354999999998</v>
      </c>
      <c r="T2173" s="19" t="s">
        <v>328</v>
      </c>
      <c r="U2173" s="20" t="s">
        <v>2160</v>
      </c>
      <c r="V2173" s="21">
        <v>152</v>
      </c>
      <c r="W2173" s="21">
        <v>1</v>
      </c>
      <c r="X2173" s="22"/>
    </row>
    <row r="2174" spans="1:24" s="1" customFormat="1" ht="51.95" customHeight="1" x14ac:dyDescent="0.3">
      <c r="A2174" s="62">
        <v>4</v>
      </c>
      <c r="B2174" s="11" t="s">
        <v>2853</v>
      </c>
      <c r="C2174" s="12" t="s">
        <v>2854</v>
      </c>
      <c r="D2174" s="89"/>
      <c r="E2174" s="69" t="str">
        <f>HYPERLINK("https://www.google.ru/search?q=4FAW23TSWSF0730-20S&amp;newwindow=1&amp;tbm=isch","Еще фото")</f>
        <v>Еще фото</v>
      </c>
      <c r="F2174" s="13"/>
      <c r="G2174" s="11" t="s">
        <v>574</v>
      </c>
      <c r="H2174" s="11" t="s">
        <v>27</v>
      </c>
      <c r="I2174" s="14" t="s">
        <v>569</v>
      </c>
      <c r="J2174" s="14" t="s">
        <v>29</v>
      </c>
      <c r="K2174" s="15" t="s">
        <v>47</v>
      </c>
      <c r="L2174" s="86" t="s">
        <v>2855</v>
      </c>
      <c r="M2174" s="14"/>
      <c r="N2174" s="14" t="s">
        <v>49</v>
      </c>
      <c r="O2174" s="14"/>
      <c r="P2174" s="15" t="s">
        <v>2856</v>
      </c>
      <c r="Q2174" s="16">
        <v>5799</v>
      </c>
      <c r="R2174" s="17">
        <v>55.55</v>
      </c>
      <c r="S2174" s="18">
        <v>2964.4354999999996</v>
      </c>
      <c r="T2174" s="19" t="s">
        <v>328</v>
      </c>
      <c r="U2174" s="20" t="s">
        <v>354</v>
      </c>
      <c r="V2174" s="21">
        <v>42</v>
      </c>
      <c r="W2174" s="21">
        <v>1</v>
      </c>
      <c r="X2174" s="22"/>
    </row>
    <row r="2175" spans="1:24" s="1" customFormat="1" ht="60.95" customHeight="1" x14ac:dyDescent="0.3">
      <c r="A2175" s="63">
        <v>4</v>
      </c>
      <c r="B2175" s="23" t="s">
        <v>2853</v>
      </c>
      <c r="C2175" s="12" t="s">
        <v>2854</v>
      </c>
      <c r="D2175" s="90"/>
      <c r="E2175" s="69" t="str">
        <f>HYPERLINK("https://www.google.ru/search?q=4FAW23TSWSF0730-20S&amp;newwindow=1&amp;tbm=isch","Еще фото")</f>
        <v>Еще фото</v>
      </c>
      <c r="F2175" s="13"/>
      <c r="G2175" s="23" t="s">
        <v>574</v>
      </c>
      <c r="H2175" s="23" t="s">
        <v>27</v>
      </c>
      <c r="I2175" s="23" t="s">
        <v>569</v>
      </c>
      <c r="J2175" s="14" t="s">
        <v>29</v>
      </c>
      <c r="K2175" s="15" t="s">
        <v>47</v>
      </c>
      <c r="L2175" s="88"/>
      <c r="M2175" s="14"/>
      <c r="N2175" s="14" t="s">
        <v>49</v>
      </c>
      <c r="O2175" s="14"/>
      <c r="P2175" s="15" t="s">
        <v>2856</v>
      </c>
      <c r="Q2175" s="16">
        <v>5799</v>
      </c>
      <c r="R2175" s="17">
        <v>55.55</v>
      </c>
      <c r="S2175" s="18">
        <v>2964.4354999999996</v>
      </c>
      <c r="T2175" s="19" t="s">
        <v>328</v>
      </c>
      <c r="U2175" s="20" t="s">
        <v>66</v>
      </c>
      <c r="V2175" s="21">
        <v>46</v>
      </c>
      <c r="W2175" s="21">
        <v>1</v>
      </c>
      <c r="X2175" s="22"/>
    </row>
    <row r="2176" spans="1:24" s="1" customFormat="1" ht="108" customHeight="1" x14ac:dyDescent="0.3">
      <c r="A2176" s="62">
        <v>4</v>
      </c>
      <c r="B2176" s="11" t="s">
        <v>2857</v>
      </c>
      <c r="C2176" s="12" t="s">
        <v>2858</v>
      </c>
      <c r="D2176" s="24"/>
      <c r="E2176" s="69" t="str">
        <f>HYPERLINK("https://www.google.ru/search?q=H4Z20-BLD013-25M&amp;newwindow=1&amp;tbm=isch","Еще фото")</f>
        <v>Еще фото</v>
      </c>
      <c r="F2176" s="13"/>
      <c r="G2176" s="11" t="s">
        <v>574</v>
      </c>
      <c r="H2176" s="11" t="s">
        <v>27</v>
      </c>
      <c r="I2176" s="14" t="s">
        <v>569</v>
      </c>
      <c r="J2176" s="14" t="s">
        <v>29</v>
      </c>
      <c r="K2176" s="15" t="s">
        <v>47</v>
      </c>
      <c r="L2176" s="14" t="s">
        <v>2859</v>
      </c>
      <c r="M2176" s="14"/>
      <c r="N2176" s="14" t="s">
        <v>41</v>
      </c>
      <c r="O2176" s="14"/>
      <c r="P2176" s="15" t="s">
        <v>2860</v>
      </c>
      <c r="Q2176" s="16">
        <v>5790</v>
      </c>
      <c r="R2176" s="17">
        <v>53.58</v>
      </c>
      <c r="S2176" s="18">
        <v>3090.9354999999996</v>
      </c>
      <c r="T2176" s="19" t="s">
        <v>328</v>
      </c>
      <c r="U2176" s="20" t="s">
        <v>354</v>
      </c>
      <c r="V2176" s="21">
        <v>42</v>
      </c>
      <c r="W2176" s="21">
        <v>1</v>
      </c>
      <c r="X2176" s="22"/>
    </row>
    <row r="2177" spans="1:24" s="1" customFormat="1" ht="108" customHeight="1" x14ac:dyDescent="0.3">
      <c r="A2177" s="62">
        <v>4</v>
      </c>
      <c r="B2177" s="11" t="s">
        <v>2857</v>
      </c>
      <c r="C2177" s="12" t="s">
        <v>2861</v>
      </c>
      <c r="D2177" s="24"/>
      <c r="E2177" s="69" t="str">
        <f>HYPERLINK("https://www.google.ru/search?q=H4Z20-BLD013-48S&amp;newwindow=1&amp;tbm=isch","Еще фото")</f>
        <v>Еще фото</v>
      </c>
      <c r="F2177" s="13"/>
      <c r="G2177" s="11" t="s">
        <v>574</v>
      </c>
      <c r="H2177" s="11" t="s">
        <v>27</v>
      </c>
      <c r="I2177" s="14" t="s">
        <v>569</v>
      </c>
      <c r="J2177" s="14" t="s">
        <v>29</v>
      </c>
      <c r="K2177" s="15" t="s">
        <v>47</v>
      </c>
      <c r="L2177" s="14" t="s">
        <v>2862</v>
      </c>
      <c r="M2177" s="14"/>
      <c r="N2177" s="14" t="s">
        <v>265</v>
      </c>
      <c r="O2177" s="14"/>
      <c r="P2177" s="15" t="s">
        <v>2860</v>
      </c>
      <c r="Q2177" s="16">
        <v>5790</v>
      </c>
      <c r="R2177" s="17">
        <v>52.37</v>
      </c>
      <c r="S2177" s="18">
        <v>3171.4354999999996</v>
      </c>
      <c r="T2177" s="19" t="s">
        <v>328</v>
      </c>
      <c r="U2177" s="20" t="s">
        <v>354</v>
      </c>
      <c r="V2177" s="21">
        <v>42</v>
      </c>
      <c r="W2177" s="21">
        <v>1</v>
      </c>
      <c r="X2177" s="22"/>
    </row>
    <row r="2178" spans="1:24" s="1" customFormat="1" ht="35.1" customHeight="1" x14ac:dyDescent="0.3">
      <c r="A2178" s="62">
        <v>4</v>
      </c>
      <c r="B2178" s="11" t="s">
        <v>2863</v>
      </c>
      <c r="C2178" s="12" t="s">
        <v>2864</v>
      </c>
      <c r="D2178" s="83"/>
      <c r="E2178" s="69" t="str">
        <f>HYPERLINK("https://www.google.ru/search?q=4FAW23TTSHF0907-27M&amp;newwindow=1&amp;tbm=isch","Еще фото")</f>
        <v>Еще фото</v>
      </c>
      <c r="F2178" s="13"/>
      <c r="G2178" s="11" t="s">
        <v>615</v>
      </c>
      <c r="H2178" s="11" t="s">
        <v>27</v>
      </c>
      <c r="I2178" s="14" t="s">
        <v>616</v>
      </c>
      <c r="J2178" s="14" t="s">
        <v>29</v>
      </c>
      <c r="K2178" s="15" t="s">
        <v>47</v>
      </c>
      <c r="L2178" s="86" t="s">
        <v>2865</v>
      </c>
      <c r="M2178" s="14"/>
      <c r="N2178" s="14" t="s">
        <v>2866</v>
      </c>
      <c r="O2178" s="14"/>
      <c r="P2178" s="15" t="s">
        <v>2867</v>
      </c>
      <c r="Q2178" s="16">
        <v>1599</v>
      </c>
      <c r="R2178" s="17">
        <v>81.38</v>
      </c>
      <c r="S2178" s="29">
        <v>342.43549999999993</v>
      </c>
      <c r="T2178" s="19" t="s">
        <v>328</v>
      </c>
      <c r="U2178" s="20" t="s">
        <v>354</v>
      </c>
      <c r="V2178" s="21">
        <v>42</v>
      </c>
      <c r="W2178" s="21">
        <v>3</v>
      </c>
      <c r="X2178" s="22"/>
    </row>
    <row r="2179" spans="1:24" s="1" customFormat="1" ht="35.1" customHeight="1" x14ac:dyDescent="0.3">
      <c r="A2179" s="63">
        <v>4</v>
      </c>
      <c r="B2179" s="23" t="s">
        <v>2863</v>
      </c>
      <c r="C2179" s="12" t="s">
        <v>2864</v>
      </c>
      <c r="D2179" s="84"/>
      <c r="E2179" s="69" t="str">
        <f>HYPERLINK("https://www.google.ru/search?q=4FAW23TTSHF0907-27M&amp;newwindow=1&amp;tbm=isch","Еще фото")</f>
        <v>Еще фото</v>
      </c>
      <c r="F2179" s="13"/>
      <c r="G2179" s="23" t="s">
        <v>615</v>
      </c>
      <c r="H2179" s="23" t="s">
        <v>27</v>
      </c>
      <c r="I2179" s="23" t="s">
        <v>616</v>
      </c>
      <c r="J2179" s="14" t="s">
        <v>29</v>
      </c>
      <c r="K2179" s="15" t="s">
        <v>47</v>
      </c>
      <c r="L2179" s="87"/>
      <c r="M2179" s="14"/>
      <c r="N2179" s="14" t="s">
        <v>2866</v>
      </c>
      <c r="O2179" s="14"/>
      <c r="P2179" s="15" t="s">
        <v>2867</v>
      </c>
      <c r="Q2179" s="16">
        <v>1599</v>
      </c>
      <c r="R2179" s="17">
        <v>81.38</v>
      </c>
      <c r="S2179" s="29">
        <v>342.43549999999993</v>
      </c>
      <c r="T2179" s="19" t="s">
        <v>328</v>
      </c>
      <c r="U2179" s="20" t="s">
        <v>64</v>
      </c>
      <c r="V2179" s="21">
        <v>44</v>
      </c>
      <c r="W2179" s="21">
        <v>7</v>
      </c>
      <c r="X2179" s="22"/>
    </row>
    <row r="2180" spans="1:24" s="1" customFormat="1" ht="36.950000000000003" customHeight="1" x14ac:dyDescent="0.3">
      <c r="A2180" s="63">
        <v>4</v>
      </c>
      <c r="B2180" s="23" t="s">
        <v>2863</v>
      </c>
      <c r="C2180" s="12" t="s">
        <v>2864</v>
      </c>
      <c r="D2180" s="85"/>
      <c r="E2180" s="69" t="str">
        <f>HYPERLINK("https://www.google.ru/search?q=4FAW23TTSHF0907-27M&amp;newwindow=1&amp;tbm=isch","Еще фото")</f>
        <v>Еще фото</v>
      </c>
      <c r="F2180" s="13"/>
      <c r="G2180" s="23" t="s">
        <v>615</v>
      </c>
      <c r="H2180" s="23" t="s">
        <v>27</v>
      </c>
      <c r="I2180" s="23" t="s">
        <v>616</v>
      </c>
      <c r="J2180" s="14" t="s">
        <v>29</v>
      </c>
      <c r="K2180" s="15" t="s">
        <v>47</v>
      </c>
      <c r="L2180" s="88"/>
      <c r="M2180" s="14"/>
      <c r="N2180" s="14" t="s">
        <v>2866</v>
      </c>
      <c r="O2180" s="14"/>
      <c r="P2180" s="15" t="s">
        <v>2867</v>
      </c>
      <c r="Q2180" s="16">
        <v>1599</v>
      </c>
      <c r="R2180" s="17">
        <v>81.38</v>
      </c>
      <c r="S2180" s="29">
        <v>342.43549999999993</v>
      </c>
      <c r="T2180" s="19" t="s">
        <v>328</v>
      </c>
      <c r="U2180" s="20" t="s">
        <v>66</v>
      </c>
      <c r="V2180" s="21">
        <v>46</v>
      </c>
      <c r="W2180" s="21">
        <v>4</v>
      </c>
      <c r="X2180" s="22"/>
    </row>
    <row r="2181" spans="1:24" s="1" customFormat="1" ht="108" customHeight="1" x14ac:dyDescent="0.3">
      <c r="A2181" s="62">
        <v>4</v>
      </c>
      <c r="B2181" s="11" t="s">
        <v>2868</v>
      </c>
      <c r="C2181" s="12" t="s">
        <v>2869</v>
      </c>
      <c r="D2181" s="24"/>
      <c r="E2181" s="69" t="str">
        <f>HYPERLINK("https://www.google.ru/search?q=4FSS23TFTSM404-45S&amp;newwindow=1&amp;tbm=isch","Еще фото")</f>
        <v>Еще фото</v>
      </c>
      <c r="F2181" s="13"/>
      <c r="G2181" s="11" t="s">
        <v>615</v>
      </c>
      <c r="H2181" s="11" t="s">
        <v>27</v>
      </c>
      <c r="I2181" s="14" t="s">
        <v>616</v>
      </c>
      <c r="J2181" s="14" t="s">
        <v>29</v>
      </c>
      <c r="K2181" s="15" t="s">
        <v>55</v>
      </c>
      <c r="L2181" s="14" t="s">
        <v>2870</v>
      </c>
      <c r="M2181" s="14"/>
      <c r="N2181" s="14" t="s">
        <v>242</v>
      </c>
      <c r="O2181" s="14"/>
      <c r="P2181" s="15" t="s">
        <v>2871</v>
      </c>
      <c r="Q2181" s="16">
        <v>2399</v>
      </c>
      <c r="R2181" s="17">
        <v>64.66</v>
      </c>
      <c r="S2181" s="29">
        <v>974.93549999999993</v>
      </c>
      <c r="T2181" s="19" t="s">
        <v>328</v>
      </c>
      <c r="U2181" s="20" t="s">
        <v>66</v>
      </c>
      <c r="V2181" s="21">
        <v>48</v>
      </c>
      <c r="W2181" s="21">
        <v>1</v>
      </c>
      <c r="X2181" s="22"/>
    </row>
    <row r="2182" spans="1:24" s="1" customFormat="1" ht="108" customHeight="1" x14ac:dyDescent="0.3">
      <c r="A2182" s="62">
        <v>4</v>
      </c>
      <c r="B2182" s="11" t="s">
        <v>2872</v>
      </c>
      <c r="C2182" s="12" t="s">
        <v>2873</v>
      </c>
      <c r="D2182" s="24"/>
      <c r="E2182" s="69" t="str">
        <f>HYPERLINK("https://www.google.ru/search?q=4FJSS23TTSHF387-30S&amp;newwindow=1&amp;tbm=isch","Еще фото")</f>
        <v>Еще фото</v>
      </c>
      <c r="F2182" s="13"/>
      <c r="G2182" s="11" t="s">
        <v>615</v>
      </c>
      <c r="H2182" s="11" t="s">
        <v>27</v>
      </c>
      <c r="I2182" s="14" t="s">
        <v>616</v>
      </c>
      <c r="J2182" s="14" t="s">
        <v>29</v>
      </c>
      <c r="K2182" s="15" t="s">
        <v>30</v>
      </c>
      <c r="L2182" s="14" t="s">
        <v>2874</v>
      </c>
      <c r="M2182" s="14"/>
      <c r="N2182" s="14" t="s">
        <v>70</v>
      </c>
      <c r="O2182" s="14"/>
      <c r="P2182" s="15" t="s">
        <v>74</v>
      </c>
      <c r="Q2182" s="16">
        <v>1299</v>
      </c>
      <c r="R2182" s="17">
        <v>63.99</v>
      </c>
      <c r="S2182" s="29">
        <v>537.93549999999993</v>
      </c>
      <c r="T2182" s="19" t="s">
        <v>328</v>
      </c>
      <c r="U2182" s="20" t="s">
        <v>290</v>
      </c>
      <c r="V2182" s="21">
        <v>140</v>
      </c>
      <c r="W2182" s="21">
        <v>1</v>
      </c>
      <c r="X2182" s="22"/>
    </row>
    <row r="2183" spans="1:24" s="1" customFormat="1" ht="108" customHeight="1" x14ac:dyDescent="0.3">
      <c r="A2183" s="62">
        <v>4</v>
      </c>
      <c r="B2183" s="11" t="s">
        <v>2875</v>
      </c>
      <c r="C2183" s="12" t="s">
        <v>2876</v>
      </c>
      <c r="D2183" s="24"/>
      <c r="E2183" s="69" t="str">
        <f>HYPERLINK("https://www.google.ru/search?q=4FSS23TFTSM163-20S&amp;newwindow=1&amp;tbm=isch","Еще фото")</f>
        <v>Еще фото</v>
      </c>
      <c r="F2183" s="13"/>
      <c r="G2183" s="11" t="s">
        <v>615</v>
      </c>
      <c r="H2183" s="11" t="s">
        <v>27</v>
      </c>
      <c r="I2183" s="14" t="s">
        <v>616</v>
      </c>
      <c r="J2183" s="14" t="s">
        <v>29</v>
      </c>
      <c r="K2183" s="15" t="s">
        <v>55</v>
      </c>
      <c r="L2183" s="14" t="s">
        <v>2877</v>
      </c>
      <c r="M2183" s="14"/>
      <c r="N2183" s="14" t="s">
        <v>49</v>
      </c>
      <c r="O2183" s="14"/>
      <c r="P2183" s="15" t="s">
        <v>2871</v>
      </c>
      <c r="Q2183" s="16">
        <v>2899</v>
      </c>
      <c r="R2183" s="17">
        <v>48.26</v>
      </c>
      <c r="S2183" s="18">
        <v>1724.9884999999999</v>
      </c>
      <c r="T2183" s="19" t="s">
        <v>328</v>
      </c>
      <c r="U2183" s="20" t="s">
        <v>64</v>
      </c>
      <c r="V2183" s="21">
        <v>46</v>
      </c>
      <c r="W2183" s="21">
        <v>1</v>
      </c>
      <c r="X2183" s="22"/>
    </row>
    <row r="2184" spans="1:24" s="1" customFormat="1" ht="108" customHeight="1" x14ac:dyDescent="0.3">
      <c r="A2184" s="62">
        <v>4</v>
      </c>
      <c r="B2184" s="11" t="s">
        <v>2878</v>
      </c>
      <c r="C2184" s="12" t="s">
        <v>2879</v>
      </c>
      <c r="D2184" s="24"/>
      <c r="E2184" s="69" t="str">
        <f>HYPERLINK("https://www.google.ru/search?q=4FAW23ACAPM314-23S&amp;newwindow=1&amp;tbm=isch","Еще фото")</f>
        <v>Еще фото</v>
      </c>
      <c r="F2184" s="13"/>
      <c r="G2184" s="11" t="s">
        <v>2880</v>
      </c>
      <c r="H2184" s="11" t="s">
        <v>112</v>
      </c>
      <c r="I2184" s="14" t="s">
        <v>667</v>
      </c>
      <c r="J2184" s="14" t="s">
        <v>29</v>
      </c>
      <c r="K2184" s="15" t="s">
        <v>55</v>
      </c>
      <c r="L2184" s="14" t="s">
        <v>2881</v>
      </c>
      <c r="M2184" s="14"/>
      <c r="N2184" s="14" t="s">
        <v>41</v>
      </c>
      <c r="O2184" s="14"/>
      <c r="P2184" s="15" t="s">
        <v>2882</v>
      </c>
      <c r="Q2184" s="16">
        <v>1799</v>
      </c>
      <c r="R2184" s="17">
        <v>80.67</v>
      </c>
      <c r="S2184" s="29">
        <v>399.93549999999993</v>
      </c>
      <c r="T2184" s="19" t="s">
        <v>117</v>
      </c>
      <c r="U2184" s="20" t="s">
        <v>2883</v>
      </c>
      <c r="V2184" s="25" t="s">
        <v>119</v>
      </c>
      <c r="W2184" s="21">
        <v>35</v>
      </c>
      <c r="X2184" s="22"/>
    </row>
    <row r="2185" spans="1:24" s="1" customFormat="1" ht="108" customHeight="1" x14ac:dyDescent="0.3">
      <c r="A2185" s="62">
        <v>4</v>
      </c>
      <c r="B2185" s="11" t="s">
        <v>2884</v>
      </c>
      <c r="C2185" s="12" t="s">
        <v>2885</v>
      </c>
      <c r="D2185" s="24"/>
      <c r="E2185" s="69" t="str">
        <f>HYPERLINK("https://www.google.ru/search?q=H4Z22-CAD017-25M&amp;newwindow=1&amp;tbm=isch","Еще фото")</f>
        <v>Еще фото</v>
      </c>
      <c r="F2185" s="13"/>
      <c r="G2185" s="11" t="s">
        <v>2880</v>
      </c>
      <c r="H2185" s="11" t="s">
        <v>112</v>
      </c>
      <c r="I2185" s="14" t="s">
        <v>667</v>
      </c>
      <c r="J2185" s="14" t="s">
        <v>29</v>
      </c>
      <c r="K2185" s="15" t="s">
        <v>47</v>
      </c>
      <c r="L2185" s="14" t="s">
        <v>2886</v>
      </c>
      <c r="M2185" s="14"/>
      <c r="N2185" s="14" t="s">
        <v>41</v>
      </c>
      <c r="O2185" s="14"/>
      <c r="P2185" s="15" t="s">
        <v>2887</v>
      </c>
      <c r="Q2185" s="16">
        <v>1899</v>
      </c>
      <c r="R2185" s="17">
        <v>80.63</v>
      </c>
      <c r="S2185" s="29">
        <v>422.93549999999993</v>
      </c>
      <c r="T2185" s="19" t="s">
        <v>328</v>
      </c>
      <c r="U2185" s="20" t="s">
        <v>2883</v>
      </c>
      <c r="V2185" s="25" t="s">
        <v>119</v>
      </c>
      <c r="W2185" s="21">
        <v>19</v>
      </c>
      <c r="X2185" s="22"/>
    </row>
    <row r="2186" spans="1:24" s="1" customFormat="1" ht="108" customHeight="1" x14ac:dyDescent="0.3">
      <c r="A2186" s="62">
        <v>4</v>
      </c>
      <c r="B2186" s="11" t="s">
        <v>2888</v>
      </c>
      <c r="C2186" s="12" t="s">
        <v>2889</v>
      </c>
      <c r="D2186" s="24"/>
      <c r="E2186" s="69" t="str">
        <f>HYPERLINK("https://www.google.ru/search?q=4FAW23ACAPF291-83S&amp;newwindow=1&amp;tbm=isch","Еще фото")</f>
        <v>Еще фото</v>
      </c>
      <c r="F2186" s="13"/>
      <c r="G2186" s="11" t="s">
        <v>2880</v>
      </c>
      <c r="H2186" s="11" t="s">
        <v>112</v>
      </c>
      <c r="I2186" s="14" t="s">
        <v>667</v>
      </c>
      <c r="J2186" s="14" t="s">
        <v>29</v>
      </c>
      <c r="K2186" s="15" t="s">
        <v>47</v>
      </c>
      <c r="L2186" s="14" t="s">
        <v>2890</v>
      </c>
      <c r="M2186" s="14"/>
      <c r="N2186" s="14" t="s">
        <v>326</v>
      </c>
      <c r="O2186" s="14"/>
      <c r="P2186" s="15" t="s">
        <v>2891</v>
      </c>
      <c r="Q2186" s="16">
        <v>1199</v>
      </c>
      <c r="R2186" s="17">
        <v>78.5</v>
      </c>
      <c r="S2186" s="29">
        <v>296.43549999999993</v>
      </c>
      <c r="T2186" s="19" t="s">
        <v>328</v>
      </c>
      <c r="U2186" s="20" t="s">
        <v>64</v>
      </c>
      <c r="V2186" s="25" t="s">
        <v>2892</v>
      </c>
      <c r="W2186" s="21">
        <v>17</v>
      </c>
      <c r="X2186" s="22"/>
    </row>
    <row r="2187" spans="1:24" s="1" customFormat="1" ht="108" customHeight="1" x14ac:dyDescent="0.3">
      <c r="A2187" s="62">
        <v>4</v>
      </c>
      <c r="B2187" s="11" t="s">
        <v>2893</v>
      </c>
      <c r="C2187" s="12" t="s">
        <v>2894</v>
      </c>
      <c r="D2187" s="24"/>
      <c r="E2187" s="69" t="str">
        <f>HYPERLINK("https://www.google.ru/search?q=4FAW23ACAPF288-54S&amp;newwindow=1&amp;tbm=isch","Еще фото")</f>
        <v>Еще фото</v>
      </c>
      <c r="F2187" s="13"/>
      <c r="G2187" s="11" t="s">
        <v>2880</v>
      </c>
      <c r="H2187" s="11" t="s">
        <v>112</v>
      </c>
      <c r="I2187" s="14" t="s">
        <v>667</v>
      </c>
      <c r="J2187" s="14" t="s">
        <v>29</v>
      </c>
      <c r="K2187" s="15" t="s">
        <v>47</v>
      </c>
      <c r="L2187" s="14" t="s">
        <v>2895</v>
      </c>
      <c r="M2187" s="14"/>
      <c r="N2187" s="14" t="s">
        <v>275</v>
      </c>
      <c r="O2187" s="14"/>
      <c r="P2187" s="15" t="s">
        <v>2896</v>
      </c>
      <c r="Q2187" s="16">
        <v>1499</v>
      </c>
      <c r="R2187" s="17">
        <v>75.47</v>
      </c>
      <c r="S2187" s="29">
        <v>422.93549999999993</v>
      </c>
      <c r="T2187" s="19" t="s">
        <v>328</v>
      </c>
      <c r="U2187" s="20" t="s">
        <v>64</v>
      </c>
      <c r="V2187" s="25" t="s">
        <v>2892</v>
      </c>
      <c r="W2187" s="21">
        <v>7</v>
      </c>
      <c r="X2187" s="22"/>
    </row>
    <row r="2188" spans="1:24" s="1" customFormat="1" ht="51.95" customHeight="1" x14ac:dyDescent="0.3">
      <c r="A2188" s="62">
        <v>4</v>
      </c>
      <c r="B2188" s="11" t="s">
        <v>2897</v>
      </c>
      <c r="C2188" s="12" t="s">
        <v>2898</v>
      </c>
      <c r="D2188" s="89"/>
      <c r="E2188" s="69" t="str">
        <f>HYPERLINK("https://www.google.ru/search?q=4FAW23ACAPF294-55S&amp;newwindow=1&amp;tbm=isch","Еще фото")</f>
        <v>Еще фото</v>
      </c>
      <c r="F2188" s="13"/>
      <c r="G2188" s="11" t="s">
        <v>2880</v>
      </c>
      <c r="H2188" s="11" t="s">
        <v>112</v>
      </c>
      <c r="I2188" s="14" t="s">
        <v>667</v>
      </c>
      <c r="J2188" s="14" t="s">
        <v>29</v>
      </c>
      <c r="K2188" s="15" t="s">
        <v>47</v>
      </c>
      <c r="L2188" s="86" t="s">
        <v>2899</v>
      </c>
      <c r="M2188" s="14"/>
      <c r="N2188" s="14" t="s">
        <v>275</v>
      </c>
      <c r="O2188" s="14"/>
      <c r="P2188" s="15" t="s">
        <v>2900</v>
      </c>
      <c r="Q2188" s="16">
        <v>1299</v>
      </c>
      <c r="R2188" s="17">
        <v>73.23</v>
      </c>
      <c r="S2188" s="29">
        <v>399.93549999999993</v>
      </c>
      <c r="T2188" s="19" t="s">
        <v>328</v>
      </c>
      <c r="U2188" s="20" t="s">
        <v>64</v>
      </c>
      <c r="V2188" s="25" t="s">
        <v>2892</v>
      </c>
      <c r="W2188" s="21">
        <v>6</v>
      </c>
      <c r="X2188" s="22"/>
    </row>
    <row r="2189" spans="1:24" s="1" customFormat="1" ht="60.95" customHeight="1" x14ac:dyDescent="0.3">
      <c r="A2189" s="63">
        <v>4</v>
      </c>
      <c r="B2189" s="23" t="s">
        <v>2897</v>
      </c>
      <c r="C2189" s="12" t="s">
        <v>2898</v>
      </c>
      <c r="D2189" s="90"/>
      <c r="E2189" s="69" t="str">
        <f>HYPERLINK("https://www.google.ru/search?q=4FAW23ACAPF294-55S&amp;newwindow=1&amp;tbm=isch","Еще фото")</f>
        <v>Еще фото</v>
      </c>
      <c r="F2189" s="13"/>
      <c r="G2189" s="23" t="s">
        <v>2880</v>
      </c>
      <c r="H2189" s="23" t="s">
        <v>112</v>
      </c>
      <c r="I2189" s="23" t="s">
        <v>667</v>
      </c>
      <c r="J2189" s="14" t="s">
        <v>29</v>
      </c>
      <c r="K2189" s="15" t="s">
        <v>47</v>
      </c>
      <c r="L2189" s="88"/>
      <c r="M2189" s="14"/>
      <c r="N2189" s="14" t="s">
        <v>275</v>
      </c>
      <c r="O2189" s="14"/>
      <c r="P2189" s="15" t="s">
        <v>2900</v>
      </c>
      <c r="Q2189" s="16">
        <v>1299</v>
      </c>
      <c r="R2189" s="17">
        <v>73.23</v>
      </c>
      <c r="S2189" s="29">
        <v>399.93549999999993</v>
      </c>
      <c r="T2189" s="19" t="s">
        <v>328</v>
      </c>
      <c r="U2189" s="20" t="s">
        <v>66</v>
      </c>
      <c r="V2189" s="25" t="s">
        <v>2901</v>
      </c>
      <c r="W2189" s="21">
        <v>1</v>
      </c>
      <c r="X2189" s="22"/>
    </row>
    <row r="2190" spans="1:24" s="1" customFormat="1" ht="108" customHeight="1" x14ac:dyDescent="0.3">
      <c r="A2190" s="62">
        <v>4</v>
      </c>
      <c r="B2190" s="11" t="s">
        <v>2884</v>
      </c>
      <c r="C2190" s="12" t="s">
        <v>2902</v>
      </c>
      <c r="D2190" s="24"/>
      <c r="E2190" s="69" t="str">
        <f>HYPERLINK("https://www.google.ru/search?q=H4Z22-CAD017-32S&amp;newwindow=1&amp;tbm=isch","Еще фото")</f>
        <v>Еще фото</v>
      </c>
      <c r="F2190" s="13"/>
      <c r="G2190" s="11" t="s">
        <v>2880</v>
      </c>
      <c r="H2190" s="11" t="s">
        <v>112</v>
      </c>
      <c r="I2190" s="14" t="s">
        <v>667</v>
      </c>
      <c r="J2190" s="14" t="s">
        <v>29</v>
      </c>
      <c r="K2190" s="15" t="s">
        <v>47</v>
      </c>
      <c r="L2190" s="14" t="s">
        <v>2886</v>
      </c>
      <c r="M2190" s="14"/>
      <c r="N2190" s="14" t="s">
        <v>70</v>
      </c>
      <c r="O2190" s="14"/>
      <c r="P2190" s="15" t="s">
        <v>2887</v>
      </c>
      <c r="Q2190" s="16">
        <v>1899</v>
      </c>
      <c r="R2190" s="17">
        <v>68.52</v>
      </c>
      <c r="S2190" s="29">
        <v>687.43549999999993</v>
      </c>
      <c r="T2190" s="19" t="s">
        <v>328</v>
      </c>
      <c r="U2190" s="20" t="s">
        <v>2883</v>
      </c>
      <c r="V2190" s="25" t="s">
        <v>119</v>
      </c>
      <c r="W2190" s="21">
        <v>2</v>
      </c>
      <c r="X2190" s="22"/>
    </row>
    <row r="2191" spans="1:24" s="1" customFormat="1" ht="108" customHeight="1" x14ac:dyDescent="0.3">
      <c r="A2191" s="62">
        <v>4</v>
      </c>
      <c r="B2191" s="11" t="s">
        <v>2878</v>
      </c>
      <c r="C2191" s="12" t="s">
        <v>2903</v>
      </c>
      <c r="D2191" s="24"/>
      <c r="E2191" s="69" t="str">
        <f>HYPERLINK("https://www.google.ru/search?q=4FAW23ACAPM314-41S&amp;newwindow=1&amp;tbm=isch","Еще фото")</f>
        <v>Еще фото</v>
      </c>
      <c r="F2191" s="13"/>
      <c r="G2191" s="11" t="s">
        <v>2880</v>
      </c>
      <c r="H2191" s="11" t="s">
        <v>112</v>
      </c>
      <c r="I2191" s="14" t="s">
        <v>667</v>
      </c>
      <c r="J2191" s="14" t="s">
        <v>29</v>
      </c>
      <c r="K2191" s="15" t="s">
        <v>55</v>
      </c>
      <c r="L2191" s="14" t="s">
        <v>2881</v>
      </c>
      <c r="M2191" s="14"/>
      <c r="N2191" s="14" t="s">
        <v>242</v>
      </c>
      <c r="O2191" s="14"/>
      <c r="P2191" s="15" t="s">
        <v>2882</v>
      </c>
      <c r="Q2191" s="16">
        <v>1799</v>
      </c>
      <c r="R2191" s="17">
        <v>61.21</v>
      </c>
      <c r="S2191" s="29">
        <v>802.43549999999993</v>
      </c>
      <c r="T2191" s="19" t="s">
        <v>117</v>
      </c>
      <c r="U2191" s="20" t="s">
        <v>2883</v>
      </c>
      <c r="V2191" s="25" t="s">
        <v>119</v>
      </c>
      <c r="W2191" s="21">
        <v>5</v>
      </c>
      <c r="X2191" s="22"/>
    </row>
    <row r="2192" spans="1:24" s="1" customFormat="1" ht="108" customHeight="1" x14ac:dyDescent="0.3">
      <c r="A2192" s="62">
        <v>4</v>
      </c>
      <c r="B2192" s="11" t="s">
        <v>2904</v>
      </c>
      <c r="C2192" s="12" t="s">
        <v>2905</v>
      </c>
      <c r="D2192" s="24"/>
      <c r="E2192" s="69" t="str">
        <f>HYPERLINK("https://www.google.ru/search?q=H4Z20-CAD007-56S&amp;newwindow=1&amp;tbm=isch","Еще фото")</f>
        <v>Еще фото</v>
      </c>
      <c r="F2192" s="13"/>
      <c r="G2192" s="11" t="s">
        <v>2880</v>
      </c>
      <c r="H2192" s="11" t="s">
        <v>112</v>
      </c>
      <c r="I2192" s="14" t="s">
        <v>667</v>
      </c>
      <c r="J2192" s="14" t="s">
        <v>29</v>
      </c>
      <c r="K2192" s="15" t="s">
        <v>47</v>
      </c>
      <c r="L2192" s="14" t="s">
        <v>2906</v>
      </c>
      <c r="M2192" s="14"/>
      <c r="N2192" s="14" t="s">
        <v>275</v>
      </c>
      <c r="O2192" s="14"/>
      <c r="P2192" s="15" t="s">
        <v>2907</v>
      </c>
      <c r="Q2192" s="16">
        <v>2190</v>
      </c>
      <c r="R2192" s="17">
        <v>58.55</v>
      </c>
      <c r="S2192" s="29">
        <v>1043.9354999999998</v>
      </c>
      <c r="T2192" s="19" t="s">
        <v>328</v>
      </c>
      <c r="U2192" s="20" t="s">
        <v>64</v>
      </c>
      <c r="V2192" s="25" t="s">
        <v>2892</v>
      </c>
      <c r="W2192" s="21">
        <v>1</v>
      </c>
      <c r="X2192" s="22"/>
    </row>
    <row r="2193" spans="1:24" s="1" customFormat="1" ht="108" customHeight="1" x14ac:dyDescent="0.3">
      <c r="A2193" s="62">
        <v>4</v>
      </c>
      <c r="B2193" s="11" t="s">
        <v>2884</v>
      </c>
      <c r="C2193" s="12" t="s">
        <v>2908</v>
      </c>
      <c r="D2193" s="24"/>
      <c r="E2193" s="69" t="str">
        <f>HYPERLINK("https://www.google.ru/search?q=H4Z22-CAD005-47M&amp;newwindow=1&amp;tbm=isch","Еще фото")</f>
        <v>Еще фото</v>
      </c>
      <c r="F2193" s="13"/>
      <c r="G2193" s="11" t="s">
        <v>2880</v>
      </c>
      <c r="H2193" s="11" t="s">
        <v>112</v>
      </c>
      <c r="I2193" s="14" t="s">
        <v>667</v>
      </c>
      <c r="J2193" s="14" t="s">
        <v>29</v>
      </c>
      <c r="K2193" s="15" t="s">
        <v>47</v>
      </c>
      <c r="L2193" s="14" t="s">
        <v>2909</v>
      </c>
      <c r="M2193" s="14"/>
      <c r="N2193" s="14" t="s">
        <v>242</v>
      </c>
      <c r="O2193" s="14"/>
      <c r="P2193" s="15" t="s">
        <v>2910</v>
      </c>
      <c r="Q2193" s="16">
        <v>1899</v>
      </c>
      <c r="R2193" s="17">
        <v>49</v>
      </c>
      <c r="S2193" s="29">
        <v>1113.7635</v>
      </c>
      <c r="T2193" s="19" t="s">
        <v>328</v>
      </c>
      <c r="U2193" s="20" t="s">
        <v>64</v>
      </c>
      <c r="V2193" s="25" t="s">
        <v>2892</v>
      </c>
      <c r="W2193" s="21">
        <v>4</v>
      </c>
      <c r="X2193" s="22"/>
    </row>
    <row r="2194" spans="1:24" s="1" customFormat="1" ht="51.95" customHeight="1" x14ac:dyDescent="0.3">
      <c r="A2194" s="62">
        <v>4</v>
      </c>
      <c r="B2194" s="11" t="s">
        <v>2893</v>
      </c>
      <c r="C2194" s="12" t="s">
        <v>2911</v>
      </c>
      <c r="D2194" s="89"/>
      <c r="E2194" s="69" t="str">
        <f>HYPERLINK("https://www.google.ru/search?q=4FAW23ACAPF288-83S&amp;newwindow=1&amp;tbm=isch","Еще фото")</f>
        <v>Еще фото</v>
      </c>
      <c r="F2194" s="13"/>
      <c r="G2194" s="11" t="s">
        <v>2880</v>
      </c>
      <c r="H2194" s="11" t="s">
        <v>112</v>
      </c>
      <c r="I2194" s="14" t="s">
        <v>667</v>
      </c>
      <c r="J2194" s="14" t="s">
        <v>29</v>
      </c>
      <c r="K2194" s="15" t="s">
        <v>47</v>
      </c>
      <c r="L2194" s="86" t="s">
        <v>2895</v>
      </c>
      <c r="M2194" s="14"/>
      <c r="N2194" s="14" t="s">
        <v>326</v>
      </c>
      <c r="O2194" s="14"/>
      <c r="P2194" s="15" t="s">
        <v>2896</v>
      </c>
      <c r="Q2194" s="16">
        <v>1499</v>
      </c>
      <c r="R2194" s="17">
        <v>48.78</v>
      </c>
      <c r="S2194" s="29">
        <v>882.93549999999993</v>
      </c>
      <c r="T2194" s="19" t="s">
        <v>328</v>
      </c>
      <c r="U2194" s="20" t="s">
        <v>64</v>
      </c>
      <c r="V2194" s="25" t="s">
        <v>2892</v>
      </c>
      <c r="W2194" s="21">
        <v>1</v>
      </c>
      <c r="X2194" s="22"/>
    </row>
    <row r="2195" spans="1:24" s="1" customFormat="1" ht="60.95" customHeight="1" x14ac:dyDescent="0.3">
      <c r="A2195" s="63">
        <v>4</v>
      </c>
      <c r="B2195" s="23" t="s">
        <v>2893</v>
      </c>
      <c r="C2195" s="12" t="s">
        <v>2911</v>
      </c>
      <c r="D2195" s="90"/>
      <c r="E2195" s="69" t="str">
        <f>HYPERLINK("https://www.google.ru/search?q=4FAW23ACAPF288-83S&amp;newwindow=1&amp;tbm=isch","Еще фото")</f>
        <v>Еще фото</v>
      </c>
      <c r="F2195" s="13"/>
      <c r="G2195" s="23" t="s">
        <v>2880</v>
      </c>
      <c r="H2195" s="23" t="s">
        <v>112</v>
      </c>
      <c r="I2195" s="23" t="s">
        <v>667</v>
      </c>
      <c r="J2195" s="14" t="s">
        <v>29</v>
      </c>
      <c r="K2195" s="15" t="s">
        <v>47</v>
      </c>
      <c r="L2195" s="88"/>
      <c r="M2195" s="14"/>
      <c r="N2195" s="14" t="s">
        <v>326</v>
      </c>
      <c r="O2195" s="14"/>
      <c r="P2195" s="15" t="s">
        <v>2896</v>
      </c>
      <c r="Q2195" s="16">
        <v>1499</v>
      </c>
      <c r="R2195" s="17">
        <v>48.78</v>
      </c>
      <c r="S2195" s="29">
        <v>882.93549999999993</v>
      </c>
      <c r="T2195" s="19" t="s">
        <v>328</v>
      </c>
      <c r="U2195" s="20" t="s">
        <v>66</v>
      </c>
      <c r="V2195" s="25" t="s">
        <v>2901</v>
      </c>
      <c r="W2195" s="21">
        <v>1</v>
      </c>
      <c r="X2195" s="22"/>
    </row>
    <row r="2196" spans="1:24" s="1" customFormat="1" ht="108" customHeight="1" x14ac:dyDescent="0.3">
      <c r="A2196" s="62">
        <v>4</v>
      </c>
      <c r="B2196" s="11" t="s">
        <v>2884</v>
      </c>
      <c r="C2196" s="12" t="s">
        <v>2912</v>
      </c>
      <c r="D2196" s="24"/>
      <c r="E2196" s="69" t="str">
        <f>HYPERLINK("https://www.google.ru/search?q=H4Z22-CAD005-64M&amp;newwindow=1&amp;tbm=isch","Еще фото")</f>
        <v>Еще фото</v>
      </c>
      <c r="F2196" s="13"/>
      <c r="G2196" s="11" t="s">
        <v>2880</v>
      </c>
      <c r="H2196" s="11" t="s">
        <v>112</v>
      </c>
      <c r="I2196" s="14" t="s">
        <v>667</v>
      </c>
      <c r="J2196" s="14" t="s">
        <v>29</v>
      </c>
      <c r="K2196" s="15" t="s">
        <v>47</v>
      </c>
      <c r="L2196" s="14" t="s">
        <v>2909</v>
      </c>
      <c r="M2196" s="14"/>
      <c r="N2196" s="14" t="s">
        <v>275</v>
      </c>
      <c r="O2196" s="14"/>
      <c r="P2196" s="15" t="s">
        <v>2910</v>
      </c>
      <c r="Q2196" s="16">
        <v>1599</v>
      </c>
      <c r="R2196" s="17">
        <v>45.11</v>
      </c>
      <c r="S2196" s="29">
        <v>1009.4354999999999</v>
      </c>
      <c r="T2196" s="19" t="s">
        <v>328</v>
      </c>
      <c r="U2196" s="20" t="s">
        <v>64</v>
      </c>
      <c r="V2196" s="25" t="s">
        <v>2892</v>
      </c>
      <c r="W2196" s="21">
        <v>4</v>
      </c>
      <c r="X2196" s="22"/>
    </row>
    <row r="2197" spans="1:24" s="1" customFormat="1" ht="35.1" customHeight="1" x14ac:dyDescent="0.3">
      <c r="A2197" s="62">
        <v>4</v>
      </c>
      <c r="B2197" s="11" t="s">
        <v>2913</v>
      </c>
      <c r="C2197" s="12" t="s">
        <v>2914</v>
      </c>
      <c r="D2197" s="83"/>
      <c r="E2197" s="69" t="str">
        <f>HYPERLINK("https://www.google.ru/search?q=4FSS23TSHOM057-61S&amp;newwindow=1&amp;tbm=isch","Еще фото")</f>
        <v>Еще фото</v>
      </c>
      <c r="F2197" s="13"/>
      <c r="G2197" s="11" t="s">
        <v>675</v>
      </c>
      <c r="H2197" s="11" t="s">
        <v>27</v>
      </c>
      <c r="I2197" s="14" t="s">
        <v>675</v>
      </c>
      <c r="J2197" s="14" t="s">
        <v>29</v>
      </c>
      <c r="K2197" s="15" t="s">
        <v>55</v>
      </c>
      <c r="L2197" s="86" t="s">
        <v>2915</v>
      </c>
      <c r="M2197" s="14"/>
      <c r="N2197" s="14" t="s">
        <v>116</v>
      </c>
      <c r="O2197" s="14"/>
      <c r="P2197" s="15" t="s">
        <v>74</v>
      </c>
      <c r="Q2197" s="16">
        <v>3799</v>
      </c>
      <c r="R2197" s="17">
        <v>83.21</v>
      </c>
      <c r="S2197" s="29">
        <v>733.43549999999993</v>
      </c>
      <c r="T2197" s="19" t="s">
        <v>328</v>
      </c>
      <c r="U2197" s="20" t="s">
        <v>64</v>
      </c>
      <c r="V2197" s="21">
        <v>46</v>
      </c>
      <c r="W2197" s="21">
        <v>5</v>
      </c>
      <c r="X2197" s="22"/>
    </row>
    <row r="2198" spans="1:24" s="1" customFormat="1" ht="35.1" customHeight="1" x14ac:dyDescent="0.3">
      <c r="A2198" s="63">
        <v>4</v>
      </c>
      <c r="B2198" s="23" t="s">
        <v>2913</v>
      </c>
      <c r="C2198" s="12" t="s">
        <v>2914</v>
      </c>
      <c r="D2198" s="84"/>
      <c r="E2198" s="69" t="str">
        <f>HYPERLINK("https://www.google.ru/search?q=4FSS23TSHOM057-61S&amp;newwindow=1&amp;tbm=isch","Еще фото")</f>
        <v>Еще фото</v>
      </c>
      <c r="F2198" s="13"/>
      <c r="G2198" s="23" t="s">
        <v>675</v>
      </c>
      <c r="H2198" s="23" t="s">
        <v>27</v>
      </c>
      <c r="I2198" s="23" t="s">
        <v>675</v>
      </c>
      <c r="J2198" s="14" t="s">
        <v>29</v>
      </c>
      <c r="K2198" s="15" t="s">
        <v>55</v>
      </c>
      <c r="L2198" s="87"/>
      <c r="M2198" s="14"/>
      <c r="N2198" s="14" t="s">
        <v>116</v>
      </c>
      <c r="O2198" s="14"/>
      <c r="P2198" s="15" t="s">
        <v>74</v>
      </c>
      <c r="Q2198" s="16">
        <v>3799</v>
      </c>
      <c r="R2198" s="17">
        <v>83.21</v>
      </c>
      <c r="S2198" s="29">
        <v>733.43549999999993</v>
      </c>
      <c r="T2198" s="19" t="s">
        <v>328</v>
      </c>
      <c r="U2198" s="20" t="s">
        <v>66</v>
      </c>
      <c r="V2198" s="21">
        <v>48</v>
      </c>
      <c r="W2198" s="21">
        <v>7</v>
      </c>
      <c r="X2198" s="22"/>
    </row>
    <row r="2199" spans="1:24" s="1" customFormat="1" ht="36.950000000000003" customHeight="1" x14ac:dyDescent="0.3">
      <c r="A2199" s="63">
        <v>4</v>
      </c>
      <c r="B2199" s="23" t="s">
        <v>2913</v>
      </c>
      <c r="C2199" s="12" t="s">
        <v>2914</v>
      </c>
      <c r="D2199" s="85"/>
      <c r="E2199" s="69" t="str">
        <f>HYPERLINK("https://www.google.ru/search?q=4FSS23TSHOM057-61S&amp;newwindow=1&amp;tbm=isch","Еще фото")</f>
        <v>Еще фото</v>
      </c>
      <c r="F2199" s="13"/>
      <c r="G2199" s="23" t="s">
        <v>675</v>
      </c>
      <c r="H2199" s="23" t="s">
        <v>27</v>
      </c>
      <c r="I2199" s="23" t="s">
        <v>675</v>
      </c>
      <c r="J2199" s="14" t="s">
        <v>29</v>
      </c>
      <c r="K2199" s="15" t="s">
        <v>55</v>
      </c>
      <c r="L2199" s="88"/>
      <c r="M2199" s="14"/>
      <c r="N2199" s="14" t="s">
        <v>116</v>
      </c>
      <c r="O2199" s="14"/>
      <c r="P2199" s="15" t="s">
        <v>74</v>
      </c>
      <c r="Q2199" s="16">
        <v>3799</v>
      </c>
      <c r="R2199" s="17">
        <v>83.21</v>
      </c>
      <c r="S2199" s="29">
        <v>733.43549999999993</v>
      </c>
      <c r="T2199" s="19" t="s">
        <v>328</v>
      </c>
      <c r="U2199" s="20" t="s">
        <v>58</v>
      </c>
      <c r="V2199" s="21">
        <v>50</v>
      </c>
      <c r="W2199" s="21">
        <v>4</v>
      </c>
      <c r="X2199" s="22"/>
    </row>
    <row r="2200" spans="1:24" s="1" customFormat="1" ht="26.1" customHeight="1" x14ac:dyDescent="0.3">
      <c r="A2200" s="62">
        <v>4</v>
      </c>
      <c r="B2200" s="11" t="s">
        <v>2916</v>
      </c>
      <c r="C2200" s="12" t="s">
        <v>2917</v>
      </c>
      <c r="D2200" s="83"/>
      <c r="E2200" s="69" t="str">
        <f>HYPERLINK("https://www.google.ru/search?q=4FJSS23UBDSF033-64N&amp;newwindow=1&amp;tbm=isch","Еще фото")</f>
        <v>Еще фото</v>
      </c>
      <c r="F2200" s="13"/>
      <c r="G2200" s="11" t="s">
        <v>675</v>
      </c>
      <c r="H2200" s="11" t="s">
        <v>27</v>
      </c>
      <c r="I2200" s="14" t="s">
        <v>675</v>
      </c>
      <c r="J2200" s="14" t="s">
        <v>29</v>
      </c>
      <c r="K2200" s="15" t="s">
        <v>30</v>
      </c>
      <c r="L2200" s="86" t="s">
        <v>2918</v>
      </c>
      <c r="M2200" s="14"/>
      <c r="N2200" s="14" t="s">
        <v>275</v>
      </c>
      <c r="O2200" s="14"/>
      <c r="P2200" s="15" t="s">
        <v>2919</v>
      </c>
      <c r="Q2200" s="16">
        <v>2599</v>
      </c>
      <c r="R2200" s="17">
        <v>81.23</v>
      </c>
      <c r="S2200" s="29">
        <v>560.93549999999993</v>
      </c>
      <c r="T2200" s="19" t="s">
        <v>328</v>
      </c>
      <c r="U2200" s="20" t="s">
        <v>2920</v>
      </c>
      <c r="V2200" s="25" t="s">
        <v>2921</v>
      </c>
      <c r="W2200" s="21">
        <v>2</v>
      </c>
      <c r="X2200" s="22"/>
    </row>
    <row r="2201" spans="1:24" s="1" customFormat="1" ht="26.1" customHeight="1" x14ac:dyDescent="0.3">
      <c r="A2201" s="63">
        <v>4</v>
      </c>
      <c r="B2201" s="23" t="s">
        <v>2916</v>
      </c>
      <c r="C2201" s="12" t="s">
        <v>2917</v>
      </c>
      <c r="D2201" s="84"/>
      <c r="E2201" s="69" t="str">
        <f>HYPERLINK("https://www.google.ru/search?q=4FJSS23UBDSF033-64N&amp;newwindow=1&amp;tbm=isch","Еще фото")</f>
        <v>Еще фото</v>
      </c>
      <c r="F2201" s="13"/>
      <c r="G2201" s="23" t="s">
        <v>675</v>
      </c>
      <c r="H2201" s="23" t="s">
        <v>27</v>
      </c>
      <c r="I2201" s="23" t="s">
        <v>675</v>
      </c>
      <c r="J2201" s="14" t="s">
        <v>29</v>
      </c>
      <c r="K2201" s="15" t="s">
        <v>30</v>
      </c>
      <c r="L2201" s="87"/>
      <c r="M2201" s="14"/>
      <c r="N2201" s="14" t="s">
        <v>275</v>
      </c>
      <c r="O2201" s="14"/>
      <c r="P2201" s="15" t="s">
        <v>2919</v>
      </c>
      <c r="Q2201" s="16">
        <v>2599</v>
      </c>
      <c r="R2201" s="17">
        <v>81.23</v>
      </c>
      <c r="S2201" s="29">
        <v>560.93549999999993</v>
      </c>
      <c r="T2201" s="19" t="s">
        <v>328</v>
      </c>
      <c r="U2201" s="20" t="s">
        <v>2922</v>
      </c>
      <c r="V2201" s="25" t="s">
        <v>2923</v>
      </c>
      <c r="W2201" s="21">
        <v>5</v>
      </c>
      <c r="X2201" s="22"/>
    </row>
    <row r="2202" spans="1:24" s="1" customFormat="1" ht="26.1" customHeight="1" x14ac:dyDescent="0.3">
      <c r="A2202" s="63">
        <v>4</v>
      </c>
      <c r="B2202" s="23" t="s">
        <v>2916</v>
      </c>
      <c r="C2202" s="12" t="s">
        <v>2917</v>
      </c>
      <c r="D2202" s="84"/>
      <c r="E2202" s="69" t="str">
        <f>HYPERLINK("https://www.google.ru/search?q=4FJSS23UBDSF033-64N&amp;newwindow=1&amp;tbm=isch","Еще фото")</f>
        <v>Еще фото</v>
      </c>
      <c r="F2202" s="13"/>
      <c r="G2202" s="23" t="s">
        <v>675</v>
      </c>
      <c r="H2202" s="23" t="s">
        <v>27</v>
      </c>
      <c r="I2202" s="23" t="s">
        <v>675</v>
      </c>
      <c r="J2202" s="14" t="s">
        <v>29</v>
      </c>
      <c r="K2202" s="15" t="s">
        <v>30</v>
      </c>
      <c r="L2202" s="87"/>
      <c r="M2202" s="14"/>
      <c r="N2202" s="14" t="s">
        <v>275</v>
      </c>
      <c r="O2202" s="14"/>
      <c r="P2202" s="15" t="s">
        <v>2919</v>
      </c>
      <c r="Q2202" s="16">
        <v>2599</v>
      </c>
      <c r="R2202" s="17">
        <v>81.23</v>
      </c>
      <c r="S2202" s="29">
        <v>560.93549999999993</v>
      </c>
      <c r="T2202" s="19" t="s">
        <v>328</v>
      </c>
      <c r="U2202" s="20" t="s">
        <v>2924</v>
      </c>
      <c r="V2202" s="25" t="s">
        <v>2925</v>
      </c>
      <c r="W2202" s="21">
        <v>6</v>
      </c>
      <c r="X2202" s="22"/>
    </row>
    <row r="2203" spans="1:24" s="1" customFormat="1" ht="26.1" customHeight="1" x14ac:dyDescent="0.3">
      <c r="A2203" s="63">
        <v>4</v>
      </c>
      <c r="B2203" s="23" t="s">
        <v>2916</v>
      </c>
      <c r="C2203" s="12" t="s">
        <v>2917</v>
      </c>
      <c r="D2203" s="85"/>
      <c r="E2203" s="69" t="str">
        <f>HYPERLINK("https://www.google.ru/search?q=4FJSS23UBDSF033-64N&amp;newwindow=1&amp;tbm=isch","Еще фото")</f>
        <v>Еще фото</v>
      </c>
      <c r="F2203" s="13"/>
      <c r="G2203" s="23" t="s">
        <v>675</v>
      </c>
      <c r="H2203" s="23" t="s">
        <v>27</v>
      </c>
      <c r="I2203" s="23" t="s">
        <v>675</v>
      </c>
      <c r="J2203" s="14" t="s">
        <v>29</v>
      </c>
      <c r="K2203" s="15" t="s">
        <v>30</v>
      </c>
      <c r="L2203" s="88"/>
      <c r="M2203" s="14"/>
      <c r="N2203" s="14" t="s">
        <v>275</v>
      </c>
      <c r="O2203" s="14"/>
      <c r="P2203" s="15" t="s">
        <v>2919</v>
      </c>
      <c r="Q2203" s="16">
        <v>2599</v>
      </c>
      <c r="R2203" s="17">
        <v>81.23</v>
      </c>
      <c r="S2203" s="29">
        <v>560.93549999999993</v>
      </c>
      <c r="T2203" s="19" t="s">
        <v>328</v>
      </c>
      <c r="U2203" s="20" t="s">
        <v>2926</v>
      </c>
      <c r="V2203" s="25" t="s">
        <v>2927</v>
      </c>
      <c r="W2203" s="21">
        <v>2</v>
      </c>
      <c r="X2203" s="22"/>
    </row>
    <row r="2204" spans="1:24" s="1" customFormat="1" ht="26.1" customHeight="1" x14ac:dyDescent="0.3">
      <c r="A2204" s="62">
        <v>4</v>
      </c>
      <c r="B2204" s="11" t="s">
        <v>2916</v>
      </c>
      <c r="C2204" s="12" t="s">
        <v>2928</v>
      </c>
      <c r="D2204" s="83"/>
      <c r="E2204" s="69" t="str">
        <f>HYPERLINK("https://www.google.ru/search?q=4FJSS23UBDSF033-46S&amp;newwindow=1&amp;tbm=isch","Еще фото")</f>
        <v>Еще фото</v>
      </c>
      <c r="F2204" s="13"/>
      <c r="G2204" s="11" t="s">
        <v>675</v>
      </c>
      <c r="H2204" s="11" t="s">
        <v>27</v>
      </c>
      <c r="I2204" s="14" t="s">
        <v>675</v>
      </c>
      <c r="J2204" s="14" t="s">
        <v>29</v>
      </c>
      <c r="K2204" s="15" t="s">
        <v>30</v>
      </c>
      <c r="L2204" s="86" t="s">
        <v>2918</v>
      </c>
      <c r="M2204" s="14"/>
      <c r="N2204" s="14" t="s">
        <v>242</v>
      </c>
      <c r="O2204" s="14"/>
      <c r="P2204" s="15" t="s">
        <v>2919</v>
      </c>
      <c r="Q2204" s="16">
        <v>2599</v>
      </c>
      <c r="R2204" s="17">
        <v>66.23</v>
      </c>
      <c r="S2204" s="29">
        <v>1009.4354999999999</v>
      </c>
      <c r="T2204" s="19" t="s">
        <v>328</v>
      </c>
      <c r="U2204" s="20" t="s">
        <v>2920</v>
      </c>
      <c r="V2204" s="25" t="s">
        <v>2921</v>
      </c>
      <c r="W2204" s="21">
        <v>3</v>
      </c>
      <c r="X2204" s="22"/>
    </row>
    <row r="2205" spans="1:24" s="1" customFormat="1" ht="26.1" customHeight="1" x14ac:dyDescent="0.3">
      <c r="A2205" s="63">
        <v>4</v>
      </c>
      <c r="B2205" s="23" t="s">
        <v>2916</v>
      </c>
      <c r="C2205" s="12" t="s">
        <v>2928</v>
      </c>
      <c r="D2205" s="84"/>
      <c r="E2205" s="69" t="str">
        <f>HYPERLINK("https://www.google.ru/search?q=4FJSS23UBDSF033-46S&amp;newwindow=1&amp;tbm=isch","Еще фото")</f>
        <v>Еще фото</v>
      </c>
      <c r="F2205" s="13"/>
      <c r="G2205" s="23" t="s">
        <v>675</v>
      </c>
      <c r="H2205" s="23" t="s">
        <v>27</v>
      </c>
      <c r="I2205" s="23" t="s">
        <v>675</v>
      </c>
      <c r="J2205" s="14" t="s">
        <v>29</v>
      </c>
      <c r="K2205" s="15" t="s">
        <v>30</v>
      </c>
      <c r="L2205" s="87"/>
      <c r="M2205" s="14"/>
      <c r="N2205" s="14" t="s">
        <v>242</v>
      </c>
      <c r="O2205" s="14"/>
      <c r="P2205" s="15" t="s">
        <v>2919</v>
      </c>
      <c r="Q2205" s="16">
        <v>2599</v>
      </c>
      <c r="R2205" s="17">
        <v>66.23</v>
      </c>
      <c r="S2205" s="29">
        <v>1009.4354999999999</v>
      </c>
      <c r="T2205" s="19" t="s">
        <v>328</v>
      </c>
      <c r="U2205" s="20" t="s">
        <v>2922</v>
      </c>
      <c r="V2205" s="25" t="s">
        <v>2923</v>
      </c>
      <c r="W2205" s="21">
        <v>3</v>
      </c>
      <c r="X2205" s="22"/>
    </row>
    <row r="2206" spans="1:24" s="1" customFormat="1" ht="26.1" customHeight="1" x14ac:dyDescent="0.3">
      <c r="A2206" s="63">
        <v>4</v>
      </c>
      <c r="B2206" s="23" t="s">
        <v>2916</v>
      </c>
      <c r="C2206" s="12" t="s">
        <v>2928</v>
      </c>
      <c r="D2206" s="84"/>
      <c r="E2206" s="69" t="str">
        <f>HYPERLINK("https://www.google.ru/search?q=4FJSS23UBDSF033-46S&amp;newwindow=1&amp;tbm=isch","Еще фото")</f>
        <v>Еще фото</v>
      </c>
      <c r="F2206" s="13"/>
      <c r="G2206" s="23" t="s">
        <v>675</v>
      </c>
      <c r="H2206" s="23" t="s">
        <v>27</v>
      </c>
      <c r="I2206" s="23" t="s">
        <v>675</v>
      </c>
      <c r="J2206" s="14" t="s">
        <v>29</v>
      </c>
      <c r="K2206" s="15" t="s">
        <v>30</v>
      </c>
      <c r="L2206" s="87"/>
      <c r="M2206" s="14"/>
      <c r="N2206" s="14" t="s">
        <v>242</v>
      </c>
      <c r="O2206" s="14"/>
      <c r="P2206" s="15" t="s">
        <v>2919</v>
      </c>
      <c r="Q2206" s="16">
        <v>2599</v>
      </c>
      <c r="R2206" s="17">
        <v>66.23</v>
      </c>
      <c r="S2206" s="29">
        <v>1009.4354999999999</v>
      </c>
      <c r="T2206" s="19" t="s">
        <v>328</v>
      </c>
      <c r="U2206" s="20" t="s">
        <v>2924</v>
      </c>
      <c r="V2206" s="25" t="s">
        <v>2925</v>
      </c>
      <c r="W2206" s="21">
        <v>3</v>
      </c>
      <c r="X2206" s="22"/>
    </row>
    <row r="2207" spans="1:24" s="1" customFormat="1" ht="26.1" customHeight="1" x14ac:dyDescent="0.3">
      <c r="A2207" s="63">
        <v>4</v>
      </c>
      <c r="B2207" s="23" t="s">
        <v>2916</v>
      </c>
      <c r="C2207" s="12" t="s">
        <v>2928</v>
      </c>
      <c r="D2207" s="85"/>
      <c r="E2207" s="69" t="str">
        <f>HYPERLINK("https://www.google.ru/search?q=4FJSS23UBDSF033-46S&amp;newwindow=1&amp;tbm=isch","Еще фото")</f>
        <v>Еще фото</v>
      </c>
      <c r="F2207" s="13"/>
      <c r="G2207" s="23" t="s">
        <v>675</v>
      </c>
      <c r="H2207" s="23" t="s">
        <v>27</v>
      </c>
      <c r="I2207" s="23" t="s">
        <v>675</v>
      </c>
      <c r="J2207" s="14" t="s">
        <v>29</v>
      </c>
      <c r="K2207" s="15" t="s">
        <v>30</v>
      </c>
      <c r="L2207" s="88"/>
      <c r="M2207" s="14"/>
      <c r="N2207" s="14" t="s">
        <v>242</v>
      </c>
      <c r="O2207" s="14"/>
      <c r="P2207" s="15" t="s">
        <v>2919</v>
      </c>
      <c r="Q2207" s="16">
        <v>2599</v>
      </c>
      <c r="R2207" s="17">
        <v>66.23</v>
      </c>
      <c r="S2207" s="29">
        <v>1009.4354999999999</v>
      </c>
      <c r="T2207" s="19" t="s">
        <v>328</v>
      </c>
      <c r="U2207" s="20" t="s">
        <v>2926</v>
      </c>
      <c r="V2207" s="25" t="s">
        <v>2927</v>
      </c>
      <c r="W2207" s="21">
        <v>3</v>
      </c>
      <c r="X2207" s="22"/>
    </row>
    <row r="2208" spans="1:24" s="1" customFormat="1" ht="35.1" customHeight="1" x14ac:dyDescent="0.3">
      <c r="A2208" s="11" t="s">
        <v>2929</v>
      </c>
      <c r="B2208" s="11" t="s">
        <v>2930</v>
      </c>
      <c r="C2208" s="12" t="s">
        <v>2931</v>
      </c>
      <c r="D2208" s="83"/>
      <c r="E2208" s="69" t="str">
        <f>HYPERLINK("https://www.google.ru/search?q=XJ94766XP&amp;newwindow=1&amp;tbm=isch","Еще фото")</f>
        <v>Еще фото</v>
      </c>
      <c r="F2208" s="13"/>
      <c r="G2208" s="11" t="s">
        <v>28</v>
      </c>
      <c r="H2208" s="11" t="s">
        <v>27</v>
      </c>
      <c r="I2208" s="14" t="s">
        <v>28</v>
      </c>
      <c r="J2208" s="14" t="s">
        <v>29</v>
      </c>
      <c r="K2208" s="15" t="s">
        <v>30</v>
      </c>
      <c r="L2208" s="86" t="s">
        <v>2932</v>
      </c>
      <c r="M2208" s="14" t="s">
        <v>73</v>
      </c>
      <c r="N2208" s="14" t="s">
        <v>313</v>
      </c>
      <c r="O2208" s="14"/>
      <c r="P2208" s="15" t="s">
        <v>74</v>
      </c>
      <c r="Q2208" s="16">
        <v>9999</v>
      </c>
      <c r="R2208" s="17">
        <v>92.62</v>
      </c>
      <c r="S2208" s="29">
        <v>848.43549999999993</v>
      </c>
      <c r="T2208" s="19" t="s">
        <v>328</v>
      </c>
      <c r="U2208" s="20" t="s">
        <v>2933</v>
      </c>
      <c r="V2208" s="21">
        <v>116</v>
      </c>
      <c r="W2208" s="21">
        <v>2</v>
      </c>
      <c r="X2208" s="22"/>
    </row>
    <row r="2209" spans="1:24" s="1" customFormat="1" ht="35.1" customHeight="1" x14ac:dyDescent="0.3">
      <c r="A2209" s="23" t="s">
        <v>2929</v>
      </c>
      <c r="B2209" s="23" t="s">
        <v>2930</v>
      </c>
      <c r="C2209" s="12" t="s">
        <v>2931</v>
      </c>
      <c r="D2209" s="84"/>
      <c r="E2209" s="69" t="str">
        <f>HYPERLINK("https://www.google.ru/search?q=XJ94766XP&amp;newwindow=1&amp;tbm=isch","Еще фото")</f>
        <v>Еще фото</v>
      </c>
      <c r="F2209" s="13"/>
      <c r="G2209" s="23" t="s">
        <v>28</v>
      </c>
      <c r="H2209" s="23" t="s">
        <v>27</v>
      </c>
      <c r="I2209" s="23" t="s">
        <v>28</v>
      </c>
      <c r="J2209" s="14" t="s">
        <v>29</v>
      </c>
      <c r="K2209" s="15" t="s">
        <v>30</v>
      </c>
      <c r="L2209" s="87"/>
      <c r="M2209" s="14" t="s">
        <v>73</v>
      </c>
      <c r="N2209" s="14" t="s">
        <v>313</v>
      </c>
      <c r="O2209" s="14"/>
      <c r="P2209" s="15" t="s">
        <v>74</v>
      </c>
      <c r="Q2209" s="16">
        <v>9999</v>
      </c>
      <c r="R2209" s="17">
        <v>92.62</v>
      </c>
      <c r="S2209" s="29">
        <v>848.43549999999993</v>
      </c>
      <c r="T2209" s="19" t="s">
        <v>328</v>
      </c>
      <c r="U2209" s="20" t="s">
        <v>2934</v>
      </c>
      <c r="V2209" s="21">
        <v>128</v>
      </c>
      <c r="W2209" s="21">
        <v>2</v>
      </c>
      <c r="X2209" s="22"/>
    </row>
    <row r="2210" spans="1:24" s="1" customFormat="1" ht="36.950000000000003" customHeight="1" x14ac:dyDescent="0.3">
      <c r="A2210" s="23" t="s">
        <v>2929</v>
      </c>
      <c r="B2210" s="23" t="s">
        <v>2930</v>
      </c>
      <c r="C2210" s="12" t="s">
        <v>2931</v>
      </c>
      <c r="D2210" s="85"/>
      <c r="E2210" s="69" t="str">
        <f>HYPERLINK("https://www.google.ru/search?q=XJ94766XP&amp;newwindow=1&amp;tbm=isch","Еще фото")</f>
        <v>Еще фото</v>
      </c>
      <c r="F2210" s="13"/>
      <c r="G2210" s="23" t="s">
        <v>28</v>
      </c>
      <c r="H2210" s="23" t="s">
        <v>27</v>
      </c>
      <c r="I2210" s="23" t="s">
        <v>28</v>
      </c>
      <c r="J2210" s="14" t="s">
        <v>29</v>
      </c>
      <c r="K2210" s="15" t="s">
        <v>30</v>
      </c>
      <c r="L2210" s="88"/>
      <c r="M2210" s="14" t="s">
        <v>73</v>
      </c>
      <c r="N2210" s="14" t="s">
        <v>313</v>
      </c>
      <c r="O2210" s="14"/>
      <c r="P2210" s="15" t="s">
        <v>74</v>
      </c>
      <c r="Q2210" s="16">
        <v>9999</v>
      </c>
      <c r="R2210" s="17">
        <v>92.62</v>
      </c>
      <c r="S2210" s="29">
        <v>848.43549999999993</v>
      </c>
      <c r="T2210" s="19" t="s">
        <v>328</v>
      </c>
      <c r="U2210" s="20" t="s">
        <v>2935</v>
      </c>
      <c r="V2210" s="21">
        <v>152</v>
      </c>
      <c r="W2210" s="21">
        <v>2</v>
      </c>
      <c r="X2210" s="22"/>
    </row>
    <row r="2211" spans="1:24" s="1" customFormat="1" ht="108" customHeight="1" x14ac:dyDescent="0.3">
      <c r="A2211" s="11" t="s">
        <v>2936</v>
      </c>
      <c r="B2211" s="11" t="s">
        <v>2937</v>
      </c>
      <c r="C2211" s="12" t="s">
        <v>2938</v>
      </c>
      <c r="D2211" s="24"/>
      <c r="E2211" s="69" t="str">
        <f>HYPERLINK("https://www.google.ru/search?q=TB23WL05S0676-1-1921&amp;newwindow=1&amp;tbm=isch","Еще фото")</f>
        <v>Еще фото</v>
      </c>
      <c r="F2211" s="13"/>
      <c r="G2211" s="11" t="s">
        <v>28</v>
      </c>
      <c r="H2211" s="11" t="s">
        <v>27</v>
      </c>
      <c r="I2211" s="14" t="s">
        <v>28</v>
      </c>
      <c r="J2211" s="14" t="s">
        <v>406</v>
      </c>
      <c r="K2211" s="15" t="s">
        <v>47</v>
      </c>
      <c r="L2211" s="14" t="s">
        <v>2939</v>
      </c>
      <c r="M2211" s="14" t="s">
        <v>73</v>
      </c>
      <c r="N2211" s="14" t="s">
        <v>1001</v>
      </c>
      <c r="O2211" s="14"/>
      <c r="P2211" s="15" t="s">
        <v>2940</v>
      </c>
      <c r="Q2211" s="16">
        <v>3399</v>
      </c>
      <c r="R2211" s="17">
        <v>88.59</v>
      </c>
      <c r="S2211" s="29">
        <v>445.93549999999993</v>
      </c>
      <c r="T2211" s="19" t="s">
        <v>328</v>
      </c>
      <c r="U2211" s="20" t="s">
        <v>354</v>
      </c>
      <c r="V2211" s="25" t="s">
        <v>355</v>
      </c>
      <c r="W2211" s="21">
        <v>4</v>
      </c>
      <c r="X2211" s="22"/>
    </row>
    <row r="2212" spans="1:24" s="1" customFormat="1" ht="51.95" customHeight="1" x14ac:dyDescent="0.3">
      <c r="A2212" s="11" t="s">
        <v>2936</v>
      </c>
      <c r="B2212" s="11" t="s">
        <v>2941</v>
      </c>
      <c r="C2212" s="12" t="s">
        <v>2942</v>
      </c>
      <c r="D2212" s="89"/>
      <c r="E2212" s="69" t="str">
        <f>HYPERLINK("https://www.google.ru/search?q=TB21ML05W9344-1-1001&amp;newwindow=1&amp;tbm=isch","Еще фото")</f>
        <v>Еще фото</v>
      </c>
      <c r="F2212" s="13" t="s">
        <v>507</v>
      </c>
      <c r="G2212" s="11" t="s">
        <v>2943</v>
      </c>
      <c r="H2212" s="11" t="s">
        <v>27</v>
      </c>
      <c r="I2212" s="14" t="s">
        <v>28</v>
      </c>
      <c r="J2212" s="14" t="s">
        <v>29</v>
      </c>
      <c r="K2212" s="15" t="s">
        <v>55</v>
      </c>
      <c r="L2212" s="86" t="s">
        <v>2944</v>
      </c>
      <c r="M2212" s="14" t="s">
        <v>2945</v>
      </c>
      <c r="N2212" s="14" t="s">
        <v>49</v>
      </c>
      <c r="O2212" s="14" t="s">
        <v>2798</v>
      </c>
      <c r="P2212" s="15" t="s">
        <v>2946</v>
      </c>
      <c r="Q2212" s="16">
        <v>4299</v>
      </c>
      <c r="R2212" s="17">
        <v>88.19</v>
      </c>
      <c r="S2212" s="29">
        <v>583.93549999999993</v>
      </c>
      <c r="T2212" s="19" t="s">
        <v>328</v>
      </c>
      <c r="U2212" s="20" t="s">
        <v>596</v>
      </c>
      <c r="V2212" s="25" t="s">
        <v>1159</v>
      </c>
      <c r="W2212" s="21">
        <v>1</v>
      </c>
      <c r="X2212" s="22"/>
    </row>
    <row r="2213" spans="1:24" s="1" customFormat="1" ht="60.95" customHeight="1" x14ac:dyDescent="0.3">
      <c r="A2213" s="23" t="s">
        <v>2936</v>
      </c>
      <c r="B2213" s="23" t="s">
        <v>2941</v>
      </c>
      <c r="C2213" s="12" t="s">
        <v>2942</v>
      </c>
      <c r="D2213" s="90"/>
      <c r="E2213" s="69" t="str">
        <f>HYPERLINK("https://www.google.ru/search?q=TB21ML05W9344-1-1001&amp;newwindow=1&amp;tbm=isch","Еще фото")</f>
        <v>Еще фото</v>
      </c>
      <c r="F2213" s="13" t="s">
        <v>507</v>
      </c>
      <c r="G2213" s="23" t="s">
        <v>2943</v>
      </c>
      <c r="H2213" s="23" t="s">
        <v>27</v>
      </c>
      <c r="I2213" s="23" t="s">
        <v>28</v>
      </c>
      <c r="J2213" s="14" t="s">
        <v>29</v>
      </c>
      <c r="K2213" s="15" t="s">
        <v>55</v>
      </c>
      <c r="L2213" s="88"/>
      <c r="M2213" s="14" t="s">
        <v>2945</v>
      </c>
      <c r="N2213" s="14" t="s">
        <v>49</v>
      </c>
      <c r="O2213" s="14" t="s">
        <v>2798</v>
      </c>
      <c r="P2213" s="15" t="s">
        <v>2946</v>
      </c>
      <c r="Q2213" s="16">
        <v>4299</v>
      </c>
      <c r="R2213" s="17">
        <v>88.19</v>
      </c>
      <c r="S2213" s="29">
        <v>583.93549999999993</v>
      </c>
      <c r="T2213" s="19" t="s">
        <v>328</v>
      </c>
      <c r="U2213" s="20" t="s">
        <v>595</v>
      </c>
      <c r="V2213" s="25" t="s">
        <v>2947</v>
      </c>
      <c r="W2213" s="21">
        <v>1</v>
      </c>
      <c r="X2213" s="22"/>
    </row>
    <row r="2214" spans="1:24" s="1" customFormat="1" ht="108" customHeight="1" x14ac:dyDescent="0.3">
      <c r="A2214" s="11" t="s">
        <v>2948</v>
      </c>
      <c r="B2214" s="11" t="s">
        <v>38</v>
      </c>
      <c r="C2214" s="12" t="s">
        <v>2949</v>
      </c>
      <c r="D2214" s="24"/>
      <c r="E2214" s="69" t="str">
        <f>HYPERLINK("https://www.google.ru/search?q=J2IJ202133745&amp;newwindow=1&amp;tbm=isch","Еще фото")</f>
        <v>Еще фото</v>
      </c>
      <c r="F2214" s="13"/>
      <c r="G2214" s="11" t="s">
        <v>28</v>
      </c>
      <c r="H2214" s="11" t="s">
        <v>27</v>
      </c>
      <c r="I2214" s="14" t="s">
        <v>28</v>
      </c>
      <c r="J2214" s="14" t="s">
        <v>29</v>
      </c>
      <c r="K2214" s="15" t="s">
        <v>47</v>
      </c>
      <c r="L2214" s="14"/>
      <c r="M2214" s="14" t="s">
        <v>73</v>
      </c>
      <c r="N2214" s="14" t="s">
        <v>41</v>
      </c>
      <c r="O2214" s="14" t="s">
        <v>2950</v>
      </c>
      <c r="P2214" s="15" t="s">
        <v>2951</v>
      </c>
      <c r="Q2214" s="16">
        <v>3599</v>
      </c>
      <c r="R2214" s="17">
        <v>85.61</v>
      </c>
      <c r="S2214" s="29">
        <v>595.43549999999993</v>
      </c>
      <c r="T2214" s="19" t="s">
        <v>328</v>
      </c>
      <c r="U2214" s="20" t="s">
        <v>1503</v>
      </c>
      <c r="V2214" s="21">
        <v>42</v>
      </c>
      <c r="W2214" s="21">
        <v>1</v>
      </c>
      <c r="X2214" s="22"/>
    </row>
    <row r="2215" spans="1:24" s="1" customFormat="1" ht="35.1" customHeight="1" x14ac:dyDescent="0.3">
      <c r="A2215" s="11" t="s">
        <v>2952</v>
      </c>
      <c r="B2215" s="11" t="s">
        <v>2941</v>
      </c>
      <c r="C2215" s="12" t="s">
        <v>2953</v>
      </c>
      <c r="D2215" s="83"/>
      <c r="E2215" s="69" t="str">
        <f>HYPERLINK("https://www.google.ru/search?q=113554-BS122&amp;newwindow=1&amp;tbm=isch","Еще фото")</f>
        <v>Еще фото</v>
      </c>
      <c r="F2215" s="13"/>
      <c r="G2215" s="11" t="s">
        <v>28</v>
      </c>
      <c r="H2215" s="11" t="s">
        <v>27</v>
      </c>
      <c r="I2215" s="14" t="s">
        <v>28</v>
      </c>
      <c r="J2215" s="14" t="s">
        <v>29</v>
      </c>
      <c r="K2215" s="15" t="s">
        <v>47</v>
      </c>
      <c r="L2215" s="86" t="s">
        <v>2954</v>
      </c>
      <c r="M2215" s="14" t="s">
        <v>73</v>
      </c>
      <c r="N2215" s="14" t="s">
        <v>265</v>
      </c>
      <c r="O2215" s="14" t="s">
        <v>940</v>
      </c>
      <c r="P2215" s="15" t="s">
        <v>359</v>
      </c>
      <c r="Q2215" s="16">
        <v>8299</v>
      </c>
      <c r="R2215" s="17">
        <v>83.64</v>
      </c>
      <c r="S2215" s="18">
        <v>1561.4354999999998</v>
      </c>
      <c r="T2215" s="19" t="s">
        <v>51</v>
      </c>
      <c r="U2215" s="20" t="s">
        <v>354</v>
      </c>
      <c r="V2215" s="25" t="s">
        <v>355</v>
      </c>
      <c r="W2215" s="21">
        <v>3</v>
      </c>
      <c r="X2215" s="22"/>
    </row>
    <row r="2216" spans="1:24" s="1" customFormat="1" ht="35.1" customHeight="1" x14ac:dyDescent="0.3">
      <c r="A2216" s="23" t="s">
        <v>2952</v>
      </c>
      <c r="B2216" s="23" t="s">
        <v>2941</v>
      </c>
      <c r="C2216" s="12" t="s">
        <v>2953</v>
      </c>
      <c r="D2216" s="84"/>
      <c r="E2216" s="69" t="str">
        <f>HYPERLINK("https://www.google.ru/search?q=113554-BS122&amp;newwindow=1&amp;tbm=isch","Еще фото")</f>
        <v>Еще фото</v>
      </c>
      <c r="F2216" s="13"/>
      <c r="G2216" s="23" t="s">
        <v>28</v>
      </c>
      <c r="H2216" s="23" t="s">
        <v>27</v>
      </c>
      <c r="I2216" s="23" t="s">
        <v>28</v>
      </c>
      <c r="J2216" s="14" t="s">
        <v>29</v>
      </c>
      <c r="K2216" s="15" t="s">
        <v>47</v>
      </c>
      <c r="L2216" s="87"/>
      <c r="M2216" s="14" t="s">
        <v>73</v>
      </c>
      <c r="N2216" s="14" t="s">
        <v>265</v>
      </c>
      <c r="O2216" s="14" t="s">
        <v>940</v>
      </c>
      <c r="P2216" s="15" t="s">
        <v>359</v>
      </c>
      <c r="Q2216" s="16">
        <v>8299</v>
      </c>
      <c r="R2216" s="17">
        <v>83.64</v>
      </c>
      <c r="S2216" s="18">
        <v>1561.4354999999998</v>
      </c>
      <c r="T2216" s="19" t="s">
        <v>51</v>
      </c>
      <c r="U2216" s="20" t="s">
        <v>66</v>
      </c>
      <c r="V2216" s="25" t="s">
        <v>67</v>
      </c>
      <c r="W2216" s="21">
        <v>1</v>
      </c>
      <c r="X2216" s="22"/>
    </row>
    <row r="2217" spans="1:24" s="1" customFormat="1" ht="36.950000000000003" customHeight="1" x14ac:dyDescent="0.3">
      <c r="A2217" s="23" t="s">
        <v>2952</v>
      </c>
      <c r="B2217" s="23" t="s">
        <v>2941</v>
      </c>
      <c r="C2217" s="12" t="s">
        <v>2953</v>
      </c>
      <c r="D2217" s="85"/>
      <c r="E2217" s="69" t="str">
        <f>HYPERLINK("https://www.google.ru/search?q=113554-BS122&amp;newwindow=1&amp;tbm=isch","Еще фото")</f>
        <v>Еще фото</v>
      </c>
      <c r="F2217" s="13"/>
      <c r="G2217" s="23" t="s">
        <v>28</v>
      </c>
      <c r="H2217" s="23" t="s">
        <v>27</v>
      </c>
      <c r="I2217" s="23" t="s">
        <v>28</v>
      </c>
      <c r="J2217" s="14" t="s">
        <v>29</v>
      </c>
      <c r="K2217" s="15" t="s">
        <v>47</v>
      </c>
      <c r="L2217" s="88"/>
      <c r="M2217" s="14" t="s">
        <v>73</v>
      </c>
      <c r="N2217" s="14" t="s">
        <v>265</v>
      </c>
      <c r="O2217" s="14" t="s">
        <v>940</v>
      </c>
      <c r="P2217" s="15" t="s">
        <v>359</v>
      </c>
      <c r="Q2217" s="16">
        <v>8299</v>
      </c>
      <c r="R2217" s="17">
        <v>83.64</v>
      </c>
      <c r="S2217" s="18">
        <v>1561.4354999999998</v>
      </c>
      <c r="T2217" s="19" t="s">
        <v>51</v>
      </c>
      <c r="U2217" s="20" t="s">
        <v>58</v>
      </c>
      <c r="V2217" s="25" t="s">
        <v>53</v>
      </c>
      <c r="W2217" s="21">
        <v>1</v>
      </c>
      <c r="X2217" s="22"/>
    </row>
    <row r="2218" spans="1:24" s="1" customFormat="1" ht="35.1" customHeight="1" x14ac:dyDescent="0.3">
      <c r="A2218" s="11" t="s">
        <v>2952</v>
      </c>
      <c r="B2218" s="11" t="s">
        <v>2941</v>
      </c>
      <c r="C2218" s="12" t="s">
        <v>2955</v>
      </c>
      <c r="D2218" s="83"/>
      <c r="E2218" s="69" t="str">
        <f>HYPERLINK("https://www.google.ru/search?q=113565-EM004&amp;newwindow=1&amp;tbm=isch","Еще фото")</f>
        <v>Еще фото</v>
      </c>
      <c r="F2218" s="13"/>
      <c r="G2218" s="11" t="s">
        <v>28</v>
      </c>
      <c r="H2218" s="11" t="s">
        <v>27</v>
      </c>
      <c r="I2218" s="14" t="s">
        <v>28</v>
      </c>
      <c r="J2218" s="14" t="s">
        <v>29</v>
      </c>
      <c r="K2218" s="15" t="s">
        <v>47</v>
      </c>
      <c r="L2218" s="86" t="s">
        <v>2956</v>
      </c>
      <c r="M2218" s="14" t="s">
        <v>73</v>
      </c>
      <c r="N2218" s="14" t="s">
        <v>41</v>
      </c>
      <c r="O2218" s="14" t="s">
        <v>940</v>
      </c>
      <c r="P2218" s="15" t="s">
        <v>141</v>
      </c>
      <c r="Q2218" s="16">
        <v>8299</v>
      </c>
      <c r="R2218" s="17">
        <v>82.43</v>
      </c>
      <c r="S2218" s="18">
        <v>1676.4354999999998</v>
      </c>
      <c r="T2218" s="19" t="s">
        <v>51</v>
      </c>
      <c r="U2218" s="20" t="s">
        <v>354</v>
      </c>
      <c r="V2218" s="25" t="s">
        <v>355</v>
      </c>
      <c r="W2218" s="21">
        <v>2</v>
      </c>
      <c r="X2218" s="22"/>
    </row>
    <row r="2219" spans="1:24" s="1" customFormat="1" ht="35.1" customHeight="1" x14ac:dyDescent="0.3">
      <c r="A2219" s="23" t="s">
        <v>2952</v>
      </c>
      <c r="B2219" s="23" t="s">
        <v>2941</v>
      </c>
      <c r="C2219" s="12" t="s">
        <v>2955</v>
      </c>
      <c r="D2219" s="84"/>
      <c r="E2219" s="69" t="str">
        <f>HYPERLINK("https://www.google.ru/search?q=113565-EM004&amp;newwindow=1&amp;tbm=isch","Еще фото")</f>
        <v>Еще фото</v>
      </c>
      <c r="F2219" s="13"/>
      <c r="G2219" s="23" t="s">
        <v>28</v>
      </c>
      <c r="H2219" s="23" t="s">
        <v>27</v>
      </c>
      <c r="I2219" s="23" t="s">
        <v>28</v>
      </c>
      <c r="J2219" s="14" t="s">
        <v>29</v>
      </c>
      <c r="K2219" s="15" t="s">
        <v>47</v>
      </c>
      <c r="L2219" s="87"/>
      <c r="M2219" s="14" t="s">
        <v>73</v>
      </c>
      <c r="N2219" s="14" t="s">
        <v>41</v>
      </c>
      <c r="O2219" s="14" t="s">
        <v>940</v>
      </c>
      <c r="P2219" s="15" t="s">
        <v>141</v>
      </c>
      <c r="Q2219" s="16">
        <v>8299</v>
      </c>
      <c r="R2219" s="17">
        <v>82.43</v>
      </c>
      <c r="S2219" s="18">
        <v>1676.4354999999998</v>
      </c>
      <c r="T2219" s="19" t="s">
        <v>51</v>
      </c>
      <c r="U2219" s="20" t="s">
        <v>64</v>
      </c>
      <c r="V2219" s="25" t="s">
        <v>65</v>
      </c>
      <c r="W2219" s="21">
        <v>4</v>
      </c>
      <c r="X2219" s="22"/>
    </row>
    <row r="2220" spans="1:24" s="1" customFormat="1" ht="36.950000000000003" customHeight="1" x14ac:dyDescent="0.3">
      <c r="A2220" s="23" t="s">
        <v>2952</v>
      </c>
      <c r="B2220" s="23" t="s">
        <v>2941</v>
      </c>
      <c r="C2220" s="12" t="s">
        <v>2955</v>
      </c>
      <c r="D2220" s="85"/>
      <c r="E2220" s="69" t="str">
        <f>HYPERLINK("https://www.google.ru/search?q=113565-EM004&amp;newwindow=1&amp;tbm=isch","Еще фото")</f>
        <v>Еще фото</v>
      </c>
      <c r="F2220" s="13"/>
      <c r="G2220" s="23" t="s">
        <v>28</v>
      </c>
      <c r="H2220" s="23" t="s">
        <v>27</v>
      </c>
      <c r="I2220" s="23" t="s">
        <v>28</v>
      </c>
      <c r="J2220" s="14" t="s">
        <v>29</v>
      </c>
      <c r="K2220" s="15" t="s">
        <v>47</v>
      </c>
      <c r="L2220" s="88"/>
      <c r="M2220" s="14" t="s">
        <v>73</v>
      </c>
      <c r="N2220" s="14" t="s">
        <v>41</v>
      </c>
      <c r="O2220" s="14" t="s">
        <v>940</v>
      </c>
      <c r="P2220" s="15" t="s">
        <v>141</v>
      </c>
      <c r="Q2220" s="16">
        <v>8299</v>
      </c>
      <c r="R2220" s="17">
        <v>82.43</v>
      </c>
      <c r="S2220" s="18">
        <v>1676.4354999999998</v>
      </c>
      <c r="T2220" s="19" t="s">
        <v>51</v>
      </c>
      <c r="U2220" s="20" t="s">
        <v>58</v>
      </c>
      <c r="V2220" s="25" t="s">
        <v>53</v>
      </c>
      <c r="W2220" s="21">
        <v>1</v>
      </c>
      <c r="X2220" s="22"/>
    </row>
    <row r="2221" spans="1:24" s="1" customFormat="1" ht="17.100000000000001" customHeight="1" x14ac:dyDescent="0.3">
      <c r="A2221" s="11" t="s">
        <v>2957</v>
      </c>
      <c r="B2221" s="11" t="s">
        <v>95</v>
      </c>
      <c r="C2221" s="12" t="s">
        <v>2958</v>
      </c>
      <c r="D2221" s="83"/>
      <c r="E2221" s="69" t="str">
        <f t="shared" ref="E2221:E2226" si="74">HYPERLINK("https://www.google.ru/search?q=526432-4017&amp;newwindow=1&amp;tbm=isch","Еще фото")</f>
        <v>Еще фото</v>
      </c>
      <c r="F2221" s="13"/>
      <c r="G2221" s="11" t="s">
        <v>97</v>
      </c>
      <c r="H2221" s="11" t="s">
        <v>27</v>
      </c>
      <c r="I2221" s="14" t="s">
        <v>28</v>
      </c>
      <c r="J2221" s="14" t="s">
        <v>138</v>
      </c>
      <c r="K2221" s="15" t="s">
        <v>30</v>
      </c>
      <c r="L2221" s="86" t="s">
        <v>2959</v>
      </c>
      <c r="M2221" s="14"/>
      <c r="N2221" s="14" t="s">
        <v>275</v>
      </c>
      <c r="O2221" s="14"/>
      <c r="P2221" s="15" t="s">
        <v>2960</v>
      </c>
      <c r="Q2221" s="16">
        <v>3799</v>
      </c>
      <c r="R2221" s="17">
        <v>79.53</v>
      </c>
      <c r="S2221" s="29">
        <v>894.43549999999993</v>
      </c>
      <c r="T2221" s="19" t="s">
        <v>117</v>
      </c>
      <c r="U2221" s="20" t="s">
        <v>2961</v>
      </c>
      <c r="V2221" s="21">
        <v>98</v>
      </c>
      <c r="W2221" s="21">
        <v>4</v>
      </c>
      <c r="X2221" s="22"/>
    </row>
    <row r="2222" spans="1:24" s="1" customFormat="1" ht="17.100000000000001" customHeight="1" x14ac:dyDescent="0.3">
      <c r="A2222" s="23" t="s">
        <v>2957</v>
      </c>
      <c r="B2222" s="23" t="s">
        <v>95</v>
      </c>
      <c r="C2222" s="12" t="s">
        <v>2958</v>
      </c>
      <c r="D2222" s="84"/>
      <c r="E2222" s="69" t="str">
        <f t="shared" si="74"/>
        <v>Еще фото</v>
      </c>
      <c r="F2222" s="13"/>
      <c r="G2222" s="23" t="s">
        <v>97</v>
      </c>
      <c r="H2222" s="23" t="s">
        <v>27</v>
      </c>
      <c r="I2222" s="23" t="s">
        <v>28</v>
      </c>
      <c r="J2222" s="14" t="s">
        <v>138</v>
      </c>
      <c r="K2222" s="15" t="s">
        <v>30</v>
      </c>
      <c r="L2222" s="87"/>
      <c r="M2222" s="14"/>
      <c r="N2222" s="14" t="s">
        <v>275</v>
      </c>
      <c r="O2222" s="14"/>
      <c r="P2222" s="15" t="s">
        <v>2960</v>
      </c>
      <c r="Q2222" s="16">
        <v>3799</v>
      </c>
      <c r="R2222" s="17">
        <v>79.53</v>
      </c>
      <c r="S2222" s="29">
        <v>894.43549999999993</v>
      </c>
      <c r="T2222" s="19" t="s">
        <v>117</v>
      </c>
      <c r="U2222" s="20" t="s">
        <v>94</v>
      </c>
      <c r="V2222" s="21">
        <v>104</v>
      </c>
      <c r="W2222" s="21">
        <v>2</v>
      </c>
      <c r="X2222" s="22"/>
    </row>
    <row r="2223" spans="1:24" s="1" customFormat="1" ht="17.100000000000001" customHeight="1" x14ac:dyDescent="0.3">
      <c r="A2223" s="23" t="s">
        <v>2957</v>
      </c>
      <c r="B2223" s="23" t="s">
        <v>95</v>
      </c>
      <c r="C2223" s="12" t="s">
        <v>2958</v>
      </c>
      <c r="D2223" s="84"/>
      <c r="E2223" s="69" t="str">
        <f t="shared" si="74"/>
        <v>Еще фото</v>
      </c>
      <c r="F2223" s="13"/>
      <c r="G2223" s="23" t="s">
        <v>97</v>
      </c>
      <c r="H2223" s="23" t="s">
        <v>27</v>
      </c>
      <c r="I2223" s="23" t="s">
        <v>28</v>
      </c>
      <c r="J2223" s="14" t="s">
        <v>138</v>
      </c>
      <c r="K2223" s="15" t="s">
        <v>30</v>
      </c>
      <c r="L2223" s="87"/>
      <c r="M2223" s="14"/>
      <c r="N2223" s="14" t="s">
        <v>275</v>
      </c>
      <c r="O2223" s="14"/>
      <c r="P2223" s="15" t="s">
        <v>2960</v>
      </c>
      <c r="Q2223" s="16">
        <v>3799</v>
      </c>
      <c r="R2223" s="17">
        <v>79.53</v>
      </c>
      <c r="S2223" s="29">
        <v>894.43549999999993</v>
      </c>
      <c r="T2223" s="19" t="s">
        <v>117</v>
      </c>
      <c r="U2223" s="20" t="s">
        <v>43</v>
      </c>
      <c r="V2223" s="21">
        <v>110</v>
      </c>
      <c r="W2223" s="21">
        <v>3</v>
      </c>
      <c r="X2223" s="22"/>
    </row>
    <row r="2224" spans="1:24" s="1" customFormat="1" ht="17.100000000000001" customHeight="1" x14ac:dyDescent="0.3">
      <c r="A2224" s="23" t="s">
        <v>2957</v>
      </c>
      <c r="B2224" s="23" t="s">
        <v>95</v>
      </c>
      <c r="C2224" s="12" t="s">
        <v>2958</v>
      </c>
      <c r="D2224" s="84"/>
      <c r="E2224" s="69" t="str">
        <f t="shared" si="74"/>
        <v>Еще фото</v>
      </c>
      <c r="F2224" s="13"/>
      <c r="G2224" s="23" t="s">
        <v>97</v>
      </c>
      <c r="H2224" s="23" t="s">
        <v>27</v>
      </c>
      <c r="I2224" s="23" t="s">
        <v>28</v>
      </c>
      <c r="J2224" s="14" t="s">
        <v>138</v>
      </c>
      <c r="K2224" s="15" t="s">
        <v>30</v>
      </c>
      <c r="L2224" s="87"/>
      <c r="M2224" s="14"/>
      <c r="N2224" s="14" t="s">
        <v>275</v>
      </c>
      <c r="O2224" s="14"/>
      <c r="P2224" s="15" t="s">
        <v>2960</v>
      </c>
      <c r="Q2224" s="16">
        <v>3799</v>
      </c>
      <c r="R2224" s="17">
        <v>79.53</v>
      </c>
      <c r="S2224" s="29">
        <v>894.43549999999993</v>
      </c>
      <c r="T2224" s="19" t="s">
        <v>117</v>
      </c>
      <c r="U2224" s="20" t="s">
        <v>35</v>
      </c>
      <c r="V2224" s="21">
        <v>116</v>
      </c>
      <c r="W2224" s="21">
        <v>1</v>
      </c>
      <c r="X2224" s="22"/>
    </row>
    <row r="2225" spans="1:24" s="1" customFormat="1" ht="17.100000000000001" customHeight="1" x14ac:dyDescent="0.3">
      <c r="A2225" s="23" t="s">
        <v>2957</v>
      </c>
      <c r="B2225" s="23" t="s">
        <v>95</v>
      </c>
      <c r="C2225" s="12" t="s">
        <v>2958</v>
      </c>
      <c r="D2225" s="84"/>
      <c r="E2225" s="69" t="str">
        <f t="shared" si="74"/>
        <v>Еще фото</v>
      </c>
      <c r="F2225" s="13"/>
      <c r="G2225" s="23" t="s">
        <v>97</v>
      </c>
      <c r="H2225" s="23" t="s">
        <v>27</v>
      </c>
      <c r="I2225" s="23" t="s">
        <v>28</v>
      </c>
      <c r="J2225" s="14" t="s">
        <v>138</v>
      </c>
      <c r="K2225" s="15" t="s">
        <v>30</v>
      </c>
      <c r="L2225" s="87"/>
      <c r="M2225" s="14"/>
      <c r="N2225" s="14" t="s">
        <v>275</v>
      </c>
      <c r="O2225" s="14"/>
      <c r="P2225" s="15" t="s">
        <v>2960</v>
      </c>
      <c r="Q2225" s="16">
        <v>3799</v>
      </c>
      <c r="R2225" s="17">
        <v>79.53</v>
      </c>
      <c r="S2225" s="29">
        <v>894.43549999999993</v>
      </c>
      <c r="T2225" s="19" t="s">
        <v>117</v>
      </c>
      <c r="U2225" s="20" t="s">
        <v>91</v>
      </c>
      <c r="V2225" s="21">
        <v>134</v>
      </c>
      <c r="W2225" s="21">
        <v>3</v>
      </c>
      <c r="X2225" s="22"/>
    </row>
    <row r="2226" spans="1:24" s="1" customFormat="1" ht="21.95" customHeight="1" x14ac:dyDescent="0.3">
      <c r="A2226" s="23" t="s">
        <v>2957</v>
      </c>
      <c r="B2226" s="23" t="s">
        <v>95</v>
      </c>
      <c r="C2226" s="12" t="s">
        <v>2958</v>
      </c>
      <c r="D2226" s="85"/>
      <c r="E2226" s="69" t="str">
        <f t="shared" si="74"/>
        <v>Еще фото</v>
      </c>
      <c r="F2226" s="13"/>
      <c r="G2226" s="23" t="s">
        <v>97</v>
      </c>
      <c r="H2226" s="23" t="s">
        <v>27</v>
      </c>
      <c r="I2226" s="23" t="s">
        <v>28</v>
      </c>
      <c r="J2226" s="14" t="s">
        <v>138</v>
      </c>
      <c r="K2226" s="15" t="s">
        <v>30</v>
      </c>
      <c r="L2226" s="88"/>
      <c r="M2226" s="14"/>
      <c r="N2226" s="14" t="s">
        <v>275</v>
      </c>
      <c r="O2226" s="14"/>
      <c r="P2226" s="15" t="s">
        <v>2960</v>
      </c>
      <c r="Q2226" s="16">
        <v>3799</v>
      </c>
      <c r="R2226" s="17">
        <v>79.53</v>
      </c>
      <c r="S2226" s="29">
        <v>894.43549999999993</v>
      </c>
      <c r="T2226" s="19" t="s">
        <v>117</v>
      </c>
      <c r="U2226" s="20" t="s">
        <v>290</v>
      </c>
      <c r="V2226" s="21">
        <v>140</v>
      </c>
      <c r="W2226" s="21">
        <v>5</v>
      </c>
      <c r="X2226" s="22"/>
    </row>
    <row r="2227" spans="1:24" s="1" customFormat="1" ht="108" customHeight="1" x14ac:dyDescent="0.3">
      <c r="A2227" s="11" t="s">
        <v>2957</v>
      </c>
      <c r="B2227" s="11" t="s">
        <v>95</v>
      </c>
      <c r="C2227" s="12" t="s">
        <v>2962</v>
      </c>
      <c r="D2227" s="24"/>
      <c r="E2227" s="69" t="str">
        <f>HYPERLINK("https://www.google.ru/search?q=526367-3031&amp;newwindow=1&amp;tbm=isch","Еще фото")</f>
        <v>Еще фото</v>
      </c>
      <c r="F2227" s="13"/>
      <c r="G2227" s="11" t="s">
        <v>2963</v>
      </c>
      <c r="H2227" s="11" t="s">
        <v>27</v>
      </c>
      <c r="I2227" s="14" t="s">
        <v>28</v>
      </c>
      <c r="J2227" s="14" t="s">
        <v>138</v>
      </c>
      <c r="K2227" s="15" t="s">
        <v>30</v>
      </c>
      <c r="L2227" s="14" t="s">
        <v>2964</v>
      </c>
      <c r="M2227" s="14"/>
      <c r="N2227" s="14" t="s">
        <v>275</v>
      </c>
      <c r="O2227" s="14"/>
      <c r="P2227" s="15" t="s">
        <v>74</v>
      </c>
      <c r="Q2227" s="16">
        <v>1699</v>
      </c>
      <c r="R2227" s="17">
        <v>78.94</v>
      </c>
      <c r="S2227" s="29">
        <v>411.43549999999993</v>
      </c>
      <c r="T2227" s="19" t="s">
        <v>117</v>
      </c>
      <c r="U2227" s="20" t="s">
        <v>35</v>
      </c>
      <c r="V2227" s="21">
        <v>116</v>
      </c>
      <c r="W2227" s="21">
        <v>6</v>
      </c>
      <c r="X2227" s="22"/>
    </row>
    <row r="2228" spans="1:24" s="1" customFormat="1" ht="51.95" customHeight="1" x14ac:dyDescent="0.3">
      <c r="A2228" s="11" t="s">
        <v>2936</v>
      </c>
      <c r="B2228" s="11" t="s">
        <v>2965</v>
      </c>
      <c r="C2228" s="12" t="s">
        <v>2966</v>
      </c>
      <c r="D2228" s="89"/>
      <c r="E2228" s="69" t="str">
        <f>HYPERLINK("https://www.google.ru/search?q=TB23WL09W1576-1-1002&amp;newwindow=1&amp;tbm=isch","Еще фото")</f>
        <v>Еще фото</v>
      </c>
      <c r="F2228" s="13"/>
      <c r="G2228" s="11" t="s">
        <v>97</v>
      </c>
      <c r="H2228" s="11" t="s">
        <v>27</v>
      </c>
      <c r="I2228" s="14" t="s">
        <v>28</v>
      </c>
      <c r="J2228" s="14" t="s">
        <v>29</v>
      </c>
      <c r="K2228" s="15" t="s">
        <v>47</v>
      </c>
      <c r="L2228" s="86" t="s">
        <v>2967</v>
      </c>
      <c r="M2228" s="14"/>
      <c r="N2228" s="14" t="s">
        <v>70</v>
      </c>
      <c r="O2228" s="14"/>
      <c r="P2228" s="15" t="s">
        <v>2968</v>
      </c>
      <c r="Q2228" s="16">
        <v>4399</v>
      </c>
      <c r="R2228" s="17">
        <v>78.45</v>
      </c>
      <c r="S2228" s="29">
        <v>1089.9354999999998</v>
      </c>
      <c r="T2228" s="19" t="s">
        <v>328</v>
      </c>
      <c r="U2228" s="20" t="s">
        <v>354</v>
      </c>
      <c r="V2228" s="25" t="s">
        <v>355</v>
      </c>
      <c r="W2228" s="21">
        <v>2</v>
      </c>
      <c r="X2228" s="22"/>
    </row>
    <row r="2229" spans="1:24" s="1" customFormat="1" ht="60.95" customHeight="1" x14ac:dyDescent="0.3">
      <c r="A2229" s="23" t="s">
        <v>2936</v>
      </c>
      <c r="B2229" s="23" t="s">
        <v>2965</v>
      </c>
      <c r="C2229" s="12" t="s">
        <v>2966</v>
      </c>
      <c r="D2229" s="90"/>
      <c r="E2229" s="69" t="str">
        <f>HYPERLINK("https://www.google.ru/search?q=TB23WL09W1576-1-1002&amp;newwindow=1&amp;tbm=isch","Еще фото")</f>
        <v>Еще фото</v>
      </c>
      <c r="F2229" s="13"/>
      <c r="G2229" s="23" t="s">
        <v>97</v>
      </c>
      <c r="H2229" s="23" t="s">
        <v>27</v>
      </c>
      <c r="I2229" s="23" t="s">
        <v>28</v>
      </c>
      <c r="J2229" s="14" t="s">
        <v>29</v>
      </c>
      <c r="K2229" s="15" t="s">
        <v>47</v>
      </c>
      <c r="L2229" s="88"/>
      <c r="M2229" s="14"/>
      <c r="N2229" s="14" t="s">
        <v>70</v>
      </c>
      <c r="O2229" s="14"/>
      <c r="P2229" s="15" t="s">
        <v>2968</v>
      </c>
      <c r="Q2229" s="16">
        <v>4399</v>
      </c>
      <c r="R2229" s="17">
        <v>78.45</v>
      </c>
      <c r="S2229" s="29">
        <v>1089.9354999999998</v>
      </c>
      <c r="T2229" s="19" t="s">
        <v>328</v>
      </c>
      <c r="U2229" s="20" t="s">
        <v>64</v>
      </c>
      <c r="V2229" s="25" t="s">
        <v>65</v>
      </c>
      <c r="W2229" s="21">
        <v>2</v>
      </c>
      <c r="X2229" s="22"/>
    </row>
    <row r="2230" spans="1:24" s="1" customFormat="1" ht="51.95" customHeight="1" x14ac:dyDescent="0.3">
      <c r="A2230" s="11" t="s">
        <v>2936</v>
      </c>
      <c r="B2230" s="11" t="s">
        <v>2965</v>
      </c>
      <c r="C2230" s="12" t="s">
        <v>2969</v>
      </c>
      <c r="D2230" s="89"/>
      <c r="E2230" s="69" t="str">
        <f>HYPERLINK("https://www.google.ru/search?q=TB23WN09S0738-1-2645&amp;newwindow=1&amp;tbm=isch","Еще фото")</f>
        <v>Еще фото</v>
      </c>
      <c r="F2230" s="13"/>
      <c r="G2230" s="11" t="s">
        <v>97</v>
      </c>
      <c r="H2230" s="11" t="s">
        <v>27</v>
      </c>
      <c r="I2230" s="14" t="s">
        <v>28</v>
      </c>
      <c r="J2230" s="14" t="s">
        <v>29</v>
      </c>
      <c r="K2230" s="15" t="s">
        <v>47</v>
      </c>
      <c r="L2230" s="86" t="s">
        <v>2970</v>
      </c>
      <c r="M2230" s="14"/>
      <c r="N2230" s="14" t="s">
        <v>576</v>
      </c>
      <c r="O2230" s="14"/>
      <c r="P2230" s="15" t="s">
        <v>2971</v>
      </c>
      <c r="Q2230" s="16">
        <v>4599</v>
      </c>
      <c r="R2230" s="17">
        <v>78.3</v>
      </c>
      <c r="S2230" s="29">
        <v>1147.4354999999998</v>
      </c>
      <c r="T2230" s="19" t="s">
        <v>328</v>
      </c>
      <c r="U2230" s="20" t="s">
        <v>354</v>
      </c>
      <c r="V2230" s="25" t="s">
        <v>355</v>
      </c>
      <c r="W2230" s="21">
        <v>1</v>
      </c>
      <c r="X2230" s="22"/>
    </row>
    <row r="2231" spans="1:24" s="1" customFormat="1" ht="60.95" customHeight="1" x14ac:dyDescent="0.3">
      <c r="A2231" s="23" t="s">
        <v>2936</v>
      </c>
      <c r="B2231" s="23" t="s">
        <v>2965</v>
      </c>
      <c r="C2231" s="12" t="s">
        <v>2969</v>
      </c>
      <c r="D2231" s="90"/>
      <c r="E2231" s="69" t="str">
        <f>HYPERLINK("https://www.google.ru/search?q=TB23WN09S0738-1-2645&amp;newwindow=1&amp;tbm=isch","Еще фото")</f>
        <v>Еще фото</v>
      </c>
      <c r="F2231" s="13"/>
      <c r="G2231" s="23" t="s">
        <v>97</v>
      </c>
      <c r="H2231" s="23" t="s">
        <v>27</v>
      </c>
      <c r="I2231" s="23" t="s">
        <v>28</v>
      </c>
      <c r="J2231" s="14" t="s">
        <v>29</v>
      </c>
      <c r="K2231" s="15" t="s">
        <v>47</v>
      </c>
      <c r="L2231" s="88"/>
      <c r="M2231" s="14"/>
      <c r="N2231" s="14" t="s">
        <v>576</v>
      </c>
      <c r="O2231" s="14"/>
      <c r="P2231" s="15" t="s">
        <v>2971</v>
      </c>
      <c r="Q2231" s="16">
        <v>4599</v>
      </c>
      <c r="R2231" s="17">
        <v>78.3</v>
      </c>
      <c r="S2231" s="29">
        <v>1147.4354999999998</v>
      </c>
      <c r="T2231" s="19" t="s">
        <v>328</v>
      </c>
      <c r="U2231" s="20" t="s">
        <v>58</v>
      </c>
      <c r="V2231" s="25" t="s">
        <v>68</v>
      </c>
      <c r="W2231" s="21">
        <v>2</v>
      </c>
      <c r="X2231" s="22"/>
    </row>
    <row r="2232" spans="1:24" s="1" customFormat="1" ht="35.1" customHeight="1" x14ac:dyDescent="0.3">
      <c r="A2232" s="11" t="s">
        <v>2957</v>
      </c>
      <c r="B2232" s="11" t="s">
        <v>2972</v>
      </c>
      <c r="C2232" s="12" t="s">
        <v>2973</v>
      </c>
      <c r="D2232" s="83"/>
      <c r="E2232" s="69" t="str">
        <f>HYPERLINK("https://www.google.ru/search?q=512121-4510&amp;newwindow=1&amp;tbm=isch","Еще фото")</f>
        <v>Еще фото</v>
      </c>
      <c r="F2232" s="13"/>
      <c r="G2232" s="11" t="s">
        <v>28</v>
      </c>
      <c r="H2232" s="11" t="s">
        <v>27</v>
      </c>
      <c r="I2232" s="14" t="s">
        <v>28</v>
      </c>
      <c r="J2232" s="14" t="s">
        <v>29</v>
      </c>
      <c r="K2232" s="15" t="s">
        <v>30</v>
      </c>
      <c r="L2232" s="86" t="s">
        <v>2974</v>
      </c>
      <c r="M2232" s="14"/>
      <c r="N2232" s="14" t="s">
        <v>275</v>
      </c>
      <c r="O2232" s="14"/>
      <c r="P2232" s="15" t="s">
        <v>2975</v>
      </c>
      <c r="Q2232" s="16">
        <v>2899</v>
      </c>
      <c r="R2232" s="17">
        <v>78</v>
      </c>
      <c r="S2232" s="29">
        <v>733.43549999999993</v>
      </c>
      <c r="T2232" s="19" t="s">
        <v>117</v>
      </c>
      <c r="U2232" s="20" t="s">
        <v>744</v>
      </c>
      <c r="V2232" s="21">
        <v>80</v>
      </c>
      <c r="W2232" s="21">
        <v>1</v>
      </c>
      <c r="X2232" s="22"/>
    </row>
    <row r="2233" spans="1:24" s="1" customFormat="1" ht="35.1" customHeight="1" x14ac:dyDescent="0.3">
      <c r="A2233" s="23" t="s">
        <v>2957</v>
      </c>
      <c r="B2233" s="23" t="s">
        <v>2972</v>
      </c>
      <c r="C2233" s="12" t="s">
        <v>2973</v>
      </c>
      <c r="D2233" s="84"/>
      <c r="E2233" s="69" t="str">
        <f>HYPERLINK("https://www.google.ru/search?q=512121-4510&amp;newwindow=1&amp;tbm=isch","Еще фото")</f>
        <v>Еще фото</v>
      </c>
      <c r="F2233" s="13"/>
      <c r="G2233" s="23" t="s">
        <v>28</v>
      </c>
      <c r="H2233" s="23" t="s">
        <v>27</v>
      </c>
      <c r="I2233" s="23" t="s">
        <v>28</v>
      </c>
      <c r="J2233" s="14" t="s">
        <v>29</v>
      </c>
      <c r="K2233" s="15" t="s">
        <v>30</v>
      </c>
      <c r="L2233" s="87"/>
      <c r="M2233" s="14"/>
      <c r="N2233" s="14" t="s">
        <v>275</v>
      </c>
      <c r="O2233" s="14"/>
      <c r="P2233" s="15" t="s">
        <v>2975</v>
      </c>
      <c r="Q2233" s="16">
        <v>2899</v>
      </c>
      <c r="R2233" s="17">
        <v>78</v>
      </c>
      <c r="S2233" s="29">
        <v>733.43549999999993</v>
      </c>
      <c r="T2233" s="19" t="s">
        <v>117</v>
      </c>
      <c r="U2233" s="20" t="s">
        <v>2976</v>
      </c>
      <c r="V2233" s="21">
        <v>86</v>
      </c>
      <c r="W2233" s="21">
        <v>1</v>
      </c>
      <c r="X2233" s="22"/>
    </row>
    <row r="2234" spans="1:24" s="1" customFormat="1" ht="36.950000000000003" customHeight="1" x14ac:dyDescent="0.3">
      <c r="A2234" s="23" t="s">
        <v>2957</v>
      </c>
      <c r="B2234" s="23" t="s">
        <v>2972</v>
      </c>
      <c r="C2234" s="12" t="s">
        <v>2973</v>
      </c>
      <c r="D2234" s="85"/>
      <c r="E2234" s="69" t="str">
        <f>HYPERLINK("https://www.google.ru/search?q=512121-4510&amp;newwindow=1&amp;tbm=isch","Еще фото")</f>
        <v>Еще фото</v>
      </c>
      <c r="F2234" s="13"/>
      <c r="G2234" s="23" t="s">
        <v>28</v>
      </c>
      <c r="H2234" s="23" t="s">
        <v>27</v>
      </c>
      <c r="I2234" s="23" t="s">
        <v>28</v>
      </c>
      <c r="J2234" s="14" t="s">
        <v>29</v>
      </c>
      <c r="K2234" s="15" t="s">
        <v>30</v>
      </c>
      <c r="L2234" s="88"/>
      <c r="M2234" s="14"/>
      <c r="N2234" s="14" t="s">
        <v>275</v>
      </c>
      <c r="O2234" s="14"/>
      <c r="P2234" s="15" t="s">
        <v>2975</v>
      </c>
      <c r="Q2234" s="16">
        <v>2899</v>
      </c>
      <c r="R2234" s="17">
        <v>78</v>
      </c>
      <c r="S2234" s="29">
        <v>733.43549999999993</v>
      </c>
      <c r="T2234" s="19" t="s">
        <v>117</v>
      </c>
      <c r="U2234" s="20" t="s">
        <v>2977</v>
      </c>
      <c r="V2234" s="21">
        <v>92</v>
      </c>
      <c r="W2234" s="21">
        <v>3</v>
      </c>
      <c r="X2234" s="22"/>
    </row>
    <row r="2235" spans="1:24" s="1" customFormat="1" ht="108" customHeight="1" x14ac:dyDescent="0.3">
      <c r="A2235" s="11" t="s">
        <v>2936</v>
      </c>
      <c r="B2235" s="11" t="s">
        <v>2978</v>
      </c>
      <c r="C2235" s="12" t="s">
        <v>2979</v>
      </c>
      <c r="D2235" s="24"/>
      <c r="E2235" s="69" t="str">
        <f>HYPERLINK("https://www.google.ru/search?q=TB21WL05W8407-1-1464&amp;newwindow=1&amp;tbm=isch","Еще фото")</f>
        <v>Еще фото</v>
      </c>
      <c r="F2235" s="13"/>
      <c r="G2235" s="11" t="s">
        <v>2943</v>
      </c>
      <c r="H2235" s="11" t="s">
        <v>27</v>
      </c>
      <c r="I2235" s="14" t="s">
        <v>28</v>
      </c>
      <c r="J2235" s="14" t="s">
        <v>29</v>
      </c>
      <c r="K2235" s="15" t="s">
        <v>47</v>
      </c>
      <c r="L2235" s="14" t="s">
        <v>2980</v>
      </c>
      <c r="M2235" s="14" t="s">
        <v>73</v>
      </c>
      <c r="N2235" s="14" t="s">
        <v>265</v>
      </c>
      <c r="O2235" s="14" t="s">
        <v>940</v>
      </c>
      <c r="P2235" s="15" t="s">
        <v>2981</v>
      </c>
      <c r="Q2235" s="16">
        <v>2999</v>
      </c>
      <c r="R2235" s="17">
        <v>75.400000000000006</v>
      </c>
      <c r="S2235" s="29">
        <v>848.43549999999993</v>
      </c>
      <c r="T2235" s="19" t="s">
        <v>328</v>
      </c>
      <c r="U2235" s="20" t="s">
        <v>354</v>
      </c>
      <c r="V2235" s="25" t="s">
        <v>355</v>
      </c>
      <c r="W2235" s="21">
        <v>6</v>
      </c>
      <c r="X2235" s="22"/>
    </row>
    <row r="2236" spans="1:24" s="1" customFormat="1" ht="51.95" customHeight="1" x14ac:dyDescent="0.3">
      <c r="A2236" s="11" t="s">
        <v>2957</v>
      </c>
      <c r="B2236" s="11" t="s">
        <v>2982</v>
      </c>
      <c r="C2236" s="12" t="s">
        <v>2983</v>
      </c>
      <c r="D2236" s="89"/>
      <c r="E2236" s="69" t="str">
        <f>HYPERLINK("https://www.google.ru/search?q=526346-7300&amp;newwindow=1&amp;tbm=isch","Еще фото")</f>
        <v>Еще фото</v>
      </c>
      <c r="F2236" s="13"/>
      <c r="G2236" s="11" t="s">
        <v>28</v>
      </c>
      <c r="H2236" s="11" t="s">
        <v>27</v>
      </c>
      <c r="I2236" s="14" t="s">
        <v>28</v>
      </c>
      <c r="J2236" s="14" t="s">
        <v>29</v>
      </c>
      <c r="K2236" s="15" t="s">
        <v>30</v>
      </c>
      <c r="L2236" s="86" t="s">
        <v>2984</v>
      </c>
      <c r="M2236" s="14"/>
      <c r="N2236" s="14" t="s">
        <v>265</v>
      </c>
      <c r="O2236" s="14"/>
      <c r="P2236" s="15" t="s">
        <v>2985</v>
      </c>
      <c r="Q2236" s="16">
        <v>1899</v>
      </c>
      <c r="R2236" s="17">
        <v>74.31</v>
      </c>
      <c r="S2236" s="29">
        <v>560.93549999999993</v>
      </c>
      <c r="T2236" s="19" t="s">
        <v>117</v>
      </c>
      <c r="U2236" s="20" t="s">
        <v>744</v>
      </c>
      <c r="V2236" s="21">
        <v>80</v>
      </c>
      <c r="W2236" s="21">
        <v>1</v>
      </c>
      <c r="X2236" s="22"/>
    </row>
    <row r="2237" spans="1:24" s="1" customFormat="1" ht="60.95" customHeight="1" x14ac:dyDescent="0.3">
      <c r="A2237" s="23" t="s">
        <v>2957</v>
      </c>
      <c r="B2237" s="23" t="s">
        <v>2982</v>
      </c>
      <c r="C2237" s="12" t="s">
        <v>2983</v>
      </c>
      <c r="D2237" s="90"/>
      <c r="E2237" s="69" t="str">
        <f>HYPERLINK("https://www.google.ru/search?q=526346-7300&amp;newwindow=1&amp;tbm=isch","Еще фото")</f>
        <v>Еще фото</v>
      </c>
      <c r="F2237" s="13"/>
      <c r="G2237" s="23" t="s">
        <v>28</v>
      </c>
      <c r="H2237" s="23" t="s">
        <v>27</v>
      </c>
      <c r="I2237" s="23" t="s">
        <v>28</v>
      </c>
      <c r="J2237" s="14" t="s">
        <v>29</v>
      </c>
      <c r="K2237" s="15" t="s">
        <v>30</v>
      </c>
      <c r="L2237" s="88"/>
      <c r="M2237" s="14"/>
      <c r="N2237" s="14" t="s">
        <v>265</v>
      </c>
      <c r="O2237" s="14"/>
      <c r="P2237" s="15" t="s">
        <v>2985</v>
      </c>
      <c r="Q2237" s="16">
        <v>1899</v>
      </c>
      <c r="R2237" s="17">
        <v>74.31</v>
      </c>
      <c r="S2237" s="29">
        <v>560.93549999999993</v>
      </c>
      <c r="T2237" s="19" t="s">
        <v>117</v>
      </c>
      <c r="U2237" s="20" t="s">
        <v>2977</v>
      </c>
      <c r="V2237" s="21">
        <v>92</v>
      </c>
      <c r="W2237" s="21">
        <v>12</v>
      </c>
      <c r="X2237" s="22"/>
    </row>
    <row r="2238" spans="1:24" s="1" customFormat="1" ht="108" customHeight="1" x14ac:dyDescent="0.3">
      <c r="A2238" s="11" t="s">
        <v>2936</v>
      </c>
      <c r="B2238" s="11" t="s">
        <v>2937</v>
      </c>
      <c r="C2238" s="12" t="s">
        <v>2986</v>
      </c>
      <c r="D2238" s="24"/>
      <c r="E2238" s="69" t="str">
        <f>HYPERLINK("https://www.google.ru/search?q=TB21WL05W8407-1-1359&amp;newwindow=1&amp;tbm=isch","Еще фото")</f>
        <v>Еще фото</v>
      </c>
      <c r="F2238" s="13"/>
      <c r="G2238" s="11" t="s">
        <v>2943</v>
      </c>
      <c r="H2238" s="11" t="s">
        <v>27</v>
      </c>
      <c r="I2238" s="14" t="s">
        <v>28</v>
      </c>
      <c r="J2238" s="14" t="s">
        <v>406</v>
      </c>
      <c r="K2238" s="15" t="s">
        <v>47</v>
      </c>
      <c r="L2238" s="14" t="s">
        <v>2987</v>
      </c>
      <c r="M2238" s="14" t="s">
        <v>73</v>
      </c>
      <c r="N2238" s="14" t="s">
        <v>242</v>
      </c>
      <c r="O2238" s="14"/>
      <c r="P2238" s="15" t="s">
        <v>2981</v>
      </c>
      <c r="Q2238" s="16">
        <v>3099</v>
      </c>
      <c r="R2238" s="17">
        <v>71.349999999999994</v>
      </c>
      <c r="S2238" s="29">
        <v>1020.9354999999999</v>
      </c>
      <c r="T2238" s="19" t="s">
        <v>328</v>
      </c>
      <c r="U2238" s="20" t="s">
        <v>354</v>
      </c>
      <c r="V2238" s="25" t="s">
        <v>355</v>
      </c>
      <c r="W2238" s="21">
        <v>3</v>
      </c>
      <c r="X2238" s="22"/>
    </row>
    <row r="2239" spans="1:24" s="1" customFormat="1" ht="108" customHeight="1" x14ac:dyDescent="0.3">
      <c r="A2239" s="11" t="s">
        <v>2936</v>
      </c>
      <c r="B2239" s="11" t="s">
        <v>2965</v>
      </c>
      <c r="C2239" s="12" t="s">
        <v>2988</v>
      </c>
      <c r="D2239" s="24"/>
      <c r="E2239" s="69" t="str">
        <f>HYPERLINK("https://www.google.ru/search?q=TB23WN09S0739-1-1911&amp;newwindow=1&amp;tbm=isch","Еще фото")</f>
        <v>Еще фото</v>
      </c>
      <c r="F2239" s="13"/>
      <c r="G2239" s="11" t="s">
        <v>97</v>
      </c>
      <c r="H2239" s="11" t="s">
        <v>27</v>
      </c>
      <c r="I2239" s="14" t="s">
        <v>28</v>
      </c>
      <c r="J2239" s="14" t="s">
        <v>29</v>
      </c>
      <c r="K2239" s="15" t="s">
        <v>47</v>
      </c>
      <c r="L2239" s="14" t="s">
        <v>2989</v>
      </c>
      <c r="M2239" s="14"/>
      <c r="N2239" s="14" t="s">
        <v>576</v>
      </c>
      <c r="O2239" s="14"/>
      <c r="P2239" s="15" t="s">
        <v>2971</v>
      </c>
      <c r="Q2239" s="16">
        <v>3999</v>
      </c>
      <c r="R2239" s="17">
        <v>70.05</v>
      </c>
      <c r="S2239" s="18">
        <v>1377.4354999999998</v>
      </c>
      <c r="T2239" s="19" t="s">
        <v>328</v>
      </c>
      <c r="U2239" s="20" t="s">
        <v>354</v>
      </c>
      <c r="V2239" s="25" t="s">
        <v>355</v>
      </c>
      <c r="W2239" s="21">
        <v>3</v>
      </c>
      <c r="X2239" s="22"/>
    </row>
    <row r="2240" spans="1:24" s="1" customFormat="1" ht="35.1" customHeight="1" x14ac:dyDescent="0.3">
      <c r="A2240" s="11" t="s">
        <v>2957</v>
      </c>
      <c r="B2240" s="11" t="s">
        <v>2990</v>
      </c>
      <c r="C2240" s="12" t="s">
        <v>2991</v>
      </c>
      <c r="D2240" s="83"/>
      <c r="E2240" s="69" t="str">
        <f>HYPERLINK("https://www.google.ru/search?q=532208-2370&amp;newwindow=1&amp;tbm=isch","Еще фото")</f>
        <v>Еще фото</v>
      </c>
      <c r="F2240" s="13"/>
      <c r="G2240" s="11" t="s">
        <v>28</v>
      </c>
      <c r="H2240" s="11" t="s">
        <v>27</v>
      </c>
      <c r="I2240" s="14" t="s">
        <v>28</v>
      </c>
      <c r="J2240" s="14" t="s">
        <v>29</v>
      </c>
      <c r="K2240" s="15" t="s">
        <v>30</v>
      </c>
      <c r="L2240" s="86" t="s">
        <v>2992</v>
      </c>
      <c r="M2240" s="14"/>
      <c r="N2240" s="14" t="s">
        <v>313</v>
      </c>
      <c r="O2240" s="14"/>
      <c r="P2240" s="15" t="s">
        <v>2975</v>
      </c>
      <c r="Q2240" s="16">
        <v>3299</v>
      </c>
      <c r="R2240" s="17">
        <v>68.849999999999994</v>
      </c>
      <c r="S2240" s="18">
        <v>1181.9354999999998</v>
      </c>
      <c r="T2240" s="19" t="s">
        <v>117</v>
      </c>
      <c r="U2240" s="20" t="s">
        <v>36</v>
      </c>
      <c r="V2240" s="21">
        <v>122</v>
      </c>
      <c r="W2240" s="21">
        <v>1</v>
      </c>
      <c r="X2240" s="22"/>
    </row>
    <row r="2241" spans="1:24" s="1" customFormat="1" ht="35.1" customHeight="1" x14ac:dyDescent="0.3">
      <c r="A2241" s="23" t="s">
        <v>2957</v>
      </c>
      <c r="B2241" s="23" t="s">
        <v>2990</v>
      </c>
      <c r="C2241" s="12" t="s">
        <v>2991</v>
      </c>
      <c r="D2241" s="84"/>
      <c r="E2241" s="69" t="str">
        <f>HYPERLINK("https://www.google.ru/search?q=532208-2370&amp;newwindow=1&amp;tbm=isch","Еще фото")</f>
        <v>Еще фото</v>
      </c>
      <c r="F2241" s="13"/>
      <c r="G2241" s="23" t="s">
        <v>28</v>
      </c>
      <c r="H2241" s="23" t="s">
        <v>27</v>
      </c>
      <c r="I2241" s="23" t="s">
        <v>28</v>
      </c>
      <c r="J2241" s="14" t="s">
        <v>29</v>
      </c>
      <c r="K2241" s="15" t="s">
        <v>30</v>
      </c>
      <c r="L2241" s="87"/>
      <c r="M2241" s="14"/>
      <c r="N2241" s="14" t="s">
        <v>313</v>
      </c>
      <c r="O2241" s="14"/>
      <c r="P2241" s="15" t="s">
        <v>2975</v>
      </c>
      <c r="Q2241" s="16">
        <v>3299</v>
      </c>
      <c r="R2241" s="17">
        <v>68.849999999999994</v>
      </c>
      <c r="S2241" s="18">
        <v>1181.9354999999998</v>
      </c>
      <c r="T2241" s="19" t="s">
        <v>117</v>
      </c>
      <c r="U2241" s="20" t="s">
        <v>37</v>
      </c>
      <c r="V2241" s="21">
        <v>128</v>
      </c>
      <c r="W2241" s="21">
        <v>2</v>
      </c>
      <c r="X2241" s="22"/>
    </row>
    <row r="2242" spans="1:24" s="1" customFormat="1" ht="36.950000000000003" customHeight="1" x14ac:dyDescent="0.3">
      <c r="A2242" s="23" t="s">
        <v>2957</v>
      </c>
      <c r="B2242" s="23" t="s">
        <v>2990</v>
      </c>
      <c r="C2242" s="12" t="s">
        <v>2991</v>
      </c>
      <c r="D2242" s="85"/>
      <c r="E2242" s="69" t="str">
        <f>HYPERLINK("https://www.google.ru/search?q=532208-2370&amp;newwindow=1&amp;tbm=isch","Еще фото")</f>
        <v>Еще фото</v>
      </c>
      <c r="F2242" s="13"/>
      <c r="G2242" s="23" t="s">
        <v>28</v>
      </c>
      <c r="H2242" s="23" t="s">
        <v>27</v>
      </c>
      <c r="I2242" s="23" t="s">
        <v>28</v>
      </c>
      <c r="J2242" s="14" t="s">
        <v>29</v>
      </c>
      <c r="K2242" s="15" t="s">
        <v>30</v>
      </c>
      <c r="L2242" s="88"/>
      <c r="M2242" s="14"/>
      <c r="N2242" s="14" t="s">
        <v>313</v>
      </c>
      <c r="O2242" s="14"/>
      <c r="P2242" s="15" t="s">
        <v>2975</v>
      </c>
      <c r="Q2242" s="16">
        <v>3299</v>
      </c>
      <c r="R2242" s="17">
        <v>68.849999999999994</v>
      </c>
      <c r="S2242" s="18">
        <v>1181.9354999999998</v>
      </c>
      <c r="T2242" s="19" t="s">
        <v>117</v>
      </c>
      <c r="U2242" s="20" t="s">
        <v>2993</v>
      </c>
      <c r="V2242" s="21">
        <v>146</v>
      </c>
      <c r="W2242" s="21">
        <v>1</v>
      </c>
      <c r="X2242" s="22"/>
    </row>
    <row r="2243" spans="1:24" s="1" customFormat="1" ht="51.95" customHeight="1" x14ac:dyDescent="0.3">
      <c r="A2243" s="11" t="s">
        <v>2957</v>
      </c>
      <c r="B2243" s="11" t="s">
        <v>2994</v>
      </c>
      <c r="C2243" s="12" t="s">
        <v>2995</v>
      </c>
      <c r="D2243" s="89"/>
      <c r="E2243" s="69" t="str">
        <f>HYPERLINK("https://www.google.ru/search?q=536252-9150&amp;newwindow=1&amp;tbm=isch","Еще фото")</f>
        <v>Еще фото</v>
      </c>
      <c r="F2243" s="13"/>
      <c r="G2243" s="11" t="s">
        <v>2996</v>
      </c>
      <c r="H2243" s="11" t="s">
        <v>27</v>
      </c>
      <c r="I2243" s="14" t="s">
        <v>28</v>
      </c>
      <c r="J2243" s="14" t="s">
        <v>138</v>
      </c>
      <c r="K2243" s="15" t="s">
        <v>30</v>
      </c>
      <c r="L2243" s="86" t="s">
        <v>2997</v>
      </c>
      <c r="M2243" s="14"/>
      <c r="N2243" s="14" t="s">
        <v>41</v>
      </c>
      <c r="O2243" s="14"/>
      <c r="P2243" s="15" t="s">
        <v>76</v>
      </c>
      <c r="Q2243" s="16">
        <v>2199</v>
      </c>
      <c r="R2243" s="17">
        <v>68.72</v>
      </c>
      <c r="S2243" s="29">
        <v>790.93549999999993</v>
      </c>
      <c r="T2243" s="19" t="s">
        <v>117</v>
      </c>
      <c r="U2243" s="20" t="s">
        <v>43</v>
      </c>
      <c r="V2243" s="21">
        <v>110</v>
      </c>
      <c r="W2243" s="21">
        <v>1</v>
      </c>
      <c r="X2243" s="22"/>
    </row>
    <row r="2244" spans="1:24" s="1" customFormat="1" ht="60.95" customHeight="1" x14ac:dyDescent="0.3">
      <c r="A2244" s="23" t="s">
        <v>2957</v>
      </c>
      <c r="B2244" s="23" t="s">
        <v>2994</v>
      </c>
      <c r="C2244" s="12" t="s">
        <v>2995</v>
      </c>
      <c r="D2244" s="90"/>
      <c r="E2244" s="69" t="str">
        <f>HYPERLINK("https://www.google.ru/search?q=536252-9150&amp;newwindow=1&amp;tbm=isch","Еще фото")</f>
        <v>Еще фото</v>
      </c>
      <c r="F2244" s="13"/>
      <c r="G2244" s="23" t="s">
        <v>2996</v>
      </c>
      <c r="H2244" s="23" t="s">
        <v>27</v>
      </c>
      <c r="I2244" s="23" t="s">
        <v>28</v>
      </c>
      <c r="J2244" s="14" t="s">
        <v>138</v>
      </c>
      <c r="K2244" s="15" t="s">
        <v>30</v>
      </c>
      <c r="L2244" s="88"/>
      <c r="M2244" s="14"/>
      <c r="N2244" s="14" t="s">
        <v>41</v>
      </c>
      <c r="O2244" s="14"/>
      <c r="P2244" s="15" t="s">
        <v>76</v>
      </c>
      <c r="Q2244" s="16">
        <v>2199</v>
      </c>
      <c r="R2244" s="17">
        <v>68.72</v>
      </c>
      <c r="S2244" s="29">
        <v>790.93549999999993</v>
      </c>
      <c r="T2244" s="19" t="s">
        <v>117</v>
      </c>
      <c r="U2244" s="20" t="s">
        <v>91</v>
      </c>
      <c r="V2244" s="21">
        <v>134</v>
      </c>
      <c r="W2244" s="21">
        <v>1</v>
      </c>
      <c r="X2244" s="22"/>
    </row>
    <row r="2245" spans="1:24" s="1" customFormat="1" ht="35.1" customHeight="1" x14ac:dyDescent="0.3">
      <c r="A2245" s="11" t="s">
        <v>2957</v>
      </c>
      <c r="B2245" s="11" t="s">
        <v>38</v>
      </c>
      <c r="C2245" s="12" t="s">
        <v>2998</v>
      </c>
      <c r="D2245" s="83"/>
      <c r="E2245" s="69" t="str">
        <f>HYPERLINK("https://www.google.ru/search?q=526323-3160&amp;newwindow=1&amp;tbm=isch","Еще фото")</f>
        <v>Еще фото</v>
      </c>
      <c r="F2245" s="13"/>
      <c r="G2245" s="11" t="s">
        <v>28</v>
      </c>
      <c r="H2245" s="11" t="s">
        <v>27</v>
      </c>
      <c r="I2245" s="14" t="s">
        <v>28</v>
      </c>
      <c r="J2245" s="14" t="s">
        <v>138</v>
      </c>
      <c r="K2245" s="15" t="s">
        <v>30</v>
      </c>
      <c r="L2245" s="86" t="s">
        <v>2999</v>
      </c>
      <c r="M2245" s="14"/>
      <c r="N2245" s="14" t="s">
        <v>636</v>
      </c>
      <c r="O2245" s="14"/>
      <c r="P2245" s="15" t="s">
        <v>3000</v>
      </c>
      <c r="Q2245" s="16">
        <v>2399</v>
      </c>
      <c r="R2245" s="17">
        <v>68.41</v>
      </c>
      <c r="S2245" s="29">
        <v>871.43549999999993</v>
      </c>
      <c r="T2245" s="19" t="s">
        <v>117</v>
      </c>
      <c r="U2245" s="20" t="s">
        <v>35</v>
      </c>
      <c r="V2245" s="21">
        <v>116</v>
      </c>
      <c r="W2245" s="21">
        <v>1</v>
      </c>
      <c r="X2245" s="22"/>
    </row>
    <row r="2246" spans="1:24" s="1" customFormat="1" ht="35.1" customHeight="1" x14ac:dyDescent="0.3">
      <c r="A2246" s="23" t="s">
        <v>2957</v>
      </c>
      <c r="B2246" s="23" t="s">
        <v>38</v>
      </c>
      <c r="C2246" s="12" t="s">
        <v>2998</v>
      </c>
      <c r="D2246" s="84"/>
      <c r="E2246" s="69" t="str">
        <f>HYPERLINK("https://www.google.ru/search?q=526323-3160&amp;newwindow=1&amp;tbm=isch","Еще фото")</f>
        <v>Еще фото</v>
      </c>
      <c r="F2246" s="13"/>
      <c r="G2246" s="23" t="s">
        <v>28</v>
      </c>
      <c r="H2246" s="23" t="s">
        <v>27</v>
      </c>
      <c r="I2246" s="23" t="s">
        <v>28</v>
      </c>
      <c r="J2246" s="14" t="s">
        <v>138</v>
      </c>
      <c r="K2246" s="15" t="s">
        <v>30</v>
      </c>
      <c r="L2246" s="87"/>
      <c r="M2246" s="14"/>
      <c r="N2246" s="14" t="s">
        <v>636</v>
      </c>
      <c r="O2246" s="14"/>
      <c r="P2246" s="15" t="s">
        <v>3000</v>
      </c>
      <c r="Q2246" s="16">
        <v>2399</v>
      </c>
      <c r="R2246" s="17">
        <v>68.41</v>
      </c>
      <c r="S2246" s="29">
        <v>871.43549999999993</v>
      </c>
      <c r="T2246" s="19" t="s">
        <v>117</v>
      </c>
      <c r="U2246" s="20" t="s">
        <v>36</v>
      </c>
      <c r="V2246" s="21">
        <v>122</v>
      </c>
      <c r="W2246" s="21">
        <v>6</v>
      </c>
      <c r="X2246" s="22"/>
    </row>
    <row r="2247" spans="1:24" s="1" customFormat="1" ht="36.950000000000003" customHeight="1" x14ac:dyDescent="0.3">
      <c r="A2247" s="23" t="s">
        <v>2957</v>
      </c>
      <c r="B2247" s="23" t="s">
        <v>38</v>
      </c>
      <c r="C2247" s="12" t="s">
        <v>2998</v>
      </c>
      <c r="D2247" s="85"/>
      <c r="E2247" s="69" t="str">
        <f>HYPERLINK("https://www.google.ru/search?q=526323-3160&amp;newwindow=1&amp;tbm=isch","Еще фото")</f>
        <v>Еще фото</v>
      </c>
      <c r="F2247" s="13"/>
      <c r="G2247" s="23" t="s">
        <v>28</v>
      </c>
      <c r="H2247" s="23" t="s">
        <v>27</v>
      </c>
      <c r="I2247" s="23" t="s">
        <v>28</v>
      </c>
      <c r="J2247" s="14" t="s">
        <v>138</v>
      </c>
      <c r="K2247" s="15" t="s">
        <v>30</v>
      </c>
      <c r="L2247" s="88"/>
      <c r="M2247" s="14"/>
      <c r="N2247" s="14" t="s">
        <v>636</v>
      </c>
      <c r="O2247" s="14"/>
      <c r="P2247" s="15" t="s">
        <v>3000</v>
      </c>
      <c r="Q2247" s="16">
        <v>2399</v>
      </c>
      <c r="R2247" s="17">
        <v>68.41</v>
      </c>
      <c r="S2247" s="29">
        <v>871.43549999999993</v>
      </c>
      <c r="T2247" s="19" t="s">
        <v>117</v>
      </c>
      <c r="U2247" s="20" t="s">
        <v>37</v>
      </c>
      <c r="V2247" s="21">
        <v>128</v>
      </c>
      <c r="W2247" s="21">
        <v>2</v>
      </c>
      <c r="X2247" s="22"/>
    </row>
    <row r="2248" spans="1:24" s="1" customFormat="1" ht="51.95" customHeight="1" x14ac:dyDescent="0.3">
      <c r="A2248" s="11" t="s">
        <v>2957</v>
      </c>
      <c r="B2248" s="11" t="s">
        <v>3001</v>
      </c>
      <c r="C2248" s="12" t="s">
        <v>3002</v>
      </c>
      <c r="D2248" s="89"/>
      <c r="E2248" s="69" t="str">
        <f>HYPERLINK("https://www.google.ru/search?q=526357B-9510&amp;newwindow=1&amp;tbm=isch","Еще фото")</f>
        <v>Еще фото</v>
      </c>
      <c r="F2248" s="13"/>
      <c r="G2248" s="11" t="s">
        <v>28</v>
      </c>
      <c r="H2248" s="11" t="s">
        <v>27</v>
      </c>
      <c r="I2248" s="14" t="s">
        <v>28</v>
      </c>
      <c r="J2248" s="14" t="s">
        <v>138</v>
      </c>
      <c r="K2248" s="15" t="s">
        <v>30</v>
      </c>
      <c r="L2248" s="86" t="s">
        <v>3003</v>
      </c>
      <c r="M2248" s="14"/>
      <c r="N2248" s="14" t="s">
        <v>49</v>
      </c>
      <c r="O2248" s="14"/>
      <c r="P2248" s="15" t="s">
        <v>3004</v>
      </c>
      <c r="Q2248" s="16">
        <v>3999</v>
      </c>
      <c r="R2248" s="17">
        <v>66.55</v>
      </c>
      <c r="S2248" s="18">
        <v>1538.4354999999998</v>
      </c>
      <c r="T2248" s="19" t="s">
        <v>117</v>
      </c>
      <c r="U2248" s="20" t="s">
        <v>94</v>
      </c>
      <c r="V2248" s="21">
        <v>104</v>
      </c>
      <c r="W2248" s="21">
        <v>5</v>
      </c>
      <c r="X2248" s="22"/>
    </row>
    <row r="2249" spans="1:24" s="1" customFormat="1" ht="60.95" customHeight="1" x14ac:dyDescent="0.3">
      <c r="A2249" s="23" t="s">
        <v>2957</v>
      </c>
      <c r="B2249" s="23" t="s">
        <v>3001</v>
      </c>
      <c r="C2249" s="12" t="s">
        <v>3002</v>
      </c>
      <c r="D2249" s="90"/>
      <c r="E2249" s="69" t="str">
        <f>HYPERLINK("https://www.google.ru/search?q=526357B-9510&amp;newwindow=1&amp;tbm=isch","Еще фото")</f>
        <v>Еще фото</v>
      </c>
      <c r="F2249" s="13"/>
      <c r="G2249" s="23" t="s">
        <v>28</v>
      </c>
      <c r="H2249" s="23" t="s">
        <v>27</v>
      </c>
      <c r="I2249" s="23" t="s">
        <v>28</v>
      </c>
      <c r="J2249" s="14" t="s">
        <v>138</v>
      </c>
      <c r="K2249" s="15" t="s">
        <v>30</v>
      </c>
      <c r="L2249" s="88"/>
      <c r="M2249" s="14"/>
      <c r="N2249" s="14" t="s">
        <v>49</v>
      </c>
      <c r="O2249" s="14"/>
      <c r="P2249" s="15" t="s">
        <v>3004</v>
      </c>
      <c r="Q2249" s="16">
        <v>3999</v>
      </c>
      <c r="R2249" s="17">
        <v>66.55</v>
      </c>
      <c r="S2249" s="18">
        <v>1538.4354999999998</v>
      </c>
      <c r="T2249" s="19" t="s">
        <v>117</v>
      </c>
      <c r="U2249" s="20" t="s">
        <v>43</v>
      </c>
      <c r="V2249" s="21">
        <v>110</v>
      </c>
      <c r="W2249" s="21">
        <v>3</v>
      </c>
      <c r="X2249" s="22"/>
    </row>
    <row r="2250" spans="1:24" s="1" customFormat="1" ht="108" customHeight="1" x14ac:dyDescent="0.3">
      <c r="A2250" s="11" t="s">
        <v>2936</v>
      </c>
      <c r="B2250" s="11" t="s">
        <v>2965</v>
      </c>
      <c r="C2250" s="12" t="s">
        <v>3005</v>
      </c>
      <c r="D2250" s="24"/>
      <c r="E2250" s="69" t="str">
        <f>HYPERLINK("https://www.google.ru/search?q=TB24WG09S9711-1-1196&amp;newwindow=1&amp;tbm=isch","Еще фото")</f>
        <v>Еще фото</v>
      </c>
      <c r="F2250" s="13"/>
      <c r="G2250" s="11" t="s">
        <v>97</v>
      </c>
      <c r="H2250" s="11" t="s">
        <v>27</v>
      </c>
      <c r="I2250" s="14" t="s">
        <v>28</v>
      </c>
      <c r="J2250" s="14" t="s">
        <v>29</v>
      </c>
      <c r="K2250" s="15" t="s">
        <v>47</v>
      </c>
      <c r="L2250" s="14" t="s">
        <v>3006</v>
      </c>
      <c r="M2250" s="14"/>
      <c r="N2250" s="14" t="s">
        <v>275</v>
      </c>
      <c r="O2250" s="14"/>
      <c r="P2250" s="15" t="s">
        <v>3007</v>
      </c>
      <c r="Q2250" s="16">
        <v>2699</v>
      </c>
      <c r="R2250" s="17">
        <v>64.88</v>
      </c>
      <c r="S2250" s="29">
        <v>1089.9354999999998</v>
      </c>
      <c r="T2250" s="19" t="s">
        <v>328</v>
      </c>
      <c r="U2250" s="20" t="s">
        <v>64</v>
      </c>
      <c r="V2250" s="25" t="s">
        <v>65</v>
      </c>
      <c r="W2250" s="21">
        <v>2</v>
      </c>
      <c r="X2250" s="22"/>
    </row>
    <row r="2251" spans="1:24" s="1" customFormat="1" ht="108" customHeight="1" x14ac:dyDescent="0.3">
      <c r="A2251" s="11" t="s">
        <v>2936</v>
      </c>
      <c r="B2251" s="11" t="s">
        <v>2965</v>
      </c>
      <c r="C2251" s="12" t="s">
        <v>3008</v>
      </c>
      <c r="D2251" s="24"/>
      <c r="E2251" s="69" t="str">
        <f>HYPERLINK("https://www.google.ru/search?q=TB24WF09S9729-1-1002&amp;newwindow=1&amp;tbm=isch","Еще фото")</f>
        <v>Еще фото</v>
      </c>
      <c r="F2251" s="13"/>
      <c r="G2251" s="11" t="s">
        <v>97</v>
      </c>
      <c r="H2251" s="11" t="s">
        <v>27</v>
      </c>
      <c r="I2251" s="14" t="s">
        <v>28</v>
      </c>
      <c r="J2251" s="14" t="s">
        <v>29</v>
      </c>
      <c r="K2251" s="15" t="s">
        <v>47</v>
      </c>
      <c r="L2251" s="14" t="s">
        <v>3009</v>
      </c>
      <c r="M2251" s="14"/>
      <c r="N2251" s="14" t="s">
        <v>70</v>
      </c>
      <c r="O2251" s="14"/>
      <c r="P2251" s="15" t="s">
        <v>2971</v>
      </c>
      <c r="Q2251" s="16">
        <v>3999</v>
      </c>
      <c r="R2251" s="17">
        <v>59.8</v>
      </c>
      <c r="S2251" s="18">
        <v>1848.9354999999998</v>
      </c>
      <c r="T2251" s="19" t="s">
        <v>328</v>
      </c>
      <c r="U2251" s="20" t="s">
        <v>354</v>
      </c>
      <c r="V2251" s="25" t="s">
        <v>355</v>
      </c>
      <c r="W2251" s="21">
        <v>1</v>
      </c>
      <c r="X2251" s="22"/>
    </row>
    <row r="2252" spans="1:24" s="1" customFormat="1" ht="108" customHeight="1" x14ac:dyDescent="0.3">
      <c r="A2252" s="11" t="s">
        <v>2936</v>
      </c>
      <c r="B2252" s="11" t="s">
        <v>2965</v>
      </c>
      <c r="C2252" s="12" t="s">
        <v>3010</v>
      </c>
      <c r="D2252" s="24"/>
      <c r="E2252" s="69" t="str">
        <f>HYPERLINK("https://www.google.ru/search?q=TB24WF09S9726-1-1942&amp;newwindow=1&amp;tbm=isch","Еще фото")</f>
        <v>Еще фото</v>
      </c>
      <c r="F2252" s="13"/>
      <c r="G2252" s="11" t="s">
        <v>97</v>
      </c>
      <c r="H2252" s="11" t="s">
        <v>27</v>
      </c>
      <c r="I2252" s="14" t="s">
        <v>28</v>
      </c>
      <c r="J2252" s="14" t="s">
        <v>29</v>
      </c>
      <c r="K2252" s="15" t="s">
        <v>47</v>
      </c>
      <c r="L2252" s="14" t="s">
        <v>3011</v>
      </c>
      <c r="M2252" s="14"/>
      <c r="N2252" s="14" t="s">
        <v>154</v>
      </c>
      <c r="O2252" s="14"/>
      <c r="P2252" s="15" t="s">
        <v>2971</v>
      </c>
      <c r="Q2252" s="16">
        <v>4099</v>
      </c>
      <c r="R2252" s="17">
        <v>57.85</v>
      </c>
      <c r="S2252" s="18">
        <v>1986.9354999999998</v>
      </c>
      <c r="T2252" s="19" t="s">
        <v>328</v>
      </c>
      <c r="U2252" s="20" t="s">
        <v>354</v>
      </c>
      <c r="V2252" s="25" t="s">
        <v>355</v>
      </c>
      <c r="W2252" s="21">
        <v>1</v>
      </c>
      <c r="X2252" s="22"/>
    </row>
    <row r="2253" spans="1:24" s="1" customFormat="1" ht="51.95" customHeight="1" x14ac:dyDescent="0.3">
      <c r="A2253" s="11" t="s">
        <v>2936</v>
      </c>
      <c r="B2253" s="11" t="s">
        <v>2965</v>
      </c>
      <c r="C2253" s="12" t="s">
        <v>3012</v>
      </c>
      <c r="D2253" s="89"/>
      <c r="E2253" s="69" t="str">
        <f>HYPERLINK("https://www.google.ru/search?q=TB23WN09S0739-1-1810&amp;newwindow=1&amp;tbm=isch","Еще фото")</f>
        <v>Еще фото</v>
      </c>
      <c r="F2253" s="13"/>
      <c r="G2253" s="11" t="s">
        <v>97</v>
      </c>
      <c r="H2253" s="11" t="s">
        <v>27</v>
      </c>
      <c r="I2253" s="14" t="s">
        <v>28</v>
      </c>
      <c r="J2253" s="14" t="s">
        <v>29</v>
      </c>
      <c r="K2253" s="15" t="s">
        <v>47</v>
      </c>
      <c r="L2253" s="86" t="s">
        <v>2989</v>
      </c>
      <c r="M2253" s="14"/>
      <c r="N2253" s="14" t="s">
        <v>70</v>
      </c>
      <c r="O2253" s="14"/>
      <c r="P2253" s="15" t="s">
        <v>2971</v>
      </c>
      <c r="Q2253" s="16">
        <v>3999</v>
      </c>
      <c r="R2253" s="17">
        <v>50</v>
      </c>
      <c r="S2253" s="18">
        <v>2299.4249999999997</v>
      </c>
      <c r="T2253" s="19" t="s">
        <v>328</v>
      </c>
      <c r="U2253" s="20" t="s">
        <v>66</v>
      </c>
      <c r="V2253" s="25" t="s">
        <v>67</v>
      </c>
      <c r="W2253" s="21">
        <v>1</v>
      </c>
      <c r="X2253" s="22"/>
    </row>
    <row r="2254" spans="1:24" s="1" customFormat="1" ht="60.95" customHeight="1" x14ac:dyDescent="0.3">
      <c r="A2254" s="23" t="s">
        <v>2936</v>
      </c>
      <c r="B2254" s="23" t="s">
        <v>2965</v>
      </c>
      <c r="C2254" s="12" t="s">
        <v>3012</v>
      </c>
      <c r="D2254" s="90"/>
      <c r="E2254" s="69" t="str">
        <f>HYPERLINK("https://www.google.ru/search?q=TB23WN09S0739-1-1810&amp;newwindow=1&amp;tbm=isch","Еще фото")</f>
        <v>Еще фото</v>
      </c>
      <c r="F2254" s="13"/>
      <c r="G2254" s="23" t="s">
        <v>97</v>
      </c>
      <c r="H2254" s="23" t="s">
        <v>27</v>
      </c>
      <c r="I2254" s="23" t="s">
        <v>28</v>
      </c>
      <c r="J2254" s="14" t="s">
        <v>29</v>
      </c>
      <c r="K2254" s="15" t="s">
        <v>47</v>
      </c>
      <c r="L2254" s="88"/>
      <c r="M2254" s="14"/>
      <c r="N2254" s="14" t="s">
        <v>70</v>
      </c>
      <c r="O2254" s="14"/>
      <c r="P2254" s="15" t="s">
        <v>2971</v>
      </c>
      <c r="Q2254" s="16">
        <v>3999</v>
      </c>
      <c r="R2254" s="17">
        <v>50</v>
      </c>
      <c r="S2254" s="18">
        <v>2299.4249999999997</v>
      </c>
      <c r="T2254" s="19" t="s">
        <v>328</v>
      </c>
      <c r="U2254" s="20" t="s">
        <v>58</v>
      </c>
      <c r="V2254" s="25" t="s">
        <v>68</v>
      </c>
      <c r="W2254" s="21">
        <v>3</v>
      </c>
      <c r="X2254" s="22"/>
    </row>
    <row r="2255" spans="1:24" s="1" customFormat="1" ht="108" customHeight="1" x14ac:dyDescent="0.3">
      <c r="A2255" s="11" t="s">
        <v>2957</v>
      </c>
      <c r="B2255" s="11" t="s">
        <v>3001</v>
      </c>
      <c r="C2255" s="12" t="s">
        <v>3013</v>
      </c>
      <c r="D2255" s="24"/>
      <c r="E2255" s="69" t="str">
        <f>HYPERLINK("https://www.google.ru/search?q=526431-1498&amp;newwindow=1&amp;tbm=isch","Еще фото")</f>
        <v>Еще фото</v>
      </c>
      <c r="F2255" s="13"/>
      <c r="G2255" s="11" t="s">
        <v>28</v>
      </c>
      <c r="H2255" s="11" t="s">
        <v>27</v>
      </c>
      <c r="I2255" s="14" t="s">
        <v>28</v>
      </c>
      <c r="J2255" s="14" t="s">
        <v>138</v>
      </c>
      <c r="K2255" s="15" t="s">
        <v>30</v>
      </c>
      <c r="L2255" s="14" t="s">
        <v>2959</v>
      </c>
      <c r="M2255" s="14"/>
      <c r="N2255" s="14" t="s">
        <v>154</v>
      </c>
      <c r="O2255" s="14"/>
      <c r="P2255" s="15" t="s">
        <v>2960</v>
      </c>
      <c r="Q2255" s="16">
        <v>4199</v>
      </c>
      <c r="R2255" s="17">
        <v>48.85</v>
      </c>
      <c r="S2255" s="18">
        <v>2469.9354999999996</v>
      </c>
      <c r="T2255" s="19" t="s">
        <v>117</v>
      </c>
      <c r="U2255" s="20" t="s">
        <v>2977</v>
      </c>
      <c r="V2255" s="21">
        <v>92</v>
      </c>
      <c r="W2255" s="21">
        <v>4</v>
      </c>
      <c r="X2255" s="22"/>
    </row>
    <row r="2256" spans="1:24" s="1" customFormat="1" ht="26.1" customHeight="1" x14ac:dyDescent="0.3">
      <c r="A2256" s="11" t="s">
        <v>3014</v>
      </c>
      <c r="B2256" s="11" t="s">
        <v>3015</v>
      </c>
      <c r="C2256" s="12" t="s">
        <v>3016</v>
      </c>
      <c r="D2256" s="83"/>
      <c r="E2256" s="69" t="str">
        <f>HYPERLINK("https://www.google.ru/search?q=7100016A-9990&amp;newwindow=1&amp;tbm=isch","Еще фото")</f>
        <v>Еще фото</v>
      </c>
      <c r="F2256" s="13"/>
      <c r="G2256" s="11" t="s">
        <v>28</v>
      </c>
      <c r="H2256" s="11" t="s">
        <v>27</v>
      </c>
      <c r="I2256" s="14" t="s">
        <v>28</v>
      </c>
      <c r="J2256" s="14" t="s">
        <v>29</v>
      </c>
      <c r="K2256" s="15" t="s">
        <v>30</v>
      </c>
      <c r="L2256" s="86" t="s">
        <v>3017</v>
      </c>
      <c r="M2256" s="14" t="s">
        <v>2945</v>
      </c>
      <c r="N2256" s="14" t="s">
        <v>49</v>
      </c>
      <c r="O2256" s="14"/>
      <c r="P2256" s="15" t="s">
        <v>3018</v>
      </c>
      <c r="Q2256" s="16">
        <v>3699</v>
      </c>
      <c r="R2256" s="17">
        <v>48</v>
      </c>
      <c r="S2256" s="18">
        <v>2212.002</v>
      </c>
      <c r="T2256" s="19" t="s">
        <v>117</v>
      </c>
      <c r="U2256" s="20" t="s">
        <v>2977</v>
      </c>
      <c r="V2256" s="21">
        <v>92</v>
      </c>
      <c r="W2256" s="21">
        <v>3</v>
      </c>
      <c r="X2256" s="22"/>
    </row>
    <row r="2257" spans="1:24" s="1" customFormat="1" ht="26.1" customHeight="1" x14ac:dyDescent="0.3">
      <c r="A2257" s="23" t="s">
        <v>3014</v>
      </c>
      <c r="B2257" s="23" t="s">
        <v>3015</v>
      </c>
      <c r="C2257" s="12" t="s">
        <v>3016</v>
      </c>
      <c r="D2257" s="84"/>
      <c r="E2257" s="69" t="str">
        <f>HYPERLINK("https://www.google.ru/search?q=7100016A-9990&amp;newwindow=1&amp;tbm=isch","Еще фото")</f>
        <v>Еще фото</v>
      </c>
      <c r="F2257" s="13"/>
      <c r="G2257" s="23" t="s">
        <v>28</v>
      </c>
      <c r="H2257" s="23" t="s">
        <v>27</v>
      </c>
      <c r="I2257" s="23" t="s">
        <v>28</v>
      </c>
      <c r="J2257" s="14" t="s">
        <v>29</v>
      </c>
      <c r="K2257" s="15" t="s">
        <v>30</v>
      </c>
      <c r="L2257" s="87"/>
      <c r="M2257" s="14" t="s">
        <v>2945</v>
      </c>
      <c r="N2257" s="14" t="s">
        <v>49</v>
      </c>
      <c r="O2257" s="14"/>
      <c r="P2257" s="15" t="s">
        <v>3018</v>
      </c>
      <c r="Q2257" s="16">
        <v>3699</v>
      </c>
      <c r="R2257" s="17">
        <v>48</v>
      </c>
      <c r="S2257" s="18">
        <v>2212.002</v>
      </c>
      <c r="T2257" s="19" t="s">
        <v>117</v>
      </c>
      <c r="U2257" s="20" t="s">
        <v>2961</v>
      </c>
      <c r="V2257" s="21">
        <v>98</v>
      </c>
      <c r="W2257" s="21">
        <v>1</v>
      </c>
      <c r="X2257" s="22"/>
    </row>
    <row r="2258" spans="1:24" s="1" customFormat="1" ht="26.1" customHeight="1" x14ac:dyDescent="0.3">
      <c r="A2258" s="23" t="s">
        <v>3014</v>
      </c>
      <c r="B2258" s="23" t="s">
        <v>3015</v>
      </c>
      <c r="C2258" s="12" t="s">
        <v>3016</v>
      </c>
      <c r="D2258" s="84"/>
      <c r="E2258" s="69" t="str">
        <f>HYPERLINK("https://www.google.ru/search?q=7100016A-9990&amp;newwindow=1&amp;tbm=isch","Еще фото")</f>
        <v>Еще фото</v>
      </c>
      <c r="F2258" s="13"/>
      <c r="G2258" s="23" t="s">
        <v>28</v>
      </c>
      <c r="H2258" s="23" t="s">
        <v>27</v>
      </c>
      <c r="I2258" s="23" t="s">
        <v>28</v>
      </c>
      <c r="J2258" s="14" t="s">
        <v>29</v>
      </c>
      <c r="K2258" s="15" t="s">
        <v>30</v>
      </c>
      <c r="L2258" s="87"/>
      <c r="M2258" s="14" t="s">
        <v>2945</v>
      </c>
      <c r="N2258" s="14" t="s">
        <v>49</v>
      </c>
      <c r="O2258" s="14"/>
      <c r="P2258" s="15" t="s">
        <v>3018</v>
      </c>
      <c r="Q2258" s="16">
        <v>3699</v>
      </c>
      <c r="R2258" s="17">
        <v>48</v>
      </c>
      <c r="S2258" s="18">
        <v>2212.002</v>
      </c>
      <c r="T2258" s="19" t="s">
        <v>117</v>
      </c>
      <c r="U2258" s="20" t="s">
        <v>94</v>
      </c>
      <c r="V2258" s="21">
        <v>104</v>
      </c>
      <c r="W2258" s="21">
        <v>3</v>
      </c>
      <c r="X2258" s="22"/>
    </row>
    <row r="2259" spans="1:24" s="1" customFormat="1" ht="26.1" customHeight="1" x14ac:dyDescent="0.3">
      <c r="A2259" s="23" t="s">
        <v>3014</v>
      </c>
      <c r="B2259" s="23" t="s">
        <v>3015</v>
      </c>
      <c r="C2259" s="12" t="s">
        <v>3016</v>
      </c>
      <c r="D2259" s="85"/>
      <c r="E2259" s="69" t="str">
        <f>HYPERLINK("https://www.google.ru/search?q=7100016A-9990&amp;newwindow=1&amp;tbm=isch","Еще фото")</f>
        <v>Еще фото</v>
      </c>
      <c r="F2259" s="13"/>
      <c r="G2259" s="23" t="s">
        <v>28</v>
      </c>
      <c r="H2259" s="23" t="s">
        <v>27</v>
      </c>
      <c r="I2259" s="23" t="s">
        <v>28</v>
      </c>
      <c r="J2259" s="14" t="s">
        <v>29</v>
      </c>
      <c r="K2259" s="15" t="s">
        <v>30</v>
      </c>
      <c r="L2259" s="88"/>
      <c r="M2259" s="14" t="s">
        <v>2945</v>
      </c>
      <c r="N2259" s="14" t="s">
        <v>49</v>
      </c>
      <c r="O2259" s="14"/>
      <c r="P2259" s="15" t="s">
        <v>3018</v>
      </c>
      <c r="Q2259" s="16">
        <v>3699</v>
      </c>
      <c r="R2259" s="17">
        <v>48</v>
      </c>
      <c r="S2259" s="18">
        <v>2212.002</v>
      </c>
      <c r="T2259" s="19" t="s">
        <v>117</v>
      </c>
      <c r="U2259" s="20" t="s">
        <v>43</v>
      </c>
      <c r="V2259" s="21">
        <v>110</v>
      </c>
      <c r="W2259" s="21">
        <v>2</v>
      </c>
      <c r="X2259" s="22"/>
    </row>
    <row r="2260" spans="1:24" s="1" customFormat="1" ht="51.95" customHeight="1" x14ac:dyDescent="0.3">
      <c r="A2260" s="11" t="s">
        <v>3014</v>
      </c>
      <c r="B2260" s="11" t="s">
        <v>3019</v>
      </c>
      <c r="C2260" s="12" t="s">
        <v>3020</v>
      </c>
      <c r="D2260" s="89"/>
      <c r="E2260" s="69" t="str">
        <f>HYPERLINK("https://www.google.ru/search?q=7100065A-2150&amp;newwindow=1&amp;tbm=isch","Еще фото")</f>
        <v>Еще фото</v>
      </c>
      <c r="F2260" s="13"/>
      <c r="G2260" s="11" t="s">
        <v>28</v>
      </c>
      <c r="H2260" s="11" t="s">
        <v>27</v>
      </c>
      <c r="I2260" s="14" t="s">
        <v>28</v>
      </c>
      <c r="J2260" s="14" t="s">
        <v>29</v>
      </c>
      <c r="K2260" s="15" t="s">
        <v>30</v>
      </c>
      <c r="L2260" s="86" t="s">
        <v>3021</v>
      </c>
      <c r="M2260" s="14"/>
      <c r="N2260" s="14" t="s">
        <v>313</v>
      </c>
      <c r="O2260" s="14"/>
      <c r="P2260" s="15" t="s">
        <v>3018</v>
      </c>
      <c r="Q2260" s="16">
        <v>2699</v>
      </c>
      <c r="R2260" s="17">
        <v>48</v>
      </c>
      <c r="S2260" s="18">
        <v>1614.002</v>
      </c>
      <c r="T2260" s="19" t="s">
        <v>117</v>
      </c>
      <c r="U2260" s="20" t="s">
        <v>2977</v>
      </c>
      <c r="V2260" s="21">
        <v>92</v>
      </c>
      <c r="W2260" s="21">
        <v>1</v>
      </c>
      <c r="X2260" s="22"/>
    </row>
    <row r="2261" spans="1:24" s="1" customFormat="1" ht="60.95" customHeight="1" x14ac:dyDescent="0.3">
      <c r="A2261" s="23" t="s">
        <v>3014</v>
      </c>
      <c r="B2261" s="23" t="s">
        <v>3019</v>
      </c>
      <c r="C2261" s="12" t="s">
        <v>3020</v>
      </c>
      <c r="D2261" s="90"/>
      <c r="E2261" s="69" t="str">
        <f>HYPERLINK("https://www.google.ru/search?q=7100065A-2150&amp;newwindow=1&amp;tbm=isch","Еще фото")</f>
        <v>Еще фото</v>
      </c>
      <c r="F2261" s="13"/>
      <c r="G2261" s="23" t="s">
        <v>28</v>
      </c>
      <c r="H2261" s="23" t="s">
        <v>27</v>
      </c>
      <c r="I2261" s="23" t="s">
        <v>28</v>
      </c>
      <c r="J2261" s="14" t="s">
        <v>29</v>
      </c>
      <c r="K2261" s="15" t="s">
        <v>30</v>
      </c>
      <c r="L2261" s="88"/>
      <c r="M2261" s="14"/>
      <c r="N2261" s="14" t="s">
        <v>313</v>
      </c>
      <c r="O2261" s="14"/>
      <c r="P2261" s="15" t="s">
        <v>3018</v>
      </c>
      <c r="Q2261" s="16">
        <v>2699</v>
      </c>
      <c r="R2261" s="17">
        <v>48</v>
      </c>
      <c r="S2261" s="18">
        <v>1614.002</v>
      </c>
      <c r="T2261" s="19" t="s">
        <v>117</v>
      </c>
      <c r="U2261" s="20" t="s">
        <v>35</v>
      </c>
      <c r="V2261" s="21">
        <v>116</v>
      </c>
      <c r="W2261" s="21">
        <v>2</v>
      </c>
      <c r="X2261" s="22"/>
    </row>
    <row r="2262" spans="1:24" s="1" customFormat="1" ht="26.1" customHeight="1" x14ac:dyDescent="0.3">
      <c r="A2262" s="11" t="s">
        <v>3014</v>
      </c>
      <c r="B2262" s="11" t="s">
        <v>3022</v>
      </c>
      <c r="C2262" s="12" t="s">
        <v>3023</v>
      </c>
      <c r="D2262" s="83"/>
      <c r="E2262" s="69" t="str">
        <f>HYPERLINK("https://www.google.ru/search?q=7100117A-9990&amp;newwindow=1&amp;tbm=isch","Еще фото")</f>
        <v>Еще фото</v>
      </c>
      <c r="F2262" s="13"/>
      <c r="G2262" s="11" t="s">
        <v>28</v>
      </c>
      <c r="H2262" s="11" t="s">
        <v>27</v>
      </c>
      <c r="I2262" s="14" t="s">
        <v>28</v>
      </c>
      <c r="J2262" s="14" t="s">
        <v>29</v>
      </c>
      <c r="K2262" s="15" t="s">
        <v>30</v>
      </c>
      <c r="L2262" s="86" t="s">
        <v>3024</v>
      </c>
      <c r="M2262" s="14" t="s">
        <v>2945</v>
      </c>
      <c r="N2262" s="14" t="s">
        <v>49</v>
      </c>
      <c r="O2262" s="14"/>
      <c r="P2262" s="15" t="s">
        <v>3018</v>
      </c>
      <c r="Q2262" s="16">
        <v>4799</v>
      </c>
      <c r="R2262" s="17">
        <v>48</v>
      </c>
      <c r="S2262" s="18">
        <v>2869.8019999999997</v>
      </c>
      <c r="T2262" s="19" t="s">
        <v>117</v>
      </c>
      <c r="U2262" s="20" t="s">
        <v>94</v>
      </c>
      <c r="V2262" s="21">
        <v>104</v>
      </c>
      <c r="W2262" s="21">
        <v>5</v>
      </c>
      <c r="X2262" s="22"/>
    </row>
    <row r="2263" spans="1:24" s="1" customFormat="1" ht="26.1" customHeight="1" x14ac:dyDescent="0.3">
      <c r="A2263" s="23" t="s">
        <v>3014</v>
      </c>
      <c r="B2263" s="23" t="s">
        <v>3022</v>
      </c>
      <c r="C2263" s="12" t="s">
        <v>3023</v>
      </c>
      <c r="D2263" s="84"/>
      <c r="E2263" s="69" t="str">
        <f>HYPERLINK("https://www.google.ru/search?q=7100117A-9990&amp;newwindow=1&amp;tbm=isch","Еще фото")</f>
        <v>Еще фото</v>
      </c>
      <c r="F2263" s="13"/>
      <c r="G2263" s="23" t="s">
        <v>28</v>
      </c>
      <c r="H2263" s="23" t="s">
        <v>27</v>
      </c>
      <c r="I2263" s="23" t="s">
        <v>28</v>
      </c>
      <c r="J2263" s="14" t="s">
        <v>29</v>
      </c>
      <c r="K2263" s="15" t="s">
        <v>30</v>
      </c>
      <c r="L2263" s="87"/>
      <c r="M2263" s="14" t="s">
        <v>2945</v>
      </c>
      <c r="N2263" s="14" t="s">
        <v>49</v>
      </c>
      <c r="O2263" s="14"/>
      <c r="P2263" s="15" t="s">
        <v>3018</v>
      </c>
      <c r="Q2263" s="16">
        <v>4799</v>
      </c>
      <c r="R2263" s="17">
        <v>48</v>
      </c>
      <c r="S2263" s="18">
        <v>2869.8019999999997</v>
      </c>
      <c r="T2263" s="19" t="s">
        <v>117</v>
      </c>
      <c r="U2263" s="20" t="s">
        <v>43</v>
      </c>
      <c r="V2263" s="21">
        <v>110</v>
      </c>
      <c r="W2263" s="21">
        <v>5</v>
      </c>
      <c r="X2263" s="22"/>
    </row>
    <row r="2264" spans="1:24" s="1" customFormat="1" ht="26.1" customHeight="1" x14ac:dyDescent="0.3">
      <c r="A2264" s="23" t="s">
        <v>3014</v>
      </c>
      <c r="B2264" s="23" t="s">
        <v>3022</v>
      </c>
      <c r="C2264" s="12" t="s">
        <v>3023</v>
      </c>
      <c r="D2264" s="84"/>
      <c r="E2264" s="69" t="str">
        <f>HYPERLINK("https://www.google.ru/search?q=7100117A-9990&amp;newwindow=1&amp;tbm=isch","Еще фото")</f>
        <v>Еще фото</v>
      </c>
      <c r="F2264" s="13"/>
      <c r="G2264" s="23" t="s">
        <v>28</v>
      </c>
      <c r="H2264" s="23" t="s">
        <v>27</v>
      </c>
      <c r="I2264" s="23" t="s">
        <v>28</v>
      </c>
      <c r="J2264" s="14" t="s">
        <v>29</v>
      </c>
      <c r="K2264" s="15" t="s">
        <v>30</v>
      </c>
      <c r="L2264" s="87"/>
      <c r="M2264" s="14" t="s">
        <v>2945</v>
      </c>
      <c r="N2264" s="14" t="s">
        <v>49</v>
      </c>
      <c r="O2264" s="14"/>
      <c r="P2264" s="15" t="s">
        <v>3018</v>
      </c>
      <c r="Q2264" s="16">
        <v>4799</v>
      </c>
      <c r="R2264" s="17">
        <v>48</v>
      </c>
      <c r="S2264" s="18">
        <v>2869.8019999999997</v>
      </c>
      <c r="T2264" s="19" t="s">
        <v>117</v>
      </c>
      <c r="U2264" s="20" t="s">
        <v>35</v>
      </c>
      <c r="V2264" s="21">
        <v>116</v>
      </c>
      <c r="W2264" s="21">
        <v>5</v>
      </c>
      <c r="X2264" s="22"/>
    </row>
    <row r="2265" spans="1:24" s="1" customFormat="1" ht="26.1" customHeight="1" x14ac:dyDescent="0.3">
      <c r="A2265" s="23" t="s">
        <v>3014</v>
      </c>
      <c r="B2265" s="23" t="s">
        <v>3022</v>
      </c>
      <c r="C2265" s="12" t="s">
        <v>3023</v>
      </c>
      <c r="D2265" s="85"/>
      <c r="E2265" s="69" t="str">
        <f>HYPERLINK("https://www.google.ru/search?q=7100117A-9990&amp;newwindow=1&amp;tbm=isch","Еще фото")</f>
        <v>Еще фото</v>
      </c>
      <c r="F2265" s="13"/>
      <c r="G2265" s="23" t="s">
        <v>28</v>
      </c>
      <c r="H2265" s="23" t="s">
        <v>27</v>
      </c>
      <c r="I2265" s="23" t="s">
        <v>28</v>
      </c>
      <c r="J2265" s="14" t="s">
        <v>29</v>
      </c>
      <c r="K2265" s="15" t="s">
        <v>30</v>
      </c>
      <c r="L2265" s="88"/>
      <c r="M2265" s="14" t="s">
        <v>2945</v>
      </c>
      <c r="N2265" s="14" t="s">
        <v>49</v>
      </c>
      <c r="O2265" s="14"/>
      <c r="P2265" s="15" t="s">
        <v>3018</v>
      </c>
      <c r="Q2265" s="16">
        <v>4799</v>
      </c>
      <c r="R2265" s="17">
        <v>48</v>
      </c>
      <c r="S2265" s="18">
        <v>2869.8019999999997</v>
      </c>
      <c r="T2265" s="19" t="s">
        <v>117</v>
      </c>
      <c r="U2265" s="20" t="s">
        <v>36</v>
      </c>
      <c r="V2265" s="21">
        <v>122</v>
      </c>
      <c r="W2265" s="21">
        <v>5</v>
      </c>
      <c r="X2265" s="22"/>
    </row>
    <row r="2266" spans="1:24" s="1" customFormat="1" ht="108" customHeight="1" x14ac:dyDescent="0.3">
      <c r="A2266" s="11" t="s">
        <v>2929</v>
      </c>
      <c r="B2266" s="11" t="s">
        <v>3025</v>
      </c>
      <c r="C2266" s="12" t="s">
        <v>3026</v>
      </c>
      <c r="D2266" s="24"/>
      <c r="E2266" s="69" t="str">
        <f>HYPERLINK("https://www.google.ru/search?q=HH247171R&amp;newwindow=1&amp;tbm=isch","Еще фото")</f>
        <v>Еще фото</v>
      </c>
      <c r="F2266" s="13"/>
      <c r="G2266" s="11" t="s">
        <v>28</v>
      </c>
      <c r="H2266" s="11" t="s">
        <v>27</v>
      </c>
      <c r="I2266" s="14" t="s">
        <v>28</v>
      </c>
      <c r="J2266" s="14" t="s">
        <v>29</v>
      </c>
      <c r="K2266" s="15" t="s">
        <v>55</v>
      </c>
      <c r="L2266" s="14" t="s">
        <v>3027</v>
      </c>
      <c r="M2266" s="14"/>
      <c r="N2266" s="14" t="s">
        <v>70</v>
      </c>
      <c r="O2266" s="14"/>
      <c r="P2266" s="15" t="s">
        <v>141</v>
      </c>
      <c r="Q2266" s="16">
        <v>17999</v>
      </c>
      <c r="R2266" s="17">
        <v>45.55</v>
      </c>
      <c r="S2266" s="18">
        <v>11269.988499999999</v>
      </c>
      <c r="T2266" s="19" t="s">
        <v>328</v>
      </c>
      <c r="U2266" s="20" t="s">
        <v>3028</v>
      </c>
      <c r="V2266" s="21">
        <v>46</v>
      </c>
      <c r="W2266" s="21">
        <v>1</v>
      </c>
      <c r="X2266" s="22"/>
    </row>
    <row r="2267" spans="1:24" s="1" customFormat="1" ht="11.1" customHeight="1" x14ac:dyDescent="0.3">
      <c r="A2267" s="11" t="s">
        <v>3029</v>
      </c>
      <c r="B2267" s="11" t="s">
        <v>38</v>
      </c>
      <c r="C2267" s="12" t="s">
        <v>3030</v>
      </c>
      <c r="D2267" s="83"/>
      <c r="E2267" s="69" t="str">
        <f t="shared" ref="E2267:E2277" si="75">HYPERLINK("https://www.google.ru/search?q=123405-5416&amp;newwindow=1&amp;tbm=isch","Еще фото")</f>
        <v>Еще фото</v>
      </c>
      <c r="F2267" s="13"/>
      <c r="G2267" s="11" t="s">
        <v>28</v>
      </c>
      <c r="H2267" s="11" t="s">
        <v>27</v>
      </c>
      <c r="I2267" s="14" t="s">
        <v>28</v>
      </c>
      <c r="J2267" s="14" t="s">
        <v>29</v>
      </c>
      <c r="K2267" s="15" t="s">
        <v>30</v>
      </c>
      <c r="L2267" s="86" t="s">
        <v>3031</v>
      </c>
      <c r="M2267" s="14"/>
      <c r="N2267" s="14" t="s">
        <v>275</v>
      </c>
      <c r="O2267" s="14"/>
      <c r="P2267" s="15" t="s">
        <v>3032</v>
      </c>
      <c r="Q2267" s="16">
        <v>3999</v>
      </c>
      <c r="R2267" s="17">
        <v>45</v>
      </c>
      <c r="S2267" s="18">
        <v>2529.3674999999994</v>
      </c>
      <c r="T2267" s="19" t="s">
        <v>117</v>
      </c>
      <c r="U2267" s="20" t="s">
        <v>196</v>
      </c>
      <c r="V2267" s="21">
        <v>86</v>
      </c>
      <c r="W2267" s="21">
        <v>3</v>
      </c>
      <c r="X2267" s="22"/>
    </row>
    <row r="2268" spans="1:24" s="1" customFormat="1" ht="11.1" customHeight="1" x14ac:dyDescent="0.3">
      <c r="A2268" s="23" t="s">
        <v>3029</v>
      </c>
      <c r="B2268" s="23" t="s">
        <v>38</v>
      </c>
      <c r="C2268" s="12" t="s">
        <v>3030</v>
      </c>
      <c r="D2268" s="84"/>
      <c r="E2268" s="69" t="str">
        <f t="shared" si="75"/>
        <v>Еще фото</v>
      </c>
      <c r="F2268" s="13"/>
      <c r="G2268" s="23" t="s">
        <v>28</v>
      </c>
      <c r="H2268" s="23" t="s">
        <v>27</v>
      </c>
      <c r="I2268" s="23" t="s">
        <v>28</v>
      </c>
      <c r="J2268" s="14" t="s">
        <v>29</v>
      </c>
      <c r="K2268" s="15" t="s">
        <v>30</v>
      </c>
      <c r="L2268" s="87"/>
      <c r="M2268" s="14"/>
      <c r="N2268" s="14" t="s">
        <v>275</v>
      </c>
      <c r="O2268" s="14"/>
      <c r="P2268" s="15" t="s">
        <v>3032</v>
      </c>
      <c r="Q2268" s="16">
        <v>3999</v>
      </c>
      <c r="R2268" s="17">
        <v>45</v>
      </c>
      <c r="S2268" s="18">
        <v>2529.3674999999994</v>
      </c>
      <c r="T2268" s="19" t="s">
        <v>117</v>
      </c>
      <c r="U2268" s="20" t="s">
        <v>77</v>
      </c>
      <c r="V2268" s="21">
        <v>92</v>
      </c>
      <c r="W2268" s="21">
        <v>2</v>
      </c>
      <c r="X2268" s="22"/>
    </row>
    <row r="2269" spans="1:24" s="1" customFormat="1" ht="11.1" customHeight="1" x14ac:dyDescent="0.3">
      <c r="A2269" s="23" t="s">
        <v>3029</v>
      </c>
      <c r="B2269" s="23" t="s">
        <v>38</v>
      </c>
      <c r="C2269" s="12" t="s">
        <v>3030</v>
      </c>
      <c r="D2269" s="84"/>
      <c r="E2269" s="69" t="str">
        <f t="shared" si="75"/>
        <v>Еще фото</v>
      </c>
      <c r="F2269" s="13"/>
      <c r="G2269" s="23" t="s">
        <v>28</v>
      </c>
      <c r="H2269" s="23" t="s">
        <v>27</v>
      </c>
      <c r="I2269" s="23" t="s">
        <v>28</v>
      </c>
      <c r="J2269" s="14" t="s">
        <v>29</v>
      </c>
      <c r="K2269" s="15" t="s">
        <v>30</v>
      </c>
      <c r="L2269" s="87"/>
      <c r="M2269" s="14"/>
      <c r="N2269" s="14" t="s">
        <v>275</v>
      </c>
      <c r="O2269" s="14"/>
      <c r="P2269" s="15" t="s">
        <v>3032</v>
      </c>
      <c r="Q2269" s="16">
        <v>3999</v>
      </c>
      <c r="R2269" s="17">
        <v>45</v>
      </c>
      <c r="S2269" s="18">
        <v>2529.3674999999994</v>
      </c>
      <c r="T2269" s="19" t="s">
        <v>117</v>
      </c>
      <c r="U2269" s="20" t="s">
        <v>78</v>
      </c>
      <c r="V2269" s="21">
        <v>98</v>
      </c>
      <c r="W2269" s="21">
        <v>3</v>
      </c>
      <c r="X2269" s="22"/>
    </row>
    <row r="2270" spans="1:24" s="1" customFormat="1" ht="11.1" customHeight="1" x14ac:dyDescent="0.3">
      <c r="A2270" s="23" t="s">
        <v>3029</v>
      </c>
      <c r="B2270" s="23" t="s">
        <v>38</v>
      </c>
      <c r="C2270" s="12" t="s">
        <v>3030</v>
      </c>
      <c r="D2270" s="84"/>
      <c r="E2270" s="69" t="str">
        <f t="shared" si="75"/>
        <v>Еще фото</v>
      </c>
      <c r="F2270" s="13"/>
      <c r="G2270" s="23" t="s">
        <v>28</v>
      </c>
      <c r="H2270" s="23" t="s">
        <v>27</v>
      </c>
      <c r="I2270" s="23" t="s">
        <v>28</v>
      </c>
      <c r="J2270" s="14" t="s">
        <v>29</v>
      </c>
      <c r="K2270" s="15" t="s">
        <v>30</v>
      </c>
      <c r="L2270" s="87"/>
      <c r="M2270" s="14"/>
      <c r="N2270" s="14" t="s">
        <v>275</v>
      </c>
      <c r="O2270" s="14"/>
      <c r="P2270" s="15" t="s">
        <v>3032</v>
      </c>
      <c r="Q2270" s="16">
        <v>3999</v>
      </c>
      <c r="R2270" s="17">
        <v>45</v>
      </c>
      <c r="S2270" s="18">
        <v>2529.3674999999994</v>
      </c>
      <c r="T2270" s="19" t="s">
        <v>117</v>
      </c>
      <c r="U2270" s="20" t="s">
        <v>94</v>
      </c>
      <c r="V2270" s="21">
        <v>104</v>
      </c>
      <c r="W2270" s="21">
        <v>1</v>
      </c>
      <c r="X2270" s="22"/>
    </row>
    <row r="2271" spans="1:24" s="1" customFormat="1" ht="11.1" customHeight="1" x14ac:dyDescent="0.3">
      <c r="A2271" s="23" t="s">
        <v>3029</v>
      </c>
      <c r="B2271" s="23" t="s">
        <v>38</v>
      </c>
      <c r="C2271" s="12" t="s">
        <v>3030</v>
      </c>
      <c r="D2271" s="84"/>
      <c r="E2271" s="69" t="str">
        <f t="shared" si="75"/>
        <v>Еще фото</v>
      </c>
      <c r="F2271" s="13"/>
      <c r="G2271" s="23" t="s">
        <v>28</v>
      </c>
      <c r="H2271" s="23" t="s">
        <v>27</v>
      </c>
      <c r="I2271" s="23" t="s">
        <v>28</v>
      </c>
      <c r="J2271" s="14" t="s">
        <v>29</v>
      </c>
      <c r="K2271" s="15" t="s">
        <v>30</v>
      </c>
      <c r="L2271" s="87"/>
      <c r="M2271" s="14"/>
      <c r="N2271" s="14" t="s">
        <v>275</v>
      </c>
      <c r="O2271" s="14"/>
      <c r="P2271" s="15" t="s">
        <v>3032</v>
      </c>
      <c r="Q2271" s="16">
        <v>3999</v>
      </c>
      <c r="R2271" s="17">
        <v>45</v>
      </c>
      <c r="S2271" s="18">
        <v>2529.3674999999994</v>
      </c>
      <c r="T2271" s="19" t="s">
        <v>117</v>
      </c>
      <c r="U2271" s="20" t="s">
        <v>43</v>
      </c>
      <c r="V2271" s="21">
        <v>110</v>
      </c>
      <c r="W2271" s="21">
        <v>8</v>
      </c>
      <c r="X2271" s="22"/>
    </row>
    <row r="2272" spans="1:24" s="1" customFormat="1" ht="11.1" customHeight="1" x14ac:dyDescent="0.3">
      <c r="A2272" s="23" t="s">
        <v>3029</v>
      </c>
      <c r="B2272" s="23" t="s">
        <v>38</v>
      </c>
      <c r="C2272" s="12" t="s">
        <v>3030</v>
      </c>
      <c r="D2272" s="84"/>
      <c r="E2272" s="69" t="str">
        <f t="shared" si="75"/>
        <v>Еще фото</v>
      </c>
      <c r="F2272" s="13"/>
      <c r="G2272" s="23" t="s">
        <v>28</v>
      </c>
      <c r="H2272" s="23" t="s">
        <v>27</v>
      </c>
      <c r="I2272" s="23" t="s">
        <v>28</v>
      </c>
      <c r="J2272" s="14" t="s">
        <v>29</v>
      </c>
      <c r="K2272" s="15" t="s">
        <v>30</v>
      </c>
      <c r="L2272" s="87"/>
      <c r="M2272" s="14"/>
      <c r="N2272" s="14" t="s">
        <v>275</v>
      </c>
      <c r="O2272" s="14"/>
      <c r="P2272" s="15" t="s">
        <v>3032</v>
      </c>
      <c r="Q2272" s="16">
        <v>3999</v>
      </c>
      <c r="R2272" s="17">
        <v>45</v>
      </c>
      <c r="S2272" s="18">
        <v>2529.3674999999994</v>
      </c>
      <c r="T2272" s="19" t="s">
        <v>117</v>
      </c>
      <c r="U2272" s="20" t="s">
        <v>35</v>
      </c>
      <c r="V2272" s="21">
        <v>116</v>
      </c>
      <c r="W2272" s="21">
        <v>6</v>
      </c>
      <c r="X2272" s="22"/>
    </row>
    <row r="2273" spans="1:24" s="1" customFormat="1" ht="11.1" customHeight="1" x14ac:dyDescent="0.3">
      <c r="A2273" s="23" t="s">
        <v>3029</v>
      </c>
      <c r="B2273" s="23" t="s">
        <v>38</v>
      </c>
      <c r="C2273" s="12" t="s">
        <v>3030</v>
      </c>
      <c r="D2273" s="84"/>
      <c r="E2273" s="69" t="str">
        <f t="shared" si="75"/>
        <v>Еще фото</v>
      </c>
      <c r="F2273" s="13"/>
      <c r="G2273" s="23" t="s">
        <v>28</v>
      </c>
      <c r="H2273" s="23" t="s">
        <v>27</v>
      </c>
      <c r="I2273" s="23" t="s">
        <v>28</v>
      </c>
      <c r="J2273" s="14" t="s">
        <v>29</v>
      </c>
      <c r="K2273" s="15" t="s">
        <v>30</v>
      </c>
      <c r="L2273" s="87"/>
      <c r="M2273" s="14"/>
      <c r="N2273" s="14" t="s">
        <v>275</v>
      </c>
      <c r="O2273" s="14"/>
      <c r="P2273" s="15" t="s">
        <v>3032</v>
      </c>
      <c r="Q2273" s="16">
        <v>3999</v>
      </c>
      <c r="R2273" s="17">
        <v>45</v>
      </c>
      <c r="S2273" s="18">
        <v>2529.3674999999994</v>
      </c>
      <c r="T2273" s="19" t="s">
        <v>117</v>
      </c>
      <c r="U2273" s="20" t="s">
        <v>36</v>
      </c>
      <c r="V2273" s="21">
        <v>122</v>
      </c>
      <c r="W2273" s="21">
        <v>7</v>
      </c>
      <c r="X2273" s="22"/>
    </row>
    <row r="2274" spans="1:24" s="1" customFormat="1" ht="11.1" customHeight="1" x14ac:dyDescent="0.3">
      <c r="A2274" s="23" t="s">
        <v>3029</v>
      </c>
      <c r="B2274" s="23" t="s">
        <v>38</v>
      </c>
      <c r="C2274" s="12" t="s">
        <v>3030</v>
      </c>
      <c r="D2274" s="84"/>
      <c r="E2274" s="69" t="str">
        <f t="shared" si="75"/>
        <v>Еще фото</v>
      </c>
      <c r="F2274" s="13"/>
      <c r="G2274" s="23" t="s">
        <v>28</v>
      </c>
      <c r="H2274" s="23" t="s">
        <v>27</v>
      </c>
      <c r="I2274" s="23" t="s">
        <v>28</v>
      </c>
      <c r="J2274" s="14" t="s">
        <v>29</v>
      </c>
      <c r="K2274" s="15" t="s">
        <v>30</v>
      </c>
      <c r="L2274" s="87"/>
      <c r="M2274" s="14"/>
      <c r="N2274" s="14" t="s">
        <v>275</v>
      </c>
      <c r="O2274" s="14"/>
      <c r="P2274" s="15" t="s">
        <v>3032</v>
      </c>
      <c r="Q2274" s="16">
        <v>3999</v>
      </c>
      <c r="R2274" s="17">
        <v>45</v>
      </c>
      <c r="S2274" s="18">
        <v>2529.3674999999994</v>
      </c>
      <c r="T2274" s="19" t="s">
        <v>117</v>
      </c>
      <c r="U2274" s="20" t="s">
        <v>37</v>
      </c>
      <c r="V2274" s="21">
        <v>128</v>
      </c>
      <c r="W2274" s="21">
        <v>5</v>
      </c>
      <c r="X2274" s="22"/>
    </row>
    <row r="2275" spans="1:24" s="1" customFormat="1" ht="11.1" customHeight="1" x14ac:dyDescent="0.3">
      <c r="A2275" s="23" t="s">
        <v>3029</v>
      </c>
      <c r="B2275" s="23" t="s">
        <v>38</v>
      </c>
      <c r="C2275" s="12" t="s">
        <v>3030</v>
      </c>
      <c r="D2275" s="84"/>
      <c r="E2275" s="69" t="str">
        <f t="shared" si="75"/>
        <v>Еще фото</v>
      </c>
      <c r="F2275" s="13"/>
      <c r="G2275" s="23" t="s">
        <v>28</v>
      </c>
      <c r="H2275" s="23" t="s">
        <v>27</v>
      </c>
      <c r="I2275" s="23" t="s">
        <v>28</v>
      </c>
      <c r="J2275" s="14" t="s">
        <v>29</v>
      </c>
      <c r="K2275" s="15" t="s">
        <v>30</v>
      </c>
      <c r="L2275" s="87"/>
      <c r="M2275" s="14"/>
      <c r="N2275" s="14" t="s">
        <v>275</v>
      </c>
      <c r="O2275" s="14"/>
      <c r="P2275" s="15" t="s">
        <v>3032</v>
      </c>
      <c r="Q2275" s="16">
        <v>3999</v>
      </c>
      <c r="R2275" s="17">
        <v>45</v>
      </c>
      <c r="S2275" s="18">
        <v>2529.3674999999994</v>
      </c>
      <c r="T2275" s="19" t="s">
        <v>117</v>
      </c>
      <c r="U2275" s="20" t="s">
        <v>91</v>
      </c>
      <c r="V2275" s="21">
        <v>134</v>
      </c>
      <c r="W2275" s="21">
        <v>7</v>
      </c>
      <c r="X2275" s="22"/>
    </row>
    <row r="2276" spans="1:24" s="1" customFormat="1" ht="11.1" customHeight="1" x14ac:dyDescent="0.3">
      <c r="A2276" s="14" t="s">
        <v>3029</v>
      </c>
      <c r="B2276" s="14" t="s">
        <v>38</v>
      </c>
      <c r="C2276" s="12" t="s">
        <v>3030</v>
      </c>
      <c r="D2276" s="84"/>
      <c r="E2276" s="69" t="str">
        <f t="shared" si="75"/>
        <v>Еще фото</v>
      </c>
      <c r="F2276" s="36"/>
      <c r="G2276" s="14" t="s">
        <v>28</v>
      </c>
      <c r="H2276" s="14" t="s">
        <v>27</v>
      </c>
      <c r="I2276" s="14" t="s">
        <v>28</v>
      </c>
      <c r="J2276" s="14" t="s">
        <v>29</v>
      </c>
      <c r="K2276" s="14" t="s">
        <v>30</v>
      </c>
      <c r="L2276" s="87"/>
      <c r="M2276" s="14"/>
      <c r="N2276" s="14" t="s">
        <v>275</v>
      </c>
      <c r="O2276" s="14"/>
      <c r="P2276" s="14" t="s">
        <v>3032</v>
      </c>
      <c r="Q2276" s="33">
        <v>3999</v>
      </c>
      <c r="R2276" s="34">
        <v>45</v>
      </c>
      <c r="S2276" s="35">
        <v>2529.3674999999994</v>
      </c>
      <c r="T2276" s="19" t="s">
        <v>117</v>
      </c>
      <c r="U2276" s="20" t="s">
        <v>290</v>
      </c>
      <c r="V2276" s="21">
        <v>140</v>
      </c>
      <c r="W2276" s="21">
        <v>8</v>
      </c>
      <c r="X2276" s="22"/>
    </row>
    <row r="2277" spans="1:24" s="1" customFormat="1" ht="11.1" customHeight="1" x14ac:dyDescent="0.3">
      <c r="A2277" s="14" t="s">
        <v>3029</v>
      </c>
      <c r="B2277" s="14" t="s">
        <v>38</v>
      </c>
      <c r="C2277" s="12" t="s">
        <v>3030</v>
      </c>
      <c r="D2277" s="85"/>
      <c r="E2277" s="69" t="str">
        <f t="shared" si="75"/>
        <v>Еще фото</v>
      </c>
      <c r="F2277" s="36"/>
      <c r="G2277" s="14" t="s">
        <v>28</v>
      </c>
      <c r="H2277" s="14" t="s">
        <v>27</v>
      </c>
      <c r="I2277" s="14" t="s">
        <v>28</v>
      </c>
      <c r="J2277" s="14" t="s">
        <v>29</v>
      </c>
      <c r="K2277" s="14" t="s">
        <v>30</v>
      </c>
      <c r="L2277" s="88"/>
      <c r="M2277" s="14"/>
      <c r="N2277" s="14" t="s">
        <v>275</v>
      </c>
      <c r="O2277" s="14"/>
      <c r="P2277" s="14" t="s">
        <v>3032</v>
      </c>
      <c r="Q2277" s="33">
        <v>3999</v>
      </c>
      <c r="R2277" s="34">
        <v>45</v>
      </c>
      <c r="S2277" s="35">
        <v>2529.3674999999994</v>
      </c>
      <c r="T2277" s="19" t="s">
        <v>117</v>
      </c>
      <c r="U2277" s="20" t="s">
        <v>2160</v>
      </c>
      <c r="V2277" s="21">
        <v>152</v>
      </c>
      <c r="W2277" s="21">
        <v>2</v>
      </c>
      <c r="X2277" s="22"/>
    </row>
    <row r="2278" spans="1:24" s="1" customFormat="1" ht="11.1" customHeight="1" x14ac:dyDescent="0.3">
      <c r="A2278" s="11" t="s">
        <v>3029</v>
      </c>
      <c r="B2278" s="11" t="s">
        <v>38</v>
      </c>
      <c r="C2278" s="12" t="s">
        <v>3033</v>
      </c>
      <c r="D2278" s="83"/>
      <c r="E2278" s="69" t="str">
        <f t="shared" ref="E2278:E2288" si="76">HYPERLINK("https://www.google.ru/search?q=123443-8150&amp;newwindow=1&amp;tbm=isch","Еще фото")</f>
        <v>Еще фото</v>
      </c>
      <c r="F2278" s="13"/>
      <c r="G2278" s="11" t="s">
        <v>28</v>
      </c>
      <c r="H2278" s="11" t="s">
        <v>27</v>
      </c>
      <c r="I2278" s="14" t="s">
        <v>28</v>
      </c>
      <c r="J2278" s="14" t="s">
        <v>29</v>
      </c>
      <c r="K2278" s="15" t="s">
        <v>30</v>
      </c>
      <c r="L2278" s="86" t="s">
        <v>3034</v>
      </c>
      <c r="M2278" s="14"/>
      <c r="N2278" s="14" t="s">
        <v>41</v>
      </c>
      <c r="O2278" s="14"/>
      <c r="P2278" s="15" t="s">
        <v>3035</v>
      </c>
      <c r="Q2278" s="16">
        <v>3999</v>
      </c>
      <c r="R2278" s="17">
        <v>45</v>
      </c>
      <c r="S2278" s="18">
        <v>2529.3674999999994</v>
      </c>
      <c r="T2278" s="19" t="s">
        <v>117</v>
      </c>
      <c r="U2278" s="20" t="s">
        <v>196</v>
      </c>
      <c r="V2278" s="21">
        <v>86</v>
      </c>
      <c r="W2278" s="21">
        <v>2</v>
      </c>
      <c r="X2278" s="22"/>
    </row>
    <row r="2279" spans="1:24" s="1" customFormat="1" ht="11.1" customHeight="1" x14ac:dyDescent="0.3">
      <c r="A2279" s="23" t="s">
        <v>3029</v>
      </c>
      <c r="B2279" s="23" t="s">
        <v>38</v>
      </c>
      <c r="C2279" s="12" t="s">
        <v>3033</v>
      </c>
      <c r="D2279" s="84"/>
      <c r="E2279" s="69" t="str">
        <f t="shared" si="76"/>
        <v>Еще фото</v>
      </c>
      <c r="F2279" s="13"/>
      <c r="G2279" s="23" t="s">
        <v>28</v>
      </c>
      <c r="H2279" s="23" t="s">
        <v>27</v>
      </c>
      <c r="I2279" s="23" t="s">
        <v>28</v>
      </c>
      <c r="J2279" s="14" t="s">
        <v>29</v>
      </c>
      <c r="K2279" s="15" t="s">
        <v>30</v>
      </c>
      <c r="L2279" s="87"/>
      <c r="M2279" s="14"/>
      <c r="N2279" s="14" t="s">
        <v>41</v>
      </c>
      <c r="O2279" s="14"/>
      <c r="P2279" s="15" t="s">
        <v>3035</v>
      </c>
      <c r="Q2279" s="16">
        <v>3999</v>
      </c>
      <c r="R2279" s="17">
        <v>45</v>
      </c>
      <c r="S2279" s="18">
        <v>2529.3674999999994</v>
      </c>
      <c r="T2279" s="19" t="s">
        <v>117</v>
      </c>
      <c r="U2279" s="20" t="s">
        <v>77</v>
      </c>
      <c r="V2279" s="21">
        <v>92</v>
      </c>
      <c r="W2279" s="21">
        <v>1</v>
      </c>
      <c r="X2279" s="22"/>
    </row>
    <row r="2280" spans="1:24" s="1" customFormat="1" ht="11.1" customHeight="1" x14ac:dyDescent="0.3">
      <c r="A2280" s="23" t="s">
        <v>3029</v>
      </c>
      <c r="B2280" s="23" t="s">
        <v>38</v>
      </c>
      <c r="C2280" s="12" t="s">
        <v>3033</v>
      </c>
      <c r="D2280" s="84"/>
      <c r="E2280" s="69" t="str">
        <f t="shared" si="76"/>
        <v>Еще фото</v>
      </c>
      <c r="F2280" s="13"/>
      <c r="G2280" s="23" t="s">
        <v>28</v>
      </c>
      <c r="H2280" s="23" t="s">
        <v>27</v>
      </c>
      <c r="I2280" s="23" t="s">
        <v>28</v>
      </c>
      <c r="J2280" s="14" t="s">
        <v>29</v>
      </c>
      <c r="K2280" s="15" t="s">
        <v>30</v>
      </c>
      <c r="L2280" s="87"/>
      <c r="M2280" s="14"/>
      <c r="N2280" s="14" t="s">
        <v>41</v>
      </c>
      <c r="O2280" s="14"/>
      <c r="P2280" s="15" t="s">
        <v>3035</v>
      </c>
      <c r="Q2280" s="16">
        <v>3999</v>
      </c>
      <c r="R2280" s="17">
        <v>45</v>
      </c>
      <c r="S2280" s="18">
        <v>2529.3674999999994</v>
      </c>
      <c r="T2280" s="19" t="s">
        <v>117</v>
      </c>
      <c r="U2280" s="20" t="s">
        <v>78</v>
      </c>
      <c r="V2280" s="21">
        <v>98</v>
      </c>
      <c r="W2280" s="21">
        <v>1</v>
      </c>
      <c r="X2280" s="22"/>
    </row>
    <row r="2281" spans="1:24" s="1" customFormat="1" ht="11.1" customHeight="1" x14ac:dyDescent="0.3">
      <c r="A2281" s="23" t="s">
        <v>3029</v>
      </c>
      <c r="B2281" s="23" t="s">
        <v>38</v>
      </c>
      <c r="C2281" s="12" t="s">
        <v>3033</v>
      </c>
      <c r="D2281" s="84"/>
      <c r="E2281" s="69" t="str">
        <f t="shared" si="76"/>
        <v>Еще фото</v>
      </c>
      <c r="F2281" s="13"/>
      <c r="G2281" s="23" t="s">
        <v>28</v>
      </c>
      <c r="H2281" s="23" t="s">
        <v>27</v>
      </c>
      <c r="I2281" s="23" t="s">
        <v>28</v>
      </c>
      <c r="J2281" s="14" t="s">
        <v>29</v>
      </c>
      <c r="K2281" s="15" t="s">
        <v>30</v>
      </c>
      <c r="L2281" s="87"/>
      <c r="M2281" s="14"/>
      <c r="N2281" s="14" t="s">
        <v>41</v>
      </c>
      <c r="O2281" s="14"/>
      <c r="P2281" s="15" t="s">
        <v>3035</v>
      </c>
      <c r="Q2281" s="16">
        <v>3999</v>
      </c>
      <c r="R2281" s="17">
        <v>45</v>
      </c>
      <c r="S2281" s="18">
        <v>2529.3674999999994</v>
      </c>
      <c r="T2281" s="19" t="s">
        <v>117</v>
      </c>
      <c r="U2281" s="20" t="s">
        <v>94</v>
      </c>
      <c r="V2281" s="21">
        <v>104</v>
      </c>
      <c r="W2281" s="21">
        <v>3</v>
      </c>
      <c r="X2281" s="22"/>
    </row>
    <row r="2282" spans="1:24" s="1" customFormat="1" ht="11.1" customHeight="1" x14ac:dyDescent="0.3">
      <c r="A2282" s="23" t="s">
        <v>3029</v>
      </c>
      <c r="B2282" s="23" t="s">
        <v>38</v>
      </c>
      <c r="C2282" s="12" t="s">
        <v>3033</v>
      </c>
      <c r="D2282" s="84"/>
      <c r="E2282" s="69" t="str">
        <f t="shared" si="76"/>
        <v>Еще фото</v>
      </c>
      <c r="F2282" s="13"/>
      <c r="G2282" s="23" t="s">
        <v>28</v>
      </c>
      <c r="H2282" s="23" t="s">
        <v>27</v>
      </c>
      <c r="I2282" s="23" t="s">
        <v>28</v>
      </c>
      <c r="J2282" s="14" t="s">
        <v>29</v>
      </c>
      <c r="K2282" s="15" t="s">
        <v>30</v>
      </c>
      <c r="L2282" s="87"/>
      <c r="M2282" s="14"/>
      <c r="N2282" s="14" t="s">
        <v>41</v>
      </c>
      <c r="O2282" s="14"/>
      <c r="P2282" s="15" t="s">
        <v>3035</v>
      </c>
      <c r="Q2282" s="16">
        <v>3999</v>
      </c>
      <c r="R2282" s="17">
        <v>45</v>
      </c>
      <c r="S2282" s="18">
        <v>2529.3674999999994</v>
      </c>
      <c r="T2282" s="19" t="s">
        <v>117</v>
      </c>
      <c r="U2282" s="20" t="s">
        <v>43</v>
      </c>
      <c r="V2282" s="21">
        <v>110</v>
      </c>
      <c r="W2282" s="21">
        <v>2</v>
      </c>
      <c r="X2282" s="22"/>
    </row>
    <row r="2283" spans="1:24" s="1" customFormat="1" ht="11.1" customHeight="1" x14ac:dyDescent="0.3">
      <c r="A2283" s="23" t="s">
        <v>3029</v>
      </c>
      <c r="B2283" s="23" t="s">
        <v>38</v>
      </c>
      <c r="C2283" s="12" t="s">
        <v>3033</v>
      </c>
      <c r="D2283" s="84"/>
      <c r="E2283" s="69" t="str">
        <f t="shared" si="76"/>
        <v>Еще фото</v>
      </c>
      <c r="F2283" s="13"/>
      <c r="G2283" s="23" t="s">
        <v>28</v>
      </c>
      <c r="H2283" s="23" t="s">
        <v>27</v>
      </c>
      <c r="I2283" s="23" t="s">
        <v>28</v>
      </c>
      <c r="J2283" s="14" t="s">
        <v>29</v>
      </c>
      <c r="K2283" s="15" t="s">
        <v>30</v>
      </c>
      <c r="L2283" s="87"/>
      <c r="M2283" s="14"/>
      <c r="N2283" s="14" t="s">
        <v>41</v>
      </c>
      <c r="O2283" s="14"/>
      <c r="P2283" s="15" t="s">
        <v>3035</v>
      </c>
      <c r="Q2283" s="16">
        <v>3999</v>
      </c>
      <c r="R2283" s="17">
        <v>45</v>
      </c>
      <c r="S2283" s="18">
        <v>2529.3674999999994</v>
      </c>
      <c r="T2283" s="19" t="s">
        <v>117</v>
      </c>
      <c r="U2283" s="20" t="s">
        <v>35</v>
      </c>
      <c r="V2283" s="21">
        <v>116</v>
      </c>
      <c r="W2283" s="21">
        <v>1</v>
      </c>
      <c r="X2283" s="22"/>
    </row>
    <row r="2284" spans="1:24" s="1" customFormat="1" ht="11.1" customHeight="1" x14ac:dyDescent="0.3">
      <c r="A2284" s="23" t="s">
        <v>3029</v>
      </c>
      <c r="B2284" s="23" t="s">
        <v>38</v>
      </c>
      <c r="C2284" s="12" t="s">
        <v>3033</v>
      </c>
      <c r="D2284" s="84"/>
      <c r="E2284" s="69" t="str">
        <f t="shared" si="76"/>
        <v>Еще фото</v>
      </c>
      <c r="F2284" s="13"/>
      <c r="G2284" s="23" t="s">
        <v>28</v>
      </c>
      <c r="H2284" s="23" t="s">
        <v>27</v>
      </c>
      <c r="I2284" s="23" t="s">
        <v>28</v>
      </c>
      <c r="J2284" s="14" t="s">
        <v>29</v>
      </c>
      <c r="K2284" s="15" t="s">
        <v>30</v>
      </c>
      <c r="L2284" s="87"/>
      <c r="M2284" s="14"/>
      <c r="N2284" s="14" t="s">
        <v>41</v>
      </c>
      <c r="O2284" s="14"/>
      <c r="P2284" s="15" t="s">
        <v>3035</v>
      </c>
      <c r="Q2284" s="16">
        <v>3999</v>
      </c>
      <c r="R2284" s="17">
        <v>45</v>
      </c>
      <c r="S2284" s="18">
        <v>2529.3674999999994</v>
      </c>
      <c r="T2284" s="19" t="s">
        <v>117</v>
      </c>
      <c r="U2284" s="20" t="s">
        <v>36</v>
      </c>
      <c r="V2284" s="21">
        <v>122</v>
      </c>
      <c r="W2284" s="21">
        <v>3</v>
      </c>
      <c r="X2284" s="22"/>
    </row>
    <row r="2285" spans="1:24" s="1" customFormat="1" ht="11.1" customHeight="1" x14ac:dyDescent="0.3">
      <c r="A2285" s="23" t="s">
        <v>3029</v>
      </c>
      <c r="B2285" s="23" t="s">
        <v>38</v>
      </c>
      <c r="C2285" s="12" t="s">
        <v>3033</v>
      </c>
      <c r="D2285" s="84"/>
      <c r="E2285" s="69" t="str">
        <f t="shared" si="76"/>
        <v>Еще фото</v>
      </c>
      <c r="F2285" s="13"/>
      <c r="G2285" s="23" t="s">
        <v>28</v>
      </c>
      <c r="H2285" s="23" t="s">
        <v>27</v>
      </c>
      <c r="I2285" s="23" t="s">
        <v>28</v>
      </c>
      <c r="J2285" s="14" t="s">
        <v>29</v>
      </c>
      <c r="K2285" s="15" t="s">
        <v>30</v>
      </c>
      <c r="L2285" s="87"/>
      <c r="M2285" s="14"/>
      <c r="N2285" s="14" t="s">
        <v>41</v>
      </c>
      <c r="O2285" s="14"/>
      <c r="P2285" s="15" t="s">
        <v>3035</v>
      </c>
      <c r="Q2285" s="16">
        <v>3999</v>
      </c>
      <c r="R2285" s="17">
        <v>45</v>
      </c>
      <c r="S2285" s="18">
        <v>2529.3674999999994</v>
      </c>
      <c r="T2285" s="19" t="s">
        <v>117</v>
      </c>
      <c r="U2285" s="20" t="s">
        <v>37</v>
      </c>
      <c r="V2285" s="21">
        <v>128</v>
      </c>
      <c r="W2285" s="21">
        <v>3</v>
      </c>
      <c r="X2285" s="22"/>
    </row>
    <row r="2286" spans="1:24" s="1" customFormat="1" ht="11.1" customHeight="1" x14ac:dyDescent="0.3">
      <c r="A2286" s="23" t="s">
        <v>3029</v>
      </c>
      <c r="B2286" s="23" t="s">
        <v>38</v>
      </c>
      <c r="C2286" s="12" t="s">
        <v>3033</v>
      </c>
      <c r="D2286" s="84"/>
      <c r="E2286" s="69" t="str">
        <f t="shared" si="76"/>
        <v>Еще фото</v>
      </c>
      <c r="F2286" s="13"/>
      <c r="G2286" s="23" t="s">
        <v>28</v>
      </c>
      <c r="H2286" s="23" t="s">
        <v>27</v>
      </c>
      <c r="I2286" s="23" t="s">
        <v>28</v>
      </c>
      <c r="J2286" s="14" t="s">
        <v>29</v>
      </c>
      <c r="K2286" s="15" t="s">
        <v>30</v>
      </c>
      <c r="L2286" s="87"/>
      <c r="M2286" s="14"/>
      <c r="N2286" s="14" t="s">
        <v>41</v>
      </c>
      <c r="O2286" s="14"/>
      <c r="P2286" s="15" t="s">
        <v>3035</v>
      </c>
      <c r="Q2286" s="16">
        <v>3999</v>
      </c>
      <c r="R2286" s="17">
        <v>45</v>
      </c>
      <c r="S2286" s="18">
        <v>2529.3674999999994</v>
      </c>
      <c r="T2286" s="19" t="s">
        <v>117</v>
      </c>
      <c r="U2286" s="20" t="s">
        <v>91</v>
      </c>
      <c r="V2286" s="21">
        <v>134</v>
      </c>
      <c r="W2286" s="21">
        <v>3</v>
      </c>
      <c r="X2286" s="22"/>
    </row>
    <row r="2287" spans="1:24" s="1" customFormat="1" ht="11.1" customHeight="1" x14ac:dyDescent="0.3">
      <c r="A2287" s="14" t="s">
        <v>3029</v>
      </c>
      <c r="B2287" s="14" t="s">
        <v>38</v>
      </c>
      <c r="C2287" s="12" t="s">
        <v>3033</v>
      </c>
      <c r="D2287" s="84"/>
      <c r="E2287" s="69" t="str">
        <f t="shared" si="76"/>
        <v>Еще фото</v>
      </c>
      <c r="F2287" s="36"/>
      <c r="G2287" s="14" t="s">
        <v>28</v>
      </c>
      <c r="H2287" s="14" t="s">
        <v>27</v>
      </c>
      <c r="I2287" s="14" t="s">
        <v>28</v>
      </c>
      <c r="J2287" s="14" t="s">
        <v>29</v>
      </c>
      <c r="K2287" s="14" t="s">
        <v>30</v>
      </c>
      <c r="L2287" s="87"/>
      <c r="M2287" s="14"/>
      <c r="N2287" s="14" t="s">
        <v>41</v>
      </c>
      <c r="O2287" s="14"/>
      <c r="P2287" s="14" t="s">
        <v>3035</v>
      </c>
      <c r="Q2287" s="33">
        <v>3999</v>
      </c>
      <c r="R2287" s="34">
        <v>45</v>
      </c>
      <c r="S2287" s="35">
        <v>2529.3674999999994</v>
      </c>
      <c r="T2287" s="19" t="s">
        <v>117</v>
      </c>
      <c r="U2287" s="20" t="s">
        <v>290</v>
      </c>
      <c r="V2287" s="21">
        <v>140</v>
      </c>
      <c r="W2287" s="21">
        <v>4</v>
      </c>
      <c r="X2287" s="22"/>
    </row>
    <row r="2288" spans="1:24" s="1" customFormat="1" ht="11.1" customHeight="1" x14ac:dyDescent="0.3">
      <c r="A2288" s="14" t="s">
        <v>3029</v>
      </c>
      <c r="B2288" s="14" t="s">
        <v>38</v>
      </c>
      <c r="C2288" s="12" t="s">
        <v>3033</v>
      </c>
      <c r="D2288" s="85"/>
      <c r="E2288" s="69" t="str">
        <f t="shared" si="76"/>
        <v>Еще фото</v>
      </c>
      <c r="F2288" s="36"/>
      <c r="G2288" s="14" t="s">
        <v>28</v>
      </c>
      <c r="H2288" s="14" t="s">
        <v>27</v>
      </c>
      <c r="I2288" s="14" t="s">
        <v>28</v>
      </c>
      <c r="J2288" s="14" t="s">
        <v>29</v>
      </c>
      <c r="K2288" s="14" t="s">
        <v>30</v>
      </c>
      <c r="L2288" s="88"/>
      <c r="M2288" s="14"/>
      <c r="N2288" s="14" t="s">
        <v>41</v>
      </c>
      <c r="O2288" s="14"/>
      <c r="P2288" s="14" t="s">
        <v>3035</v>
      </c>
      <c r="Q2288" s="33">
        <v>3999</v>
      </c>
      <c r="R2288" s="34">
        <v>45</v>
      </c>
      <c r="S2288" s="35">
        <v>2529.3674999999994</v>
      </c>
      <c r="T2288" s="19" t="s">
        <v>117</v>
      </c>
      <c r="U2288" s="20" t="s">
        <v>2160</v>
      </c>
      <c r="V2288" s="21">
        <v>152</v>
      </c>
      <c r="W2288" s="21">
        <v>3</v>
      </c>
      <c r="X2288" s="22"/>
    </row>
    <row r="2289" spans="1:24" s="1" customFormat="1" ht="14.1" customHeight="1" x14ac:dyDescent="0.3">
      <c r="A2289" s="11" t="s">
        <v>3029</v>
      </c>
      <c r="B2289" s="11" t="s">
        <v>3036</v>
      </c>
      <c r="C2289" s="12" t="s">
        <v>3037</v>
      </c>
      <c r="D2289" s="83"/>
      <c r="E2289" s="69" t="str">
        <f t="shared" ref="E2289:E2295" si="77">HYPERLINK("https://www.google.ru/search?q=133400-8404&amp;newwindow=1&amp;tbm=isch","Еще фото")</f>
        <v>Еще фото</v>
      </c>
      <c r="F2289" s="13"/>
      <c r="G2289" s="11" t="s">
        <v>3038</v>
      </c>
      <c r="H2289" s="11" t="s">
        <v>27</v>
      </c>
      <c r="I2289" s="14" t="s">
        <v>28</v>
      </c>
      <c r="J2289" s="14" t="s">
        <v>29</v>
      </c>
      <c r="K2289" s="15" t="s">
        <v>30</v>
      </c>
      <c r="L2289" s="86" t="s">
        <v>3039</v>
      </c>
      <c r="M2289" s="14"/>
      <c r="N2289" s="14" t="s">
        <v>41</v>
      </c>
      <c r="O2289" s="14"/>
      <c r="P2289" s="15" t="s">
        <v>3040</v>
      </c>
      <c r="Q2289" s="16">
        <v>3099</v>
      </c>
      <c r="R2289" s="17">
        <v>45</v>
      </c>
      <c r="S2289" s="18">
        <v>1960.1174999999998</v>
      </c>
      <c r="T2289" s="19" t="s">
        <v>117</v>
      </c>
      <c r="U2289" s="20" t="s">
        <v>196</v>
      </c>
      <c r="V2289" s="21">
        <v>86</v>
      </c>
      <c r="W2289" s="21">
        <v>2</v>
      </c>
      <c r="X2289" s="22"/>
    </row>
    <row r="2290" spans="1:24" s="1" customFormat="1" ht="14.1" customHeight="1" x14ac:dyDescent="0.3">
      <c r="A2290" s="23" t="s">
        <v>3029</v>
      </c>
      <c r="B2290" s="23" t="s">
        <v>3036</v>
      </c>
      <c r="C2290" s="12" t="s">
        <v>3037</v>
      </c>
      <c r="D2290" s="84"/>
      <c r="E2290" s="69" t="str">
        <f t="shared" si="77"/>
        <v>Еще фото</v>
      </c>
      <c r="F2290" s="13"/>
      <c r="G2290" s="23" t="s">
        <v>3038</v>
      </c>
      <c r="H2290" s="23" t="s">
        <v>27</v>
      </c>
      <c r="I2290" s="23" t="s">
        <v>28</v>
      </c>
      <c r="J2290" s="14" t="s">
        <v>29</v>
      </c>
      <c r="K2290" s="15" t="s">
        <v>30</v>
      </c>
      <c r="L2290" s="87"/>
      <c r="M2290" s="14"/>
      <c r="N2290" s="14" t="s">
        <v>41</v>
      </c>
      <c r="O2290" s="14"/>
      <c r="P2290" s="15" t="s">
        <v>3040</v>
      </c>
      <c r="Q2290" s="16">
        <v>3099</v>
      </c>
      <c r="R2290" s="17">
        <v>45</v>
      </c>
      <c r="S2290" s="18">
        <v>1960.1174999999998</v>
      </c>
      <c r="T2290" s="19" t="s">
        <v>117</v>
      </c>
      <c r="U2290" s="20" t="s">
        <v>77</v>
      </c>
      <c r="V2290" s="21">
        <v>92</v>
      </c>
      <c r="W2290" s="21">
        <v>1</v>
      </c>
      <c r="X2290" s="22"/>
    </row>
    <row r="2291" spans="1:24" s="1" customFormat="1" ht="14.1" customHeight="1" x14ac:dyDescent="0.3">
      <c r="A2291" s="23" t="s">
        <v>3029</v>
      </c>
      <c r="B2291" s="23" t="s">
        <v>3036</v>
      </c>
      <c r="C2291" s="12" t="s">
        <v>3037</v>
      </c>
      <c r="D2291" s="84"/>
      <c r="E2291" s="69" t="str">
        <f t="shared" si="77"/>
        <v>Еще фото</v>
      </c>
      <c r="F2291" s="13"/>
      <c r="G2291" s="23" t="s">
        <v>3038</v>
      </c>
      <c r="H2291" s="23" t="s">
        <v>27</v>
      </c>
      <c r="I2291" s="23" t="s">
        <v>28</v>
      </c>
      <c r="J2291" s="14" t="s">
        <v>29</v>
      </c>
      <c r="K2291" s="15" t="s">
        <v>30</v>
      </c>
      <c r="L2291" s="87"/>
      <c r="M2291" s="14"/>
      <c r="N2291" s="14" t="s">
        <v>41</v>
      </c>
      <c r="O2291" s="14"/>
      <c r="P2291" s="15" t="s">
        <v>3040</v>
      </c>
      <c r="Q2291" s="16">
        <v>3099</v>
      </c>
      <c r="R2291" s="17">
        <v>45</v>
      </c>
      <c r="S2291" s="18">
        <v>1960.1174999999998</v>
      </c>
      <c r="T2291" s="19" t="s">
        <v>117</v>
      </c>
      <c r="U2291" s="20" t="s">
        <v>78</v>
      </c>
      <c r="V2291" s="21">
        <v>98</v>
      </c>
      <c r="W2291" s="21">
        <v>1</v>
      </c>
      <c r="X2291" s="22"/>
    </row>
    <row r="2292" spans="1:24" s="1" customFormat="1" ht="14.1" customHeight="1" x14ac:dyDescent="0.3">
      <c r="A2292" s="23" t="s">
        <v>3029</v>
      </c>
      <c r="B2292" s="23" t="s">
        <v>3036</v>
      </c>
      <c r="C2292" s="12" t="s">
        <v>3037</v>
      </c>
      <c r="D2292" s="84"/>
      <c r="E2292" s="69" t="str">
        <f t="shared" si="77"/>
        <v>Еще фото</v>
      </c>
      <c r="F2292" s="13"/>
      <c r="G2292" s="23" t="s">
        <v>3038</v>
      </c>
      <c r="H2292" s="23" t="s">
        <v>27</v>
      </c>
      <c r="I2292" s="23" t="s">
        <v>28</v>
      </c>
      <c r="J2292" s="14" t="s">
        <v>29</v>
      </c>
      <c r="K2292" s="15" t="s">
        <v>30</v>
      </c>
      <c r="L2292" s="87"/>
      <c r="M2292" s="14"/>
      <c r="N2292" s="14" t="s">
        <v>41</v>
      </c>
      <c r="O2292" s="14"/>
      <c r="P2292" s="15" t="s">
        <v>3040</v>
      </c>
      <c r="Q2292" s="16">
        <v>3099</v>
      </c>
      <c r="R2292" s="17">
        <v>45</v>
      </c>
      <c r="S2292" s="18">
        <v>1960.1174999999998</v>
      </c>
      <c r="T2292" s="19" t="s">
        <v>117</v>
      </c>
      <c r="U2292" s="20" t="s">
        <v>43</v>
      </c>
      <c r="V2292" s="21">
        <v>110</v>
      </c>
      <c r="W2292" s="21">
        <v>1</v>
      </c>
      <c r="X2292" s="22"/>
    </row>
    <row r="2293" spans="1:24" s="1" customFormat="1" ht="14.1" customHeight="1" x14ac:dyDescent="0.3">
      <c r="A2293" s="23" t="s">
        <v>3029</v>
      </c>
      <c r="B2293" s="23" t="s">
        <v>3036</v>
      </c>
      <c r="C2293" s="12" t="s">
        <v>3037</v>
      </c>
      <c r="D2293" s="84"/>
      <c r="E2293" s="69" t="str">
        <f t="shared" si="77"/>
        <v>Еще фото</v>
      </c>
      <c r="F2293" s="13"/>
      <c r="G2293" s="23" t="s">
        <v>3038</v>
      </c>
      <c r="H2293" s="23" t="s">
        <v>27</v>
      </c>
      <c r="I2293" s="23" t="s">
        <v>28</v>
      </c>
      <c r="J2293" s="14" t="s">
        <v>29</v>
      </c>
      <c r="K2293" s="15" t="s">
        <v>30</v>
      </c>
      <c r="L2293" s="87"/>
      <c r="M2293" s="14"/>
      <c r="N2293" s="14" t="s">
        <v>41</v>
      </c>
      <c r="O2293" s="14"/>
      <c r="P2293" s="15" t="s">
        <v>3040</v>
      </c>
      <c r="Q2293" s="16">
        <v>3099</v>
      </c>
      <c r="R2293" s="17">
        <v>45</v>
      </c>
      <c r="S2293" s="18">
        <v>1960.1174999999998</v>
      </c>
      <c r="T2293" s="19" t="s">
        <v>117</v>
      </c>
      <c r="U2293" s="20" t="s">
        <v>36</v>
      </c>
      <c r="V2293" s="21">
        <v>122</v>
      </c>
      <c r="W2293" s="21">
        <v>4</v>
      </c>
      <c r="X2293" s="22"/>
    </row>
    <row r="2294" spans="1:24" s="1" customFormat="1" ht="14.1" customHeight="1" x14ac:dyDescent="0.3">
      <c r="A2294" s="23" t="s">
        <v>3029</v>
      </c>
      <c r="B2294" s="23" t="s">
        <v>3036</v>
      </c>
      <c r="C2294" s="12" t="s">
        <v>3037</v>
      </c>
      <c r="D2294" s="84"/>
      <c r="E2294" s="69" t="str">
        <f t="shared" si="77"/>
        <v>Еще фото</v>
      </c>
      <c r="F2294" s="13"/>
      <c r="G2294" s="23" t="s">
        <v>3038</v>
      </c>
      <c r="H2294" s="23" t="s">
        <v>27</v>
      </c>
      <c r="I2294" s="23" t="s">
        <v>28</v>
      </c>
      <c r="J2294" s="14" t="s">
        <v>29</v>
      </c>
      <c r="K2294" s="15" t="s">
        <v>30</v>
      </c>
      <c r="L2294" s="87"/>
      <c r="M2294" s="14"/>
      <c r="N2294" s="14" t="s">
        <v>41</v>
      </c>
      <c r="O2294" s="14"/>
      <c r="P2294" s="15" t="s">
        <v>3040</v>
      </c>
      <c r="Q2294" s="16">
        <v>3099</v>
      </c>
      <c r="R2294" s="17">
        <v>45</v>
      </c>
      <c r="S2294" s="18">
        <v>1960.1174999999998</v>
      </c>
      <c r="T2294" s="19" t="s">
        <v>117</v>
      </c>
      <c r="U2294" s="20" t="s">
        <v>91</v>
      </c>
      <c r="V2294" s="21">
        <v>134</v>
      </c>
      <c r="W2294" s="21">
        <v>4</v>
      </c>
      <c r="X2294" s="22"/>
    </row>
    <row r="2295" spans="1:24" s="1" customFormat="1" ht="17.100000000000001" customHeight="1" x14ac:dyDescent="0.3">
      <c r="A2295" s="23" t="s">
        <v>3029</v>
      </c>
      <c r="B2295" s="23" t="s">
        <v>3036</v>
      </c>
      <c r="C2295" s="12" t="s">
        <v>3037</v>
      </c>
      <c r="D2295" s="85"/>
      <c r="E2295" s="69" t="str">
        <f t="shared" si="77"/>
        <v>Еще фото</v>
      </c>
      <c r="F2295" s="13"/>
      <c r="G2295" s="23" t="s">
        <v>3038</v>
      </c>
      <c r="H2295" s="23" t="s">
        <v>27</v>
      </c>
      <c r="I2295" s="23" t="s">
        <v>28</v>
      </c>
      <c r="J2295" s="14" t="s">
        <v>29</v>
      </c>
      <c r="K2295" s="15" t="s">
        <v>30</v>
      </c>
      <c r="L2295" s="88"/>
      <c r="M2295" s="14"/>
      <c r="N2295" s="14" t="s">
        <v>41</v>
      </c>
      <c r="O2295" s="14"/>
      <c r="P2295" s="15" t="s">
        <v>3040</v>
      </c>
      <c r="Q2295" s="16">
        <v>3099</v>
      </c>
      <c r="R2295" s="17">
        <v>45</v>
      </c>
      <c r="S2295" s="18">
        <v>1960.1174999999998</v>
      </c>
      <c r="T2295" s="19" t="s">
        <v>117</v>
      </c>
      <c r="U2295" s="20" t="s">
        <v>2160</v>
      </c>
      <c r="V2295" s="21">
        <v>152</v>
      </c>
      <c r="W2295" s="21">
        <v>2</v>
      </c>
      <c r="X2295" s="22"/>
    </row>
    <row r="2296" spans="1:24" s="1" customFormat="1" ht="11.1" customHeight="1" x14ac:dyDescent="0.3">
      <c r="A2296" s="11" t="s">
        <v>3029</v>
      </c>
      <c r="B2296" s="11" t="s">
        <v>3036</v>
      </c>
      <c r="C2296" s="12" t="s">
        <v>3041</v>
      </c>
      <c r="D2296" s="83"/>
      <c r="E2296" s="69" t="str">
        <f t="shared" ref="E2296:E2304" si="78">HYPERLINK("https://www.google.ru/search?q=133401-9113&amp;newwindow=1&amp;tbm=isch","Еще фото")</f>
        <v>Еще фото</v>
      </c>
      <c r="F2296" s="13"/>
      <c r="G2296" s="11" t="s">
        <v>3038</v>
      </c>
      <c r="H2296" s="11" t="s">
        <v>27</v>
      </c>
      <c r="I2296" s="14" t="s">
        <v>28</v>
      </c>
      <c r="J2296" s="14" t="s">
        <v>29</v>
      </c>
      <c r="K2296" s="15" t="s">
        <v>30</v>
      </c>
      <c r="L2296" s="86" t="s">
        <v>3042</v>
      </c>
      <c r="M2296" s="14"/>
      <c r="N2296" s="14" t="s">
        <v>242</v>
      </c>
      <c r="O2296" s="14"/>
      <c r="P2296" s="15" t="s">
        <v>3040</v>
      </c>
      <c r="Q2296" s="16">
        <v>3099</v>
      </c>
      <c r="R2296" s="17">
        <v>45</v>
      </c>
      <c r="S2296" s="18">
        <v>1960.1174999999998</v>
      </c>
      <c r="T2296" s="19" t="s">
        <v>117</v>
      </c>
      <c r="U2296" s="20" t="s">
        <v>196</v>
      </c>
      <c r="V2296" s="21">
        <v>86</v>
      </c>
      <c r="W2296" s="21">
        <v>1</v>
      </c>
      <c r="X2296" s="22"/>
    </row>
    <row r="2297" spans="1:24" s="1" customFormat="1" ht="11.1" customHeight="1" x14ac:dyDescent="0.3">
      <c r="A2297" s="23" t="s">
        <v>3029</v>
      </c>
      <c r="B2297" s="23" t="s">
        <v>3036</v>
      </c>
      <c r="C2297" s="12" t="s">
        <v>3041</v>
      </c>
      <c r="D2297" s="84"/>
      <c r="E2297" s="69" t="str">
        <f t="shared" si="78"/>
        <v>Еще фото</v>
      </c>
      <c r="F2297" s="13"/>
      <c r="G2297" s="23" t="s">
        <v>3038</v>
      </c>
      <c r="H2297" s="23" t="s">
        <v>27</v>
      </c>
      <c r="I2297" s="23" t="s">
        <v>28</v>
      </c>
      <c r="J2297" s="14" t="s">
        <v>29</v>
      </c>
      <c r="K2297" s="15" t="s">
        <v>30</v>
      </c>
      <c r="L2297" s="87"/>
      <c r="M2297" s="14"/>
      <c r="N2297" s="14" t="s">
        <v>242</v>
      </c>
      <c r="O2297" s="14"/>
      <c r="P2297" s="15" t="s">
        <v>3040</v>
      </c>
      <c r="Q2297" s="16">
        <v>3099</v>
      </c>
      <c r="R2297" s="17">
        <v>45</v>
      </c>
      <c r="S2297" s="18">
        <v>1960.1174999999998</v>
      </c>
      <c r="T2297" s="19" t="s">
        <v>117</v>
      </c>
      <c r="U2297" s="20" t="s">
        <v>94</v>
      </c>
      <c r="V2297" s="21">
        <v>104</v>
      </c>
      <c r="W2297" s="21">
        <v>4</v>
      </c>
      <c r="X2297" s="22"/>
    </row>
    <row r="2298" spans="1:24" s="1" customFormat="1" ht="11.1" customHeight="1" x14ac:dyDescent="0.3">
      <c r="A2298" s="23" t="s">
        <v>3029</v>
      </c>
      <c r="B2298" s="23" t="s">
        <v>3036</v>
      </c>
      <c r="C2298" s="12" t="s">
        <v>3041</v>
      </c>
      <c r="D2298" s="84"/>
      <c r="E2298" s="69" t="str">
        <f t="shared" si="78"/>
        <v>Еще фото</v>
      </c>
      <c r="F2298" s="13"/>
      <c r="G2298" s="23" t="s">
        <v>3038</v>
      </c>
      <c r="H2298" s="23" t="s">
        <v>27</v>
      </c>
      <c r="I2298" s="23" t="s">
        <v>28</v>
      </c>
      <c r="J2298" s="14" t="s">
        <v>29</v>
      </c>
      <c r="K2298" s="15" t="s">
        <v>30</v>
      </c>
      <c r="L2298" s="87"/>
      <c r="M2298" s="14"/>
      <c r="N2298" s="14" t="s">
        <v>242</v>
      </c>
      <c r="O2298" s="14"/>
      <c r="P2298" s="15" t="s">
        <v>3040</v>
      </c>
      <c r="Q2298" s="16">
        <v>3099</v>
      </c>
      <c r="R2298" s="17">
        <v>45</v>
      </c>
      <c r="S2298" s="18">
        <v>1960.1174999999998</v>
      </c>
      <c r="T2298" s="19" t="s">
        <v>117</v>
      </c>
      <c r="U2298" s="20" t="s">
        <v>43</v>
      </c>
      <c r="V2298" s="21">
        <v>110</v>
      </c>
      <c r="W2298" s="21">
        <v>2</v>
      </c>
      <c r="X2298" s="22"/>
    </row>
    <row r="2299" spans="1:24" s="1" customFormat="1" ht="11.1" customHeight="1" x14ac:dyDescent="0.3">
      <c r="A2299" s="23" t="s">
        <v>3029</v>
      </c>
      <c r="B2299" s="23" t="s">
        <v>3036</v>
      </c>
      <c r="C2299" s="12" t="s">
        <v>3041</v>
      </c>
      <c r="D2299" s="84"/>
      <c r="E2299" s="69" t="str">
        <f t="shared" si="78"/>
        <v>Еще фото</v>
      </c>
      <c r="F2299" s="13"/>
      <c r="G2299" s="23" t="s">
        <v>3038</v>
      </c>
      <c r="H2299" s="23" t="s">
        <v>27</v>
      </c>
      <c r="I2299" s="23" t="s">
        <v>28</v>
      </c>
      <c r="J2299" s="14" t="s">
        <v>29</v>
      </c>
      <c r="K2299" s="15" t="s">
        <v>30</v>
      </c>
      <c r="L2299" s="87"/>
      <c r="M2299" s="14"/>
      <c r="N2299" s="14" t="s">
        <v>242</v>
      </c>
      <c r="O2299" s="14"/>
      <c r="P2299" s="15" t="s">
        <v>3040</v>
      </c>
      <c r="Q2299" s="16">
        <v>3099</v>
      </c>
      <c r="R2299" s="17">
        <v>45</v>
      </c>
      <c r="S2299" s="18">
        <v>1960.1174999999998</v>
      </c>
      <c r="T2299" s="19" t="s">
        <v>117</v>
      </c>
      <c r="U2299" s="20" t="s">
        <v>35</v>
      </c>
      <c r="V2299" s="21">
        <v>116</v>
      </c>
      <c r="W2299" s="21">
        <v>2</v>
      </c>
      <c r="X2299" s="22"/>
    </row>
    <row r="2300" spans="1:24" s="1" customFormat="1" ht="11.1" customHeight="1" x14ac:dyDescent="0.3">
      <c r="A2300" s="23" t="s">
        <v>3029</v>
      </c>
      <c r="B2300" s="23" t="s">
        <v>3036</v>
      </c>
      <c r="C2300" s="12" t="s">
        <v>3041</v>
      </c>
      <c r="D2300" s="84"/>
      <c r="E2300" s="69" t="str">
        <f t="shared" si="78"/>
        <v>Еще фото</v>
      </c>
      <c r="F2300" s="13"/>
      <c r="G2300" s="23" t="s">
        <v>3038</v>
      </c>
      <c r="H2300" s="23" t="s">
        <v>27</v>
      </c>
      <c r="I2300" s="23" t="s">
        <v>28</v>
      </c>
      <c r="J2300" s="14" t="s">
        <v>29</v>
      </c>
      <c r="K2300" s="15" t="s">
        <v>30</v>
      </c>
      <c r="L2300" s="87"/>
      <c r="M2300" s="14"/>
      <c r="N2300" s="14" t="s">
        <v>242</v>
      </c>
      <c r="O2300" s="14"/>
      <c r="P2300" s="15" t="s">
        <v>3040</v>
      </c>
      <c r="Q2300" s="16">
        <v>3099</v>
      </c>
      <c r="R2300" s="17">
        <v>45</v>
      </c>
      <c r="S2300" s="18">
        <v>1960.1174999999998</v>
      </c>
      <c r="T2300" s="19" t="s">
        <v>117</v>
      </c>
      <c r="U2300" s="20" t="s">
        <v>36</v>
      </c>
      <c r="V2300" s="21">
        <v>122</v>
      </c>
      <c r="W2300" s="21">
        <v>4</v>
      </c>
      <c r="X2300" s="22"/>
    </row>
    <row r="2301" spans="1:24" s="1" customFormat="1" ht="11.1" customHeight="1" x14ac:dyDescent="0.3">
      <c r="A2301" s="23" t="s">
        <v>3029</v>
      </c>
      <c r="B2301" s="23" t="s">
        <v>3036</v>
      </c>
      <c r="C2301" s="12" t="s">
        <v>3041</v>
      </c>
      <c r="D2301" s="84"/>
      <c r="E2301" s="69" t="str">
        <f t="shared" si="78"/>
        <v>Еще фото</v>
      </c>
      <c r="F2301" s="13"/>
      <c r="G2301" s="23" t="s">
        <v>3038</v>
      </c>
      <c r="H2301" s="23" t="s">
        <v>27</v>
      </c>
      <c r="I2301" s="23" t="s">
        <v>28</v>
      </c>
      <c r="J2301" s="14" t="s">
        <v>29</v>
      </c>
      <c r="K2301" s="15" t="s">
        <v>30</v>
      </c>
      <c r="L2301" s="87"/>
      <c r="M2301" s="14"/>
      <c r="N2301" s="14" t="s">
        <v>242</v>
      </c>
      <c r="O2301" s="14"/>
      <c r="P2301" s="15" t="s">
        <v>3040</v>
      </c>
      <c r="Q2301" s="16">
        <v>3099</v>
      </c>
      <c r="R2301" s="17">
        <v>45</v>
      </c>
      <c r="S2301" s="18">
        <v>1960.1174999999998</v>
      </c>
      <c r="T2301" s="19" t="s">
        <v>117</v>
      </c>
      <c r="U2301" s="20" t="s">
        <v>37</v>
      </c>
      <c r="V2301" s="21">
        <v>128</v>
      </c>
      <c r="W2301" s="21">
        <v>4</v>
      </c>
      <c r="X2301" s="22"/>
    </row>
    <row r="2302" spans="1:24" s="1" customFormat="1" ht="11.1" customHeight="1" x14ac:dyDescent="0.3">
      <c r="A2302" s="23" t="s">
        <v>3029</v>
      </c>
      <c r="B2302" s="23" t="s">
        <v>3036</v>
      </c>
      <c r="C2302" s="12" t="s">
        <v>3041</v>
      </c>
      <c r="D2302" s="84"/>
      <c r="E2302" s="69" t="str">
        <f t="shared" si="78"/>
        <v>Еще фото</v>
      </c>
      <c r="F2302" s="13"/>
      <c r="G2302" s="23" t="s">
        <v>3038</v>
      </c>
      <c r="H2302" s="23" t="s">
        <v>27</v>
      </c>
      <c r="I2302" s="23" t="s">
        <v>28</v>
      </c>
      <c r="J2302" s="14" t="s">
        <v>29</v>
      </c>
      <c r="K2302" s="15" t="s">
        <v>30</v>
      </c>
      <c r="L2302" s="87"/>
      <c r="M2302" s="14"/>
      <c r="N2302" s="14" t="s">
        <v>242</v>
      </c>
      <c r="O2302" s="14"/>
      <c r="P2302" s="15" t="s">
        <v>3040</v>
      </c>
      <c r="Q2302" s="16">
        <v>3099</v>
      </c>
      <c r="R2302" s="17">
        <v>45</v>
      </c>
      <c r="S2302" s="18">
        <v>1960.1174999999998</v>
      </c>
      <c r="T2302" s="19" t="s">
        <v>117</v>
      </c>
      <c r="U2302" s="20" t="s">
        <v>91</v>
      </c>
      <c r="V2302" s="21">
        <v>134</v>
      </c>
      <c r="W2302" s="21">
        <v>4</v>
      </c>
      <c r="X2302" s="22"/>
    </row>
    <row r="2303" spans="1:24" s="1" customFormat="1" ht="11.1" customHeight="1" x14ac:dyDescent="0.3">
      <c r="A2303" s="23" t="s">
        <v>3029</v>
      </c>
      <c r="B2303" s="23" t="s">
        <v>3036</v>
      </c>
      <c r="C2303" s="12" t="s">
        <v>3041</v>
      </c>
      <c r="D2303" s="84"/>
      <c r="E2303" s="69" t="str">
        <f t="shared" si="78"/>
        <v>Еще фото</v>
      </c>
      <c r="F2303" s="13"/>
      <c r="G2303" s="23" t="s">
        <v>3038</v>
      </c>
      <c r="H2303" s="23" t="s">
        <v>27</v>
      </c>
      <c r="I2303" s="23" t="s">
        <v>28</v>
      </c>
      <c r="J2303" s="14" t="s">
        <v>29</v>
      </c>
      <c r="K2303" s="15" t="s">
        <v>30</v>
      </c>
      <c r="L2303" s="87"/>
      <c r="M2303" s="14"/>
      <c r="N2303" s="14" t="s">
        <v>242</v>
      </c>
      <c r="O2303" s="14"/>
      <c r="P2303" s="15" t="s">
        <v>3040</v>
      </c>
      <c r="Q2303" s="16">
        <v>3099</v>
      </c>
      <c r="R2303" s="17">
        <v>45</v>
      </c>
      <c r="S2303" s="18">
        <v>1960.1174999999998</v>
      </c>
      <c r="T2303" s="19" t="s">
        <v>117</v>
      </c>
      <c r="U2303" s="20" t="s">
        <v>290</v>
      </c>
      <c r="V2303" s="21">
        <v>140</v>
      </c>
      <c r="W2303" s="21">
        <v>2</v>
      </c>
      <c r="X2303" s="22"/>
    </row>
    <row r="2304" spans="1:24" s="1" customFormat="1" ht="11.1" customHeight="1" x14ac:dyDescent="0.3">
      <c r="A2304" s="23" t="s">
        <v>3029</v>
      </c>
      <c r="B2304" s="23" t="s">
        <v>3036</v>
      </c>
      <c r="C2304" s="12" t="s">
        <v>3041</v>
      </c>
      <c r="D2304" s="85"/>
      <c r="E2304" s="69" t="str">
        <f t="shared" si="78"/>
        <v>Еще фото</v>
      </c>
      <c r="F2304" s="13"/>
      <c r="G2304" s="23" t="s">
        <v>3038</v>
      </c>
      <c r="H2304" s="23" t="s">
        <v>27</v>
      </c>
      <c r="I2304" s="23" t="s">
        <v>28</v>
      </c>
      <c r="J2304" s="14" t="s">
        <v>29</v>
      </c>
      <c r="K2304" s="15" t="s">
        <v>30</v>
      </c>
      <c r="L2304" s="88"/>
      <c r="M2304" s="14"/>
      <c r="N2304" s="14" t="s">
        <v>242</v>
      </c>
      <c r="O2304" s="14"/>
      <c r="P2304" s="15" t="s">
        <v>3040</v>
      </c>
      <c r="Q2304" s="16">
        <v>3099</v>
      </c>
      <c r="R2304" s="17">
        <v>45</v>
      </c>
      <c r="S2304" s="18">
        <v>1960.1174999999998</v>
      </c>
      <c r="T2304" s="19" t="s">
        <v>117</v>
      </c>
      <c r="U2304" s="20" t="s">
        <v>2160</v>
      </c>
      <c r="V2304" s="21">
        <v>152</v>
      </c>
      <c r="W2304" s="21">
        <v>1</v>
      </c>
      <c r="X2304" s="22"/>
    </row>
    <row r="2305" spans="1:24" s="1" customFormat="1" ht="12.95" customHeight="1" x14ac:dyDescent="0.3">
      <c r="A2305" s="11" t="s">
        <v>3029</v>
      </c>
      <c r="B2305" s="11" t="s">
        <v>38</v>
      </c>
      <c r="C2305" s="12" t="s">
        <v>3043</v>
      </c>
      <c r="D2305" s="83"/>
      <c r="E2305" s="69" t="str">
        <f t="shared" ref="E2305:E2312" si="79">HYPERLINK("https://www.google.ru/search?q=133402-9113&amp;newwindow=1&amp;tbm=isch","Еще фото")</f>
        <v>Еще фото</v>
      </c>
      <c r="F2305" s="13"/>
      <c r="G2305" s="11" t="s">
        <v>28</v>
      </c>
      <c r="H2305" s="11" t="s">
        <v>27</v>
      </c>
      <c r="I2305" s="14" t="s">
        <v>28</v>
      </c>
      <c r="J2305" s="14" t="s">
        <v>29</v>
      </c>
      <c r="K2305" s="15" t="s">
        <v>30</v>
      </c>
      <c r="L2305" s="86" t="s">
        <v>3044</v>
      </c>
      <c r="M2305" s="14"/>
      <c r="N2305" s="14" t="s">
        <v>242</v>
      </c>
      <c r="O2305" s="14"/>
      <c r="P2305" s="15" t="s">
        <v>3032</v>
      </c>
      <c r="Q2305" s="16">
        <v>3999</v>
      </c>
      <c r="R2305" s="17">
        <v>45</v>
      </c>
      <c r="S2305" s="18">
        <v>2529.3674999999994</v>
      </c>
      <c r="T2305" s="19" t="s">
        <v>117</v>
      </c>
      <c r="U2305" s="26" t="s">
        <v>196</v>
      </c>
      <c r="V2305" s="21">
        <v>86</v>
      </c>
      <c r="W2305" s="21">
        <v>2</v>
      </c>
      <c r="X2305" s="22"/>
    </row>
    <row r="2306" spans="1:24" s="1" customFormat="1" ht="12.95" customHeight="1" x14ac:dyDescent="0.3">
      <c r="A2306" s="23" t="s">
        <v>3029</v>
      </c>
      <c r="B2306" s="23" t="s">
        <v>38</v>
      </c>
      <c r="C2306" s="12" t="s">
        <v>3043</v>
      </c>
      <c r="D2306" s="84"/>
      <c r="E2306" s="69" t="str">
        <f t="shared" si="79"/>
        <v>Еще фото</v>
      </c>
      <c r="F2306" s="13"/>
      <c r="G2306" s="23" t="s">
        <v>28</v>
      </c>
      <c r="H2306" s="23" t="s">
        <v>27</v>
      </c>
      <c r="I2306" s="23" t="s">
        <v>28</v>
      </c>
      <c r="J2306" s="14" t="s">
        <v>29</v>
      </c>
      <c r="K2306" s="15" t="s">
        <v>30</v>
      </c>
      <c r="L2306" s="87"/>
      <c r="M2306" s="14"/>
      <c r="N2306" s="14" t="s">
        <v>242</v>
      </c>
      <c r="O2306" s="14"/>
      <c r="P2306" s="15" t="s">
        <v>3032</v>
      </c>
      <c r="Q2306" s="16">
        <v>3999</v>
      </c>
      <c r="R2306" s="17">
        <v>45</v>
      </c>
      <c r="S2306" s="18">
        <v>2529.3674999999994</v>
      </c>
      <c r="T2306" s="19" t="s">
        <v>117</v>
      </c>
      <c r="U2306" s="20" t="s">
        <v>77</v>
      </c>
      <c r="V2306" s="21">
        <v>92</v>
      </c>
      <c r="W2306" s="21">
        <v>2</v>
      </c>
      <c r="X2306" s="22"/>
    </row>
    <row r="2307" spans="1:24" s="1" customFormat="1" ht="12.95" customHeight="1" x14ac:dyDescent="0.3">
      <c r="A2307" s="23" t="s">
        <v>3029</v>
      </c>
      <c r="B2307" s="23" t="s">
        <v>38</v>
      </c>
      <c r="C2307" s="12" t="s">
        <v>3043</v>
      </c>
      <c r="D2307" s="84"/>
      <c r="E2307" s="69" t="str">
        <f t="shared" si="79"/>
        <v>Еще фото</v>
      </c>
      <c r="F2307" s="13"/>
      <c r="G2307" s="23" t="s">
        <v>28</v>
      </c>
      <c r="H2307" s="23" t="s">
        <v>27</v>
      </c>
      <c r="I2307" s="23" t="s">
        <v>28</v>
      </c>
      <c r="J2307" s="14" t="s">
        <v>29</v>
      </c>
      <c r="K2307" s="15" t="s">
        <v>30</v>
      </c>
      <c r="L2307" s="87"/>
      <c r="M2307" s="14"/>
      <c r="N2307" s="14" t="s">
        <v>242</v>
      </c>
      <c r="O2307" s="14"/>
      <c r="P2307" s="15" t="s">
        <v>3032</v>
      </c>
      <c r="Q2307" s="16">
        <v>3999</v>
      </c>
      <c r="R2307" s="17">
        <v>45</v>
      </c>
      <c r="S2307" s="18">
        <v>2529.3674999999994</v>
      </c>
      <c r="T2307" s="19" t="s">
        <v>117</v>
      </c>
      <c r="U2307" s="20" t="s">
        <v>78</v>
      </c>
      <c r="V2307" s="21">
        <v>98</v>
      </c>
      <c r="W2307" s="21">
        <v>2</v>
      </c>
      <c r="X2307" s="22"/>
    </row>
    <row r="2308" spans="1:24" s="1" customFormat="1" ht="12.95" customHeight="1" x14ac:dyDescent="0.3">
      <c r="A2308" s="23" t="s">
        <v>3029</v>
      </c>
      <c r="B2308" s="23" t="s">
        <v>38</v>
      </c>
      <c r="C2308" s="12" t="s">
        <v>3043</v>
      </c>
      <c r="D2308" s="84"/>
      <c r="E2308" s="69" t="str">
        <f t="shared" si="79"/>
        <v>Еще фото</v>
      </c>
      <c r="F2308" s="13"/>
      <c r="G2308" s="23" t="s">
        <v>28</v>
      </c>
      <c r="H2308" s="23" t="s">
        <v>27</v>
      </c>
      <c r="I2308" s="23" t="s">
        <v>28</v>
      </c>
      <c r="J2308" s="14" t="s">
        <v>29</v>
      </c>
      <c r="K2308" s="15" t="s">
        <v>30</v>
      </c>
      <c r="L2308" s="87"/>
      <c r="M2308" s="14"/>
      <c r="N2308" s="14" t="s">
        <v>242</v>
      </c>
      <c r="O2308" s="14"/>
      <c r="P2308" s="15" t="s">
        <v>3032</v>
      </c>
      <c r="Q2308" s="16">
        <v>3999</v>
      </c>
      <c r="R2308" s="17">
        <v>45</v>
      </c>
      <c r="S2308" s="18">
        <v>2529.3674999999994</v>
      </c>
      <c r="T2308" s="19" t="s">
        <v>117</v>
      </c>
      <c r="U2308" s="20" t="s">
        <v>43</v>
      </c>
      <c r="V2308" s="21">
        <v>110</v>
      </c>
      <c r="W2308" s="21">
        <v>3</v>
      </c>
      <c r="X2308" s="22"/>
    </row>
    <row r="2309" spans="1:24" s="1" customFormat="1" ht="12.95" customHeight="1" x14ac:dyDescent="0.3">
      <c r="A2309" s="23" t="s">
        <v>3029</v>
      </c>
      <c r="B2309" s="23" t="s">
        <v>38</v>
      </c>
      <c r="C2309" s="12" t="s">
        <v>3043</v>
      </c>
      <c r="D2309" s="84"/>
      <c r="E2309" s="69" t="str">
        <f t="shared" si="79"/>
        <v>Еще фото</v>
      </c>
      <c r="F2309" s="13"/>
      <c r="G2309" s="23" t="s">
        <v>28</v>
      </c>
      <c r="H2309" s="23" t="s">
        <v>27</v>
      </c>
      <c r="I2309" s="23" t="s">
        <v>28</v>
      </c>
      <c r="J2309" s="14" t="s">
        <v>29</v>
      </c>
      <c r="K2309" s="15" t="s">
        <v>30</v>
      </c>
      <c r="L2309" s="87"/>
      <c r="M2309" s="14"/>
      <c r="N2309" s="14" t="s">
        <v>242</v>
      </c>
      <c r="O2309" s="14"/>
      <c r="P2309" s="15" t="s">
        <v>3032</v>
      </c>
      <c r="Q2309" s="16">
        <v>3999</v>
      </c>
      <c r="R2309" s="17">
        <v>45</v>
      </c>
      <c r="S2309" s="18">
        <v>2529.3674999999994</v>
      </c>
      <c r="T2309" s="19" t="s">
        <v>117</v>
      </c>
      <c r="U2309" s="20" t="s">
        <v>35</v>
      </c>
      <c r="V2309" s="21">
        <v>116</v>
      </c>
      <c r="W2309" s="21">
        <v>4</v>
      </c>
      <c r="X2309" s="22"/>
    </row>
    <row r="2310" spans="1:24" s="1" customFormat="1" ht="12.95" customHeight="1" x14ac:dyDescent="0.3">
      <c r="A2310" s="23" t="s">
        <v>3029</v>
      </c>
      <c r="B2310" s="23" t="s">
        <v>38</v>
      </c>
      <c r="C2310" s="12" t="s">
        <v>3043</v>
      </c>
      <c r="D2310" s="84"/>
      <c r="E2310" s="69" t="str">
        <f t="shared" si="79"/>
        <v>Еще фото</v>
      </c>
      <c r="F2310" s="13"/>
      <c r="G2310" s="23" t="s">
        <v>28</v>
      </c>
      <c r="H2310" s="23" t="s">
        <v>27</v>
      </c>
      <c r="I2310" s="23" t="s">
        <v>28</v>
      </c>
      <c r="J2310" s="14" t="s">
        <v>29</v>
      </c>
      <c r="K2310" s="15" t="s">
        <v>30</v>
      </c>
      <c r="L2310" s="87"/>
      <c r="M2310" s="14"/>
      <c r="N2310" s="14" t="s">
        <v>242</v>
      </c>
      <c r="O2310" s="14"/>
      <c r="P2310" s="15" t="s">
        <v>3032</v>
      </c>
      <c r="Q2310" s="16">
        <v>3999</v>
      </c>
      <c r="R2310" s="17">
        <v>45</v>
      </c>
      <c r="S2310" s="18">
        <v>2529.3674999999994</v>
      </c>
      <c r="T2310" s="19" t="s">
        <v>117</v>
      </c>
      <c r="U2310" s="20" t="s">
        <v>36</v>
      </c>
      <c r="V2310" s="21">
        <v>122</v>
      </c>
      <c r="W2310" s="21">
        <v>2</v>
      </c>
      <c r="X2310" s="22"/>
    </row>
    <row r="2311" spans="1:24" s="1" customFormat="1" ht="12.95" customHeight="1" x14ac:dyDescent="0.3">
      <c r="A2311" s="23" t="s">
        <v>3029</v>
      </c>
      <c r="B2311" s="23" t="s">
        <v>38</v>
      </c>
      <c r="C2311" s="12" t="s">
        <v>3043</v>
      </c>
      <c r="D2311" s="84"/>
      <c r="E2311" s="69" t="str">
        <f t="shared" si="79"/>
        <v>Еще фото</v>
      </c>
      <c r="F2311" s="13"/>
      <c r="G2311" s="23" t="s">
        <v>28</v>
      </c>
      <c r="H2311" s="23" t="s">
        <v>27</v>
      </c>
      <c r="I2311" s="23" t="s">
        <v>28</v>
      </c>
      <c r="J2311" s="14" t="s">
        <v>29</v>
      </c>
      <c r="K2311" s="15" t="s">
        <v>30</v>
      </c>
      <c r="L2311" s="87"/>
      <c r="M2311" s="14"/>
      <c r="N2311" s="14" t="s">
        <v>242</v>
      </c>
      <c r="O2311" s="14"/>
      <c r="P2311" s="15" t="s">
        <v>3032</v>
      </c>
      <c r="Q2311" s="16">
        <v>3999</v>
      </c>
      <c r="R2311" s="17">
        <v>45</v>
      </c>
      <c r="S2311" s="18">
        <v>2529.3674999999994</v>
      </c>
      <c r="T2311" s="19" t="s">
        <v>117</v>
      </c>
      <c r="U2311" s="20" t="s">
        <v>37</v>
      </c>
      <c r="V2311" s="21">
        <v>128</v>
      </c>
      <c r="W2311" s="21">
        <v>2</v>
      </c>
      <c r="X2311" s="22"/>
    </row>
    <row r="2312" spans="1:24" s="1" customFormat="1" ht="18" customHeight="1" x14ac:dyDescent="0.3">
      <c r="A2312" s="23" t="s">
        <v>3029</v>
      </c>
      <c r="B2312" s="23" t="s">
        <v>38</v>
      </c>
      <c r="C2312" s="12" t="s">
        <v>3043</v>
      </c>
      <c r="D2312" s="85"/>
      <c r="E2312" s="69" t="str">
        <f t="shared" si="79"/>
        <v>Еще фото</v>
      </c>
      <c r="F2312" s="13"/>
      <c r="G2312" s="23" t="s">
        <v>28</v>
      </c>
      <c r="H2312" s="23" t="s">
        <v>27</v>
      </c>
      <c r="I2312" s="23" t="s">
        <v>28</v>
      </c>
      <c r="J2312" s="14" t="s">
        <v>29</v>
      </c>
      <c r="K2312" s="15" t="s">
        <v>30</v>
      </c>
      <c r="L2312" s="88"/>
      <c r="M2312" s="14"/>
      <c r="N2312" s="14" t="s">
        <v>242</v>
      </c>
      <c r="O2312" s="14"/>
      <c r="P2312" s="15" t="s">
        <v>3032</v>
      </c>
      <c r="Q2312" s="16">
        <v>3999</v>
      </c>
      <c r="R2312" s="17">
        <v>45</v>
      </c>
      <c r="S2312" s="18">
        <v>2529.3674999999994</v>
      </c>
      <c r="T2312" s="19" t="s">
        <v>117</v>
      </c>
      <c r="U2312" s="20" t="s">
        <v>91</v>
      </c>
      <c r="V2312" s="21">
        <v>134</v>
      </c>
      <c r="W2312" s="21">
        <v>2</v>
      </c>
      <c r="X2312" s="22"/>
    </row>
    <row r="2313" spans="1:24" s="1" customFormat="1" ht="17.100000000000001" customHeight="1" x14ac:dyDescent="0.3">
      <c r="A2313" s="11" t="s">
        <v>3029</v>
      </c>
      <c r="B2313" s="11" t="s">
        <v>38</v>
      </c>
      <c r="C2313" s="12" t="s">
        <v>3045</v>
      </c>
      <c r="D2313" s="83"/>
      <c r="E2313" s="69" t="str">
        <f t="shared" ref="E2313:E2318" si="80">HYPERLINK("https://www.google.ru/search?q=133403-7899&amp;newwindow=1&amp;tbm=isch","Еще фото")</f>
        <v>Еще фото</v>
      </c>
      <c r="F2313" s="13"/>
      <c r="G2313" s="11" t="s">
        <v>28</v>
      </c>
      <c r="H2313" s="11" t="s">
        <v>27</v>
      </c>
      <c r="I2313" s="14" t="s">
        <v>28</v>
      </c>
      <c r="J2313" s="14" t="s">
        <v>29</v>
      </c>
      <c r="K2313" s="15" t="s">
        <v>30</v>
      </c>
      <c r="L2313" s="86" t="s">
        <v>3046</v>
      </c>
      <c r="M2313" s="14"/>
      <c r="N2313" s="14" t="s">
        <v>70</v>
      </c>
      <c r="O2313" s="14"/>
      <c r="P2313" s="15" t="s">
        <v>3035</v>
      </c>
      <c r="Q2313" s="16">
        <v>3999</v>
      </c>
      <c r="R2313" s="17">
        <v>45</v>
      </c>
      <c r="S2313" s="18">
        <v>2529.3674999999994</v>
      </c>
      <c r="T2313" s="19" t="s">
        <v>117</v>
      </c>
      <c r="U2313" s="20" t="s">
        <v>196</v>
      </c>
      <c r="V2313" s="21">
        <v>86</v>
      </c>
      <c r="W2313" s="21">
        <v>2</v>
      </c>
      <c r="X2313" s="22"/>
    </row>
    <row r="2314" spans="1:24" s="1" customFormat="1" ht="17.100000000000001" customHeight="1" x14ac:dyDescent="0.3">
      <c r="A2314" s="23" t="s">
        <v>3029</v>
      </c>
      <c r="B2314" s="23" t="s">
        <v>38</v>
      </c>
      <c r="C2314" s="12" t="s">
        <v>3045</v>
      </c>
      <c r="D2314" s="84"/>
      <c r="E2314" s="69" t="str">
        <f t="shared" si="80"/>
        <v>Еще фото</v>
      </c>
      <c r="F2314" s="13"/>
      <c r="G2314" s="23" t="s">
        <v>28</v>
      </c>
      <c r="H2314" s="23" t="s">
        <v>27</v>
      </c>
      <c r="I2314" s="23" t="s">
        <v>28</v>
      </c>
      <c r="J2314" s="14" t="s">
        <v>29</v>
      </c>
      <c r="K2314" s="15" t="s">
        <v>30</v>
      </c>
      <c r="L2314" s="87"/>
      <c r="M2314" s="14"/>
      <c r="N2314" s="14" t="s">
        <v>70</v>
      </c>
      <c r="O2314" s="14"/>
      <c r="P2314" s="15" t="s">
        <v>3035</v>
      </c>
      <c r="Q2314" s="16">
        <v>3999</v>
      </c>
      <c r="R2314" s="17">
        <v>45</v>
      </c>
      <c r="S2314" s="18">
        <v>2529.3674999999994</v>
      </c>
      <c r="T2314" s="19" t="s">
        <v>117</v>
      </c>
      <c r="U2314" s="20" t="s">
        <v>77</v>
      </c>
      <c r="V2314" s="21">
        <v>92</v>
      </c>
      <c r="W2314" s="21">
        <v>1</v>
      </c>
      <c r="X2314" s="22"/>
    </row>
    <row r="2315" spans="1:24" s="1" customFormat="1" ht="17.100000000000001" customHeight="1" x14ac:dyDescent="0.3">
      <c r="A2315" s="23" t="s">
        <v>3029</v>
      </c>
      <c r="B2315" s="23" t="s">
        <v>38</v>
      </c>
      <c r="C2315" s="12" t="s">
        <v>3045</v>
      </c>
      <c r="D2315" s="84"/>
      <c r="E2315" s="69" t="str">
        <f t="shared" si="80"/>
        <v>Еще фото</v>
      </c>
      <c r="F2315" s="13"/>
      <c r="G2315" s="23" t="s">
        <v>28</v>
      </c>
      <c r="H2315" s="23" t="s">
        <v>27</v>
      </c>
      <c r="I2315" s="23" t="s">
        <v>28</v>
      </c>
      <c r="J2315" s="14" t="s">
        <v>29</v>
      </c>
      <c r="K2315" s="15" t="s">
        <v>30</v>
      </c>
      <c r="L2315" s="87"/>
      <c r="M2315" s="14"/>
      <c r="N2315" s="14" t="s">
        <v>70</v>
      </c>
      <c r="O2315" s="14"/>
      <c r="P2315" s="15" t="s">
        <v>3035</v>
      </c>
      <c r="Q2315" s="16">
        <v>3999</v>
      </c>
      <c r="R2315" s="17">
        <v>45</v>
      </c>
      <c r="S2315" s="18">
        <v>2529.3674999999994</v>
      </c>
      <c r="T2315" s="19" t="s">
        <v>117</v>
      </c>
      <c r="U2315" s="20" t="s">
        <v>78</v>
      </c>
      <c r="V2315" s="21">
        <v>98</v>
      </c>
      <c r="W2315" s="21">
        <v>3</v>
      </c>
      <c r="X2315" s="22"/>
    </row>
    <row r="2316" spans="1:24" s="1" customFormat="1" ht="17.100000000000001" customHeight="1" x14ac:dyDescent="0.3">
      <c r="A2316" s="23" t="s">
        <v>3029</v>
      </c>
      <c r="B2316" s="23" t="s">
        <v>38</v>
      </c>
      <c r="C2316" s="12" t="s">
        <v>3045</v>
      </c>
      <c r="D2316" s="84"/>
      <c r="E2316" s="69" t="str">
        <f t="shared" si="80"/>
        <v>Еще фото</v>
      </c>
      <c r="F2316" s="13"/>
      <c r="G2316" s="23" t="s">
        <v>28</v>
      </c>
      <c r="H2316" s="23" t="s">
        <v>27</v>
      </c>
      <c r="I2316" s="23" t="s">
        <v>28</v>
      </c>
      <c r="J2316" s="14" t="s">
        <v>29</v>
      </c>
      <c r="K2316" s="15" t="s">
        <v>30</v>
      </c>
      <c r="L2316" s="87"/>
      <c r="M2316" s="14"/>
      <c r="N2316" s="14" t="s">
        <v>70</v>
      </c>
      <c r="O2316" s="14"/>
      <c r="P2316" s="15" t="s">
        <v>3035</v>
      </c>
      <c r="Q2316" s="16">
        <v>3999</v>
      </c>
      <c r="R2316" s="17">
        <v>45</v>
      </c>
      <c r="S2316" s="18">
        <v>2529.3674999999994</v>
      </c>
      <c r="T2316" s="19" t="s">
        <v>117</v>
      </c>
      <c r="U2316" s="20" t="s">
        <v>94</v>
      </c>
      <c r="V2316" s="21">
        <v>104</v>
      </c>
      <c r="W2316" s="21">
        <v>2</v>
      </c>
      <c r="X2316" s="22"/>
    </row>
    <row r="2317" spans="1:24" s="1" customFormat="1" ht="17.100000000000001" customHeight="1" x14ac:dyDescent="0.3">
      <c r="A2317" s="23" t="s">
        <v>3029</v>
      </c>
      <c r="B2317" s="23" t="s">
        <v>38</v>
      </c>
      <c r="C2317" s="12" t="s">
        <v>3045</v>
      </c>
      <c r="D2317" s="84"/>
      <c r="E2317" s="69" t="str">
        <f t="shared" si="80"/>
        <v>Еще фото</v>
      </c>
      <c r="F2317" s="13"/>
      <c r="G2317" s="23" t="s">
        <v>28</v>
      </c>
      <c r="H2317" s="23" t="s">
        <v>27</v>
      </c>
      <c r="I2317" s="23" t="s">
        <v>28</v>
      </c>
      <c r="J2317" s="14" t="s">
        <v>29</v>
      </c>
      <c r="K2317" s="15" t="s">
        <v>30</v>
      </c>
      <c r="L2317" s="87"/>
      <c r="M2317" s="14"/>
      <c r="N2317" s="14" t="s">
        <v>70</v>
      </c>
      <c r="O2317" s="14"/>
      <c r="P2317" s="15" t="s">
        <v>3035</v>
      </c>
      <c r="Q2317" s="16">
        <v>3999</v>
      </c>
      <c r="R2317" s="17">
        <v>45</v>
      </c>
      <c r="S2317" s="18">
        <v>2529.3674999999994</v>
      </c>
      <c r="T2317" s="19" t="s">
        <v>117</v>
      </c>
      <c r="U2317" s="20" t="s">
        <v>43</v>
      </c>
      <c r="V2317" s="21">
        <v>110</v>
      </c>
      <c r="W2317" s="21">
        <v>8</v>
      </c>
      <c r="X2317" s="22"/>
    </row>
    <row r="2318" spans="1:24" s="1" customFormat="1" ht="21.95" customHeight="1" x14ac:dyDescent="0.3">
      <c r="A2318" s="23" t="s">
        <v>3029</v>
      </c>
      <c r="B2318" s="23" t="s">
        <v>38</v>
      </c>
      <c r="C2318" s="12" t="s">
        <v>3045</v>
      </c>
      <c r="D2318" s="85"/>
      <c r="E2318" s="69" t="str">
        <f t="shared" si="80"/>
        <v>Еще фото</v>
      </c>
      <c r="F2318" s="13"/>
      <c r="G2318" s="23" t="s">
        <v>28</v>
      </c>
      <c r="H2318" s="23" t="s">
        <v>27</v>
      </c>
      <c r="I2318" s="23" t="s">
        <v>28</v>
      </c>
      <c r="J2318" s="14" t="s">
        <v>29</v>
      </c>
      <c r="K2318" s="15" t="s">
        <v>30</v>
      </c>
      <c r="L2318" s="88"/>
      <c r="M2318" s="14"/>
      <c r="N2318" s="14" t="s">
        <v>70</v>
      </c>
      <c r="O2318" s="14"/>
      <c r="P2318" s="15" t="s">
        <v>3035</v>
      </c>
      <c r="Q2318" s="16">
        <v>3999</v>
      </c>
      <c r="R2318" s="17">
        <v>45</v>
      </c>
      <c r="S2318" s="18">
        <v>2529.3674999999994</v>
      </c>
      <c r="T2318" s="19" t="s">
        <v>117</v>
      </c>
      <c r="U2318" s="20" t="s">
        <v>35</v>
      </c>
      <c r="V2318" s="21">
        <v>116</v>
      </c>
      <c r="W2318" s="21">
        <v>2</v>
      </c>
      <c r="X2318" s="22"/>
    </row>
    <row r="2319" spans="1:24" s="1" customFormat="1" ht="11.1" customHeight="1" x14ac:dyDescent="0.3">
      <c r="A2319" s="11" t="s">
        <v>3029</v>
      </c>
      <c r="B2319" s="11" t="s">
        <v>38</v>
      </c>
      <c r="C2319" s="12" t="s">
        <v>3047</v>
      </c>
      <c r="D2319" s="83"/>
      <c r="E2319" s="69" t="str">
        <f t="shared" ref="E2319:E2329" si="81">HYPERLINK("https://www.google.ru/search?q=133404-8150&amp;newwindow=1&amp;tbm=isch","Еще фото")</f>
        <v>Еще фото</v>
      </c>
      <c r="F2319" s="13"/>
      <c r="G2319" s="11" t="s">
        <v>28</v>
      </c>
      <c r="H2319" s="11" t="s">
        <v>27</v>
      </c>
      <c r="I2319" s="14" t="s">
        <v>28</v>
      </c>
      <c r="J2319" s="14" t="s">
        <v>29</v>
      </c>
      <c r="K2319" s="15" t="s">
        <v>30</v>
      </c>
      <c r="L2319" s="86" t="s">
        <v>3048</v>
      </c>
      <c r="M2319" s="14"/>
      <c r="N2319" s="14" t="s">
        <v>41</v>
      </c>
      <c r="O2319" s="14"/>
      <c r="P2319" s="15" t="s">
        <v>3035</v>
      </c>
      <c r="Q2319" s="16">
        <v>3999</v>
      </c>
      <c r="R2319" s="17">
        <v>45</v>
      </c>
      <c r="S2319" s="18">
        <v>2529.3674999999994</v>
      </c>
      <c r="T2319" s="19" t="s">
        <v>117</v>
      </c>
      <c r="U2319" s="20" t="s">
        <v>196</v>
      </c>
      <c r="V2319" s="21">
        <v>86</v>
      </c>
      <c r="W2319" s="21">
        <v>2</v>
      </c>
      <c r="X2319" s="22"/>
    </row>
    <row r="2320" spans="1:24" s="1" customFormat="1" ht="11.1" customHeight="1" x14ac:dyDescent="0.3">
      <c r="A2320" s="23" t="s">
        <v>3029</v>
      </c>
      <c r="B2320" s="23" t="s">
        <v>38</v>
      </c>
      <c r="C2320" s="12" t="s">
        <v>3047</v>
      </c>
      <c r="D2320" s="84"/>
      <c r="E2320" s="69" t="str">
        <f t="shared" si="81"/>
        <v>Еще фото</v>
      </c>
      <c r="F2320" s="13"/>
      <c r="G2320" s="23" t="s">
        <v>28</v>
      </c>
      <c r="H2320" s="23" t="s">
        <v>27</v>
      </c>
      <c r="I2320" s="23" t="s">
        <v>28</v>
      </c>
      <c r="J2320" s="14" t="s">
        <v>29</v>
      </c>
      <c r="K2320" s="15" t="s">
        <v>30</v>
      </c>
      <c r="L2320" s="87"/>
      <c r="M2320" s="14"/>
      <c r="N2320" s="14" t="s">
        <v>41</v>
      </c>
      <c r="O2320" s="14"/>
      <c r="P2320" s="15" t="s">
        <v>3035</v>
      </c>
      <c r="Q2320" s="16">
        <v>3999</v>
      </c>
      <c r="R2320" s="17">
        <v>45</v>
      </c>
      <c r="S2320" s="18">
        <v>2529.3674999999994</v>
      </c>
      <c r="T2320" s="19" t="s">
        <v>117</v>
      </c>
      <c r="U2320" s="20" t="s">
        <v>77</v>
      </c>
      <c r="V2320" s="21">
        <v>92</v>
      </c>
      <c r="W2320" s="21">
        <v>1</v>
      </c>
      <c r="X2320" s="22"/>
    </row>
    <row r="2321" spans="1:24" s="1" customFormat="1" ht="11.1" customHeight="1" x14ac:dyDescent="0.3">
      <c r="A2321" s="23" t="s">
        <v>3029</v>
      </c>
      <c r="B2321" s="23" t="s">
        <v>38</v>
      </c>
      <c r="C2321" s="12" t="s">
        <v>3047</v>
      </c>
      <c r="D2321" s="84"/>
      <c r="E2321" s="69" t="str">
        <f t="shared" si="81"/>
        <v>Еще фото</v>
      </c>
      <c r="F2321" s="13"/>
      <c r="G2321" s="23" t="s">
        <v>28</v>
      </c>
      <c r="H2321" s="23" t="s">
        <v>27</v>
      </c>
      <c r="I2321" s="23" t="s">
        <v>28</v>
      </c>
      <c r="J2321" s="14" t="s">
        <v>29</v>
      </c>
      <c r="K2321" s="15" t="s">
        <v>30</v>
      </c>
      <c r="L2321" s="87"/>
      <c r="M2321" s="14"/>
      <c r="N2321" s="14" t="s">
        <v>41</v>
      </c>
      <c r="O2321" s="14"/>
      <c r="P2321" s="15" t="s">
        <v>3035</v>
      </c>
      <c r="Q2321" s="16">
        <v>3999</v>
      </c>
      <c r="R2321" s="17">
        <v>45</v>
      </c>
      <c r="S2321" s="18">
        <v>2529.3674999999994</v>
      </c>
      <c r="T2321" s="19" t="s">
        <v>117</v>
      </c>
      <c r="U2321" s="20" t="s">
        <v>78</v>
      </c>
      <c r="V2321" s="21">
        <v>98</v>
      </c>
      <c r="W2321" s="21">
        <v>3</v>
      </c>
      <c r="X2321" s="22"/>
    </row>
    <row r="2322" spans="1:24" s="1" customFormat="1" ht="11.1" customHeight="1" x14ac:dyDescent="0.3">
      <c r="A2322" s="23" t="s">
        <v>3029</v>
      </c>
      <c r="B2322" s="23" t="s">
        <v>38</v>
      </c>
      <c r="C2322" s="12" t="s">
        <v>3047</v>
      </c>
      <c r="D2322" s="84"/>
      <c r="E2322" s="69" t="str">
        <f t="shared" si="81"/>
        <v>Еще фото</v>
      </c>
      <c r="F2322" s="13"/>
      <c r="G2322" s="23" t="s">
        <v>28</v>
      </c>
      <c r="H2322" s="23" t="s">
        <v>27</v>
      </c>
      <c r="I2322" s="23" t="s">
        <v>28</v>
      </c>
      <c r="J2322" s="14" t="s">
        <v>29</v>
      </c>
      <c r="K2322" s="15" t="s">
        <v>30</v>
      </c>
      <c r="L2322" s="87"/>
      <c r="M2322" s="14"/>
      <c r="N2322" s="14" t="s">
        <v>41</v>
      </c>
      <c r="O2322" s="14"/>
      <c r="P2322" s="15" t="s">
        <v>3035</v>
      </c>
      <c r="Q2322" s="16">
        <v>3999</v>
      </c>
      <c r="R2322" s="17">
        <v>45</v>
      </c>
      <c r="S2322" s="18">
        <v>2529.3674999999994</v>
      </c>
      <c r="T2322" s="19" t="s">
        <v>117</v>
      </c>
      <c r="U2322" s="20" t="s">
        <v>94</v>
      </c>
      <c r="V2322" s="21">
        <v>104</v>
      </c>
      <c r="W2322" s="21">
        <v>3</v>
      </c>
      <c r="X2322" s="22"/>
    </row>
    <row r="2323" spans="1:24" s="1" customFormat="1" ht="11.1" customHeight="1" x14ac:dyDescent="0.3">
      <c r="A2323" s="23" t="s">
        <v>3029</v>
      </c>
      <c r="B2323" s="23" t="s">
        <v>38</v>
      </c>
      <c r="C2323" s="12" t="s">
        <v>3047</v>
      </c>
      <c r="D2323" s="84"/>
      <c r="E2323" s="69" t="str">
        <f t="shared" si="81"/>
        <v>Еще фото</v>
      </c>
      <c r="F2323" s="13"/>
      <c r="G2323" s="23" t="s">
        <v>28</v>
      </c>
      <c r="H2323" s="23" t="s">
        <v>27</v>
      </c>
      <c r="I2323" s="23" t="s">
        <v>28</v>
      </c>
      <c r="J2323" s="14" t="s">
        <v>29</v>
      </c>
      <c r="K2323" s="15" t="s">
        <v>30</v>
      </c>
      <c r="L2323" s="87"/>
      <c r="M2323" s="14"/>
      <c r="N2323" s="14" t="s">
        <v>41</v>
      </c>
      <c r="O2323" s="14"/>
      <c r="P2323" s="15" t="s">
        <v>3035</v>
      </c>
      <c r="Q2323" s="16">
        <v>3999</v>
      </c>
      <c r="R2323" s="17">
        <v>45</v>
      </c>
      <c r="S2323" s="18">
        <v>2529.3674999999994</v>
      </c>
      <c r="T2323" s="19" t="s">
        <v>117</v>
      </c>
      <c r="U2323" s="20" t="s">
        <v>43</v>
      </c>
      <c r="V2323" s="21">
        <v>110</v>
      </c>
      <c r="W2323" s="21">
        <v>7</v>
      </c>
      <c r="X2323" s="22"/>
    </row>
    <row r="2324" spans="1:24" s="1" customFormat="1" ht="11.1" customHeight="1" x14ac:dyDescent="0.3">
      <c r="A2324" s="23" t="s">
        <v>3029</v>
      </c>
      <c r="B2324" s="23" t="s">
        <v>38</v>
      </c>
      <c r="C2324" s="12" t="s">
        <v>3047</v>
      </c>
      <c r="D2324" s="84"/>
      <c r="E2324" s="69" t="str">
        <f t="shared" si="81"/>
        <v>Еще фото</v>
      </c>
      <c r="F2324" s="13"/>
      <c r="G2324" s="23" t="s">
        <v>28</v>
      </c>
      <c r="H2324" s="23" t="s">
        <v>27</v>
      </c>
      <c r="I2324" s="23" t="s">
        <v>28</v>
      </c>
      <c r="J2324" s="14" t="s">
        <v>29</v>
      </c>
      <c r="K2324" s="15" t="s">
        <v>30</v>
      </c>
      <c r="L2324" s="87"/>
      <c r="M2324" s="14"/>
      <c r="N2324" s="14" t="s">
        <v>41</v>
      </c>
      <c r="O2324" s="14"/>
      <c r="P2324" s="15" t="s">
        <v>3035</v>
      </c>
      <c r="Q2324" s="16">
        <v>3999</v>
      </c>
      <c r="R2324" s="17">
        <v>45</v>
      </c>
      <c r="S2324" s="18">
        <v>2529.3674999999994</v>
      </c>
      <c r="T2324" s="19" t="s">
        <v>117</v>
      </c>
      <c r="U2324" s="20" t="s">
        <v>35</v>
      </c>
      <c r="V2324" s="21">
        <v>116</v>
      </c>
      <c r="W2324" s="21">
        <v>7</v>
      </c>
      <c r="X2324" s="22"/>
    </row>
    <row r="2325" spans="1:24" s="1" customFormat="1" ht="11.1" customHeight="1" x14ac:dyDescent="0.3">
      <c r="A2325" s="23" t="s">
        <v>3029</v>
      </c>
      <c r="B2325" s="23" t="s">
        <v>38</v>
      </c>
      <c r="C2325" s="12" t="s">
        <v>3047</v>
      </c>
      <c r="D2325" s="84"/>
      <c r="E2325" s="69" t="str">
        <f t="shared" si="81"/>
        <v>Еще фото</v>
      </c>
      <c r="F2325" s="13"/>
      <c r="G2325" s="23" t="s">
        <v>28</v>
      </c>
      <c r="H2325" s="23" t="s">
        <v>27</v>
      </c>
      <c r="I2325" s="23" t="s">
        <v>28</v>
      </c>
      <c r="J2325" s="14" t="s">
        <v>29</v>
      </c>
      <c r="K2325" s="15" t="s">
        <v>30</v>
      </c>
      <c r="L2325" s="87"/>
      <c r="M2325" s="14"/>
      <c r="N2325" s="14" t="s">
        <v>41</v>
      </c>
      <c r="O2325" s="14"/>
      <c r="P2325" s="15" t="s">
        <v>3035</v>
      </c>
      <c r="Q2325" s="16">
        <v>3999</v>
      </c>
      <c r="R2325" s="17">
        <v>45</v>
      </c>
      <c r="S2325" s="18">
        <v>2529.3674999999994</v>
      </c>
      <c r="T2325" s="19" t="s">
        <v>117</v>
      </c>
      <c r="U2325" s="20" t="s">
        <v>36</v>
      </c>
      <c r="V2325" s="21">
        <v>122</v>
      </c>
      <c r="W2325" s="21">
        <v>7</v>
      </c>
      <c r="X2325" s="22"/>
    </row>
    <row r="2326" spans="1:24" s="1" customFormat="1" ht="11.1" customHeight="1" x14ac:dyDescent="0.3">
      <c r="A2326" s="23" t="s">
        <v>3029</v>
      </c>
      <c r="B2326" s="23" t="s">
        <v>38</v>
      </c>
      <c r="C2326" s="12" t="s">
        <v>3047</v>
      </c>
      <c r="D2326" s="84"/>
      <c r="E2326" s="69" t="str">
        <f t="shared" si="81"/>
        <v>Еще фото</v>
      </c>
      <c r="F2326" s="13"/>
      <c r="G2326" s="23" t="s">
        <v>28</v>
      </c>
      <c r="H2326" s="23" t="s">
        <v>27</v>
      </c>
      <c r="I2326" s="23" t="s">
        <v>28</v>
      </c>
      <c r="J2326" s="14" t="s">
        <v>29</v>
      </c>
      <c r="K2326" s="15" t="s">
        <v>30</v>
      </c>
      <c r="L2326" s="87"/>
      <c r="M2326" s="14"/>
      <c r="N2326" s="14" t="s">
        <v>41</v>
      </c>
      <c r="O2326" s="14"/>
      <c r="P2326" s="15" t="s">
        <v>3035</v>
      </c>
      <c r="Q2326" s="16">
        <v>3999</v>
      </c>
      <c r="R2326" s="17">
        <v>45</v>
      </c>
      <c r="S2326" s="18">
        <v>2529.3674999999994</v>
      </c>
      <c r="T2326" s="19" t="s">
        <v>117</v>
      </c>
      <c r="U2326" s="20" t="s">
        <v>37</v>
      </c>
      <c r="V2326" s="21">
        <v>128</v>
      </c>
      <c r="W2326" s="21">
        <v>7</v>
      </c>
      <c r="X2326" s="22"/>
    </row>
    <row r="2327" spans="1:24" s="1" customFormat="1" ht="11.1" customHeight="1" x14ac:dyDescent="0.3">
      <c r="A2327" s="23" t="s">
        <v>3029</v>
      </c>
      <c r="B2327" s="23" t="s">
        <v>38</v>
      </c>
      <c r="C2327" s="12" t="s">
        <v>3047</v>
      </c>
      <c r="D2327" s="84"/>
      <c r="E2327" s="69" t="str">
        <f t="shared" si="81"/>
        <v>Еще фото</v>
      </c>
      <c r="F2327" s="13"/>
      <c r="G2327" s="23" t="s">
        <v>28</v>
      </c>
      <c r="H2327" s="23" t="s">
        <v>27</v>
      </c>
      <c r="I2327" s="23" t="s">
        <v>28</v>
      </c>
      <c r="J2327" s="14" t="s">
        <v>29</v>
      </c>
      <c r="K2327" s="15" t="s">
        <v>30</v>
      </c>
      <c r="L2327" s="87"/>
      <c r="M2327" s="14"/>
      <c r="N2327" s="14" t="s">
        <v>41</v>
      </c>
      <c r="O2327" s="14"/>
      <c r="P2327" s="15" t="s">
        <v>3035</v>
      </c>
      <c r="Q2327" s="16">
        <v>3999</v>
      </c>
      <c r="R2327" s="17">
        <v>45</v>
      </c>
      <c r="S2327" s="18">
        <v>2529.3674999999994</v>
      </c>
      <c r="T2327" s="19" t="s">
        <v>117</v>
      </c>
      <c r="U2327" s="20" t="s">
        <v>91</v>
      </c>
      <c r="V2327" s="21">
        <v>134</v>
      </c>
      <c r="W2327" s="21">
        <v>7</v>
      </c>
      <c r="X2327" s="22"/>
    </row>
    <row r="2328" spans="1:24" s="1" customFormat="1" ht="11.1" customHeight="1" x14ac:dyDescent="0.3">
      <c r="A2328" s="14" t="s">
        <v>3029</v>
      </c>
      <c r="B2328" s="14" t="s">
        <v>38</v>
      </c>
      <c r="C2328" s="12" t="s">
        <v>3047</v>
      </c>
      <c r="D2328" s="84"/>
      <c r="E2328" s="69" t="str">
        <f t="shared" si="81"/>
        <v>Еще фото</v>
      </c>
      <c r="F2328" s="36"/>
      <c r="G2328" s="14" t="s">
        <v>28</v>
      </c>
      <c r="H2328" s="14" t="s">
        <v>27</v>
      </c>
      <c r="I2328" s="14" t="s">
        <v>28</v>
      </c>
      <c r="J2328" s="14" t="s">
        <v>29</v>
      </c>
      <c r="K2328" s="14" t="s">
        <v>30</v>
      </c>
      <c r="L2328" s="87"/>
      <c r="M2328" s="14"/>
      <c r="N2328" s="14" t="s">
        <v>41</v>
      </c>
      <c r="O2328" s="14"/>
      <c r="P2328" s="14" t="s">
        <v>3035</v>
      </c>
      <c r="Q2328" s="33">
        <v>3999</v>
      </c>
      <c r="R2328" s="34">
        <v>45</v>
      </c>
      <c r="S2328" s="35">
        <v>2529.3674999999994</v>
      </c>
      <c r="T2328" s="19" t="s">
        <v>117</v>
      </c>
      <c r="U2328" s="20" t="s">
        <v>290</v>
      </c>
      <c r="V2328" s="21">
        <v>140</v>
      </c>
      <c r="W2328" s="21">
        <v>6</v>
      </c>
      <c r="X2328" s="22"/>
    </row>
    <row r="2329" spans="1:24" s="1" customFormat="1" ht="11.1" customHeight="1" x14ac:dyDescent="0.3">
      <c r="A2329" s="14" t="s">
        <v>3029</v>
      </c>
      <c r="B2329" s="14" t="s">
        <v>38</v>
      </c>
      <c r="C2329" s="12" t="s">
        <v>3047</v>
      </c>
      <c r="D2329" s="85"/>
      <c r="E2329" s="69" t="str">
        <f t="shared" si="81"/>
        <v>Еще фото</v>
      </c>
      <c r="F2329" s="36"/>
      <c r="G2329" s="14" t="s">
        <v>28</v>
      </c>
      <c r="H2329" s="14" t="s">
        <v>27</v>
      </c>
      <c r="I2329" s="14" t="s">
        <v>28</v>
      </c>
      <c r="J2329" s="14" t="s">
        <v>29</v>
      </c>
      <c r="K2329" s="14" t="s">
        <v>30</v>
      </c>
      <c r="L2329" s="88"/>
      <c r="M2329" s="14"/>
      <c r="N2329" s="14" t="s">
        <v>41</v>
      </c>
      <c r="O2329" s="14"/>
      <c r="P2329" s="14" t="s">
        <v>3035</v>
      </c>
      <c r="Q2329" s="33">
        <v>3999</v>
      </c>
      <c r="R2329" s="34">
        <v>45</v>
      </c>
      <c r="S2329" s="35">
        <v>2529.3674999999994</v>
      </c>
      <c r="T2329" s="19" t="s">
        <v>117</v>
      </c>
      <c r="U2329" s="20" t="s">
        <v>2160</v>
      </c>
      <c r="V2329" s="21">
        <v>152</v>
      </c>
      <c r="W2329" s="21">
        <v>3</v>
      </c>
      <c r="X2329" s="22"/>
    </row>
    <row r="2330" spans="1:24" s="1" customFormat="1" ht="21" customHeight="1" x14ac:dyDescent="0.3">
      <c r="A2330" s="11" t="s">
        <v>3029</v>
      </c>
      <c r="B2330" s="11" t="s">
        <v>3036</v>
      </c>
      <c r="C2330" s="27" t="s">
        <v>3049</v>
      </c>
      <c r="D2330" s="83"/>
      <c r="E2330" s="69" t="str">
        <f>HYPERLINK("https://www.google.ru/search?q=133405-8404&amp;newwindow=1&amp;tbm=isch","Еще фото")</f>
        <v>Еще фото</v>
      </c>
      <c r="F2330" s="13"/>
      <c r="G2330" s="11" t="s">
        <v>3038</v>
      </c>
      <c r="H2330" s="11" t="s">
        <v>27</v>
      </c>
      <c r="I2330" s="14" t="s">
        <v>28</v>
      </c>
      <c r="J2330" s="14" t="s">
        <v>29</v>
      </c>
      <c r="K2330" s="15" t="s">
        <v>30</v>
      </c>
      <c r="L2330" s="86" t="s">
        <v>3050</v>
      </c>
      <c r="M2330" s="14"/>
      <c r="N2330" s="14" t="s">
        <v>41</v>
      </c>
      <c r="O2330" s="14"/>
      <c r="P2330" s="15" t="s">
        <v>3040</v>
      </c>
      <c r="Q2330" s="16">
        <v>3999</v>
      </c>
      <c r="R2330" s="17">
        <v>45</v>
      </c>
      <c r="S2330" s="18">
        <v>2529.3674999999994</v>
      </c>
      <c r="T2330" s="19" t="s">
        <v>117</v>
      </c>
      <c r="U2330" s="20" t="s">
        <v>196</v>
      </c>
      <c r="V2330" s="21">
        <v>86</v>
      </c>
      <c r="W2330" s="21">
        <v>2</v>
      </c>
      <c r="X2330" s="22"/>
    </row>
    <row r="2331" spans="1:24" s="1" customFormat="1" ht="21" customHeight="1" x14ac:dyDescent="0.3">
      <c r="A2331" s="23" t="s">
        <v>3029</v>
      </c>
      <c r="B2331" s="23" t="s">
        <v>3036</v>
      </c>
      <c r="C2331" s="28" t="s">
        <v>3049</v>
      </c>
      <c r="D2331" s="84"/>
      <c r="E2331" s="69" t="str">
        <f>HYPERLINK("https://www.google.ru/search?q=133405-8404&amp;newwindow=1&amp;tbm=isch","Еще фото")</f>
        <v>Еще фото</v>
      </c>
      <c r="F2331" s="13"/>
      <c r="G2331" s="23" t="s">
        <v>3038</v>
      </c>
      <c r="H2331" s="23" t="s">
        <v>27</v>
      </c>
      <c r="I2331" s="23" t="s">
        <v>28</v>
      </c>
      <c r="J2331" s="14" t="s">
        <v>29</v>
      </c>
      <c r="K2331" s="15" t="s">
        <v>30</v>
      </c>
      <c r="L2331" s="87"/>
      <c r="M2331" s="14"/>
      <c r="N2331" s="14" t="s">
        <v>41</v>
      </c>
      <c r="O2331" s="14"/>
      <c r="P2331" s="15" t="s">
        <v>3040</v>
      </c>
      <c r="Q2331" s="16">
        <v>3999</v>
      </c>
      <c r="R2331" s="17">
        <v>45</v>
      </c>
      <c r="S2331" s="18">
        <v>2529.3674999999994</v>
      </c>
      <c r="T2331" s="19" t="s">
        <v>117</v>
      </c>
      <c r="U2331" s="20" t="s">
        <v>77</v>
      </c>
      <c r="V2331" s="21">
        <v>92</v>
      </c>
      <c r="W2331" s="21">
        <v>1</v>
      </c>
      <c r="X2331" s="22"/>
    </row>
    <row r="2332" spans="1:24" s="1" customFormat="1" ht="21" customHeight="1" x14ac:dyDescent="0.3">
      <c r="A2332" s="23" t="s">
        <v>3029</v>
      </c>
      <c r="B2332" s="23" t="s">
        <v>3036</v>
      </c>
      <c r="C2332" s="28" t="s">
        <v>3049</v>
      </c>
      <c r="D2332" s="84"/>
      <c r="E2332" s="69" t="str">
        <f>HYPERLINK("https://www.google.ru/search?q=133405-8404&amp;newwindow=1&amp;tbm=isch","Еще фото")</f>
        <v>Еще фото</v>
      </c>
      <c r="F2332" s="13"/>
      <c r="G2332" s="23" t="s">
        <v>3038</v>
      </c>
      <c r="H2332" s="23" t="s">
        <v>27</v>
      </c>
      <c r="I2332" s="23" t="s">
        <v>28</v>
      </c>
      <c r="J2332" s="14" t="s">
        <v>29</v>
      </c>
      <c r="K2332" s="15" t="s">
        <v>30</v>
      </c>
      <c r="L2332" s="87"/>
      <c r="M2332" s="14"/>
      <c r="N2332" s="14" t="s">
        <v>41</v>
      </c>
      <c r="O2332" s="14"/>
      <c r="P2332" s="15" t="s">
        <v>3040</v>
      </c>
      <c r="Q2332" s="16">
        <v>3999</v>
      </c>
      <c r="R2332" s="17">
        <v>45</v>
      </c>
      <c r="S2332" s="18">
        <v>2529.3674999999994</v>
      </c>
      <c r="T2332" s="19" t="s">
        <v>117</v>
      </c>
      <c r="U2332" s="20" t="s">
        <v>91</v>
      </c>
      <c r="V2332" s="21">
        <v>134</v>
      </c>
      <c r="W2332" s="21">
        <v>2</v>
      </c>
      <c r="X2332" s="22"/>
    </row>
    <row r="2333" spans="1:24" s="1" customFormat="1" ht="21" customHeight="1" x14ac:dyDescent="0.3">
      <c r="A2333" s="23" t="s">
        <v>3029</v>
      </c>
      <c r="B2333" s="23" t="s">
        <v>3036</v>
      </c>
      <c r="C2333" s="28" t="s">
        <v>3049</v>
      </c>
      <c r="D2333" s="84"/>
      <c r="E2333" s="69" t="str">
        <f>HYPERLINK("https://www.google.ru/search?q=133405-8404&amp;newwindow=1&amp;tbm=isch","Еще фото")</f>
        <v>Еще фото</v>
      </c>
      <c r="F2333" s="13"/>
      <c r="G2333" s="23" t="s">
        <v>3038</v>
      </c>
      <c r="H2333" s="23" t="s">
        <v>27</v>
      </c>
      <c r="I2333" s="23" t="s">
        <v>28</v>
      </c>
      <c r="J2333" s="14" t="s">
        <v>29</v>
      </c>
      <c r="K2333" s="15" t="s">
        <v>30</v>
      </c>
      <c r="L2333" s="87"/>
      <c r="M2333" s="14"/>
      <c r="N2333" s="14" t="s">
        <v>41</v>
      </c>
      <c r="O2333" s="14"/>
      <c r="P2333" s="15" t="s">
        <v>3040</v>
      </c>
      <c r="Q2333" s="16">
        <v>3999</v>
      </c>
      <c r="R2333" s="17">
        <v>45</v>
      </c>
      <c r="S2333" s="18">
        <v>2529.3674999999994</v>
      </c>
      <c r="T2333" s="19" t="s">
        <v>117</v>
      </c>
      <c r="U2333" s="20" t="s">
        <v>290</v>
      </c>
      <c r="V2333" s="21">
        <v>140</v>
      </c>
      <c r="W2333" s="21">
        <v>2</v>
      </c>
      <c r="X2333" s="22"/>
    </row>
    <row r="2334" spans="1:24" s="1" customFormat="1" ht="32.1" customHeight="1" x14ac:dyDescent="0.3">
      <c r="A2334" s="23" t="s">
        <v>3029</v>
      </c>
      <c r="B2334" s="23" t="s">
        <v>3036</v>
      </c>
      <c r="C2334" s="28" t="s">
        <v>3049</v>
      </c>
      <c r="D2334" s="85"/>
      <c r="E2334" s="69" t="str">
        <f>HYPERLINK("https://www.google.ru/search?q=133405-8404&amp;newwindow=1&amp;tbm=isch","Еще фото")</f>
        <v>Еще фото</v>
      </c>
      <c r="F2334" s="13"/>
      <c r="G2334" s="23" t="s">
        <v>3038</v>
      </c>
      <c r="H2334" s="23" t="s">
        <v>27</v>
      </c>
      <c r="I2334" s="23" t="s">
        <v>28</v>
      </c>
      <c r="J2334" s="14" t="s">
        <v>29</v>
      </c>
      <c r="K2334" s="15" t="s">
        <v>30</v>
      </c>
      <c r="L2334" s="88"/>
      <c r="M2334" s="14"/>
      <c r="N2334" s="14" t="s">
        <v>41</v>
      </c>
      <c r="O2334" s="14"/>
      <c r="P2334" s="15" t="s">
        <v>3040</v>
      </c>
      <c r="Q2334" s="16">
        <v>3999</v>
      </c>
      <c r="R2334" s="17">
        <v>45</v>
      </c>
      <c r="S2334" s="18">
        <v>2529.3674999999994</v>
      </c>
      <c r="T2334" s="19" t="s">
        <v>117</v>
      </c>
      <c r="U2334" s="20" t="s">
        <v>2160</v>
      </c>
      <c r="V2334" s="21">
        <v>152</v>
      </c>
      <c r="W2334" s="21">
        <v>1</v>
      </c>
      <c r="X2334" s="22"/>
    </row>
    <row r="2335" spans="1:24" s="1" customFormat="1" ht="12.95" customHeight="1" x14ac:dyDescent="0.3">
      <c r="A2335" s="11" t="s">
        <v>3029</v>
      </c>
      <c r="B2335" s="11" t="s">
        <v>3036</v>
      </c>
      <c r="C2335" s="12" t="s">
        <v>3051</v>
      </c>
      <c r="D2335" s="83"/>
      <c r="E2335" s="69" t="str">
        <f t="shared" ref="E2335:E2342" si="82">HYPERLINK("https://www.google.ru/search?q=133429-2055&amp;newwindow=1&amp;tbm=isch","Еще фото")</f>
        <v>Еще фото</v>
      </c>
      <c r="F2335" s="13"/>
      <c r="G2335" s="11" t="s">
        <v>3038</v>
      </c>
      <c r="H2335" s="11" t="s">
        <v>27</v>
      </c>
      <c r="I2335" s="14" t="s">
        <v>28</v>
      </c>
      <c r="J2335" s="14" t="s">
        <v>29</v>
      </c>
      <c r="K2335" s="15" t="s">
        <v>30</v>
      </c>
      <c r="L2335" s="86" t="s">
        <v>3052</v>
      </c>
      <c r="M2335" s="14"/>
      <c r="N2335" s="14" t="s">
        <v>154</v>
      </c>
      <c r="O2335" s="14"/>
      <c r="P2335" s="15" t="s">
        <v>3053</v>
      </c>
      <c r="Q2335" s="16">
        <v>3099</v>
      </c>
      <c r="R2335" s="17">
        <v>45</v>
      </c>
      <c r="S2335" s="18">
        <v>1960.1174999999998</v>
      </c>
      <c r="T2335" s="19" t="s">
        <v>117</v>
      </c>
      <c r="U2335" s="26" t="s">
        <v>78</v>
      </c>
      <c r="V2335" s="21">
        <v>98</v>
      </c>
      <c r="W2335" s="21">
        <v>1</v>
      </c>
      <c r="X2335" s="22"/>
    </row>
    <row r="2336" spans="1:24" s="1" customFormat="1" ht="12.95" customHeight="1" x14ac:dyDescent="0.3">
      <c r="A2336" s="23" t="s">
        <v>3029</v>
      </c>
      <c r="B2336" s="23" t="s">
        <v>3036</v>
      </c>
      <c r="C2336" s="12" t="s">
        <v>3051</v>
      </c>
      <c r="D2336" s="84"/>
      <c r="E2336" s="69" t="str">
        <f t="shared" si="82"/>
        <v>Еще фото</v>
      </c>
      <c r="F2336" s="13"/>
      <c r="G2336" s="23" t="s">
        <v>3038</v>
      </c>
      <c r="H2336" s="23" t="s">
        <v>27</v>
      </c>
      <c r="I2336" s="23" t="s">
        <v>28</v>
      </c>
      <c r="J2336" s="14" t="s">
        <v>29</v>
      </c>
      <c r="K2336" s="15" t="s">
        <v>30</v>
      </c>
      <c r="L2336" s="87"/>
      <c r="M2336" s="14"/>
      <c r="N2336" s="14" t="s">
        <v>154</v>
      </c>
      <c r="O2336" s="14"/>
      <c r="P2336" s="15" t="s">
        <v>3053</v>
      </c>
      <c r="Q2336" s="16">
        <v>3099</v>
      </c>
      <c r="R2336" s="17">
        <v>45</v>
      </c>
      <c r="S2336" s="18">
        <v>1960.1174999999998</v>
      </c>
      <c r="T2336" s="19" t="s">
        <v>117</v>
      </c>
      <c r="U2336" s="20" t="s">
        <v>43</v>
      </c>
      <c r="V2336" s="21">
        <v>110</v>
      </c>
      <c r="W2336" s="21">
        <v>1</v>
      </c>
      <c r="X2336" s="22"/>
    </row>
    <row r="2337" spans="1:24" s="1" customFormat="1" ht="12.95" customHeight="1" x14ac:dyDescent="0.3">
      <c r="A2337" s="23" t="s">
        <v>3029</v>
      </c>
      <c r="B2337" s="23" t="s">
        <v>3036</v>
      </c>
      <c r="C2337" s="12" t="s">
        <v>3051</v>
      </c>
      <c r="D2337" s="84"/>
      <c r="E2337" s="69" t="str">
        <f t="shared" si="82"/>
        <v>Еще фото</v>
      </c>
      <c r="F2337" s="13"/>
      <c r="G2337" s="23" t="s">
        <v>3038</v>
      </c>
      <c r="H2337" s="23" t="s">
        <v>27</v>
      </c>
      <c r="I2337" s="23" t="s">
        <v>28</v>
      </c>
      <c r="J2337" s="14" t="s">
        <v>29</v>
      </c>
      <c r="K2337" s="15" t="s">
        <v>30</v>
      </c>
      <c r="L2337" s="87"/>
      <c r="M2337" s="14"/>
      <c r="N2337" s="14" t="s">
        <v>154</v>
      </c>
      <c r="O2337" s="14"/>
      <c r="P2337" s="15" t="s">
        <v>3053</v>
      </c>
      <c r="Q2337" s="16">
        <v>3099</v>
      </c>
      <c r="R2337" s="17">
        <v>45</v>
      </c>
      <c r="S2337" s="18">
        <v>1960.1174999999998</v>
      </c>
      <c r="T2337" s="19" t="s">
        <v>117</v>
      </c>
      <c r="U2337" s="20" t="s">
        <v>35</v>
      </c>
      <c r="V2337" s="21">
        <v>116</v>
      </c>
      <c r="W2337" s="21">
        <v>4</v>
      </c>
      <c r="X2337" s="22"/>
    </row>
    <row r="2338" spans="1:24" s="1" customFormat="1" ht="12.95" customHeight="1" x14ac:dyDescent="0.3">
      <c r="A2338" s="23" t="s">
        <v>3029</v>
      </c>
      <c r="B2338" s="23" t="s">
        <v>3036</v>
      </c>
      <c r="C2338" s="12" t="s">
        <v>3051</v>
      </c>
      <c r="D2338" s="84"/>
      <c r="E2338" s="69" t="str">
        <f t="shared" si="82"/>
        <v>Еще фото</v>
      </c>
      <c r="F2338" s="13"/>
      <c r="G2338" s="23" t="s">
        <v>3038</v>
      </c>
      <c r="H2338" s="23" t="s">
        <v>27</v>
      </c>
      <c r="I2338" s="23" t="s">
        <v>28</v>
      </c>
      <c r="J2338" s="14" t="s">
        <v>29</v>
      </c>
      <c r="K2338" s="15" t="s">
        <v>30</v>
      </c>
      <c r="L2338" s="87"/>
      <c r="M2338" s="14"/>
      <c r="N2338" s="14" t="s">
        <v>154</v>
      </c>
      <c r="O2338" s="14"/>
      <c r="P2338" s="15" t="s">
        <v>3053</v>
      </c>
      <c r="Q2338" s="16">
        <v>3099</v>
      </c>
      <c r="R2338" s="17">
        <v>45</v>
      </c>
      <c r="S2338" s="18">
        <v>1960.1174999999998</v>
      </c>
      <c r="T2338" s="19" t="s">
        <v>117</v>
      </c>
      <c r="U2338" s="20" t="s">
        <v>36</v>
      </c>
      <c r="V2338" s="21">
        <v>122</v>
      </c>
      <c r="W2338" s="21">
        <v>3</v>
      </c>
      <c r="X2338" s="22"/>
    </row>
    <row r="2339" spans="1:24" s="1" customFormat="1" ht="12.95" customHeight="1" x14ac:dyDescent="0.3">
      <c r="A2339" s="23" t="s">
        <v>3029</v>
      </c>
      <c r="B2339" s="23" t="s">
        <v>3036</v>
      </c>
      <c r="C2339" s="12" t="s">
        <v>3051</v>
      </c>
      <c r="D2339" s="84"/>
      <c r="E2339" s="69" t="str">
        <f t="shared" si="82"/>
        <v>Еще фото</v>
      </c>
      <c r="F2339" s="13"/>
      <c r="G2339" s="23" t="s">
        <v>3038</v>
      </c>
      <c r="H2339" s="23" t="s">
        <v>27</v>
      </c>
      <c r="I2339" s="23" t="s">
        <v>28</v>
      </c>
      <c r="J2339" s="14" t="s">
        <v>29</v>
      </c>
      <c r="K2339" s="15" t="s">
        <v>30</v>
      </c>
      <c r="L2339" s="87"/>
      <c r="M2339" s="14"/>
      <c r="N2339" s="14" t="s">
        <v>154</v>
      </c>
      <c r="O2339" s="14"/>
      <c r="P2339" s="15" t="s">
        <v>3053</v>
      </c>
      <c r="Q2339" s="16">
        <v>3099</v>
      </c>
      <c r="R2339" s="17">
        <v>45</v>
      </c>
      <c r="S2339" s="18">
        <v>1960.1174999999998</v>
      </c>
      <c r="T2339" s="19" t="s">
        <v>117</v>
      </c>
      <c r="U2339" s="20" t="s">
        <v>37</v>
      </c>
      <c r="V2339" s="21">
        <v>128</v>
      </c>
      <c r="W2339" s="21">
        <v>4</v>
      </c>
      <c r="X2339" s="22"/>
    </row>
    <row r="2340" spans="1:24" s="1" customFormat="1" ht="12.95" customHeight="1" x14ac:dyDescent="0.3">
      <c r="A2340" s="23" t="s">
        <v>3029</v>
      </c>
      <c r="B2340" s="23" t="s">
        <v>3036</v>
      </c>
      <c r="C2340" s="12" t="s">
        <v>3051</v>
      </c>
      <c r="D2340" s="84"/>
      <c r="E2340" s="69" t="str">
        <f t="shared" si="82"/>
        <v>Еще фото</v>
      </c>
      <c r="F2340" s="13"/>
      <c r="G2340" s="23" t="s">
        <v>3038</v>
      </c>
      <c r="H2340" s="23" t="s">
        <v>27</v>
      </c>
      <c r="I2340" s="23" t="s">
        <v>28</v>
      </c>
      <c r="J2340" s="14" t="s">
        <v>29</v>
      </c>
      <c r="K2340" s="15" t="s">
        <v>30</v>
      </c>
      <c r="L2340" s="87"/>
      <c r="M2340" s="14"/>
      <c r="N2340" s="14" t="s">
        <v>154</v>
      </c>
      <c r="O2340" s="14"/>
      <c r="P2340" s="15" t="s">
        <v>3053</v>
      </c>
      <c r="Q2340" s="16">
        <v>3099</v>
      </c>
      <c r="R2340" s="17">
        <v>45</v>
      </c>
      <c r="S2340" s="18">
        <v>1960.1174999999998</v>
      </c>
      <c r="T2340" s="19" t="s">
        <v>117</v>
      </c>
      <c r="U2340" s="20" t="s">
        <v>91</v>
      </c>
      <c r="V2340" s="21">
        <v>134</v>
      </c>
      <c r="W2340" s="21">
        <v>4</v>
      </c>
      <c r="X2340" s="22"/>
    </row>
    <row r="2341" spans="1:24" s="1" customFormat="1" ht="12.95" customHeight="1" x14ac:dyDescent="0.3">
      <c r="A2341" s="23" t="s">
        <v>3029</v>
      </c>
      <c r="B2341" s="23" t="s">
        <v>3036</v>
      </c>
      <c r="C2341" s="12" t="s">
        <v>3051</v>
      </c>
      <c r="D2341" s="84"/>
      <c r="E2341" s="69" t="str">
        <f t="shared" si="82"/>
        <v>Еще фото</v>
      </c>
      <c r="F2341" s="13"/>
      <c r="G2341" s="23" t="s">
        <v>3038</v>
      </c>
      <c r="H2341" s="23" t="s">
        <v>27</v>
      </c>
      <c r="I2341" s="23" t="s">
        <v>28</v>
      </c>
      <c r="J2341" s="14" t="s">
        <v>29</v>
      </c>
      <c r="K2341" s="15" t="s">
        <v>30</v>
      </c>
      <c r="L2341" s="87"/>
      <c r="M2341" s="14"/>
      <c r="N2341" s="14" t="s">
        <v>154</v>
      </c>
      <c r="O2341" s="14"/>
      <c r="P2341" s="15" t="s">
        <v>3053</v>
      </c>
      <c r="Q2341" s="16">
        <v>3099</v>
      </c>
      <c r="R2341" s="17">
        <v>45</v>
      </c>
      <c r="S2341" s="18">
        <v>1960.1174999999998</v>
      </c>
      <c r="T2341" s="19" t="s">
        <v>117</v>
      </c>
      <c r="U2341" s="20" t="s">
        <v>290</v>
      </c>
      <c r="V2341" s="21">
        <v>140</v>
      </c>
      <c r="W2341" s="21">
        <v>3</v>
      </c>
      <c r="X2341" s="22"/>
    </row>
    <row r="2342" spans="1:24" s="1" customFormat="1" ht="18" customHeight="1" x14ac:dyDescent="0.3">
      <c r="A2342" s="23" t="s">
        <v>3029</v>
      </c>
      <c r="B2342" s="23" t="s">
        <v>3036</v>
      </c>
      <c r="C2342" s="12" t="s">
        <v>3051</v>
      </c>
      <c r="D2342" s="85"/>
      <c r="E2342" s="69" t="str">
        <f t="shared" si="82"/>
        <v>Еще фото</v>
      </c>
      <c r="F2342" s="13"/>
      <c r="G2342" s="23" t="s">
        <v>3038</v>
      </c>
      <c r="H2342" s="23" t="s">
        <v>27</v>
      </c>
      <c r="I2342" s="23" t="s">
        <v>28</v>
      </c>
      <c r="J2342" s="14" t="s">
        <v>29</v>
      </c>
      <c r="K2342" s="15" t="s">
        <v>30</v>
      </c>
      <c r="L2342" s="88"/>
      <c r="M2342" s="14"/>
      <c r="N2342" s="14" t="s">
        <v>154</v>
      </c>
      <c r="O2342" s="14"/>
      <c r="P2342" s="15" t="s">
        <v>3053</v>
      </c>
      <c r="Q2342" s="16">
        <v>3099</v>
      </c>
      <c r="R2342" s="17">
        <v>45</v>
      </c>
      <c r="S2342" s="18">
        <v>1960.1174999999998</v>
      </c>
      <c r="T2342" s="19" t="s">
        <v>117</v>
      </c>
      <c r="U2342" s="20" t="s">
        <v>2160</v>
      </c>
      <c r="V2342" s="21">
        <v>152</v>
      </c>
      <c r="W2342" s="21">
        <v>3</v>
      </c>
      <c r="X2342" s="22"/>
    </row>
    <row r="2343" spans="1:24" s="1" customFormat="1" ht="35.1" customHeight="1" x14ac:dyDescent="0.3">
      <c r="A2343" s="11" t="s">
        <v>3029</v>
      </c>
      <c r="B2343" s="11" t="s">
        <v>38</v>
      </c>
      <c r="C2343" s="12" t="s">
        <v>3054</v>
      </c>
      <c r="D2343" s="83"/>
      <c r="E2343" s="69" t="str">
        <f>HYPERLINK("https://www.google.ru/search?q=133432-2325&amp;newwindow=1&amp;tbm=isch","Еще фото")</f>
        <v>Еще фото</v>
      </c>
      <c r="F2343" s="13"/>
      <c r="G2343" s="11" t="s">
        <v>28</v>
      </c>
      <c r="H2343" s="11" t="s">
        <v>27</v>
      </c>
      <c r="I2343" s="14" t="s">
        <v>28</v>
      </c>
      <c r="J2343" s="14" t="s">
        <v>29</v>
      </c>
      <c r="K2343" s="15" t="s">
        <v>30</v>
      </c>
      <c r="L2343" s="86" t="s">
        <v>3055</v>
      </c>
      <c r="M2343" s="14"/>
      <c r="N2343" s="14" t="s">
        <v>154</v>
      </c>
      <c r="O2343" s="14"/>
      <c r="P2343" s="15" t="s">
        <v>3032</v>
      </c>
      <c r="Q2343" s="16">
        <v>3399</v>
      </c>
      <c r="R2343" s="17">
        <v>45</v>
      </c>
      <c r="S2343" s="18">
        <v>2149.8674999999998</v>
      </c>
      <c r="T2343" s="19" t="s">
        <v>117</v>
      </c>
      <c r="U2343" s="20" t="s">
        <v>196</v>
      </c>
      <c r="V2343" s="21">
        <v>86</v>
      </c>
      <c r="W2343" s="21">
        <v>2</v>
      </c>
      <c r="X2343" s="22"/>
    </row>
    <row r="2344" spans="1:24" s="1" customFormat="1" ht="35.1" customHeight="1" x14ac:dyDescent="0.3">
      <c r="A2344" s="23" t="s">
        <v>3029</v>
      </c>
      <c r="B2344" s="23" t="s">
        <v>38</v>
      </c>
      <c r="C2344" s="12" t="s">
        <v>3054</v>
      </c>
      <c r="D2344" s="84"/>
      <c r="E2344" s="69" t="str">
        <f>HYPERLINK("https://www.google.ru/search?q=133432-2325&amp;newwindow=1&amp;tbm=isch","Еще фото")</f>
        <v>Еще фото</v>
      </c>
      <c r="F2344" s="13"/>
      <c r="G2344" s="23" t="s">
        <v>28</v>
      </c>
      <c r="H2344" s="23" t="s">
        <v>27</v>
      </c>
      <c r="I2344" s="23" t="s">
        <v>28</v>
      </c>
      <c r="J2344" s="14" t="s">
        <v>29</v>
      </c>
      <c r="K2344" s="15" t="s">
        <v>30</v>
      </c>
      <c r="L2344" s="87"/>
      <c r="M2344" s="14"/>
      <c r="N2344" s="14" t="s">
        <v>154</v>
      </c>
      <c r="O2344" s="14"/>
      <c r="P2344" s="15" t="s">
        <v>3032</v>
      </c>
      <c r="Q2344" s="16">
        <v>3399</v>
      </c>
      <c r="R2344" s="17">
        <v>45</v>
      </c>
      <c r="S2344" s="18">
        <v>2149.8674999999998</v>
      </c>
      <c r="T2344" s="19" t="s">
        <v>117</v>
      </c>
      <c r="U2344" s="20" t="s">
        <v>94</v>
      </c>
      <c r="V2344" s="21">
        <v>104</v>
      </c>
      <c r="W2344" s="21">
        <v>2</v>
      </c>
      <c r="X2344" s="22"/>
    </row>
    <row r="2345" spans="1:24" s="1" customFormat="1" ht="36.950000000000003" customHeight="1" x14ac:dyDescent="0.3">
      <c r="A2345" s="23" t="s">
        <v>3029</v>
      </c>
      <c r="B2345" s="23" t="s">
        <v>38</v>
      </c>
      <c r="C2345" s="12" t="s">
        <v>3054</v>
      </c>
      <c r="D2345" s="85"/>
      <c r="E2345" s="69" t="str">
        <f>HYPERLINK("https://www.google.ru/search?q=133432-2325&amp;newwindow=1&amp;tbm=isch","Еще фото")</f>
        <v>Еще фото</v>
      </c>
      <c r="F2345" s="13"/>
      <c r="G2345" s="23" t="s">
        <v>28</v>
      </c>
      <c r="H2345" s="23" t="s">
        <v>27</v>
      </c>
      <c r="I2345" s="23" t="s">
        <v>28</v>
      </c>
      <c r="J2345" s="14" t="s">
        <v>29</v>
      </c>
      <c r="K2345" s="15" t="s">
        <v>30</v>
      </c>
      <c r="L2345" s="88"/>
      <c r="M2345" s="14"/>
      <c r="N2345" s="14" t="s">
        <v>154</v>
      </c>
      <c r="O2345" s="14"/>
      <c r="P2345" s="15" t="s">
        <v>3032</v>
      </c>
      <c r="Q2345" s="16">
        <v>3399</v>
      </c>
      <c r="R2345" s="17">
        <v>45</v>
      </c>
      <c r="S2345" s="18">
        <v>2149.8674999999998</v>
      </c>
      <c r="T2345" s="19" t="s">
        <v>117</v>
      </c>
      <c r="U2345" s="20" t="s">
        <v>43</v>
      </c>
      <c r="V2345" s="21">
        <v>110</v>
      </c>
      <c r="W2345" s="21">
        <v>1</v>
      </c>
      <c r="X2345" s="22"/>
    </row>
    <row r="2346" spans="1:24" s="1" customFormat="1" ht="26.1" customHeight="1" x14ac:dyDescent="0.3">
      <c r="A2346" s="11" t="s">
        <v>3029</v>
      </c>
      <c r="B2346" s="11" t="s">
        <v>38</v>
      </c>
      <c r="C2346" s="12" t="s">
        <v>3056</v>
      </c>
      <c r="D2346" s="83"/>
      <c r="E2346" s="69" t="str">
        <f>HYPERLINK("https://www.google.ru/search?q=133432-7899&amp;newwindow=1&amp;tbm=isch","Еще фото")</f>
        <v>Еще фото</v>
      </c>
      <c r="F2346" s="13"/>
      <c r="G2346" s="11" t="s">
        <v>28</v>
      </c>
      <c r="H2346" s="11" t="s">
        <v>27</v>
      </c>
      <c r="I2346" s="14" t="s">
        <v>28</v>
      </c>
      <c r="J2346" s="14" t="s">
        <v>29</v>
      </c>
      <c r="K2346" s="15" t="s">
        <v>30</v>
      </c>
      <c r="L2346" s="86" t="s">
        <v>3055</v>
      </c>
      <c r="M2346" s="14"/>
      <c r="N2346" s="14" t="s">
        <v>70</v>
      </c>
      <c r="O2346" s="14"/>
      <c r="P2346" s="15" t="s">
        <v>3032</v>
      </c>
      <c r="Q2346" s="16">
        <v>3399</v>
      </c>
      <c r="R2346" s="17">
        <v>45</v>
      </c>
      <c r="S2346" s="18">
        <v>2149.8674999999998</v>
      </c>
      <c r="T2346" s="19" t="s">
        <v>117</v>
      </c>
      <c r="U2346" s="20" t="s">
        <v>196</v>
      </c>
      <c r="V2346" s="21">
        <v>86</v>
      </c>
      <c r="W2346" s="21">
        <v>2</v>
      </c>
      <c r="X2346" s="22"/>
    </row>
    <row r="2347" spans="1:24" s="1" customFormat="1" ht="26.1" customHeight="1" x14ac:dyDescent="0.3">
      <c r="A2347" s="23" t="s">
        <v>3029</v>
      </c>
      <c r="B2347" s="23" t="s">
        <v>38</v>
      </c>
      <c r="C2347" s="12" t="s">
        <v>3056</v>
      </c>
      <c r="D2347" s="84"/>
      <c r="E2347" s="69" t="str">
        <f>HYPERLINK("https://www.google.ru/search?q=133432-7899&amp;newwindow=1&amp;tbm=isch","Еще фото")</f>
        <v>Еще фото</v>
      </c>
      <c r="F2347" s="13"/>
      <c r="G2347" s="23" t="s">
        <v>28</v>
      </c>
      <c r="H2347" s="23" t="s">
        <v>27</v>
      </c>
      <c r="I2347" s="23" t="s">
        <v>28</v>
      </c>
      <c r="J2347" s="14" t="s">
        <v>29</v>
      </c>
      <c r="K2347" s="15" t="s">
        <v>30</v>
      </c>
      <c r="L2347" s="87"/>
      <c r="M2347" s="14"/>
      <c r="N2347" s="14" t="s">
        <v>70</v>
      </c>
      <c r="O2347" s="14"/>
      <c r="P2347" s="15" t="s">
        <v>3032</v>
      </c>
      <c r="Q2347" s="16">
        <v>3399</v>
      </c>
      <c r="R2347" s="17">
        <v>45</v>
      </c>
      <c r="S2347" s="18">
        <v>2149.8674999999998</v>
      </c>
      <c r="T2347" s="19" t="s">
        <v>117</v>
      </c>
      <c r="U2347" s="20" t="s">
        <v>77</v>
      </c>
      <c r="V2347" s="21">
        <v>92</v>
      </c>
      <c r="W2347" s="21">
        <v>1</v>
      </c>
      <c r="X2347" s="22"/>
    </row>
    <row r="2348" spans="1:24" s="1" customFormat="1" ht="26.1" customHeight="1" x14ac:dyDescent="0.3">
      <c r="A2348" s="23" t="s">
        <v>3029</v>
      </c>
      <c r="B2348" s="23" t="s">
        <v>38</v>
      </c>
      <c r="C2348" s="12" t="s">
        <v>3056</v>
      </c>
      <c r="D2348" s="84"/>
      <c r="E2348" s="69" t="str">
        <f>HYPERLINK("https://www.google.ru/search?q=133432-7899&amp;newwindow=1&amp;tbm=isch","Еще фото")</f>
        <v>Еще фото</v>
      </c>
      <c r="F2348" s="13"/>
      <c r="G2348" s="23" t="s">
        <v>28</v>
      </c>
      <c r="H2348" s="23" t="s">
        <v>27</v>
      </c>
      <c r="I2348" s="23" t="s">
        <v>28</v>
      </c>
      <c r="J2348" s="14" t="s">
        <v>29</v>
      </c>
      <c r="K2348" s="15" t="s">
        <v>30</v>
      </c>
      <c r="L2348" s="87"/>
      <c r="M2348" s="14"/>
      <c r="N2348" s="14" t="s">
        <v>70</v>
      </c>
      <c r="O2348" s="14"/>
      <c r="P2348" s="15" t="s">
        <v>3032</v>
      </c>
      <c r="Q2348" s="16">
        <v>3399</v>
      </c>
      <c r="R2348" s="17">
        <v>45</v>
      </c>
      <c r="S2348" s="18">
        <v>2149.8674999999998</v>
      </c>
      <c r="T2348" s="19" t="s">
        <v>117</v>
      </c>
      <c r="U2348" s="20" t="s">
        <v>94</v>
      </c>
      <c r="V2348" s="21">
        <v>104</v>
      </c>
      <c r="W2348" s="21">
        <v>2</v>
      </c>
      <c r="X2348" s="22"/>
    </row>
    <row r="2349" spans="1:24" s="1" customFormat="1" ht="26.1" customHeight="1" x14ac:dyDescent="0.3">
      <c r="A2349" s="23" t="s">
        <v>3029</v>
      </c>
      <c r="B2349" s="23" t="s">
        <v>38</v>
      </c>
      <c r="C2349" s="12" t="s">
        <v>3056</v>
      </c>
      <c r="D2349" s="85"/>
      <c r="E2349" s="69" t="str">
        <f>HYPERLINK("https://www.google.ru/search?q=133432-7899&amp;newwindow=1&amp;tbm=isch","Еще фото")</f>
        <v>Еще фото</v>
      </c>
      <c r="F2349" s="13"/>
      <c r="G2349" s="23" t="s">
        <v>28</v>
      </c>
      <c r="H2349" s="23" t="s">
        <v>27</v>
      </c>
      <c r="I2349" s="23" t="s">
        <v>28</v>
      </c>
      <c r="J2349" s="14" t="s">
        <v>29</v>
      </c>
      <c r="K2349" s="15" t="s">
        <v>30</v>
      </c>
      <c r="L2349" s="88"/>
      <c r="M2349" s="14"/>
      <c r="N2349" s="14" t="s">
        <v>70</v>
      </c>
      <c r="O2349" s="14"/>
      <c r="P2349" s="15" t="s">
        <v>3032</v>
      </c>
      <c r="Q2349" s="16">
        <v>3399</v>
      </c>
      <c r="R2349" s="17">
        <v>45</v>
      </c>
      <c r="S2349" s="18">
        <v>2149.8674999999998</v>
      </c>
      <c r="T2349" s="19" t="s">
        <v>117</v>
      </c>
      <c r="U2349" s="20" t="s">
        <v>43</v>
      </c>
      <c r="V2349" s="21">
        <v>110</v>
      </c>
      <c r="W2349" s="21">
        <v>2</v>
      </c>
      <c r="X2349" s="22"/>
    </row>
    <row r="2350" spans="1:24" s="1" customFormat="1" ht="51.95" customHeight="1" x14ac:dyDescent="0.3">
      <c r="A2350" s="11" t="s">
        <v>3029</v>
      </c>
      <c r="B2350" s="11" t="s">
        <v>3036</v>
      </c>
      <c r="C2350" s="12" t="s">
        <v>3057</v>
      </c>
      <c r="D2350" s="89"/>
      <c r="E2350" s="69" t="str">
        <f>HYPERLINK("https://www.google.ru/search?q=133433-7337&amp;newwindow=1&amp;tbm=isch","Еще фото")</f>
        <v>Еще фото</v>
      </c>
      <c r="F2350" s="13"/>
      <c r="G2350" s="11" t="s">
        <v>3038</v>
      </c>
      <c r="H2350" s="11" t="s">
        <v>27</v>
      </c>
      <c r="I2350" s="14" t="s">
        <v>28</v>
      </c>
      <c r="J2350" s="14" t="s">
        <v>29</v>
      </c>
      <c r="K2350" s="15" t="s">
        <v>30</v>
      </c>
      <c r="L2350" s="86" t="s">
        <v>3058</v>
      </c>
      <c r="M2350" s="14"/>
      <c r="N2350" s="14" t="s">
        <v>70</v>
      </c>
      <c r="O2350" s="14"/>
      <c r="P2350" s="15" t="s">
        <v>3040</v>
      </c>
      <c r="Q2350" s="16">
        <v>3999</v>
      </c>
      <c r="R2350" s="17">
        <v>45</v>
      </c>
      <c r="S2350" s="18">
        <v>2529.3674999999994</v>
      </c>
      <c r="T2350" s="19" t="s">
        <v>117</v>
      </c>
      <c r="U2350" s="20" t="s">
        <v>77</v>
      </c>
      <c r="V2350" s="21">
        <v>92</v>
      </c>
      <c r="W2350" s="21">
        <v>2</v>
      </c>
      <c r="X2350" s="22"/>
    </row>
    <row r="2351" spans="1:24" s="1" customFormat="1" ht="60.95" customHeight="1" x14ac:dyDescent="0.3">
      <c r="A2351" s="23" t="s">
        <v>3029</v>
      </c>
      <c r="B2351" s="23" t="s">
        <v>3036</v>
      </c>
      <c r="C2351" s="12" t="s">
        <v>3057</v>
      </c>
      <c r="D2351" s="90"/>
      <c r="E2351" s="69" t="str">
        <f>HYPERLINK("https://www.google.ru/search?q=133433-7337&amp;newwindow=1&amp;tbm=isch","Еще фото")</f>
        <v>Еще фото</v>
      </c>
      <c r="F2351" s="13"/>
      <c r="G2351" s="23" t="s">
        <v>3038</v>
      </c>
      <c r="H2351" s="23" t="s">
        <v>27</v>
      </c>
      <c r="I2351" s="23" t="s">
        <v>28</v>
      </c>
      <c r="J2351" s="14" t="s">
        <v>29</v>
      </c>
      <c r="K2351" s="15" t="s">
        <v>30</v>
      </c>
      <c r="L2351" s="88"/>
      <c r="M2351" s="14"/>
      <c r="N2351" s="14" t="s">
        <v>70</v>
      </c>
      <c r="O2351" s="14"/>
      <c r="P2351" s="15" t="s">
        <v>3040</v>
      </c>
      <c r="Q2351" s="16">
        <v>3999</v>
      </c>
      <c r="R2351" s="17">
        <v>45</v>
      </c>
      <c r="S2351" s="18">
        <v>2529.3674999999994</v>
      </c>
      <c r="T2351" s="19" t="s">
        <v>117</v>
      </c>
      <c r="U2351" s="20" t="s">
        <v>290</v>
      </c>
      <c r="V2351" s="21">
        <v>140</v>
      </c>
      <c r="W2351" s="21">
        <v>1</v>
      </c>
      <c r="X2351" s="22"/>
    </row>
    <row r="2352" spans="1:24" s="1" customFormat="1" ht="108" customHeight="1" x14ac:dyDescent="0.3">
      <c r="A2352" s="11" t="s">
        <v>2957</v>
      </c>
      <c r="B2352" s="11" t="s">
        <v>3059</v>
      </c>
      <c r="C2352" s="12" t="s">
        <v>3060</v>
      </c>
      <c r="D2352" s="24"/>
      <c r="E2352" s="69" t="str">
        <f>HYPERLINK("https://www.google.ru/search?q=532163-1110&amp;newwindow=1&amp;tbm=isch","Еще фото")</f>
        <v>Еще фото</v>
      </c>
      <c r="F2352" s="13"/>
      <c r="G2352" s="11" t="s">
        <v>28</v>
      </c>
      <c r="H2352" s="11" t="s">
        <v>27</v>
      </c>
      <c r="I2352" s="14" t="s">
        <v>28</v>
      </c>
      <c r="J2352" s="14" t="s">
        <v>29</v>
      </c>
      <c r="K2352" s="15" t="s">
        <v>30</v>
      </c>
      <c r="L2352" s="14" t="s">
        <v>3061</v>
      </c>
      <c r="M2352" s="14"/>
      <c r="N2352" s="14" t="s">
        <v>326</v>
      </c>
      <c r="O2352" s="14"/>
      <c r="P2352" s="15" t="s">
        <v>3062</v>
      </c>
      <c r="Q2352" s="16">
        <v>3599</v>
      </c>
      <c r="R2352" s="17">
        <v>45</v>
      </c>
      <c r="S2352" s="18">
        <v>2276.3674999999998</v>
      </c>
      <c r="T2352" s="19" t="s">
        <v>117</v>
      </c>
      <c r="U2352" s="20" t="s">
        <v>2961</v>
      </c>
      <c r="V2352" s="21">
        <v>98</v>
      </c>
      <c r="W2352" s="21">
        <v>1</v>
      </c>
      <c r="X2352" s="22"/>
    </row>
    <row r="2353" spans="1:24" s="1" customFormat="1" ht="108" customHeight="1" x14ac:dyDescent="0.3">
      <c r="A2353" s="11" t="s">
        <v>2957</v>
      </c>
      <c r="B2353" s="11" t="s">
        <v>143</v>
      </c>
      <c r="C2353" s="12" t="s">
        <v>3063</v>
      </c>
      <c r="D2353" s="24"/>
      <c r="E2353" s="69" t="str">
        <f>HYPERLINK("https://www.google.ru/search?q=532169-6840&amp;newwindow=1&amp;tbm=isch","Еще фото")</f>
        <v>Еще фото</v>
      </c>
      <c r="F2353" s="13"/>
      <c r="G2353" s="11" t="s">
        <v>137</v>
      </c>
      <c r="H2353" s="11" t="s">
        <v>27</v>
      </c>
      <c r="I2353" s="14" t="s">
        <v>28</v>
      </c>
      <c r="J2353" s="14" t="s">
        <v>29</v>
      </c>
      <c r="K2353" s="15" t="s">
        <v>30</v>
      </c>
      <c r="L2353" s="14" t="s">
        <v>3064</v>
      </c>
      <c r="M2353" s="14"/>
      <c r="N2353" s="14" t="s">
        <v>70</v>
      </c>
      <c r="O2353" s="14"/>
      <c r="P2353" s="15" t="s">
        <v>3065</v>
      </c>
      <c r="Q2353" s="16">
        <v>4199</v>
      </c>
      <c r="R2353" s="17">
        <v>45</v>
      </c>
      <c r="S2353" s="18">
        <v>2655.8674999999994</v>
      </c>
      <c r="T2353" s="19" t="s">
        <v>117</v>
      </c>
      <c r="U2353" s="20" t="s">
        <v>35</v>
      </c>
      <c r="V2353" s="21">
        <v>116</v>
      </c>
      <c r="W2353" s="21">
        <v>1</v>
      </c>
      <c r="X2353" s="22"/>
    </row>
    <row r="2354" spans="1:24" s="1" customFormat="1" ht="21" customHeight="1" x14ac:dyDescent="0.3">
      <c r="A2354" s="11" t="s">
        <v>3014</v>
      </c>
      <c r="B2354" s="11" t="s">
        <v>3001</v>
      </c>
      <c r="C2354" s="27" t="s">
        <v>3066</v>
      </c>
      <c r="D2354" s="83"/>
      <c r="E2354" s="69" t="str">
        <f>HYPERLINK("https://www.google.ru/search?q=7100011A-3550&amp;newwindow=1&amp;tbm=isch","Еще фото")</f>
        <v>Еще фото</v>
      </c>
      <c r="F2354" s="13"/>
      <c r="G2354" s="11" t="s">
        <v>28</v>
      </c>
      <c r="H2354" s="11" t="s">
        <v>27</v>
      </c>
      <c r="I2354" s="14" t="s">
        <v>28</v>
      </c>
      <c r="J2354" s="14" t="s">
        <v>138</v>
      </c>
      <c r="K2354" s="15" t="s">
        <v>30</v>
      </c>
      <c r="L2354" s="86" t="s">
        <v>3067</v>
      </c>
      <c r="M2354" s="14"/>
      <c r="N2354" s="14" t="s">
        <v>275</v>
      </c>
      <c r="O2354" s="14"/>
      <c r="P2354" s="15" t="s">
        <v>3068</v>
      </c>
      <c r="Q2354" s="16">
        <v>4799</v>
      </c>
      <c r="R2354" s="17">
        <v>45</v>
      </c>
      <c r="S2354" s="18">
        <v>3035.3674999999994</v>
      </c>
      <c r="T2354" s="19" t="s">
        <v>117</v>
      </c>
      <c r="U2354" s="20" t="s">
        <v>2977</v>
      </c>
      <c r="V2354" s="21">
        <v>92</v>
      </c>
      <c r="W2354" s="21">
        <v>2</v>
      </c>
      <c r="X2354" s="22"/>
    </row>
    <row r="2355" spans="1:24" s="1" customFormat="1" ht="21" customHeight="1" x14ac:dyDescent="0.3">
      <c r="A2355" s="23" t="s">
        <v>3014</v>
      </c>
      <c r="B2355" s="23" t="s">
        <v>3001</v>
      </c>
      <c r="C2355" s="28" t="s">
        <v>3066</v>
      </c>
      <c r="D2355" s="84"/>
      <c r="E2355" s="69" t="str">
        <f>HYPERLINK("https://www.google.ru/search?q=7100011A-3550&amp;newwindow=1&amp;tbm=isch","Еще фото")</f>
        <v>Еще фото</v>
      </c>
      <c r="F2355" s="13"/>
      <c r="G2355" s="23" t="s">
        <v>28</v>
      </c>
      <c r="H2355" s="23" t="s">
        <v>27</v>
      </c>
      <c r="I2355" s="23" t="s">
        <v>28</v>
      </c>
      <c r="J2355" s="14" t="s">
        <v>138</v>
      </c>
      <c r="K2355" s="15" t="s">
        <v>30</v>
      </c>
      <c r="L2355" s="87"/>
      <c r="M2355" s="14"/>
      <c r="N2355" s="14" t="s">
        <v>275</v>
      </c>
      <c r="O2355" s="14"/>
      <c r="P2355" s="15" t="s">
        <v>3068</v>
      </c>
      <c r="Q2355" s="16">
        <v>4799</v>
      </c>
      <c r="R2355" s="17">
        <v>45</v>
      </c>
      <c r="S2355" s="18">
        <v>3035.3674999999994</v>
      </c>
      <c r="T2355" s="19" t="s">
        <v>117</v>
      </c>
      <c r="U2355" s="20" t="s">
        <v>2961</v>
      </c>
      <c r="V2355" s="21">
        <v>98</v>
      </c>
      <c r="W2355" s="21">
        <v>2</v>
      </c>
      <c r="X2355" s="22"/>
    </row>
    <row r="2356" spans="1:24" s="1" customFormat="1" ht="21" customHeight="1" x14ac:dyDescent="0.3">
      <c r="A2356" s="23" t="s">
        <v>3014</v>
      </c>
      <c r="B2356" s="23" t="s">
        <v>3001</v>
      </c>
      <c r="C2356" s="28" t="s">
        <v>3066</v>
      </c>
      <c r="D2356" s="84"/>
      <c r="E2356" s="69" t="str">
        <f>HYPERLINK("https://www.google.ru/search?q=7100011A-3550&amp;newwindow=1&amp;tbm=isch","Еще фото")</f>
        <v>Еще фото</v>
      </c>
      <c r="F2356" s="13"/>
      <c r="G2356" s="23" t="s">
        <v>28</v>
      </c>
      <c r="H2356" s="23" t="s">
        <v>27</v>
      </c>
      <c r="I2356" s="23" t="s">
        <v>28</v>
      </c>
      <c r="J2356" s="14" t="s">
        <v>138</v>
      </c>
      <c r="K2356" s="15" t="s">
        <v>30</v>
      </c>
      <c r="L2356" s="87"/>
      <c r="M2356" s="14"/>
      <c r="N2356" s="14" t="s">
        <v>275</v>
      </c>
      <c r="O2356" s="14"/>
      <c r="P2356" s="15" t="s">
        <v>3068</v>
      </c>
      <c r="Q2356" s="16">
        <v>4799</v>
      </c>
      <c r="R2356" s="17">
        <v>45</v>
      </c>
      <c r="S2356" s="18">
        <v>3035.3674999999994</v>
      </c>
      <c r="T2356" s="19" t="s">
        <v>117</v>
      </c>
      <c r="U2356" s="20" t="s">
        <v>94</v>
      </c>
      <c r="V2356" s="21">
        <v>104</v>
      </c>
      <c r="W2356" s="21">
        <v>1</v>
      </c>
      <c r="X2356" s="22"/>
    </row>
    <row r="2357" spans="1:24" s="1" customFormat="1" ht="21" customHeight="1" x14ac:dyDescent="0.3">
      <c r="A2357" s="23" t="s">
        <v>3014</v>
      </c>
      <c r="B2357" s="23" t="s">
        <v>3001</v>
      </c>
      <c r="C2357" s="28" t="s">
        <v>3066</v>
      </c>
      <c r="D2357" s="84"/>
      <c r="E2357" s="69" t="str">
        <f>HYPERLINK("https://www.google.ru/search?q=7100011A-3550&amp;newwindow=1&amp;tbm=isch","Еще фото")</f>
        <v>Еще фото</v>
      </c>
      <c r="F2357" s="13"/>
      <c r="G2357" s="23" t="s">
        <v>28</v>
      </c>
      <c r="H2357" s="23" t="s">
        <v>27</v>
      </c>
      <c r="I2357" s="23" t="s">
        <v>28</v>
      </c>
      <c r="J2357" s="14" t="s">
        <v>138</v>
      </c>
      <c r="K2357" s="15" t="s">
        <v>30</v>
      </c>
      <c r="L2357" s="87"/>
      <c r="M2357" s="14"/>
      <c r="N2357" s="14" t="s">
        <v>275</v>
      </c>
      <c r="O2357" s="14"/>
      <c r="P2357" s="15" t="s">
        <v>3068</v>
      </c>
      <c r="Q2357" s="16">
        <v>4799</v>
      </c>
      <c r="R2357" s="17">
        <v>45</v>
      </c>
      <c r="S2357" s="18">
        <v>3035.3674999999994</v>
      </c>
      <c r="T2357" s="19" t="s">
        <v>117</v>
      </c>
      <c r="U2357" s="20" t="s">
        <v>43</v>
      </c>
      <c r="V2357" s="21">
        <v>110</v>
      </c>
      <c r="W2357" s="21">
        <v>3</v>
      </c>
      <c r="X2357" s="22"/>
    </row>
    <row r="2358" spans="1:24" s="1" customFormat="1" ht="32.1" customHeight="1" x14ac:dyDescent="0.3">
      <c r="A2358" s="23" t="s">
        <v>3014</v>
      </c>
      <c r="B2358" s="23" t="s">
        <v>3001</v>
      </c>
      <c r="C2358" s="28" t="s">
        <v>3066</v>
      </c>
      <c r="D2358" s="85"/>
      <c r="E2358" s="69" t="str">
        <f>HYPERLINK("https://www.google.ru/search?q=7100011A-3550&amp;newwindow=1&amp;tbm=isch","Еще фото")</f>
        <v>Еще фото</v>
      </c>
      <c r="F2358" s="13"/>
      <c r="G2358" s="23" t="s">
        <v>28</v>
      </c>
      <c r="H2358" s="23" t="s">
        <v>27</v>
      </c>
      <c r="I2358" s="23" t="s">
        <v>28</v>
      </c>
      <c r="J2358" s="14" t="s">
        <v>138</v>
      </c>
      <c r="K2358" s="15" t="s">
        <v>30</v>
      </c>
      <c r="L2358" s="88"/>
      <c r="M2358" s="14"/>
      <c r="N2358" s="14" t="s">
        <v>275</v>
      </c>
      <c r="O2358" s="14"/>
      <c r="P2358" s="15" t="s">
        <v>3068</v>
      </c>
      <c r="Q2358" s="16">
        <v>4799</v>
      </c>
      <c r="R2358" s="17">
        <v>45</v>
      </c>
      <c r="S2358" s="18">
        <v>3035.3674999999994</v>
      </c>
      <c r="T2358" s="19" t="s">
        <v>117</v>
      </c>
      <c r="U2358" s="20" t="s">
        <v>36</v>
      </c>
      <c r="V2358" s="21">
        <v>122</v>
      </c>
      <c r="W2358" s="21">
        <v>1</v>
      </c>
      <c r="X2358" s="22"/>
    </row>
    <row r="2359" spans="1:24" s="1" customFormat="1" ht="108" customHeight="1" x14ac:dyDescent="0.3">
      <c r="A2359" s="11" t="s">
        <v>3014</v>
      </c>
      <c r="B2359" s="11" t="s">
        <v>3069</v>
      </c>
      <c r="C2359" s="12" t="s">
        <v>3070</v>
      </c>
      <c r="D2359" s="24"/>
      <c r="E2359" s="69" t="str">
        <f>HYPERLINK("https://www.google.ru/search?q=7100013B-6961&amp;newwindow=1&amp;tbm=isch","Еще фото")</f>
        <v>Еще фото</v>
      </c>
      <c r="F2359" s="13"/>
      <c r="G2359" s="11" t="s">
        <v>3071</v>
      </c>
      <c r="H2359" s="11" t="s">
        <v>27</v>
      </c>
      <c r="I2359" s="14" t="s">
        <v>28</v>
      </c>
      <c r="J2359" s="14" t="s">
        <v>138</v>
      </c>
      <c r="K2359" s="15" t="s">
        <v>30</v>
      </c>
      <c r="L2359" s="14" t="s">
        <v>3072</v>
      </c>
      <c r="M2359" s="14"/>
      <c r="N2359" s="14" t="s">
        <v>70</v>
      </c>
      <c r="O2359" s="14"/>
      <c r="P2359" s="15" t="s">
        <v>3068</v>
      </c>
      <c r="Q2359" s="16">
        <v>7999</v>
      </c>
      <c r="R2359" s="17">
        <v>45</v>
      </c>
      <c r="S2359" s="18">
        <v>5059.3674999999994</v>
      </c>
      <c r="T2359" s="19" t="s">
        <v>117</v>
      </c>
      <c r="U2359" s="20" t="s">
        <v>2961</v>
      </c>
      <c r="V2359" s="21">
        <v>98</v>
      </c>
      <c r="W2359" s="21">
        <v>1</v>
      </c>
      <c r="X2359" s="22"/>
    </row>
    <row r="2360" spans="1:24" s="1" customFormat="1" ht="12.95" customHeight="1" x14ac:dyDescent="0.3">
      <c r="A2360" s="11" t="s">
        <v>3014</v>
      </c>
      <c r="B2360" s="11" t="s">
        <v>3073</v>
      </c>
      <c r="C2360" s="12" t="s">
        <v>3074</v>
      </c>
      <c r="D2360" s="83"/>
      <c r="E2360" s="69" t="str">
        <f t="shared" ref="E2360:E2367" si="83">HYPERLINK("https://www.google.ru/search?q=7100017A-9990&amp;newwindow=1&amp;tbm=isch","Еще фото")</f>
        <v>Еще фото</v>
      </c>
      <c r="F2360" s="13"/>
      <c r="G2360" s="11" t="s">
        <v>28</v>
      </c>
      <c r="H2360" s="11" t="s">
        <v>27</v>
      </c>
      <c r="I2360" s="14" t="s">
        <v>28</v>
      </c>
      <c r="J2360" s="14" t="s">
        <v>29</v>
      </c>
      <c r="K2360" s="15" t="s">
        <v>30</v>
      </c>
      <c r="L2360" s="86" t="s">
        <v>3075</v>
      </c>
      <c r="M2360" s="14" t="s">
        <v>2945</v>
      </c>
      <c r="N2360" s="14" t="s">
        <v>49</v>
      </c>
      <c r="O2360" s="14"/>
      <c r="P2360" s="15" t="s">
        <v>3068</v>
      </c>
      <c r="Q2360" s="16">
        <v>3699</v>
      </c>
      <c r="R2360" s="17">
        <v>45</v>
      </c>
      <c r="S2360" s="18">
        <v>2339.6174999999998</v>
      </c>
      <c r="T2360" s="19" t="s">
        <v>117</v>
      </c>
      <c r="U2360" s="26" t="s">
        <v>94</v>
      </c>
      <c r="V2360" s="21">
        <v>104</v>
      </c>
      <c r="W2360" s="21">
        <v>1</v>
      </c>
      <c r="X2360" s="22"/>
    </row>
    <row r="2361" spans="1:24" s="1" customFormat="1" ht="12.95" customHeight="1" x14ac:dyDescent="0.3">
      <c r="A2361" s="23" t="s">
        <v>3014</v>
      </c>
      <c r="B2361" s="23" t="s">
        <v>3073</v>
      </c>
      <c r="C2361" s="12" t="s">
        <v>3074</v>
      </c>
      <c r="D2361" s="84"/>
      <c r="E2361" s="69" t="str">
        <f t="shared" si="83"/>
        <v>Еще фото</v>
      </c>
      <c r="F2361" s="13"/>
      <c r="G2361" s="23" t="s">
        <v>28</v>
      </c>
      <c r="H2361" s="23" t="s">
        <v>27</v>
      </c>
      <c r="I2361" s="23" t="s">
        <v>28</v>
      </c>
      <c r="J2361" s="14" t="s">
        <v>29</v>
      </c>
      <c r="K2361" s="15" t="s">
        <v>30</v>
      </c>
      <c r="L2361" s="87"/>
      <c r="M2361" s="14" t="s">
        <v>2945</v>
      </c>
      <c r="N2361" s="14" t="s">
        <v>49</v>
      </c>
      <c r="O2361" s="14"/>
      <c r="P2361" s="15" t="s">
        <v>3068</v>
      </c>
      <c r="Q2361" s="16">
        <v>3699</v>
      </c>
      <c r="R2361" s="17">
        <v>45</v>
      </c>
      <c r="S2361" s="18">
        <v>2339.6174999999998</v>
      </c>
      <c r="T2361" s="19" t="s">
        <v>117</v>
      </c>
      <c r="U2361" s="20" t="s">
        <v>43</v>
      </c>
      <c r="V2361" s="21">
        <v>110</v>
      </c>
      <c r="W2361" s="21">
        <v>2</v>
      </c>
      <c r="X2361" s="22"/>
    </row>
    <row r="2362" spans="1:24" s="1" customFormat="1" ht="12.95" customHeight="1" x14ac:dyDescent="0.3">
      <c r="A2362" s="23" t="s">
        <v>3014</v>
      </c>
      <c r="B2362" s="23" t="s">
        <v>3073</v>
      </c>
      <c r="C2362" s="12" t="s">
        <v>3074</v>
      </c>
      <c r="D2362" s="84"/>
      <c r="E2362" s="69" t="str">
        <f t="shared" si="83"/>
        <v>Еще фото</v>
      </c>
      <c r="F2362" s="13"/>
      <c r="G2362" s="23" t="s">
        <v>28</v>
      </c>
      <c r="H2362" s="23" t="s">
        <v>27</v>
      </c>
      <c r="I2362" s="23" t="s">
        <v>28</v>
      </c>
      <c r="J2362" s="14" t="s">
        <v>29</v>
      </c>
      <c r="K2362" s="15" t="s">
        <v>30</v>
      </c>
      <c r="L2362" s="87"/>
      <c r="M2362" s="14" t="s">
        <v>2945</v>
      </c>
      <c r="N2362" s="14" t="s">
        <v>49</v>
      </c>
      <c r="O2362" s="14"/>
      <c r="P2362" s="15" t="s">
        <v>3068</v>
      </c>
      <c r="Q2362" s="16">
        <v>3699</v>
      </c>
      <c r="R2362" s="17">
        <v>45</v>
      </c>
      <c r="S2362" s="18">
        <v>2339.6174999999998</v>
      </c>
      <c r="T2362" s="19" t="s">
        <v>117</v>
      </c>
      <c r="U2362" s="20" t="s">
        <v>35</v>
      </c>
      <c r="V2362" s="21">
        <v>116</v>
      </c>
      <c r="W2362" s="21">
        <v>3</v>
      </c>
      <c r="X2362" s="22"/>
    </row>
    <row r="2363" spans="1:24" s="1" customFormat="1" ht="12.95" customHeight="1" x14ac:dyDescent="0.3">
      <c r="A2363" s="23" t="s">
        <v>3014</v>
      </c>
      <c r="B2363" s="23" t="s">
        <v>3073</v>
      </c>
      <c r="C2363" s="12" t="s">
        <v>3074</v>
      </c>
      <c r="D2363" s="84"/>
      <c r="E2363" s="69" t="str">
        <f t="shared" si="83"/>
        <v>Еще фото</v>
      </c>
      <c r="F2363" s="13"/>
      <c r="G2363" s="23" t="s">
        <v>28</v>
      </c>
      <c r="H2363" s="23" t="s">
        <v>27</v>
      </c>
      <c r="I2363" s="23" t="s">
        <v>28</v>
      </c>
      <c r="J2363" s="14" t="s">
        <v>29</v>
      </c>
      <c r="K2363" s="15" t="s">
        <v>30</v>
      </c>
      <c r="L2363" s="87"/>
      <c r="M2363" s="14" t="s">
        <v>2945</v>
      </c>
      <c r="N2363" s="14" t="s">
        <v>49</v>
      </c>
      <c r="O2363" s="14"/>
      <c r="P2363" s="15" t="s">
        <v>3068</v>
      </c>
      <c r="Q2363" s="16">
        <v>3699</v>
      </c>
      <c r="R2363" s="17">
        <v>45</v>
      </c>
      <c r="S2363" s="18">
        <v>2339.6174999999998</v>
      </c>
      <c r="T2363" s="19" t="s">
        <v>117</v>
      </c>
      <c r="U2363" s="20" t="s">
        <v>36</v>
      </c>
      <c r="V2363" s="21">
        <v>122</v>
      </c>
      <c r="W2363" s="21">
        <v>2</v>
      </c>
      <c r="X2363" s="22"/>
    </row>
    <row r="2364" spans="1:24" s="1" customFormat="1" ht="12.95" customHeight="1" x14ac:dyDescent="0.3">
      <c r="A2364" s="23" t="s">
        <v>3014</v>
      </c>
      <c r="B2364" s="23" t="s">
        <v>3073</v>
      </c>
      <c r="C2364" s="12" t="s">
        <v>3074</v>
      </c>
      <c r="D2364" s="84"/>
      <c r="E2364" s="69" t="str">
        <f t="shared" si="83"/>
        <v>Еще фото</v>
      </c>
      <c r="F2364" s="13"/>
      <c r="G2364" s="23" t="s">
        <v>28</v>
      </c>
      <c r="H2364" s="23" t="s">
        <v>27</v>
      </c>
      <c r="I2364" s="23" t="s">
        <v>28</v>
      </c>
      <c r="J2364" s="14" t="s">
        <v>29</v>
      </c>
      <c r="K2364" s="15" t="s">
        <v>30</v>
      </c>
      <c r="L2364" s="87"/>
      <c r="M2364" s="14" t="s">
        <v>2945</v>
      </c>
      <c r="N2364" s="14" t="s">
        <v>49</v>
      </c>
      <c r="O2364" s="14"/>
      <c r="P2364" s="15" t="s">
        <v>3068</v>
      </c>
      <c r="Q2364" s="16">
        <v>3699</v>
      </c>
      <c r="R2364" s="17">
        <v>45</v>
      </c>
      <c r="S2364" s="18">
        <v>2339.6174999999998</v>
      </c>
      <c r="T2364" s="19" t="s">
        <v>117</v>
      </c>
      <c r="U2364" s="20" t="s">
        <v>37</v>
      </c>
      <c r="V2364" s="21">
        <v>128</v>
      </c>
      <c r="W2364" s="21">
        <v>1</v>
      </c>
      <c r="X2364" s="22"/>
    </row>
    <row r="2365" spans="1:24" s="1" customFormat="1" ht="12.95" customHeight="1" x14ac:dyDescent="0.3">
      <c r="A2365" s="23" t="s">
        <v>3014</v>
      </c>
      <c r="B2365" s="23" t="s">
        <v>3073</v>
      </c>
      <c r="C2365" s="12" t="s">
        <v>3074</v>
      </c>
      <c r="D2365" s="84"/>
      <c r="E2365" s="69" t="str">
        <f t="shared" si="83"/>
        <v>Еще фото</v>
      </c>
      <c r="F2365" s="13"/>
      <c r="G2365" s="23" t="s">
        <v>28</v>
      </c>
      <c r="H2365" s="23" t="s">
        <v>27</v>
      </c>
      <c r="I2365" s="23" t="s">
        <v>28</v>
      </c>
      <c r="J2365" s="14" t="s">
        <v>29</v>
      </c>
      <c r="K2365" s="15" t="s">
        <v>30</v>
      </c>
      <c r="L2365" s="87"/>
      <c r="M2365" s="14" t="s">
        <v>2945</v>
      </c>
      <c r="N2365" s="14" t="s">
        <v>49</v>
      </c>
      <c r="O2365" s="14"/>
      <c r="P2365" s="15" t="s">
        <v>3068</v>
      </c>
      <c r="Q2365" s="16">
        <v>3699</v>
      </c>
      <c r="R2365" s="17">
        <v>45</v>
      </c>
      <c r="S2365" s="18">
        <v>2339.6174999999998</v>
      </c>
      <c r="T2365" s="19" t="s">
        <v>117</v>
      </c>
      <c r="U2365" s="20" t="s">
        <v>91</v>
      </c>
      <c r="V2365" s="21">
        <v>134</v>
      </c>
      <c r="W2365" s="21">
        <v>1</v>
      </c>
      <c r="X2365" s="22"/>
    </row>
    <row r="2366" spans="1:24" s="1" customFormat="1" ht="12.95" customHeight="1" x14ac:dyDescent="0.3">
      <c r="A2366" s="23" t="s">
        <v>3014</v>
      </c>
      <c r="B2366" s="23" t="s">
        <v>3073</v>
      </c>
      <c r="C2366" s="12" t="s">
        <v>3074</v>
      </c>
      <c r="D2366" s="84"/>
      <c r="E2366" s="69" t="str">
        <f t="shared" si="83"/>
        <v>Еще фото</v>
      </c>
      <c r="F2366" s="13"/>
      <c r="G2366" s="23" t="s">
        <v>28</v>
      </c>
      <c r="H2366" s="23" t="s">
        <v>27</v>
      </c>
      <c r="I2366" s="23" t="s">
        <v>28</v>
      </c>
      <c r="J2366" s="14" t="s">
        <v>29</v>
      </c>
      <c r="K2366" s="15" t="s">
        <v>30</v>
      </c>
      <c r="L2366" s="87"/>
      <c r="M2366" s="14" t="s">
        <v>2945</v>
      </c>
      <c r="N2366" s="14" t="s">
        <v>49</v>
      </c>
      <c r="O2366" s="14"/>
      <c r="P2366" s="15" t="s">
        <v>3068</v>
      </c>
      <c r="Q2366" s="16">
        <v>3699</v>
      </c>
      <c r="R2366" s="17">
        <v>45</v>
      </c>
      <c r="S2366" s="18">
        <v>2339.6174999999998</v>
      </c>
      <c r="T2366" s="19" t="s">
        <v>117</v>
      </c>
      <c r="U2366" s="20" t="s">
        <v>2993</v>
      </c>
      <c r="V2366" s="21">
        <v>146</v>
      </c>
      <c r="W2366" s="21">
        <v>2</v>
      </c>
      <c r="X2366" s="22"/>
    </row>
    <row r="2367" spans="1:24" s="1" customFormat="1" ht="18" customHeight="1" x14ac:dyDescent="0.3">
      <c r="A2367" s="23" t="s">
        <v>3014</v>
      </c>
      <c r="B2367" s="23" t="s">
        <v>3073</v>
      </c>
      <c r="C2367" s="12" t="s">
        <v>3074</v>
      </c>
      <c r="D2367" s="85"/>
      <c r="E2367" s="69" t="str">
        <f t="shared" si="83"/>
        <v>Еще фото</v>
      </c>
      <c r="F2367" s="13"/>
      <c r="G2367" s="23" t="s">
        <v>28</v>
      </c>
      <c r="H2367" s="23" t="s">
        <v>27</v>
      </c>
      <c r="I2367" s="23" t="s">
        <v>28</v>
      </c>
      <c r="J2367" s="14" t="s">
        <v>29</v>
      </c>
      <c r="K2367" s="15" t="s">
        <v>30</v>
      </c>
      <c r="L2367" s="88"/>
      <c r="M2367" s="14" t="s">
        <v>2945</v>
      </c>
      <c r="N2367" s="14" t="s">
        <v>49</v>
      </c>
      <c r="O2367" s="14"/>
      <c r="P2367" s="15" t="s">
        <v>3068</v>
      </c>
      <c r="Q2367" s="16">
        <v>3699</v>
      </c>
      <c r="R2367" s="17">
        <v>45</v>
      </c>
      <c r="S2367" s="18">
        <v>2339.6174999999998</v>
      </c>
      <c r="T2367" s="19" t="s">
        <v>117</v>
      </c>
      <c r="U2367" s="20" t="s">
        <v>2160</v>
      </c>
      <c r="V2367" s="21">
        <v>152</v>
      </c>
      <c r="W2367" s="21">
        <v>2</v>
      </c>
      <c r="X2367" s="22"/>
    </row>
    <row r="2368" spans="1:24" s="1" customFormat="1" ht="21" customHeight="1" x14ac:dyDescent="0.3">
      <c r="A2368" s="11" t="s">
        <v>3014</v>
      </c>
      <c r="B2368" s="11" t="s">
        <v>3076</v>
      </c>
      <c r="C2368" s="27" t="s">
        <v>3077</v>
      </c>
      <c r="D2368" s="83"/>
      <c r="E2368" s="69" t="str">
        <f>HYPERLINK("https://www.google.ru/search?q=7100057A-4740&amp;newwindow=1&amp;tbm=isch","Еще фото")</f>
        <v>Еще фото</v>
      </c>
      <c r="F2368" s="13"/>
      <c r="G2368" s="11" t="s">
        <v>28</v>
      </c>
      <c r="H2368" s="11" t="s">
        <v>27</v>
      </c>
      <c r="I2368" s="14" t="s">
        <v>28</v>
      </c>
      <c r="J2368" s="14" t="s">
        <v>29</v>
      </c>
      <c r="K2368" s="15" t="s">
        <v>30</v>
      </c>
      <c r="L2368" s="86" t="s">
        <v>3078</v>
      </c>
      <c r="M2368" s="14"/>
      <c r="N2368" s="14" t="s">
        <v>275</v>
      </c>
      <c r="O2368" s="14"/>
      <c r="P2368" s="15" t="s">
        <v>3068</v>
      </c>
      <c r="Q2368" s="16">
        <v>4499</v>
      </c>
      <c r="R2368" s="17">
        <v>45</v>
      </c>
      <c r="S2368" s="18">
        <v>2845.6174999999994</v>
      </c>
      <c r="T2368" s="19" t="s">
        <v>117</v>
      </c>
      <c r="U2368" s="20" t="s">
        <v>2961</v>
      </c>
      <c r="V2368" s="21">
        <v>98</v>
      </c>
      <c r="W2368" s="21">
        <v>2</v>
      </c>
      <c r="X2368" s="22"/>
    </row>
    <row r="2369" spans="1:24" s="1" customFormat="1" ht="21" customHeight="1" x14ac:dyDescent="0.3">
      <c r="A2369" s="23" t="s">
        <v>3014</v>
      </c>
      <c r="B2369" s="23" t="s">
        <v>3076</v>
      </c>
      <c r="C2369" s="28" t="s">
        <v>3077</v>
      </c>
      <c r="D2369" s="84"/>
      <c r="E2369" s="69" t="str">
        <f>HYPERLINK("https://www.google.ru/search?q=7100057A-4740&amp;newwindow=1&amp;tbm=isch","Еще фото")</f>
        <v>Еще фото</v>
      </c>
      <c r="F2369" s="13"/>
      <c r="G2369" s="23" t="s">
        <v>28</v>
      </c>
      <c r="H2369" s="23" t="s">
        <v>27</v>
      </c>
      <c r="I2369" s="23" t="s">
        <v>28</v>
      </c>
      <c r="J2369" s="14" t="s">
        <v>29</v>
      </c>
      <c r="K2369" s="15" t="s">
        <v>30</v>
      </c>
      <c r="L2369" s="87"/>
      <c r="M2369" s="14"/>
      <c r="N2369" s="14" t="s">
        <v>275</v>
      </c>
      <c r="O2369" s="14"/>
      <c r="P2369" s="15" t="s">
        <v>3068</v>
      </c>
      <c r="Q2369" s="16">
        <v>4499</v>
      </c>
      <c r="R2369" s="17">
        <v>45</v>
      </c>
      <c r="S2369" s="18">
        <v>2845.6174999999994</v>
      </c>
      <c r="T2369" s="19" t="s">
        <v>117</v>
      </c>
      <c r="U2369" s="20" t="s">
        <v>43</v>
      </c>
      <c r="V2369" s="21">
        <v>110</v>
      </c>
      <c r="W2369" s="21">
        <v>2</v>
      </c>
      <c r="X2369" s="22"/>
    </row>
    <row r="2370" spans="1:24" s="1" customFormat="1" ht="21" customHeight="1" x14ac:dyDescent="0.3">
      <c r="A2370" s="23" t="s">
        <v>3014</v>
      </c>
      <c r="B2370" s="23" t="s">
        <v>3076</v>
      </c>
      <c r="C2370" s="28" t="s">
        <v>3077</v>
      </c>
      <c r="D2370" s="84"/>
      <c r="E2370" s="69" t="str">
        <f>HYPERLINK("https://www.google.ru/search?q=7100057A-4740&amp;newwindow=1&amp;tbm=isch","Еще фото")</f>
        <v>Еще фото</v>
      </c>
      <c r="F2370" s="13"/>
      <c r="G2370" s="23" t="s">
        <v>28</v>
      </c>
      <c r="H2370" s="23" t="s">
        <v>27</v>
      </c>
      <c r="I2370" s="23" t="s">
        <v>28</v>
      </c>
      <c r="J2370" s="14" t="s">
        <v>29</v>
      </c>
      <c r="K2370" s="15" t="s">
        <v>30</v>
      </c>
      <c r="L2370" s="87"/>
      <c r="M2370" s="14"/>
      <c r="N2370" s="14" t="s">
        <v>275</v>
      </c>
      <c r="O2370" s="14"/>
      <c r="P2370" s="15" t="s">
        <v>3068</v>
      </c>
      <c r="Q2370" s="16">
        <v>4499</v>
      </c>
      <c r="R2370" s="17">
        <v>45</v>
      </c>
      <c r="S2370" s="18">
        <v>2845.6174999999994</v>
      </c>
      <c r="T2370" s="19" t="s">
        <v>117</v>
      </c>
      <c r="U2370" s="20" t="s">
        <v>35</v>
      </c>
      <c r="V2370" s="21">
        <v>116</v>
      </c>
      <c r="W2370" s="21">
        <v>1</v>
      </c>
      <c r="X2370" s="22"/>
    </row>
    <row r="2371" spans="1:24" s="1" customFormat="1" ht="21" customHeight="1" x14ac:dyDescent="0.3">
      <c r="A2371" s="23" t="s">
        <v>3014</v>
      </c>
      <c r="B2371" s="23" t="s">
        <v>3076</v>
      </c>
      <c r="C2371" s="28" t="s">
        <v>3077</v>
      </c>
      <c r="D2371" s="84"/>
      <c r="E2371" s="69" t="str">
        <f>HYPERLINK("https://www.google.ru/search?q=7100057A-4740&amp;newwindow=1&amp;tbm=isch","Еще фото")</f>
        <v>Еще фото</v>
      </c>
      <c r="F2371" s="13"/>
      <c r="G2371" s="23" t="s">
        <v>28</v>
      </c>
      <c r="H2371" s="23" t="s">
        <v>27</v>
      </c>
      <c r="I2371" s="23" t="s">
        <v>28</v>
      </c>
      <c r="J2371" s="14" t="s">
        <v>29</v>
      </c>
      <c r="K2371" s="15" t="s">
        <v>30</v>
      </c>
      <c r="L2371" s="87"/>
      <c r="M2371" s="14"/>
      <c r="N2371" s="14" t="s">
        <v>275</v>
      </c>
      <c r="O2371" s="14"/>
      <c r="P2371" s="15" t="s">
        <v>3068</v>
      </c>
      <c r="Q2371" s="16">
        <v>4499</v>
      </c>
      <c r="R2371" s="17">
        <v>45</v>
      </c>
      <c r="S2371" s="18">
        <v>2845.6174999999994</v>
      </c>
      <c r="T2371" s="19" t="s">
        <v>117</v>
      </c>
      <c r="U2371" s="20" t="s">
        <v>91</v>
      </c>
      <c r="V2371" s="21">
        <v>134</v>
      </c>
      <c r="W2371" s="21">
        <v>1</v>
      </c>
      <c r="X2371" s="22"/>
    </row>
    <row r="2372" spans="1:24" s="1" customFormat="1" ht="32.1" customHeight="1" x14ac:dyDescent="0.3">
      <c r="A2372" s="23" t="s">
        <v>3014</v>
      </c>
      <c r="B2372" s="23" t="s">
        <v>3076</v>
      </c>
      <c r="C2372" s="28" t="s">
        <v>3077</v>
      </c>
      <c r="D2372" s="85"/>
      <c r="E2372" s="69" t="str">
        <f>HYPERLINK("https://www.google.ru/search?q=7100057A-4740&amp;newwindow=1&amp;tbm=isch","Еще фото")</f>
        <v>Еще фото</v>
      </c>
      <c r="F2372" s="13"/>
      <c r="G2372" s="23" t="s">
        <v>28</v>
      </c>
      <c r="H2372" s="23" t="s">
        <v>27</v>
      </c>
      <c r="I2372" s="23" t="s">
        <v>28</v>
      </c>
      <c r="J2372" s="14" t="s">
        <v>29</v>
      </c>
      <c r="K2372" s="15" t="s">
        <v>30</v>
      </c>
      <c r="L2372" s="88"/>
      <c r="M2372" s="14"/>
      <c r="N2372" s="14" t="s">
        <v>275</v>
      </c>
      <c r="O2372" s="14"/>
      <c r="P2372" s="15" t="s">
        <v>3068</v>
      </c>
      <c r="Q2372" s="16">
        <v>4499</v>
      </c>
      <c r="R2372" s="17">
        <v>45</v>
      </c>
      <c r="S2372" s="18">
        <v>2845.6174999999994</v>
      </c>
      <c r="T2372" s="19" t="s">
        <v>117</v>
      </c>
      <c r="U2372" s="20" t="s">
        <v>290</v>
      </c>
      <c r="V2372" s="21">
        <v>140</v>
      </c>
      <c r="W2372" s="21">
        <v>1</v>
      </c>
      <c r="X2372" s="22"/>
    </row>
    <row r="2373" spans="1:24" s="1" customFormat="1" ht="14.1" customHeight="1" x14ac:dyDescent="0.3">
      <c r="A2373" s="11" t="s">
        <v>3014</v>
      </c>
      <c r="B2373" s="11" t="s">
        <v>3076</v>
      </c>
      <c r="C2373" s="12" t="s">
        <v>3079</v>
      </c>
      <c r="D2373" s="83"/>
      <c r="E2373" s="69" t="str">
        <f t="shared" ref="E2373:E2379" si="84">HYPERLINK("https://www.google.ru/search?q=7100057A-6960&amp;newwindow=1&amp;tbm=isch","Еще фото")</f>
        <v>Еще фото</v>
      </c>
      <c r="F2373" s="13"/>
      <c r="G2373" s="11" t="s">
        <v>28</v>
      </c>
      <c r="H2373" s="11" t="s">
        <v>27</v>
      </c>
      <c r="I2373" s="14" t="s">
        <v>28</v>
      </c>
      <c r="J2373" s="14" t="s">
        <v>29</v>
      </c>
      <c r="K2373" s="15" t="s">
        <v>30</v>
      </c>
      <c r="L2373" s="86" t="s">
        <v>3078</v>
      </c>
      <c r="M2373" s="14"/>
      <c r="N2373" s="14" t="s">
        <v>70</v>
      </c>
      <c r="O2373" s="14"/>
      <c r="P2373" s="15" t="s">
        <v>3068</v>
      </c>
      <c r="Q2373" s="16">
        <v>4799</v>
      </c>
      <c r="R2373" s="17">
        <v>45</v>
      </c>
      <c r="S2373" s="18">
        <v>3035.3674999999994</v>
      </c>
      <c r="T2373" s="19" t="s">
        <v>117</v>
      </c>
      <c r="U2373" s="20" t="s">
        <v>2977</v>
      </c>
      <c r="V2373" s="21">
        <v>92</v>
      </c>
      <c r="W2373" s="21">
        <v>1</v>
      </c>
      <c r="X2373" s="22"/>
    </row>
    <row r="2374" spans="1:24" s="1" customFormat="1" ht="14.1" customHeight="1" x14ac:dyDescent="0.3">
      <c r="A2374" s="23" t="s">
        <v>3014</v>
      </c>
      <c r="B2374" s="23" t="s">
        <v>3076</v>
      </c>
      <c r="C2374" s="12" t="s">
        <v>3079</v>
      </c>
      <c r="D2374" s="84"/>
      <c r="E2374" s="69" t="str">
        <f t="shared" si="84"/>
        <v>Еще фото</v>
      </c>
      <c r="F2374" s="13"/>
      <c r="G2374" s="23" t="s">
        <v>28</v>
      </c>
      <c r="H2374" s="23" t="s">
        <v>27</v>
      </c>
      <c r="I2374" s="23" t="s">
        <v>28</v>
      </c>
      <c r="J2374" s="14" t="s">
        <v>29</v>
      </c>
      <c r="K2374" s="15" t="s">
        <v>30</v>
      </c>
      <c r="L2374" s="87"/>
      <c r="M2374" s="14"/>
      <c r="N2374" s="14" t="s">
        <v>70</v>
      </c>
      <c r="O2374" s="14"/>
      <c r="P2374" s="15" t="s">
        <v>3068</v>
      </c>
      <c r="Q2374" s="16">
        <v>4799</v>
      </c>
      <c r="R2374" s="17">
        <v>45</v>
      </c>
      <c r="S2374" s="18">
        <v>3035.3674999999994</v>
      </c>
      <c r="T2374" s="19" t="s">
        <v>117</v>
      </c>
      <c r="U2374" s="20" t="s">
        <v>2961</v>
      </c>
      <c r="V2374" s="21">
        <v>98</v>
      </c>
      <c r="W2374" s="21">
        <v>2</v>
      </c>
      <c r="X2374" s="22"/>
    </row>
    <row r="2375" spans="1:24" s="1" customFormat="1" ht="14.1" customHeight="1" x14ac:dyDescent="0.3">
      <c r="A2375" s="23" t="s">
        <v>3014</v>
      </c>
      <c r="B2375" s="23" t="s">
        <v>3076</v>
      </c>
      <c r="C2375" s="12" t="s">
        <v>3079</v>
      </c>
      <c r="D2375" s="84"/>
      <c r="E2375" s="69" t="str">
        <f t="shared" si="84"/>
        <v>Еще фото</v>
      </c>
      <c r="F2375" s="13"/>
      <c r="G2375" s="23" t="s">
        <v>28</v>
      </c>
      <c r="H2375" s="23" t="s">
        <v>27</v>
      </c>
      <c r="I2375" s="23" t="s">
        <v>28</v>
      </c>
      <c r="J2375" s="14" t="s">
        <v>29</v>
      </c>
      <c r="K2375" s="15" t="s">
        <v>30</v>
      </c>
      <c r="L2375" s="87"/>
      <c r="M2375" s="14"/>
      <c r="N2375" s="14" t="s">
        <v>70</v>
      </c>
      <c r="O2375" s="14"/>
      <c r="P2375" s="15" t="s">
        <v>3068</v>
      </c>
      <c r="Q2375" s="16">
        <v>4799</v>
      </c>
      <c r="R2375" s="17">
        <v>45</v>
      </c>
      <c r="S2375" s="18">
        <v>3035.3674999999994</v>
      </c>
      <c r="T2375" s="19" t="s">
        <v>117</v>
      </c>
      <c r="U2375" s="20" t="s">
        <v>43</v>
      </c>
      <c r="V2375" s="21">
        <v>110</v>
      </c>
      <c r="W2375" s="21">
        <v>1</v>
      </c>
      <c r="X2375" s="22"/>
    </row>
    <row r="2376" spans="1:24" s="1" customFormat="1" ht="14.1" customHeight="1" x14ac:dyDescent="0.3">
      <c r="A2376" s="23" t="s">
        <v>3014</v>
      </c>
      <c r="B2376" s="23" t="s">
        <v>3076</v>
      </c>
      <c r="C2376" s="12" t="s">
        <v>3079</v>
      </c>
      <c r="D2376" s="84"/>
      <c r="E2376" s="69" t="str">
        <f t="shared" si="84"/>
        <v>Еще фото</v>
      </c>
      <c r="F2376" s="13"/>
      <c r="G2376" s="23" t="s">
        <v>28</v>
      </c>
      <c r="H2376" s="23" t="s">
        <v>27</v>
      </c>
      <c r="I2376" s="23" t="s">
        <v>28</v>
      </c>
      <c r="J2376" s="14" t="s">
        <v>29</v>
      </c>
      <c r="K2376" s="15" t="s">
        <v>30</v>
      </c>
      <c r="L2376" s="87"/>
      <c r="M2376" s="14"/>
      <c r="N2376" s="14" t="s">
        <v>70</v>
      </c>
      <c r="O2376" s="14"/>
      <c r="P2376" s="15" t="s">
        <v>3068</v>
      </c>
      <c r="Q2376" s="16">
        <v>4799</v>
      </c>
      <c r="R2376" s="17">
        <v>45</v>
      </c>
      <c r="S2376" s="18">
        <v>3035.3674999999994</v>
      </c>
      <c r="T2376" s="19" t="s">
        <v>117</v>
      </c>
      <c r="U2376" s="20" t="s">
        <v>35</v>
      </c>
      <c r="V2376" s="21">
        <v>116</v>
      </c>
      <c r="W2376" s="21">
        <v>3</v>
      </c>
      <c r="X2376" s="22"/>
    </row>
    <row r="2377" spans="1:24" s="1" customFormat="1" ht="14.1" customHeight="1" x14ac:dyDescent="0.3">
      <c r="A2377" s="23" t="s">
        <v>3014</v>
      </c>
      <c r="B2377" s="23" t="s">
        <v>3076</v>
      </c>
      <c r="C2377" s="12" t="s">
        <v>3079</v>
      </c>
      <c r="D2377" s="84"/>
      <c r="E2377" s="69" t="str">
        <f t="shared" si="84"/>
        <v>Еще фото</v>
      </c>
      <c r="F2377" s="13"/>
      <c r="G2377" s="23" t="s">
        <v>28</v>
      </c>
      <c r="H2377" s="23" t="s">
        <v>27</v>
      </c>
      <c r="I2377" s="23" t="s">
        <v>28</v>
      </c>
      <c r="J2377" s="14" t="s">
        <v>29</v>
      </c>
      <c r="K2377" s="15" t="s">
        <v>30</v>
      </c>
      <c r="L2377" s="87"/>
      <c r="M2377" s="14"/>
      <c r="N2377" s="14" t="s">
        <v>70</v>
      </c>
      <c r="O2377" s="14"/>
      <c r="P2377" s="15" t="s">
        <v>3068</v>
      </c>
      <c r="Q2377" s="16">
        <v>4799</v>
      </c>
      <c r="R2377" s="17">
        <v>45</v>
      </c>
      <c r="S2377" s="18">
        <v>3035.3674999999994</v>
      </c>
      <c r="T2377" s="19" t="s">
        <v>117</v>
      </c>
      <c r="U2377" s="20" t="s">
        <v>36</v>
      </c>
      <c r="V2377" s="21">
        <v>122</v>
      </c>
      <c r="W2377" s="21">
        <v>4</v>
      </c>
      <c r="X2377" s="22"/>
    </row>
    <row r="2378" spans="1:24" s="1" customFormat="1" ht="14.1" customHeight="1" x14ac:dyDescent="0.3">
      <c r="A2378" s="23" t="s">
        <v>3014</v>
      </c>
      <c r="B2378" s="23" t="s">
        <v>3076</v>
      </c>
      <c r="C2378" s="12" t="s">
        <v>3079</v>
      </c>
      <c r="D2378" s="84"/>
      <c r="E2378" s="69" t="str">
        <f t="shared" si="84"/>
        <v>Еще фото</v>
      </c>
      <c r="F2378" s="13"/>
      <c r="G2378" s="23" t="s">
        <v>28</v>
      </c>
      <c r="H2378" s="23" t="s">
        <v>27</v>
      </c>
      <c r="I2378" s="23" t="s">
        <v>28</v>
      </c>
      <c r="J2378" s="14" t="s">
        <v>29</v>
      </c>
      <c r="K2378" s="15" t="s">
        <v>30</v>
      </c>
      <c r="L2378" s="87"/>
      <c r="M2378" s="14"/>
      <c r="N2378" s="14" t="s">
        <v>70</v>
      </c>
      <c r="O2378" s="14"/>
      <c r="P2378" s="15" t="s">
        <v>3068</v>
      </c>
      <c r="Q2378" s="16">
        <v>4799</v>
      </c>
      <c r="R2378" s="17">
        <v>45</v>
      </c>
      <c r="S2378" s="18">
        <v>3035.3674999999994</v>
      </c>
      <c r="T2378" s="19" t="s">
        <v>117</v>
      </c>
      <c r="U2378" s="20" t="s">
        <v>37</v>
      </c>
      <c r="V2378" s="21">
        <v>128</v>
      </c>
      <c r="W2378" s="21">
        <v>2</v>
      </c>
      <c r="X2378" s="22"/>
    </row>
    <row r="2379" spans="1:24" s="1" customFormat="1" ht="17.100000000000001" customHeight="1" x14ac:dyDescent="0.3">
      <c r="A2379" s="23" t="s">
        <v>3014</v>
      </c>
      <c r="B2379" s="23" t="s">
        <v>3076</v>
      </c>
      <c r="C2379" s="12" t="s">
        <v>3079</v>
      </c>
      <c r="D2379" s="85"/>
      <c r="E2379" s="69" t="str">
        <f t="shared" si="84"/>
        <v>Еще фото</v>
      </c>
      <c r="F2379" s="13"/>
      <c r="G2379" s="23" t="s">
        <v>28</v>
      </c>
      <c r="H2379" s="23" t="s">
        <v>27</v>
      </c>
      <c r="I2379" s="23" t="s">
        <v>28</v>
      </c>
      <c r="J2379" s="14" t="s">
        <v>29</v>
      </c>
      <c r="K2379" s="15" t="s">
        <v>30</v>
      </c>
      <c r="L2379" s="88"/>
      <c r="M2379" s="14"/>
      <c r="N2379" s="14" t="s">
        <v>70</v>
      </c>
      <c r="O2379" s="14"/>
      <c r="P2379" s="15" t="s">
        <v>3068</v>
      </c>
      <c r="Q2379" s="16">
        <v>4799</v>
      </c>
      <c r="R2379" s="17">
        <v>45</v>
      </c>
      <c r="S2379" s="18">
        <v>3035.3674999999994</v>
      </c>
      <c r="T2379" s="19" t="s">
        <v>117</v>
      </c>
      <c r="U2379" s="20" t="s">
        <v>290</v>
      </c>
      <c r="V2379" s="21">
        <v>140</v>
      </c>
      <c r="W2379" s="21">
        <v>2</v>
      </c>
      <c r="X2379" s="22"/>
    </row>
    <row r="2380" spans="1:24" s="1" customFormat="1" ht="35.1" customHeight="1" x14ac:dyDescent="0.3">
      <c r="A2380" s="11" t="s">
        <v>3014</v>
      </c>
      <c r="B2380" s="11" t="s">
        <v>3080</v>
      </c>
      <c r="C2380" s="12" t="s">
        <v>3081</v>
      </c>
      <c r="D2380" s="83"/>
      <c r="E2380" s="69" t="str">
        <f>HYPERLINK("https://www.google.ru/search?q=7100057A-9990&amp;newwindow=1&amp;tbm=isch","Еще фото")</f>
        <v>Еще фото</v>
      </c>
      <c r="F2380" s="13"/>
      <c r="G2380" s="11" t="s">
        <v>28</v>
      </c>
      <c r="H2380" s="11" t="s">
        <v>27</v>
      </c>
      <c r="I2380" s="14" t="s">
        <v>28</v>
      </c>
      <c r="J2380" s="14" t="s">
        <v>29</v>
      </c>
      <c r="K2380" s="15" t="s">
        <v>30</v>
      </c>
      <c r="L2380" s="86" t="s">
        <v>3078</v>
      </c>
      <c r="M2380" s="14"/>
      <c r="N2380" s="14" t="s">
        <v>49</v>
      </c>
      <c r="O2380" s="14"/>
      <c r="P2380" s="15" t="s">
        <v>3068</v>
      </c>
      <c r="Q2380" s="16">
        <v>4799</v>
      </c>
      <c r="R2380" s="17">
        <v>45</v>
      </c>
      <c r="S2380" s="18">
        <v>3035.3674999999994</v>
      </c>
      <c r="T2380" s="19" t="s">
        <v>117</v>
      </c>
      <c r="U2380" s="20" t="s">
        <v>2961</v>
      </c>
      <c r="V2380" s="21">
        <v>98</v>
      </c>
      <c r="W2380" s="21">
        <v>2</v>
      </c>
      <c r="X2380" s="22"/>
    </row>
    <row r="2381" spans="1:24" s="1" customFormat="1" ht="35.1" customHeight="1" x14ac:dyDescent="0.3">
      <c r="A2381" s="23" t="s">
        <v>3014</v>
      </c>
      <c r="B2381" s="23" t="s">
        <v>3080</v>
      </c>
      <c r="C2381" s="12" t="s">
        <v>3081</v>
      </c>
      <c r="D2381" s="84"/>
      <c r="E2381" s="69" t="str">
        <f>HYPERLINK("https://www.google.ru/search?q=7100057A-9990&amp;newwindow=1&amp;tbm=isch","Еще фото")</f>
        <v>Еще фото</v>
      </c>
      <c r="F2381" s="13"/>
      <c r="G2381" s="23" t="s">
        <v>28</v>
      </c>
      <c r="H2381" s="23" t="s">
        <v>27</v>
      </c>
      <c r="I2381" s="23" t="s">
        <v>28</v>
      </c>
      <c r="J2381" s="14" t="s">
        <v>29</v>
      </c>
      <c r="K2381" s="15" t="s">
        <v>30</v>
      </c>
      <c r="L2381" s="87"/>
      <c r="M2381" s="14"/>
      <c r="N2381" s="14" t="s">
        <v>49</v>
      </c>
      <c r="O2381" s="14"/>
      <c r="P2381" s="15" t="s">
        <v>3068</v>
      </c>
      <c r="Q2381" s="16">
        <v>4799</v>
      </c>
      <c r="R2381" s="17">
        <v>45</v>
      </c>
      <c r="S2381" s="18">
        <v>3035.3674999999994</v>
      </c>
      <c r="T2381" s="19" t="s">
        <v>117</v>
      </c>
      <c r="U2381" s="20" t="s">
        <v>94</v>
      </c>
      <c r="V2381" s="21">
        <v>104</v>
      </c>
      <c r="W2381" s="21">
        <v>2</v>
      </c>
      <c r="X2381" s="22"/>
    </row>
    <row r="2382" spans="1:24" s="1" customFormat="1" ht="36.950000000000003" customHeight="1" x14ac:dyDescent="0.3">
      <c r="A2382" s="23" t="s">
        <v>3014</v>
      </c>
      <c r="B2382" s="23" t="s">
        <v>3080</v>
      </c>
      <c r="C2382" s="12" t="s">
        <v>3081</v>
      </c>
      <c r="D2382" s="85"/>
      <c r="E2382" s="69" t="str">
        <f>HYPERLINK("https://www.google.ru/search?q=7100057A-9990&amp;newwindow=1&amp;tbm=isch","Еще фото")</f>
        <v>Еще фото</v>
      </c>
      <c r="F2382" s="13"/>
      <c r="G2382" s="23" t="s">
        <v>28</v>
      </c>
      <c r="H2382" s="23" t="s">
        <v>27</v>
      </c>
      <c r="I2382" s="23" t="s">
        <v>28</v>
      </c>
      <c r="J2382" s="14" t="s">
        <v>29</v>
      </c>
      <c r="K2382" s="15" t="s">
        <v>30</v>
      </c>
      <c r="L2382" s="88"/>
      <c r="M2382" s="14"/>
      <c r="N2382" s="14" t="s">
        <v>49</v>
      </c>
      <c r="O2382" s="14"/>
      <c r="P2382" s="15" t="s">
        <v>3068</v>
      </c>
      <c r="Q2382" s="16">
        <v>4799</v>
      </c>
      <c r="R2382" s="17">
        <v>45</v>
      </c>
      <c r="S2382" s="18">
        <v>3035.3674999999994</v>
      </c>
      <c r="T2382" s="19" t="s">
        <v>117</v>
      </c>
      <c r="U2382" s="20" t="s">
        <v>91</v>
      </c>
      <c r="V2382" s="21">
        <v>134</v>
      </c>
      <c r="W2382" s="21">
        <v>1</v>
      </c>
      <c r="X2382" s="22"/>
    </row>
    <row r="2383" spans="1:24" s="1" customFormat="1" ht="26.1" customHeight="1" x14ac:dyDescent="0.3">
      <c r="A2383" s="11" t="s">
        <v>3014</v>
      </c>
      <c r="B2383" s="11" t="s">
        <v>3082</v>
      </c>
      <c r="C2383" s="12" t="s">
        <v>3083</v>
      </c>
      <c r="D2383" s="83"/>
      <c r="E2383" s="69" t="str">
        <f>HYPERLINK("https://www.google.ru/search?q=7100058A-9990&amp;newwindow=1&amp;tbm=isch","Еще фото")</f>
        <v>Еще фото</v>
      </c>
      <c r="F2383" s="13"/>
      <c r="G2383" s="11" t="s">
        <v>28</v>
      </c>
      <c r="H2383" s="11" t="s">
        <v>27</v>
      </c>
      <c r="I2383" s="14" t="s">
        <v>28</v>
      </c>
      <c r="J2383" s="14" t="s">
        <v>29</v>
      </c>
      <c r="K2383" s="15" t="s">
        <v>30</v>
      </c>
      <c r="L2383" s="86" t="s">
        <v>3084</v>
      </c>
      <c r="M2383" s="14"/>
      <c r="N2383" s="14" t="s">
        <v>49</v>
      </c>
      <c r="O2383" s="14"/>
      <c r="P2383" s="15" t="s">
        <v>3018</v>
      </c>
      <c r="Q2383" s="16">
        <v>4199</v>
      </c>
      <c r="R2383" s="17">
        <v>45</v>
      </c>
      <c r="S2383" s="18">
        <v>2655.8674999999994</v>
      </c>
      <c r="T2383" s="19" t="s">
        <v>117</v>
      </c>
      <c r="U2383" s="20" t="s">
        <v>2977</v>
      </c>
      <c r="V2383" s="21">
        <v>92</v>
      </c>
      <c r="W2383" s="21">
        <v>3</v>
      </c>
      <c r="X2383" s="22"/>
    </row>
    <row r="2384" spans="1:24" s="1" customFormat="1" ht="26.1" customHeight="1" x14ac:dyDescent="0.3">
      <c r="A2384" s="23" t="s">
        <v>3014</v>
      </c>
      <c r="B2384" s="23" t="s">
        <v>3082</v>
      </c>
      <c r="C2384" s="12" t="s">
        <v>3083</v>
      </c>
      <c r="D2384" s="84"/>
      <c r="E2384" s="69" t="str">
        <f>HYPERLINK("https://www.google.ru/search?q=7100058A-9990&amp;newwindow=1&amp;tbm=isch","Еще фото")</f>
        <v>Еще фото</v>
      </c>
      <c r="F2384" s="13"/>
      <c r="G2384" s="23" t="s">
        <v>28</v>
      </c>
      <c r="H2384" s="23" t="s">
        <v>27</v>
      </c>
      <c r="I2384" s="23" t="s">
        <v>28</v>
      </c>
      <c r="J2384" s="14" t="s">
        <v>29</v>
      </c>
      <c r="K2384" s="15" t="s">
        <v>30</v>
      </c>
      <c r="L2384" s="87"/>
      <c r="M2384" s="14"/>
      <c r="N2384" s="14" t="s">
        <v>49</v>
      </c>
      <c r="O2384" s="14"/>
      <c r="P2384" s="15" t="s">
        <v>3018</v>
      </c>
      <c r="Q2384" s="16">
        <v>4199</v>
      </c>
      <c r="R2384" s="17">
        <v>45</v>
      </c>
      <c r="S2384" s="18">
        <v>2655.8674999999994</v>
      </c>
      <c r="T2384" s="19" t="s">
        <v>117</v>
      </c>
      <c r="U2384" s="20" t="s">
        <v>2961</v>
      </c>
      <c r="V2384" s="21">
        <v>98</v>
      </c>
      <c r="W2384" s="21">
        <v>1</v>
      </c>
      <c r="X2384" s="22"/>
    </row>
    <row r="2385" spans="1:24" s="1" customFormat="1" ht="26.1" customHeight="1" x14ac:dyDescent="0.3">
      <c r="A2385" s="23" t="s">
        <v>3014</v>
      </c>
      <c r="B2385" s="23" t="s">
        <v>3082</v>
      </c>
      <c r="C2385" s="12" t="s">
        <v>3083</v>
      </c>
      <c r="D2385" s="84"/>
      <c r="E2385" s="69" t="str">
        <f>HYPERLINK("https://www.google.ru/search?q=7100058A-9990&amp;newwindow=1&amp;tbm=isch","Еще фото")</f>
        <v>Еще фото</v>
      </c>
      <c r="F2385" s="13"/>
      <c r="G2385" s="23" t="s">
        <v>28</v>
      </c>
      <c r="H2385" s="23" t="s">
        <v>27</v>
      </c>
      <c r="I2385" s="23" t="s">
        <v>28</v>
      </c>
      <c r="J2385" s="14" t="s">
        <v>29</v>
      </c>
      <c r="K2385" s="15" t="s">
        <v>30</v>
      </c>
      <c r="L2385" s="87"/>
      <c r="M2385" s="14"/>
      <c r="N2385" s="14" t="s">
        <v>49</v>
      </c>
      <c r="O2385" s="14"/>
      <c r="P2385" s="15" t="s">
        <v>3018</v>
      </c>
      <c r="Q2385" s="16">
        <v>4199</v>
      </c>
      <c r="R2385" s="17">
        <v>45</v>
      </c>
      <c r="S2385" s="18">
        <v>2655.8674999999994</v>
      </c>
      <c r="T2385" s="19" t="s">
        <v>117</v>
      </c>
      <c r="U2385" s="20" t="s">
        <v>94</v>
      </c>
      <c r="V2385" s="21">
        <v>104</v>
      </c>
      <c r="W2385" s="21">
        <v>1</v>
      </c>
      <c r="X2385" s="22"/>
    </row>
    <row r="2386" spans="1:24" s="1" customFormat="1" ht="26.1" customHeight="1" x14ac:dyDescent="0.3">
      <c r="A2386" s="23" t="s">
        <v>3014</v>
      </c>
      <c r="B2386" s="23" t="s">
        <v>3082</v>
      </c>
      <c r="C2386" s="12" t="s">
        <v>3083</v>
      </c>
      <c r="D2386" s="85"/>
      <c r="E2386" s="69" t="str">
        <f>HYPERLINK("https://www.google.ru/search?q=7100058A-9990&amp;newwindow=1&amp;tbm=isch","Еще фото")</f>
        <v>Еще фото</v>
      </c>
      <c r="F2386" s="13"/>
      <c r="G2386" s="23" t="s">
        <v>28</v>
      </c>
      <c r="H2386" s="23" t="s">
        <v>27</v>
      </c>
      <c r="I2386" s="23" t="s">
        <v>28</v>
      </c>
      <c r="J2386" s="14" t="s">
        <v>29</v>
      </c>
      <c r="K2386" s="15" t="s">
        <v>30</v>
      </c>
      <c r="L2386" s="88"/>
      <c r="M2386" s="14"/>
      <c r="N2386" s="14" t="s">
        <v>49</v>
      </c>
      <c r="O2386" s="14"/>
      <c r="P2386" s="15" t="s">
        <v>3018</v>
      </c>
      <c r="Q2386" s="16">
        <v>4199</v>
      </c>
      <c r="R2386" s="17">
        <v>45</v>
      </c>
      <c r="S2386" s="18">
        <v>2655.8674999999994</v>
      </c>
      <c r="T2386" s="19" t="s">
        <v>117</v>
      </c>
      <c r="U2386" s="20" t="s">
        <v>43</v>
      </c>
      <c r="V2386" s="21">
        <v>110</v>
      </c>
      <c r="W2386" s="21">
        <v>1</v>
      </c>
      <c r="X2386" s="22"/>
    </row>
    <row r="2387" spans="1:24" s="1" customFormat="1" ht="14.1" customHeight="1" x14ac:dyDescent="0.3">
      <c r="A2387" s="11" t="s">
        <v>3014</v>
      </c>
      <c r="B2387" s="11" t="s">
        <v>3085</v>
      </c>
      <c r="C2387" s="12" t="s">
        <v>3086</v>
      </c>
      <c r="D2387" s="83"/>
      <c r="E2387" s="69" t="str">
        <f t="shared" ref="E2387:E2393" si="85">HYPERLINK("https://www.google.ru/search?q=7100060A-4740&amp;newwindow=1&amp;tbm=isch","Еще фото")</f>
        <v>Еще фото</v>
      </c>
      <c r="F2387" s="13"/>
      <c r="G2387" s="11" t="s">
        <v>28</v>
      </c>
      <c r="H2387" s="11" t="s">
        <v>27</v>
      </c>
      <c r="I2387" s="14" t="s">
        <v>28</v>
      </c>
      <c r="J2387" s="14" t="s">
        <v>29</v>
      </c>
      <c r="K2387" s="15" t="s">
        <v>30</v>
      </c>
      <c r="L2387" s="86" t="s">
        <v>3087</v>
      </c>
      <c r="M2387" s="14"/>
      <c r="N2387" s="14" t="s">
        <v>275</v>
      </c>
      <c r="O2387" s="14"/>
      <c r="P2387" s="15" t="s">
        <v>3018</v>
      </c>
      <c r="Q2387" s="16">
        <v>3199</v>
      </c>
      <c r="R2387" s="17">
        <v>45</v>
      </c>
      <c r="S2387" s="18">
        <v>2023.3674999999998</v>
      </c>
      <c r="T2387" s="19" t="s">
        <v>117</v>
      </c>
      <c r="U2387" s="20" t="s">
        <v>35</v>
      </c>
      <c r="V2387" s="21">
        <v>116</v>
      </c>
      <c r="W2387" s="21">
        <v>2</v>
      </c>
      <c r="X2387" s="22"/>
    </row>
    <row r="2388" spans="1:24" s="1" customFormat="1" ht="14.1" customHeight="1" x14ac:dyDescent="0.3">
      <c r="A2388" s="23" t="s">
        <v>3014</v>
      </c>
      <c r="B2388" s="23" t="s">
        <v>3085</v>
      </c>
      <c r="C2388" s="12" t="s">
        <v>3086</v>
      </c>
      <c r="D2388" s="84"/>
      <c r="E2388" s="69" t="str">
        <f t="shared" si="85"/>
        <v>Еще фото</v>
      </c>
      <c r="F2388" s="13"/>
      <c r="G2388" s="23" t="s">
        <v>28</v>
      </c>
      <c r="H2388" s="23" t="s">
        <v>27</v>
      </c>
      <c r="I2388" s="23" t="s">
        <v>28</v>
      </c>
      <c r="J2388" s="14" t="s">
        <v>29</v>
      </c>
      <c r="K2388" s="15" t="s">
        <v>30</v>
      </c>
      <c r="L2388" s="87"/>
      <c r="M2388" s="14"/>
      <c r="N2388" s="14" t="s">
        <v>275</v>
      </c>
      <c r="O2388" s="14"/>
      <c r="P2388" s="15" t="s">
        <v>3018</v>
      </c>
      <c r="Q2388" s="16">
        <v>3199</v>
      </c>
      <c r="R2388" s="17">
        <v>45</v>
      </c>
      <c r="S2388" s="18">
        <v>2023.3674999999998</v>
      </c>
      <c r="T2388" s="19" t="s">
        <v>117</v>
      </c>
      <c r="U2388" s="20" t="s">
        <v>91</v>
      </c>
      <c r="V2388" s="21">
        <v>134</v>
      </c>
      <c r="W2388" s="21">
        <v>4</v>
      </c>
      <c r="X2388" s="22"/>
    </row>
    <row r="2389" spans="1:24" s="1" customFormat="1" ht="14.1" customHeight="1" x14ac:dyDescent="0.3">
      <c r="A2389" s="23" t="s">
        <v>3014</v>
      </c>
      <c r="B2389" s="23" t="s">
        <v>3085</v>
      </c>
      <c r="C2389" s="12" t="s">
        <v>3086</v>
      </c>
      <c r="D2389" s="84"/>
      <c r="E2389" s="69" t="str">
        <f t="shared" si="85"/>
        <v>Еще фото</v>
      </c>
      <c r="F2389" s="13"/>
      <c r="G2389" s="23" t="s">
        <v>28</v>
      </c>
      <c r="H2389" s="23" t="s">
        <v>27</v>
      </c>
      <c r="I2389" s="23" t="s">
        <v>28</v>
      </c>
      <c r="J2389" s="14" t="s">
        <v>29</v>
      </c>
      <c r="K2389" s="15" t="s">
        <v>30</v>
      </c>
      <c r="L2389" s="87"/>
      <c r="M2389" s="14"/>
      <c r="N2389" s="14" t="s">
        <v>275</v>
      </c>
      <c r="O2389" s="14"/>
      <c r="P2389" s="15" t="s">
        <v>3018</v>
      </c>
      <c r="Q2389" s="16">
        <v>3199</v>
      </c>
      <c r="R2389" s="17">
        <v>45</v>
      </c>
      <c r="S2389" s="18">
        <v>2023.3674999999998</v>
      </c>
      <c r="T2389" s="19" t="s">
        <v>117</v>
      </c>
      <c r="U2389" s="20" t="s">
        <v>290</v>
      </c>
      <c r="V2389" s="21">
        <v>140</v>
      </c>
      <c r="W2389" s="21">
        <v>4</v>
      </c>
      <c r="X2389" s="22"/>
    </row>
    <row r="2390" spans="1:24" s="1" customFormat="1" ht="14.1" customHeight="1" x14ac:dyDescent="0.3">
      <c r="A2390" s="23" t="s">
        <v>3014</v>
      </c>
      <c r="B2390" s="23" t="s">
        <v>3085</v>
      </c>
      <c r="C2390" s="12" t="s">
        <v>3086</v>
      </c>
      <c r="D2390" s="84"/>
      <c r="E2390" s="69" t="str">
        <f t="shared" si="85"/>
        <v>Еще фото</v>
      </c>
      <c r="F2390" s="13"/>
      <c r="G2390" s="23" t="s">
        <v>28</v>
      </c>
      <c r="H2390" s="23" t="s">
        <v>27</v>
      </c>
      <c r="I2390" s="23" t="s">
        <v>28</v>
      </c>
      <c r="J2390" s="14" t="s">
        <v>29</v>
      </c>
      <c r="K2390" s="15" t="s">
        <v>30</v>
      </c>
      <c r="L2390" s="87"/>
      <c r="M2390" s="14"/>
      <c r="N2390" s="14" t="s">
        <v>275</v>
      </c>
      <c r="O2390" s="14"/>
      <c r="P2390" s="15" t="s">
        <v>3018</v>
      </c>
      <c r="Q2390" s="16">
        <v>3199</v>
      </c>
      <c r="R2390" s="17">
        <v>45</v>
      </c>
      <c r="S2390" s="18">
        <v>2023.3674999999998</v>
      </c>
      <c r="T2390" s="19" t="s">
        <v>117</v>
      </c>
      <c r="U2390" s="20" t="s">
        <v>2993</v>
      </c>
      <c r="V2390" s="21">
        <v>146</v>
      </c>
      <c r="W2390" s="21">
        <v>3</v>
      </c>
      <c r="X2390" s="22"/>
    </row>
    <row r="2391" spans="1:24" s="1" customFormat="1" ht="14.1" customHeight="1" x14ac:dyDescent="0.3">
      <c r="A2391" s="23" t="s">
        <v>3014</v>
      </c>
      <c r="B2391" s="23" t="s">
        <v>3085</v>
      </c>
      <c r="C2391" s="12" t="s">
        <v>3086</v>
      </c>
      <c r="D2391" s="84"/>
      <c r="E2391" s="69" t="str">
        <f t="shared" si="85"/>
        <v>Еще фото</v>
      </c>
      <c r="F2391" s="13"/>
      <c r="G2391" s="23" t="s">
        <v>28</v>
      </c>
      <c r="H2391" s="23" t="s">
        <v>27</v>
      </c>
      <c r="I2391" s="23" t="s">
        <v>28</v>
      </c>
      <c r="J2391" s="14" t="s">
        <v>29</v>
      </c>
      <c r="K2391" s="15" t="s">
        <v>30</v>
      </c>
      <c r="L2391" s="87"/>
      <c r="M2391" s="14"/>
      <c r="N2391" s="14" t="s">
        <v>275</v>
      </c>
      <c r="O2391" s="14"/>
      <c r="P2391" s="15" t="s">
        <v>3018</v>
      </c>
      <c r="Q2391" s="16">
        <v>3199</v>
      </c>
      <c r="R2391" s="17">
        <v>45</v>
      </c>
      <c r="S2391" s="18">
        <v>2023.3674999999998</v>
      </c>
      <c r="T2391" s="19" t="s">
        <v>117</v>
      </c>
      <c r="U2391" s="20" t="s">
        <v>2160</v>
      </c>
      <c r="V2391" s="21">
        <v>152</v>
      </c>
      <c r="W2391" s="21">
        <v>3</v>
      </c>
      <c r="X2391" s="22"/>
    </row>
    <row r="2392" spans="1:24" s="1" customFormat="1" ht="14.1" customHeight="1" x14ac:dyDescent="0.3">
      <c r="A2392" s="23" t="s">
        <v>3014</v>
      </c>
      <c r="B2392" s="23" t="s">
        <v>3085</v>
      </c>
      <c r="C2392" s="12" t="s">
        <v>3086</v>
      </c>
      <c r="D2392" s="84"/>
      <c r="E2392" s="69" t="str">
        <f t="shared" si="85"/>
        <v>Еще фото</v>
      </c>
      <c r="F2392" s="13"/>
      <c r="G2392" s="23" t="s">
        <v>28</v>
      </c>
      <c r="H2392" s="23" t="s">
        <v>27</v>
      </c>
      <c r="I2392" s="23" t="s">
        <v>28</v>
      </c>
      <c r="J2392" s="14" t="s">
        <v>29</v>
      </c>
      <c r="K2392" s="15" t="s">
        <v>30</v>
      </c>
      <c r="L2392" s="87"/>
      <c r="M2392" s="14"/>
      <c r="N2392" s="14" t="s">
        <v>275</v>
      </c>
      <c r="O2392" s="14"/>
      <c r="P2392" s="15" t="s">
        <v>3018</v>
      </c>
      <c r="Q2392" s="16">
        <v>3199</v>
      </c>
      <c r="R2392" s="17">
        <v>45</v>
      </c>
      <c r="S2392" s="18">
        <v>2023.3674999999998</v>
      </c>
      <c r="T2392" s="19" t="s">
        <v>117</v>
      </c>
      <c r="U2392" s="20" t="s">
        <v>3088</v>
      </c>
      <c r="V2392" s="21">
        <v>158</v>
      </c>
      <c r="W2392" s="21">
        <v>3</v>
      </c>
      <c r="X2392" s="22"/>
    </row>
    <row r="2393" spans="1:24" s="1" customFormat="1" ht="17.100000000000001" customHeight="1" x14ac:dyDescent="0.3">
      <c r="A2393" s="23" t="s">
        <v>3014</v>
      </c>
      <c r="B2393" s="23" t="s">
        <v>3085</v>
      </c>
      <c r="C2393" s="12" t="s">
        <v>3086</v>
      </c>
      <c r="D2393" s="85"/>
      <c r="E2393" s="69" t="str">
        <f t="shared" si="85"/>
        <v>Еще фото</v>
      </c>
      <c r="F2393" s="13"/>
      <c r="G2393" s="23" t="s">
        <v>28</v>
      </c>
      <c r="H2393" s="23" t="s">
        <v>27</v>
      </c>
      <c r="I2393" s="23" t="s">
        <v>28</v>
      </c>
      <c r="J2393" s="14" t="s">
        <v>29</v>
      </c>
      <c r="K2393" s="15" t="s">
        <v>30</v>
      </c>
      <c r="L2393" s="88"/>
      <c r="M2393" s="14"/>
      <c r="N2393" s="14" t="s">
        <v>275</v>
      </c>
      <c r="O2393" s="14"/>
      <c r="P2393" s="15" t="s">
        <v>3018</v>
      </c>
      <c r="Q2393" s="16">
        <v>3199</v>
      </c>
      <c r="R2393" s="17">
        <v>45</v>
      </c>
      <c r="S2393" s="18">
        <v>2023.3674999999998</v>
      </c>
      <c r="T2393" s="19" t="s">
        <v>117</v>
      </c>
      <c r="U2393" s="20" t="s">
        <v>2161</v>
      </c>
      <c r="V2393" s="21">
        <v>164</v>
      </c>
      <c r="W2393" s="21">
        <v>3</v>
      </c>
      <c r="X2393" s="22"/>
    </row>
    <row r="2394" spans="1:24" s="1" customFormat="1" ht="51.95" customHeight="1" x14ac:dyDescent="0.3">
      <c r="A2394" s="11" t="s">
        <v>3014</v>
      </c>
      <c r="B2394" s="11" t="s">
        <v>3085</v>
      </c>
      <c r="C2394" s="12" t="s">
        <v>3089</v>
      </c>
      <c r="D2394" s="89"/>
      <c r="E2394" s="69" t="str">
        <f>HYPERLINK("https://www.google.ru/search?q=7100060A-9990&amp;newwindow=1&amp;tbm=isch","Еще фото")</f>
        <v>Еще фото</v>
      </c>
      <c r="F2394" s="13"/>
      <c r="G2394" s="11" t="s">
        <v>28</v>
      </c>
      <c r="H2394" s="11" t="s">
        <v>27</v>
      </c>
      <c r="I2394" s="14" t="s">
        <v>28</v>
      </c>
      <c r="J2394" s="14" t="s">
        <v>29</v>
      </c>
      <c r="K2394" s="15" t="s">
        <v>30</v>
      </c>
      <c r="L2394" s="86" t="s">
        <v>3087</v>
      </c>
      <c r="M2394" s="14"/>
      <c r="N2394" s="14" t="s">
        <v>49</v>
      </c>
      <c r="O2394" s="14"/>
      <c r="P2394" s="15" t="s">
        <v>3018</v>
      </c>
      <c r="Q2394" s="16">
        <v>3199</v>
      </c>
      <c r="R2394" s="17">
        <v>45</v>
      </c>
      <c r="S2394" s="18">
        <v>2023.3674999999998</v>
      </c>
      <c r="T2394" s="19" t="s">
        <v>117</v>
      </c>
      <c r="U2394" s="20" t="s">
        <v>2961</v>
      </c>
      <c r="V2394" s="21">
        <v>98</v>
      </c>
      <c r="W2394" s="21">
        <v>1</v>
      </c>
      <c r="X2394" s="22"/>
    </row>
    <row r="2395" spans="1:24" s="1" customFormat="1" ht="60.95" customHeight="1" x14ac:dyDescent="0.3">
      <c r="A2395" s="23" t="s">
        <v>3014</v>
      </c>
      <c r="B2395" s="23" t="s">
        <v>3085</v>
      </c>
      <c r="C2395" s="12" t="s">
        <v>3089</v>
      </c>
      <c r="D2395" s="90"/>
      <c r="E2395" s="69" t="str">
        <f>HYPERLINK("https://www.google.ru/search?q=7100060A-9990&amp;newwindow=1&amp;tbm=isch","Еще фото")</f>
        <v>Еще фото</v>
      </c>
      <c r="F2395" s="13"/>
      <c r="G2395" s="23" t="s">
        <v>28</v>
      </c>
      <c r="H2395" s="23" t="s">
        <v>27</v>
      </c>
      <c r="I2395" s="23" t="s">
        <v>28</v>
      </c>
      <c r="J2395" s="14" t="s">
        <v>29</v>
      </c>
      <c r="K2395" s="15" t="s">
        <v>30</v>
      </c>
      <c r="L2395" s="88"/>
      <c r="M2395" s="14"/>
      <c r="N2395" s="14" t="s">
        <v>49</v>
      </c>
      <c r="O2395" s="14"/>
      <c r="P2395" s="15" t="s">
        <v>3018</v>
      </c>
      <c r="Q2395" s="16">
        <v>3199</v>
      </c>
      <c r="R2395" s="17">
        <v>45</v>
      </c>
      <c r="S2395" s="18">
        <v>2023.3674999999998</v>
      </c>
      <c r="T2395" s="19" t="s">
        <v>117</v>
      </c>
      <c r="U2395" s="20" t="s">
        <v>2993</v>
      </c>
      <c r="V2395" s="21">
        <v>146</v>
      </c>
      <c r="W2395" s="21">
        <v>1</v>
      </c>
      <c r="X2395" s="22"/>
    </row>
    <row r="2396" spans="1:24" s="1" customFormat="1" ht="108" customHeight="1" x14ac:dyDescent="0.3">
      <c r="A2396" s="11" t="s">
        <v>3014</v>
      </c>
      <c r="B2396" s="11" t="s">
        <v>3090</v>
      </c>
      <c r="C2396" s="12" t="s">
        <v>3091</v>
      </c>
      <c r="D2396" s="24"/>
      <c r="E2396" s="69" t="str">
        <f>HYPERLINK("https://www.google.ru/search?q=7100103A-4671&amp;newwindow=1&amp;tbm=isch","Еще фото")</f>
        <v>Еще фото</v>
      </c>
      <c r="F2396" s="13"/>
      <c r="G2396" s="11" t="s">
        <v>28</v>
      </c>
      <c r="H2396" s="11" t="s">
        <v>27</v>
      </c>
      <c r="I2396" s="14" t="s">
        <v>28</v>
      </c>
      <c r="J2396" s="14" t="s">
        <v>29</v>
      </c>
      <c r="K2396" s="15" t="s">
        <v>30</v>
      </c>
      <c r="L2396" s="14" t="s">
        <v>3092</v>
      </c>
      <c r="M2396" s="14"/>
      <c r="N2396" s="14" t="s">
        <v>275</v>
      </c>
      <c r="O2396" s="14"/>
      <c r="P2396" s="15" t="s">
        <v>3018</v>
      </c>
      <c r="Q2396" s="16">
        <v>4499</v>
      </c>
      <c r="R2396" s="17">
        <v>45</v>
      </c>
      <c r="S2396" s="18">
        <v>2845.6174999999994</v>
      </c>
      <c r="T2396" s="19" t="s">
        <v>117</v>
      </c>
      <c r="U2396" s="20" t="s">
        <v>744</v>
      </c>
      <c r="V2396" s="21">
        <v>80</v>
      </c>
      <c r="W2396" s="21">
        <v>3</v>
      </c>
      <c r="X2396" s="22"/>
    </row>
    <row r="2397" spans="1:24" s="1" customFormat="1" ht="14.1" customHeight="1" x14ac:dyDescent="0.3">
      <c r="A2397" s="11" t="s">
        <v>3014</v>
      </c>
      <c r="B2397" s="11" t="s">
        <v>3093</v>
      </c>
      <c r="C2397" s="12" t="s">
        <v>3094</v>
      </c>
      <c r="D2397" s="83"/>
      <c r="E2397" s="69" t="str">
        <f t="shared" ref="E2397:E2403" si="86">HYPERLINK("https://www.google.ru/search?q=71206106-0160&amp;newwindow=1&amp;tbm=isch","Еще фото")</f>
        <v>Еще фото</v>
      </c>
      <c r="F2397" s="13"/>
      <c r="G2397" s="11" t="s">
        <v>28</v>
      </c>
      <c r="H2397" s="11" t="s">
        <v>27</v>
      </c>
      <c r="I2397" s="14" t="s">
        <v>28</v>
      </c>
      <c r="J2397" s="14" t="s">
        <v>29</v>
      </c>
      <c r="K2397" s="15" t="s">
        <v>30</v>
      </c>
      <c r="L2397" s="86"/>
      <c r="M2397" s="14"/>
      <c r="N2397" s="14" t="s">
        <v>661</v>
      </c>
      <c r="O2397" s="14"/>
      <c r="P2397" s="15" t="s">
        <v>74</v>
      </c>
      <c r="Q2397" s="16">
        <v>3599</v>
      </c>
      <c r="R2397" s="17">
        <v>45</v>
      </c>
      <c r="S2397" s="18">
        <v>2276.3674999999998</v>
      </c>
      <c r="T2397" s="19" t="s">
        <v>117</v>
      </c>
      <c r="U2397" s="20" t="s">
        <v>2976</v>
      </c>
      <c r="V2397" s="21">
        <v>86</v>
      </c>
      <c r="W2397" s="21">
        <v>4</v>
      </c>
      <c r="X2397" s="22"/>
    </row>
    <row r="2398" spans="1:24" s="1" customFormat="1" ht="14.1" customHeight="1" x14ac:dyDescent="0.3">
      <c r="A2398" s="23" t="s">
        <v>3014</v>
      </c>
      <c r="B2398" s="23" t="s">
        <v>3093</v>
      </c>
      <c r="C2398" s="12" t="s">
        <v>3094</v>
      </c>
      <c r="D2398" s="84"/>
      <c r="E2398" s="69" t="str">
        <f t="shared" si="86"/>
        <v>Еще фото</v>
      </c>
      <c r="F2398" s="13"/>
      <c r="G2398" s="23" t="s">
        <v>28</v>
      </c>
      <c r="H2398" s="23" t="s">
        <v>27</v>
      </c>
      <c r="I2398" s="23" t="s">
        <v>28</v>
      </c>
      <c r="J2398" s="14" t="s">
        <v>29</v>
      </c>
      <c r="K2398" s="15" t="s">
        <v>30</v>
      </c>
      <c r="L2398" s="87"/>
      <c r="M2398" s="14"/>
      <c r="N2398" s="14" t="s">
        <v>661</v>
      </c>
      <c r="O2398" s="14"/>
      <c r="P2398" s="15" t="s">
        <v>74</v>
      </c>
      <c r="Q2398" s="16">
        <v>3599</v>
      </c>
      <c r="R2398" s="17">
        <v>45</v>
      </c>
      <c r="S2398" s="18">
        <v>2276.3674999999998</v>
      </c>
      <c r="T2398" s="19" t="s">
        <v>117</v>
      </c>
      <c r="U2398" s="20" t="s">
        <v>2977</v>
      </c>
      <c r="V2398" s="21">
        <v>92</v>
      </c>
      <c r="W2398" s="21">
        <v>4</v>
      </c>
      <c r="X2398" s="22"/>
    </row>
    <row r="2399" spans="1:24" s="1" customFormat="1" ht="14.1" customHeight="1" x14ac:dyDescent="0.3">
      <c r="A2399" s="23" t="s">
        <v>3014</v>
      </c>
      <c r="B2399" s="23" t="s">
        <v>3093</v>
      </c>
      <c r="C2399" s="12" t="s">
        <v>3094</v>
      </c>
      <c r="D2399" s="84"/>
      <c r="E2399" s="69" t="str">
        <f t="shared" si="86"/>
        <v>Еще фото</v>
      </c>
      <c r="F2399" s="13"/>
      <c r="G2399" s="23" t="s">
        <v>28</v>
      </c>
      <c r="H2399" s="23" t="s">
        <v>27</v>
      </c>
      <c r="I2399" s="23" t="s">
        <v>28</v>
      </c>
      <c r="J2399" s="14" t="s">
        <v>29</v>
      </c>
      <c r="K2399" s="15" t="s">
        <v>30</v>
      </c>
      <c r="L2399" s="87"/>
      <c r="M2399" s="14"/>
      <c r="N2399" s="14" t="s">
        <v>661</v>
      </c>
      <c r="O2399" s="14"/>
      <c r="P2399" s="15" t="s">
        <v>74</v>
      </c>
      <c r="Q2399" s="16">
        <v>3599</v>
      </c>
      <c r="R2399" s="17">
        <v>45</v>
      </c>
      <c r="S2399" s="18">
        <v>2276.3674999999998</v>
      </c>
      <c r="T2399" s="19" t="s">
        <v>117</v>
      </c>
      <c r="U2399" s="20" t="s">
        <v>2961</v>
      </c>
      <c r="V2399" s="21">
        <v>98</v>
      </c>
      <c r="W2399" s="21">
        <v>4</v>
      </c>
      <c r="X2399" s="22"/>
    </row>
    <row r="2400" spans="1:24" s="1" customFormat="1" ht="14.1" customHeight="1" x14ac:dyDescent="0.3">
      <c r="A2400" s="23" t="s">
        <v>3014</v>
      </c>
      <c r="B2400" s="23" t="s">
        <v>3093</v>
      </c>
      <c r="C2400" s="12" t="s">
        <v>3094</v>
      </c>
      <c r="D2400" s="84"/>
      <c r="E2400" s="69" t="str">
        <f t="shared" si="86"/>
        <v>Еще фото</v>
      </c>
      <c r="F2400" s="13"/>
      <c r="G2400" s="23" t="s">
        <v>28</v>
      </c>
      <c r="H2400" s="23" t="s">
        <v>27</v>
      </c>
      <c r="I2400" s="23" t="s">
        <v>28</v>
      </c>
      <c r="J2400" s="14" t="s">
        <v>29</v>
      </c>
      <c r="K2400" s="15" t="s">
        <v>30</v>
      </c>
      <c r="L2400" s="87"/>
      <c r="M2400" s="14"/>
      <c r="N2400" s="14" t="s">
        <v>661</v>
      </c>
      <c r="O2400" s="14"/>
      <c r="P2400" s="15" t="s">
        <v>74</v>
      </c>
      <c r="Q2400" s="16">
        <v>3599</v>
      </c>
      <c r="R2400" s="17">
        <v>45</v>
      </c>
      <c r="S2400" s="18">
        <v>2276.3674999999998</v>
      </c>
      <c r="T2400" s="19" t="s">
        <v>117</v>
      </c>
      <c r="U2400" s="20" t="s">
        <v>94</v>
      </c>
      <c r="V2400" s="21">
        <v>104</v>
      </c>
      <c r="W2400" s="21">
        <v>4</v>
      </c>
      <c r="X2400" s="22"/>
    </row>
    <row r="2401" spans="1:24" s="1" customFormat="1" ht="14.1" customHeight="1" x14ac:dyDescent="0.3">
      <c r="A2401" s="23" t="s">
        <v>3014</v>
      </c>
      <c r="B2401" s="23" t="s">
        <v>3093</v>
      </c>
      <c r="C2401" s="12" t="s">
        <v>3094</v>
      </c>
      <c r="D2401" s="84"/>
      <c r="E2401" s="69" t="str">
        <f t="shared" si="86"/>
        <v>Еще фото</v>
      </c>
      <c r="F2401" s="13"/>
      <c r="G2401" s="23" t="s">
        <v>28</v>
      </c>
      <c r="H2401" s="23" t="s">
        <v>27</v>
      </c>
      <c r="I2401" s="23" t="s">
        <v>28</v>
      </c>
      <c r="J2401" s="14" t="s">
        <v>29</v>
      </c>
      <c r="K2401" s="15" t="s">
        <v>30</v>
      </c>
      <c r="L2401" s="87"/>
      <c r="M2401" s="14"/>
      <c r="N2401" s="14" t="s">
        <v>661</v>
      </c>
      <c r="O2401" s="14"/>
      <c r="P2401" s="15" t="s">
        <v>74</v>
      </c>
      <c r="Q2401" s="16">
        <v>3599</v>
      </c>
      <c r="R2401" s="17">
        <v>45</v>
      </c>
      <c r="S2401" s="18">
        <v>2276.3674999999998</v>
      </c>
      <c r="T2401" s="19" t="s">
        <v>117</v>
      </c>
      <c r="U2401" s="20" t="s">
        <v>43</v>
      </c>
      <c r="V2401" s="21">
        <v>110</v>
      </c>
      <c r="W2401" s="21">
        <v>4</v>
      </c>
      <c r="X2401" s="22"/>
    </row>
    <row r="2402" spans="1:24" s="1" customFormat="1" ht="14.1" customHeight="1" x14ac:dyDescent="0.3">
      <c r="A2402" s="23" t="s">
        <v>3014</v>
      </c>
      <c r="B2402" s="23" t="s">
        <v>3093</v>
      </c>
      <c r="C2402" s="12" t="s">
        <v>3094</v>
      </c>
      <c r="D2402" s="84"/>
      <c r="E2402" s="69" t="str">
        <f t="shared" si="86"/>
        <v>Еще фото</v>
      </c>
      <c r="F2402" s="13"/>
      <c r="G2402" s="23" t="s">
        <v>28</v>
      </c>
      <c r="H2402" s="23" t="s">
        <v>27</v>
      </c>
      <c r="I2402" s="23" t="s">
        <v>28</v>
      </c>
      <c r="J2402" s="14" t="s">
        <v>29</v>
      </c>
      <c r="K2402" s="15" t="s">
        <v>30</v>
      </c>
      <c r="L2402" s="87"/>
      <c r="M2402" s="14"/>
      <c r="N2402" s="14" t="s">
        <v>661</v>
      </c>
      <c r="O2402" s="14"/>
      <c r="P2402" s="15" t="s">
        <v>74</v>
      </c>
      <c r="Q2402" s="16">
        <v>3599</v>
      </c>
      <c r="R2402" s="17">
        <v>45</v>
      </c>
      <c r="S2402" s="18">
        <v>2276.3674999999998</v>
      </c>
      <c r="T2402" s="19" t="s">
        <v>117</v>
      </c>
      <c r="U2402" s="20" t="s">
        <v>35</v>
      </c>
      <c r="V2402" s="21">
        <v>116</v>
      </c>
      <c r="W2402" s="21">
        <v>3</v>
      </c>
      <c r="X2402" s="22"/>
    </row>
    <row r="2403" spans="1:24" s="1" customFormat="1" ht="17.100000000000001" customHeight="1" x14ac:dyDescent="0.3">
      <c r="A2403" s="23" t="s">
        <v>3014</v>
      </c>
      <c r="B2403" s="23" t="s">
        <v>3093</v>
      </c>
      <c r="C2403" s="12" t="s">
        <v>3094</v>
      </c>
      <c r="D2403" s="85"/>
      <c r="E2403" s="69" t="str">
        <f t="shared" si="86"/>
        <v>Еще фото</v>
      </c>
      <c r="F2403" s="13"/>
      <c r="G2403" s="23" t="s">
        <v>28</v>
      </c>
      <c r="H2403" s="23" t="s">
        <v>27</v>
      </c>
      <c r="I2403" s="23" t="s">
        <v>28</v>
      </c>
      <c r="J2403" s="14" t="s">
        <v>29</v>
      </c>
      <c r="K2403" s="15" t="s">
        <v>30</v>
      </c>
      <c r="L2403" s="88"/>
      <c r="M2403" s="14"/>
      <c r="N2403" s="14" t="s">
        <v>661</v>
      </c>
      <c r="O2403" s="14"/>
      <c r="P2403" s="15" t="s">
        <v>74</v>
      </c>
      <c r="Q2403" s="16">
        <v>3599</v>
      </c>
      <c r="R2403" s="17">
        <v>45</v>
      </c>
      <c r="S2403" s="18">
        <v>2276.3674999999998</v>
      </c>
      <c r="T2403" s="19" t="s">
        <v>117</v>
      </c>
      <c r="U2403" s="20" t="s">
        <v>36</v>
      </c>
      <c r="V2403" s="21">
        <v>122</v>
      </c>
      <c r="W2403" s="21">
        <v>3</v>
      </c>
      <c r="X2403" s="22"/>
    </row>
    <row r="2404" spans="1:24" s="1" customFormat="1" ht="14.1" customHeight="1" x14ac:dyDescent="0.3">
      <c r="A2404" s="11" t="s">
        <v>3014</v>
      </c>
      <c r="B2404" s="11" t="s">
        <v>3093</v>
      </c>
      <c r="C2404" s="12" t="s">
        <v>3095</v>
      </c>
      <c r="D2404" s="83"/>
      <c r="E2404" s="69" t="str">
        <f t="shared" ref="E2404:E2410" si="87">HYPERLINK("https://www.google.ru/search?q=71206106-3110&amp;newwindow=1&amp;tbm=isch","Еще фото")</f>
        <v>Еще фото</v>
      </c>
      <c r="F2404" s="13"/>
      <c r="G2404" s="11" t="s">
        <v>28</v>
      </c>
      <c r="H2404" s="11" t="s">
        <v>27</v>
      </c>
      <c r="I2404" s="14" t="s">
        <v>28</v>
      </c>
      <c r="J2404" s="14" t="s">
        <v>29</v>
      </c>
      <c r="K2404" s="15" t="s">
        <v>30</v>
      </c>
      <c r="L2404" s="86"/>
      <c r="M2404" s="14"/>
      <c r="N2404" s="14" t="s">
        <v>275</v>
      </c>
      <c r="O2404" s="14"/>
      <c r="P2404" s="15" t="s">
        <v>74</v>
      </c>
      <c r="Q2404" s="16">
        <v>3599</v>
      </c>
      <c r="R2404" s="17">
        <v>45</v>
      </c>
      <c r="S2404" s="18">
        <v>2276.3674999999998</v>
      </c>
      <c r="T2404" s="19" t="s">
        <v>117</v>
      </c>
      <c r="U2404" s="20" t="s">
        <v>2976</v>
      </c>
      <c r="V2404" s="21">
        <v>86</v>
      </c>
      <c r="W2404" s="21">
        <v>6</v>
      </c>
      <c r="X2404" s="22"/>
    </row>
    <row r="2405" spans="1:24" s="1" customFormat="1" ht="14.1" customHeight="1" x14ac:dyDescent="0.3">
      <c r="A2405" s="23" t="s">
        <v>3014</v>
      </c>
      <c r="B2405" s="23" t="s">
        <v>3093</v>
      </c>
      <c r="C2405" s="12" t="s">
        <v>3095</v>
      </c>
      <c r="D2405" s="84"/>
      <c r="E2405" s="69" t="str">
        <f t="shared" si="87"/>
        <v>Еще фото</v>
      </c>
      <c r="F2405" s="13"/>
      <c r="G2405" s="23" t="s">
        <v>28</v>
      </c>
      <c r="H2405" s="23" t="s">
        <v>27</v>
      </c>
      <c r="I2405" s="23" t="s">
        <v>28</v>
      </c>
      <c r="J2405" s="14" t="s">
        <v>29</v>
      </c>
      <c r="K2405" s="15" t="s">
        <v>30</v>
      </c>
      <c r="L2405" s="87"/>
      <c r="M2405" s="14"/>
      <c r="N2405" s="14" t="s">
        <v>275</v>
      </c>
      <c r="O2405" s="14"/>
      <c r="P2405" s="15" t="s">
        <v>74</v>
      </c>
      <c r="Q2405" s="16">
        <v>3599</v>
      </c>
      <c r="R2405" s="17">
        <v>45</v>
      </c>
      <c r="S2405" s="18">
        <v>2276.3674999999998</v>
      </c>
      <c r="T2405" s="19" t="s">
        <v>117</v>
      </c>
      <c r="U2405" s="20" t="s">
        <v>2977</v>
      </c>
      <c r="V2405" s="21">
        <v>92</v>
      </c>
      <c r="W2405" s="21">
        <v>6</v>
      </c>
      <c r="X2405" s="22"/>
    </row>
    <row r="2406" spans="1:24" s="1" customFormat="1" ht="14.1" customHeight="1" x14ac:dyDescent="0.3">
      <c r="A2406" s="23" t="s">
        <v>3014</v>
      </c>
      <c r="B2406" s="23" t="s">
        <v>3093</v>
      </c>
      <c r="C2406" s="12" t="s">
        <v>3095</v>
      </c>
      <c r="D2406" s="84"/>
      <c r="E2406" s="69" t="str">
        <f t="shared" si="87"/>
        <v>Еще фото</v>
      </c>
      <c r="F2406" s="13"/>
      <c r="G2406" s="23" t="s">
        <v>28</v>
      </c>
      <c r="H2406" s="23" t="s">
        <v>27</v>
      </c>
      <c r="I2406" s="23" t="s">
        <v>28</v>
      </c>
      <c r="J2406" s="14" t="s">
        <v>29</v>
      </c>
      <c r="K2406" s="15" t="s">
        <v>30</v>
      </c>
      <c r="L2406" s="87"/>
      <c r="M2406" s="14"/>
      <c r="N2406" s="14" t="s">
        <v>275</v>
      </c>
      <c r="O2406" s="14"/>
      <c r="P2406" s="15" t="s">
        <v>74</v>
      </c>
      <c r="Q2406" s="16">
        <v>3599</v>
      </c>
      <c r="R2406" s="17">
        <v>45</v>
      </c>
      <c r="S2406" s="18">
        <v>2276.3674999999998</v>
      </c>
      <c r="T2406" s="19" t="s">
        <v>117</v>
      </c>
      <c r="U2406" s="20" t="s">
        <v>2961</v>
      </c>
      <c r="V2406" s="21">
        <v>98</v>
      </c>
      <c r="W2406" s="21">
        <v>6</v>
      </c>
      <c r="X2406" s="22"/>
    </row>
    <row r="2407" spans="1:24" s="1" customFormat="1" ht="14.1" customHeight="1" x14ac:dyDescent="0.3">
      <c r="A2407" s="23" t="s">
        <v>3014</v>
      </c>
      <c r="B2407" s="23" t="s">
        <v>3093</v>
      </c>
      <c r="C2407" s="12" t="s">
        <v>3095</v>
      </c>
      <c r="D2407" s="84"/>
      <c r="E2407" s="69" t="str">
        <f t="shared" si="87"/>
        <v>Еще фото</v>
      </c>
      <c r="F2407" s="13"/>
      <c r="G2407" s="23" t="s">
        <v>28</v>
      </c>
      <c r="H2407" s="23" t="s">
        <v>27</v>
      </c>
      <c r="I2407" s="23" t="s">
        <v>28</v>
      </c>
      <c r="J2407" s="14" t="s">
        <v>29</v>
      </c>
      <c r="K2407" s="15" t="s">
        <v>30</v>
      </c>
      <c r="L2407" s="87"/>
      <c r="M2407" s="14"/>
      <c r="N2407" s="14" t="s">
        <v>275</v>
      </c>
      <c r="O2407" s="14"/>
      <c r="P2407" s="15" t="s">
        <v>74</v>
      </c>
      <c r="Q2407" s="16">
        <v>3599</v>
      </c>
      <c r="R2407" s="17">
        <v>45</v>
      </c>
      <c r="S2407" s="18">
        <v>2276.3674999999998</v>
      </c>
      <c r="T2407" s="19" t="s">
        <v>117</v>
      </c>
      <c r="U2407" s="20" t="s">
        <v>94</v>
      </c>
      <c r="V2407" s="21">
        <v>104</v>
      </c>
      <c r="W2407" s="21">
        <v>6</v>
      </c>
      <c r="X2407" s="22"/>
    </row>
    <row r="2408" spans="1:24" s="1" customFormat="1" ht="14.1" customHeight="1" x14ac:dyDescent="0.3">
      <c r="A2408" s="23" t="s">
        <v>3014</v>
      </c>
      <c r="B2408" s="23" t="s">
        <v>3093</v>
      </c>
      <c r="C2408" s="12" t="s">
        <v>3095</v>
      </c>
      <c r="D2408" s="84"/>
      <c r="E2408" s="69" t="str">
        <f t="shared" si="87"/>
        <v>Еще фото</v>
      </c>
      <c r="F2408" s="13"/>
      <c r="G2408" s="23" t="s">
        <v>28</v>
      </c>
      <c r="H2408" s="23" t="s">
        <v>27</v>
      </c>
      <c r="I2408" s="23" t="s">
        <v>28</v>
      </c>
      <c r="J2408" s="14" t="s">
        <v>29</v>
      </c>
      <c r="K2408" s="15" t="s">
        <v>30</v>
      </c>
      <c r="L2408" s="87"/>
      <c r="M2408" s="14"/>
      <c r="N2408" s="14" t="s">
        <v>275</v>
      </c>
      <c r="O2408" s="14"/>
      <c r="P2408" s="15" t="s">
        <v>74</v>
      </c>
      <c r="Q2408" s="16">
        <v>3599</v>
      </c>
      <c r="R2408" s="17">
        <v>45</v>
      </c>
      <c r="S2408" s="18">
        <v>2276.3674999999998</v>
      </c>
      <c r="T2408" s="19" t="s">
        <v>117</v>
      </c>
      <c r="U2408" s="20" t="s">
        <v>43</v>
      </c>
      <c r="V2408" s="21">
        <v>110</v>
      </c>
      <c r="W2408" s="21">
        <v>6</v>
      </c>
      <c r="X2408" s="22"/>
    </row>
    <row r="2409" spans="1:24" s="1" customFormat="1" ht="14.1" customHeight="1" x14ac:dyDescent="0.3">
      <c r="A2409" s="23" t="s">
        <v>3014</v>
      </c>
      <c r="B2409" s="23" t="s">
        <v>3093</v>
      </c>
      <c r="C2409" s="12" t="s">
        <v>3095</v>
      </c>
      <c r="D2409" s="84"/>
      <c r="E2409" s="69" t="str">
        <f t="shared" si="87"/>
        <v>Еще фото</v>
      </c>
      <c r="F2409" s="13"/>
      <c r="G2409" s="23" t="s">
        <v>28</v>
      </c>
      <c r="H2409" s="23" t="s">
        <v>27</v>
      </c>
      <c r="I2409" s="23" t="s">
        <v>28</v>
      </c>
      <c r="J2409" s="14" t="s">
        <v>29</v>
      </c>
      <c r="K2409" s="15" t="s">
        <v>30</v>
      </c>
      <c r="L2409" s="87"/>
      <c r="M2409" s="14"/>
      <c r="N2409" s="14" t="s">
        <v>275</v>
      </c>
      <c r="O2409" s="14"/>
      <c r="P2409" s="15" t="s">
        <v>74</v>
      </c>
      <c r="Q2409" s="16">
        <v>3599</v>
      </c>
      <c r="R2409" s="17">
        <v>45</v>
      </c>
      <c r="S2409" s="18">
        <v>2276.3674999999998</v>
      </c>
      <c r="T2409" s="19" t="s">
        <v>117</v>
      </c>
      <c r="U2409" s="20" t="s">
        <v>35</v>
      </c>
      <c r="V2409" s="21">
        <v>116</v>
      </c>
      <c r="W2409" s="21">
        <v>3</v>
      </c>
      <c r="X2409" s="22"/>
    </row>
    <row r="2410" spans="1:24" s="1" customFormat="1" ht="17.100000000000001" customHeight="1" x14ac:dyDescent="0.3">
      <c r="A2410" s="23" t="s">
        <v>3014</v>
      </c>
      <c r="B2410" s="23" t="s">
        <v>3093</v>
      </c>
      <c r="C2410" s="12" t="s">
        <v>3095</v>
      </c>
      <c r="D2410" s="85"/>
      <c r="E2410" s="69" t="str">
        <f t="shared" si="87"/>
        <v>Еще фото</v>
      </c>
      <c r="F2410" s="13"/>
      <c r="G2410" s="23" t="s">
        <v>28</v>
      </c>
      <c r="H2410" s="23" t="s">
        <v>27</v>
      </c>
      <c r="I2410" s="23" t="s">
        <v>28</v>
      </c>
      <c r="J2410" s="14" t="s">
        <v>29</v>
      </c>
      <c r="K2410" s="15" t="s">
        <v>30</v>
      </c>
      <c r="L2410" s="88"/>
      <c r="M2410" s="14"/>
      <c r="N2410" s="14" t="s">
        <v>275</v>
      </c>
      <c r="O2410" s="14"/>
      <c r="P2410" s="15" t="s">
        <v>74</v>
      </c>
      <c r="Q2410" s="16">
        <v>3599</v>
      </c>
      <c r="R2410" s="17">
        <v>45</v>
      </c>
      <c r="S2410" s="18">
        <v>2276.3674999999998</v>
      </c>
      <c r="T2410" s="19" t="s">
        <v>117</v>
      </c>
      <c r="U2410" s="20" t="s">
        <v>36</v>
      </c>
      <c r="V2410" s="21">
        <v>122</v>
      </c>
      <c r="W2410" s="21">
        <v>3</v>
      </c>
      <c r="X2410" s="22"/>
    </row>
    <row r="2411" spans="1:24" s="1" customFormat="1" ht="12.95" customHeight="1" x14ac:dyDescent="0.3">
      <c r="A2411" s="11" t="s">
        <v>3014</v>
      </c>
      <c r="B2411" s="11" t="s">
        <v>3096</v>
      </c>
      <c r="C2411" s="12" t="s">
        <v>3097</v>
      </c>
      <c r="D2411" s="83"/>
      <c r="E2411" s="69" t="str">
        <f t="shared" ref="E2411:E2418" si="88">HYPERLINK("https://www.google.ru/search?q=7200013X-4160&amp;newwindow=1&amp;tbm=isch","Еще фото")</f>
        <v>Еще фото</v>
      </c>
      <c r="F2411" s="13"/>
      <c r="G2411" s="11" t="s">
        <v>28</v>
      </c>
      <c r="H2411" s="11" t="s">
        <v>27</v>
      </c>
      <c r="I2411" s="14" t="s">
        <v>28</v>
      </c>
      <c r="J2411" s="14" t="s">
        <v>29</v>
      </c>
      <c r="K2411" s="15" t="s">
        <v>30</v>
      </c>
      <c r="L2411" s="86" t="s">
        <v>3098</v>
      </c>
      <c r="M2411" s="14"/>
      <c r="N2411" s="14" t="s">
        <v>275</v>
      </c>
      <c r="O2411" s="14"/>
      <c r="P2411" s="15" t="s">
        <v>193</v>
      </c>
      <c r="Q2411" s="16">
        <v>2699</v>
      </c>
      <c r="R2411" s="17">
        <v>45</v>
      </c>
      <c r="S2411" s="18">
        <v>1707.1174999999998</v>
      </c>
      <c r="T2411" s="19" t="s">
        <v>117</v>
      </c>
      <c r="U2411" s="26" t="s">
        <v>2961</v>
      </c>
      <c r="V2411" s="21">
        <v>98</v>
      </c>
      <c r="W2411" s="21">
        <v>5</v>
      </c>
      <c r="X2411" s="22"/>
    </row>
    <row r="2412" spans="1:24" s="1" customFormat="1" ht="12.95" customHeight="1" x14ac:dyDescent="0.3">
      <c r="A2412" s="23" t="s">
        <v>3014</v>
      </c>
      <c r="B2412" s="23" t="s">
        <v>3096</v>
      </c>
      <c r="C2412" s="12" t="s">
        <v>3097</v>
      </c>
      <c r="D2412" s="84"/>
      <c r="E2412" s="69" t="str">
        <f t="shared" si="88"/>
        <v>Еще фото</v>
      </c>
      <c r="F2412" s="13"/>
      <c r="G2412" s="23" t="s">
        <v>28</v>
      </c>
      <c r="H2412" s="23" t="s">
        <v>27</v>
      </c>
      <c r="I2412" s="23" t="s">
        <v>28</v>
      </c>
      <c r="J2412" s="14" t="s">
        <v>29</v>
      </c>
      <c r="K2412" s="15" t="s">
        <v>30</v>
      </c>
      <c r="L2412" s="87"/>
      <c r="M2412" s="14"/>
      <c r="N2412" s="14" t="s">
        <v>275</v>
      </c>
      <c r="O2412" s="14"/>
      <c r="P2412" s="15" t="s">
        <v>193</v>
      </c>
      <c r="Q2412" s="16">
        <v>2699</v>
      </c>
      <c r="R2412" s="17">
        <v>45</v>
      </c>
      <c r="S2412" s="18">
        <v>1707.1174999999998</v>
      </c>
      <c r="T2412" s="19" t="s">
        <v>117</v>
      </c>
      <c r="U2412" s="20" t="s">
        <v>35</v>
      </c>
      <c r="V2412" s="21">
        <v>116</v>
      </c>
      <c r="W2412" s="21">
        <v>2</v>
      </c>
      <c r="X2412" s="22"/>
    </row>
    <row r="2413" spans="1:24" s="1" customFormat="1" ht="12.95" customHeight="1" x14ac:dyDescent="0.3">
      <c r="A2413" s="23" t="s">
        <v>3014</v>
      </c>
      <c r="B2413" s="23" t="s">
        <v>3096</v>
      </c>
      <c r="C2413" s="12" t="s">
        <v>3097</v>
      </c>
      <c r="D2413" s="84"/>
      <c r="E2413" s="69" t="str">
        <f t="shared" si="88"/>
        <v>Еще фото</v>
      </c>
      <c r="F2413" s="13"/>
      <c r="G2413" s="23" t="s">
        <v>28</v>
      </c>
      <c r="H2413" s="23" t="s">
        <v>27</v>
      </c>
      <c r="I2413" s="23" t="s">
        <v>28</v>
      </c>
      <c r="J2413" s="14" t="s">
        <v>29</v>
      </c>
      <c r="K2413" s="15" t="s">
        <v>30</v>
      </c>
      <c r="L2413" s="87"/>
      <c r="M2413" s="14"/>
      <c r="N2413" s="14" t="s">
        <v>275</v>
      </c>
      <c r="O2413" s="14"/>
      <c r="P2413" s="15" t="s">
        <v>193</v>
      </c>
      <c r="Q2413" s="16">
        <v>2699</v>
      </c>
      <c r="R2413" s="17">
        <v>45</v>
      </c>
      <c r="S2413" s="18">
        <v>1707.1174999999998</v>
      </c>
      <c r="T2413" s="19" t="s">
        <v>117</v>
      </c>
      <c r="U2413" s="20" t="s">
        <v>36</v>
      </c>
      <c r="V2413" s="21">
        <v>122</v>
      </c>
      <c r="W2413" s="21">
        <v>4</v>
      </c>
      <c r="X2413" s="22"/>
    </row>
    <row r="2414" spans="1:24" s="1" customFormat="1" ht="12.95" customHeight="1" x14ac:dyDescent="0.3">
      <c r="A2414" s="23" t="s">
        <v>3014</v>
      </c>
      <c r="B2414" s="23" t="s">
        <v>3096</v>
      </c>
      <c r="C2414" s="12" t="s">
        <v>3097</v>
      </c>
      <c r="D2414" s="84"/>
      <c r="E2414" s="69" t="str">
        <f t="shared" si="88"/>
        <v>Еще фото</v>
      </c>
      <c r="F2414" s="13"/>
      <c r="G2414" s="23" t="s">
        <v>28</v>
      </c>
      <c r="H2414" s="23" t="s">
        <v>27</v>
      </c>
      <c r="I2414" s="23" t="s">
        <v>28</v>
      </c>
      <c r="J2414" s="14" t="s">
        <v>29</v>
      </c>
      <c r="K2414" s="15" t="s">
        <v>30</v>
      </c>
      <c r="L2414" s="87"/>
      <c r="M2414" s="14"/>
      <c r="N2414" s="14" t="s">
        <v>275</v>
      </c>
      <c r="O2414" s="14"/>
      <c r="P2414" s="15" t="s">
        <v>193</v>
      </c>
      <c r="Q2414" s="16">
        <v>2699</v>
      </c>
      <c r="R2414" s="17">
        <v>45</v>
      </c>
      <c r="S2414" s="18">
        <v>1707.1174999999998</v>
      </c>
      <c r="T2414" s="19" t="s">
        <v>117</v>
      </c>
      <c r="U2414" s="20" t="s">
        <v>91</v>
      </c>
      <c r="V2414" s="21">
        <v>134</v>
      </c>
      <c r="W2414" s="21">
        <v>5</v>
      </c>
      <c r="X2414" s="22"/>
    </row>
    <row r="2415" spans="1:24" s="1" customFormat="1" ht="12.95" customHeight="1" x14ac:dyDescent="0.3">
      <c r="A2415" s="23" t="s">
        <v>3014</v>
      </c>
      <c r="B2415" s="23" t="s">
        <v>3096</v>
      </c>
      <c r="C2415" s="12" t="s">
        <v>3097</v>
      </c>
      <c r="D2415" s="84"/>
      <c r="E2415" s="69" t="str">
        <f t="shared" si="88"/>
        <v>Еще фото</v>
      </c>
      <c r="F2415" s="13"/>
      <c r="G2415" s="23" t="s">
        <v>28</v>
      </c>
      <c r="H2415" s="23" t="s">
        <v>27</v>
      </c>
      <c r="I2415" s="23" t="s">
        <v>28</v>
      </c>
      <c r="J2415" s="14" t="s">
        <v>29</v>
      </c>
      <c r="K2415" s="15" t="s">
        <v>30</v>
      </c>
      <c r="L2415" s="87"/>
      <c r="M2415" s="14"/>
      <c r="N2415" s="14" t="s">
        <v>275</v>
      </c>
      <c r="O2415" s="14"/>
      <c r="P2415" s="15" t="s">
        <v>193</v>
      </c>
      <c r="Q2415" s="16">
        <v>2699</v>
      </c>
      <c r="R2415" s="17">
        <v>45</v>
      </c>
      <c r="S2415" s="18">
        <v>1707.1174999999998</v>
      </c>
      <c r="T2415" s="19" t="s">
        <v>117</v>
      </c>
      <c r="U2415" s="20" t="s">
        <v>290</v>
      </c>
      <c r="V2415" s="21">
        <v>140</v>
      </c>
      <c r="W2415" s="21">
        <v>4</v>
      </c>
      <c r="X2415" s="22"/>
    </row>
    <row r="2416" spans="1:24" s="1" customFormat="1" ht="12.95" customHeight="1" x14ac:dyDescent="0.3">
      <c r="A2416" s="23" t="s">
        <v>3014</v>
      </c>
      <c r="B2416" s="23" t="s">
        <v>3096</v>
      </c>
      <c r="C2416" s="12" t="s">
        <v>3097</v>
      </c>
      <c r="D2416" s="84"/>
      <c r="E2416" s="69" t="str">
        <f t="shared" si="88"/>
        <v>Еще фото</v>
      </c>
      <c r="F2416" s="13"/>
      <c r="G2416" s="23" t="s">
        <v>28</v>
      </c>
      <c r="H2416" s="23" t="s">
        <v>27</v>
      </c>
      <c r="I2416" s="23" t="s">
        <v>28</v>
      </c>
      <c r="J2416" s="14" t="s">
        <v>29</v>
      </c>
      <c r="K2416" s="15" t="s">
        <v>30</v>
      </c>
      <c r="L2416" s="87"/>
      <c r="M2416" s="14"/>
      <c r="N2416" s="14" t="s">
        <v>275</v>
      </c>
      <c r="O2416" s="14"/>
      <c r="P2416" s="15" t="s">
        <v>193</v>
      </c>
      <c r="Q2416" s="16">
        <v>2699</v>
      </c>
      <c r="R2416" s="17">
        <v>45</v>
      </c>
      <c r="S2416" s="18">
        <v>1707.1174999999998</v>
      </c>
      <c r="T2416" s="19" t="s">
        <v>117</v>
      </c>
      <c r="U2416" s="20" t="s">
        <v>2160</v>
      </c>
      <c r="V2416" s="21">
        <v>152</v>
      </c>
      <c r="W2416" s="21">
        <v>4</v>
      </c>
      <c r="X2416" s="22"/>
    </row>
    <row r="2417" spans="1:24" s="1" customFormat="1" ht="12.95" customHeight="1" x14ac:dyDescent="0.3">
      <c r="A2417" s="23" t="s">
        <v>3014</v>
      </c>
      <c r="B2417" s="23" t="s">
        <v>3096</v>
      </c>
      <c r="C2417" s="12" t="s">
        <v>3097</v>
      </c>
      <c r="D2417" s="84"/>
      <c r="E2417" s="69" t="str">
        <f t="shared" si="88"/>
        <v>Еще фото</v>
      </c>
      <c r="F2417" s="13"/>
      <c r="G2417" s="23" t="s">
        <v>28</v>
      </c>
      <c r="H2417" s="23" t="s">
        <v>27</v>
      </c>
      <c r="I2417" s="23" t="s">
        <v>28</v>
      </c>
      <c r="J2417" s="14" t="s">
        <v>29</v>
      </c>
      <c r="K2417" s="15" t="s">
        <v>30</v>
      </c>
      <c r="L2417" s="87"/>
      <c r="M2417" s="14"/>
      <c r="N2417" s="14" t="s">
        <v>275</v>
      </c>
      <c r="O2417" s="14"/>
      <c r="P2417" s="15" t="s">
        <v>193</v>
      </c>
      <c r="Q2417" s="16">
        <v>2699</v>
      </c>
      <c r="R2417" s="17">
        <v>45</v>
      </c>
      <c r="S2417" s="18">
        <v>1707.1174999999998</v>
      </c>
      <c r="T2417" s="19" t="s">
        <v>117</v>
      </c>
      <c r="U2417" s="20" t="s">
        <v>3088</v>
      </c>
      <c r="V2417" s="21">
        <v>158</v>
      </c>
      <c r="W2417" s="21">
        <v>1</v>
      </c>
      <c r="X2417" s="22"/>
    </row>
    <row r="2418" spans="1:24" s="1" customFormat="1" ht="18" customHeight="1" x14ac:dyDescent="0.3">
      <c r="A2418" s="23" t="s">
        <v>3014</v>
      </c>
      <c r="B2418" s="23" t="s">
        <v>3096</v>
      </c>
      <c r="C2418" s="12" t="s">
        <v>3097</v>
      </c>
      <c r="D2418" s="85"/>
      <c r="E2418" s="69" t="str">
        <f t="shared" si="88"/>
        <v>Еще фото</v>
      </c>
      <c r="F2418" s="13"/>
      <c r="G2418" s="23" t="s">
        <v>28</v>
      </c>
      <c r="H2418" s="23" t="s">
        <v>27</v>
      </c>
      <c r="I2418" s="23" t="s">
        <v>28</v>
      </c>
      <c r="J2418" s="14" t="s">
        <v>29</v>
      </c>
      <c r="K2418" s="15" t="s">
        <v>30</v>
      </c>
      <c r="L2418" s="88"/>
      <c r="M2418" s="14"/>
      <c r="N2418" s="14" t="s">
        <v>275</v>
      </c>
      <c r="O2418" s="14"/>
      <c r="P2418" s="15" t="s">
        <v>193</v>
      </c>
      <c r="Q2418" s="16">
        <v>2699</v>
      </c>
      <c r="R2418" s="17">
        <v>45</v>
      </c>
      <c r="S2418" s="18">
        <v>1707.1174999999998</v>
      </c>
      <c r="T2418" s="19" t="s">
        <v>117</v>
      </c>
      <c r="U2418" s="20" t="s">
        <v>2161</v>
      </c>
      <c r="V2418" s="21">
        <v>164</v>
      </c>
      <c r="W2418" s="21">
        <v>2</v>
      </c>
      <c r="X2418" s="22"/>
    </row>
    <row r="2419" spans="1:24" s="1" customFormat="1" ht="51.95" customHeight="1" x14ac:dyDescent="0.3">
      <c r="A2419" s="11" t="s">
        <v>3014</v>
      </c>
      <c r="B2419" s="11" t="s">
        <v>3096</v>
      </c>
      <c r="C2419" s="12" t="s">
        <v>3099</v>
      </c>
      <c r="D2419" s="89"/>
      <c r="E2419" s="69" t="str">
        <f>HYPERLINK("https://www.google.ru/search?q=7200013X-6961&amp;newwindow=1&amp;tbm=isch","Еще фото")</f>
        <v>Еще фото</v>
      </c>
      <c r="F2419" s="13"/>
      <c r="G2419" s="11" t="s">
        <v>28</v>
      </c>
      <c r="H2419" s="11" t="s">
        <v>27</v>
      </c>
      <c r="I2419" s="14" t="s">
        <v>28</v>
      </c>
      <c r="J2419" s="14" t="s">
        <v>29</v>
      </c>
      <c r="K2419" s="15" t="s">
        <v>30</v>
      </c>
      <c r="L2419" s="86" t="s">
        <v>3098</v>
      </c>
      <c r="M2419" s="14"/>
      <c r="N2419" s="14" t="s">
        <v>70</v>
      </c>
      <c r="O2419" s="14"/>
      <c r="P2419" s="15" t="s">
        <v>193</v>
      </c>
      <c r="Q2419" s="16">
        <v>2499</v>
      </c>
      <c r="R2419" s="17">
        <v>45</v>
      </c>
      <c r="S2419" s="18">
        <v>1580.6174999999998</v>
      </c>
      <c r="T2419" s="19" t="s">
        <v>117</v>
      </c>
      <c r="U2419" s="20" t="s">
        <v>2160</v>
      </c>
      <c r="V2419" s="21">
        <v>152</v>
      </c>
      <c r="W2419" s="21">
        <v>1</v>
      </c>
      <c r="X2419" s="22"/>
    </row>
    <row r="2420" spans="1:24" s="1" customFormat="1" ht="60.95" customHeight="1" x14ac:dyDescent="0.3">
      <c r="A2420" s="23" t="s">
        <v>3014</v>
      </c>
      <c r="B2420" s="23" t="s">
        <v>3096</v>
      </c>
      <c r="C2420" s="12" t="s">
        <v>3099</v>
      </c>
      <c r="D2420" s="90"/>
      <c r="E2420" s="69" t="str">
        <f>HYPERLINK("https://www.google.ru/search?q=7200013X-6961&amp;newwindow=1&amp;tbm=isch","Еще фото")</f>
        <v>Еще фото</v>
      </c>
      <c r="F2420" s="13"/>
      <c r="G2420" s="23" t="s">
        <v>28</v>
      </c>
      <c r="H2420" s="23" t="s">
        <v>27</v>
      </c>
      <c r="I2420" s="23" t="s">
        <v>28</v>
      </c>
      <c r="J2420" s="14" t="s">
        <v>29</v>
      </c>
      <c r="K2420" s="15" t="s">
        <v>30</v>
      </c>
      <c r="L2420" s="88"/>
      <c r="M2420" s="14"/>
      <c r="N2420" s="14" t="s">
        <v>70</v>
      </c>
      <c r="O2420" s="14"/>
      <c r="P2420" s="15" t="s">
        <v>193</v>
      </c>
      <c r="Q2420" s="16">
        <v>2499</v>
      </c>
      <c r="R2420" s="17">
        <v>45</v>
      </c>
      <c r="S2420" s="18">
        <v>1580.6174999999998</v>
      </c>
      <c r="T2420" s="19" t="s">
        <v>117</v>
      </c>
      <c r="U2420" s="20" t="s">
        <v>2161</v>
      </c>
      <c r="V2420" s="21">
        <v>164</v>
      </c>
      <c r="W2420" s="21">
        <v>1</v>
      </c>
      <c r="X2420" s="22"/>
    </row>
    <row r="2421" spans="1:24" s="1" customFormat="1" ht="12.95" customHeight="1" x14ac:dyDescent="0.3">
      <c r="A2421" s="11" t="s">
        <v>3014</v>
      </c>
      <c r="B2421" s="11" t="s">
        <v>3096</v>
      </c>
      <c r="C2421" s="12" t="s">
        <v>3100</v>
      </c>
      <c r="D2421" s="83"/>
      <c r="E2421" s="69" t="str">
        <f t="shared" ref="E2421:E2428" si="89">HYPERLINK("https://www.google.ru/search?q=7200013X-9090&amp;newwindow=1&amp;tbm=isch","Еще фото")</f>
        <v>Еще фото</v>
      </c>
      <c r="F2421" s="13"/>
      <c r="G2421" s="11" t="s">
        <v>28</v>
      </c>
      <c r="H2421" s="11" t="s">
        <v>27</v>
      </c>
      <c r="I2421" s="14" t="s">
        <v>28</v>
      </c>
      <c r="J2421" s="14" t="s">
        <v>29</v>
      </c>
      <c r="K2421" s="15" t="s">
        <v>30</v>
      </c>
      <c r="L2421" s="86" t="s">
        <v>3098</v>
      </c>
      <c r="M2421" s="14"/>
      <c r="N2421" s="14" t="s">
        <v>41</v>
      </c>
      <c r="O2421" s="14"/>
      <c r="P2421" s="15" t="s">
        <v>193</v>
      </c>
      <c r="Q2421" s="16">
        <v>2499</v>
      </c>
      <c r="R2421" s="17">
        <v>45</v>
      </c>
      <c r="S2421" s="18">
        <v>1580.6174999999998</v>
      </c>
      <c r="T2421" s="19" t="s">
        <v>117</v>
      </c>
      <c r="U2421" s="26" t="s">
        <v>2977</v>
      </c>
      <c r="V2421" s="21">
        <v>92</v>
      </c>
      <c r="W2421" s="21">
        <v>2</v>
      </c>
      <c r="X2421" s="22"/>
    </row>
    <row r="2422" spans="1:24" s="1" customFormat="1" ht="12.95" customHeight="1" x14ac:dyDescent="0.3">
      <c r="A2422" s="23" t="s">
        <v>3014</v>
      </c>
      <c r="B2422" s="23" t="s">
        <v>3096</v>
      </c>
      <c r="C2422" s="12" t="s">
        <v>3100</v>
      </c>
      <c r="D2422" s="84"/>
      <c r="E2422" s="69" t="str">
        <f t="shared" si="89"/>
        <v>Еще фото</v>
      </c>
      <c r="F2422" s="13"/>
      <c r="G2422" s="23" t="s">
        <v>28</v>
      </c>
      <c r="H2422" s="23" t="s">
        <v>27</v>
      </c>
      <c r="I2422" s="23" t="s">
        <v>28</v>
      </c>
      <c r="J2422" s="14" t="s">
        <v>29</v>
      </c>
      <c r="K2422" s="15" t="s">
        <v>30</v>
      </c>
      <c r="L2422" s="87"/>
      <c r="M2422" s="14"/>
      <c r="N2422" s="14" t="s">
        <v>41</v>
      </c>
      <c r="O2422" s="14"/>
      <c r="P2422" s="15" t="s">
        <v>193</v>
      </c>
      <c r="Q2422" s="16">
        <v>2499</v>
      </c>
      <c r="R2422" s="17">
        <v>45</v>
      </c>
      <c r="S2422" s="18">
        <v>1580.6174999999998</v>
      </c>
      <c r="T2422" s="19" t="s">
        <v>117</v>
      </c>
      <c r="U2422" s="20" t="s">
        <v>43</v>
      </c>
      <c r="V2422" s="21">
        <v>110</v>
      </c>
      <c r="W2422" s="21">
        <v>1</v>
      </c>
      <c r="X2422" s="22"/>
    </row>
    <row r="2423" spans="1:24" s="1" customFormat="1" ht="12.95" customHeight="1" x14ac:dyDescent="0.3">
      <c r="A2423" s="23" t="s">
        <v>3014</v>
      </c>
      <c r="B2423" s="23" t="s">
        <v>3096</v>
      </c>
      <c r="C2423" s="12" t="s">
        <v>3100</v>
      </c>
      <c r="D2423" s="84"/>
      <c r="E2423" s="69" t="str">
        <f t="shared" si="89"/>
        <v>Еще фото</v>
      </c>
      <c r="F2423" s="13"/>
      <c r="G2423" s="23" t="s">
        <v>28</v>
      </c>
      <c r="H2423" s="23" t="s">
        <v>27</v>
      </c>
      <c r="I2423" s="23" t="s">
        <v>28</v>
      </c>
      <c r="J2423" s="14" t="s">
        <v>29</v>
      </c>
      <c r="K2423" s="15" t="s">
        <v>30</v>
      </c>
      <c r="L2423" s="87"/>
      <c r="M2423" s="14"/>
      <c r="N2423" s="14" t="s">
        <v>41</v>
      </c>
      <c r="O2423" s="14"/>
      <c r="P2423" s="15" t="s">
        <v>193</v>
      </c>
      <c r="Q2423" s="16">
        <v>2499</v>
      </c>
      <c r="R2423" s="17">
        <v>45</v>
      </c>
      <c r="S2423" s="18">
        <v>1580.6174999999998</v>
      </c>
      <c r="T2423" s="19" t="s">
        <v>117</v>
      </c>
      <c r="U2423" s="20" t="s">
        <v>37</v>
      </c>
      <c r="V2423" s="21">
        <v>128</v>
      </c>
      <c r="W2423" s="21">
        <v>3</v>
      </c>
      <c r="X2423" s="22"/>
    </row>
    <row r="2424" spans="1:24" s="1" customFormat="1" ht="12.95" customHeight="1" x14ac:dyDescent="0.3">
      <c r="A2424" s="23" t="s">
        <v>3014</v>
      </c>
      <c r="B2424" s="23" t="s">
        <v>3096</v>
      </c>
      <c r="C2424" s="12" t="s">
        <v>3100</v>
      </c>
      <c r="D2424" s="84"/>
      <c r="E2424" s="69" t="str">
        <f t="shared" si="89"/>
        <v>Еще фото</v>
      </c>
      <c r="F2424" s="13"/>
      <c r="G2424" s="23" t="s">
        <v>28</v>
      </c>
      <c r="H2424" s="23" t="s">
        <v>27</v>
      </c>
      <c r="I2424" s="23" t="s">
        <v>28</v>
      </c>
      <c r="J2424" s="14" t="s">
        <v>29</v>
      </c>
      <c r="K2424" s="15" t="s">
        <v>30</v>
      </c>
      <c r="L2424" s="87"/>
      <c r="M2424" s="14"/>
      <c r="N2424" s="14" t="s">
        <v>41</v>
      </c>
      <c r="O2424" s="14"/>
      <c r="P2424" s="15" t="s">
        <v>193</v>
      </c>
      <c r="Q2424" s="16">
        <v>2499</v>
      </c>
      <c r="R2424" s="17">
        <v>45</v>
      </c>
      <c r="S2424" s="18">
        <v>1580.6174999999998</v>
      </c>
      <c r="T2424" s="19" t="s">
        <v>117</v>
      </c>
      <c r="U2424" s="20" t="s">
        <v>91</v>
      </c>
      <c r="V2424" s="21">
        <v>134</v>
      </c>
      <c r="W2424" s="21">
        <v>3</v>
      </c>
      <c r="X2424" s="22"/>
    </row>
    <row r="2425" spans="1:24" s="1" customFormat="1" ht="12.95" customHeight="1" x14ac:dyDescent="0.3">
      <c r="A2425" s="23" t="s">
        <v>3014</v>
      </c>
      <c r="B2425" s="23" t="s">
        <v>3096</v>
      </c>
      <c r="C2425" s="12" t="s">
        <v>3100</v>
      </c>
      <c r="D2425" s="84"/>
      <c r="E2425" s="69" t="str">
        <f t="shared" si="89"/>
        <v>Еще фото</v>
      </c>
      <c r="F2425" s="13"/>
      <c r="G2425" s="23" t="s">
        <v>28</v>
      </c>
      <c r="H2425" s="23" t="s">
        <v>27</v>
      </c>
      <c r="I2425" s="23" t="s">
        <v>28</v>
      </c>
      <c r="J2425" s="14" t="s">
        <v>29</v>
      </c>
      <c r="K2425" s="15" t="s">
        <v>30</v>
      </c>
      <c r="L2425" s="87"/>
      <c r="M2425" s="14"/>
      <c r="N2425" s="14" t="s">
        <v>41</v>
      </c>
      <c r="O2425" s="14"/>
      <c r="P2425" s="15" t="s">
        <v>193</v>
      </c>
      <c r="Q2425" s="16">
        <v>2499</v>
      </c>
      <c r="R2425" s="17">
        <v>45</v>
      </c>
      <c r="S2425" s="18">
        <v>1580.6174999999998</v>
      </c>
      <c r="T2425" s="19" t="s">
        <v>117</v>
      </c>
      <c r="U2425" s="20" t="s">
        <v>290</v>
      </c>
      <c r="V2425" s="21">
        <v>140</v>
      </c>
      <c r="W2425" s="21">
        <v>2</v>
      </c>
      <c r="X2425" s="22"/>
    </row>
    <row r="2426" spans="1:24" s="1" customFormat="1" ht="12.95" customHeight="1" x14ac:dyDescent="0.3">
      <c r="A2426" s="23" t="s">
        <v>3014</v>
      </c>
      <c r="B2426" s="23" t="s">
        <v>3096</v>
      </c>
      <c r="C2426" s="12" t="s">
        <v>3100</v>
      </c>
      <c r="D2426" s="84"/>
      <c r="E2426" s="69" t="str">
        <f t="shared" si="89"/>
        <v>Еще фото</v>
      </c>
      <c r="F2426" s="13"/>
      <c r="G2426" s="23" t="s">
        <v>28</v>
      </c>
      <c r="H2426" s="23" t="s">
        <v>27</v>
      </c>
      <c r="I2426" s="23" t="s">
        <v>28</v>
      </c>
      <c r="J2426" s="14" t="s">
        <v>29</v>
      </c>
      <c r="K2426" s="15" t="s">
        <v>30</v>
      </c>
      <c r="L2426" s="87"/>
      <c r="M2426" s="14"/>
      <c r="N2426" s="14" t="s">
        <v>41</v>
      </c>
      <c r="O2426" s="14"/>
      <c r="P2426" s="15" t="s">
        <v>193</v>
      </c>
      <c r="Q2426" s="16">
        <v>2499</v>
      </c>
      <c r="R2426" s="17">
        <v>45</v>
      </c>
      <c r="S2426" s="18">
        <v>1580.6174999999998</v>
      </c>
      <c r="T2426" s="19" t="s">
        <v>117</v>
      </c>
      <c r="U2426" s="20" t="s">
        <v>2160</v>
      </c>
      <c r="V2426" s="21">
        <v>152</v>
      </c>
      <c r="W2426" s="21">
        <v>2</v>
      </c>
      <c r="X2426" s="22"/>
    </row>
    <row r="2427" spans="1:24" s="1" customFormat="1" ht="12.95" customHeight="1" x14ac:dyDescent="0.3">
      <c r="A2427" s="23" t="s">
        <v>3014</v>
      </c>
      <c r="B2427" s="23" t="s">
        <v>3096</v>
      </c>
      <c r="C2427" s="12" t="s">
        <v>3100</v>
      </c>
      <c r="D2427" s="84"/>
      <c r="E2427" s="69" t="str">
        <f t="shared" si="89"/>
        <v>Еще фото</v>
      </c>
      <c r="F2427" s="13"/>
      <c r="G2427" s="23" t="s">
        <v>28</v>
      </c>
      <c r="H2427" s="23" t="s">
        <v>27</v>
      </c>
      <c r="I2427" s="23" t="s">
        <v>28</v>
      </c>
      <c r="J2427" s="14" t="s">
        <v>29</v>
      </c>
      <c r="K2427" s="15" t="s">
        <v>30</v>
      </c>
      <c r="L2427" s="87"/>
      <c r="M2427" s="14"/>
      <c r="N2427" s="14" t="s">
        <v>41</v>
      </c>
      <c r="O2427" s="14"/>
      <c r="P2427" s="15" t="s">
        <v>193</v>
      </c>
      <c r="Q2427" s="16">
        <v>2499</v>
      </c>
      <c r="R2427" s="17">
        <v>45</v>
      </c>
      <c r="S2427" s="18">
        <v>1580.6174999999998</v>
      </c>
      <c r="T2427" s="19" t="s">
        <v>117</v>
      </c>
      <c r="U2427" s="20" t="s">
        <v>3088</v>
      </c>
      <c r="V2427" s="21">
        <v>158</v>
      </c>
      <c r="W2427" s="21">
        <v>2</v>
      </c>
      <c r="X2427" s="22"/>
    </row>
    <row r="2428" spans="1:24" s="1" customFormat="1" ht="18" customHeight="1" x14ac:dyDescent="0.3">
      <c r="A2428" s="23" t="s">
        <v>3014</v>
      </c>
      <c r="B2428" s="23" t="s">
        <v>3096</v>
      </c>
      <c r="C2428" s="12" t="s">
        <v>3100</v>
      </c>
      <c r="D2428" s="85"/>
      <c r="E2428" s="69" t="str">
        <f t="shared" si="89"/>
        <v>Еще фото</v>
      </c>
      <c r="F2428" s="13"/>
      <c r="G2428" s="23" t="s">
        <v>28</v>
      </c>
      <c r="H2428" s="23" t="s">
        <v>27</v>
      </c>
      <c r="I2428" s="23" t="s">
        <v>28</v>
      </c>
      <c r="J2428" s="14" t="s">
        <v>29</v>
      </c>
      <c r="K2428" s="15" t="s">
        <v>30</v>
      </c>
      <c r="L2428" s="88"/>
      <c r="M2428" s="14"/>
      <c r="N2428" s="14" t="s">
        <v>41</v>
      </c>
      <c r="O2428" s="14"/>
      <c r="P2428" s="15" t="s">
        <v>193</v>
      </c>
      <c r="Q2428" s="16">
        <v>2499</v>
      </c>
      <c r="R2428" s="17">
        <v>45</v>
      </c>
      <c r="S2428" s="18">
        <v>1580.6174999999998</v>
      </c>
      <c r="T2428" s="19" t="s">
        <v>117</v>
      </c>
      <c r="U2428" s="20" t="s">
        <v>2161</v>
      </c>
      <c r="V2428" s="21">
        <v>164</v>
      </c>
      <c r="W2428" s="21">
        <v>3</v>
      </c>
      <c r="X2428" s="22"/>
    </row>
    <row r="2429" spans="1:24" s="1" customFormat="1" ht="108" customHeight="1" x14ac:dyDescent="0.3">
      <c r="A2429" s="11" t="s">
        <v>3014</v>
      </c>
      <c r="B2429" s="11" t="s">
        <v>3101</v>
      </c>
      <c r="C2429" s="12" t="s">
        <v>3102</v>
      </c>
      <c r="D2429" s="24"/>
      <c r="E2429" s="69" t="str">
        <f>HYPERLINK("https://www.google.ru/search?q=72105212-6960&amp;newwindow=1&amp;tbm=isch","Еще фото")</f>
        <v>Еще фото</v>
      </c>
      <c r="F2429" s="13"/>
      <c r="G2429" s="11" t="s">
        <v>2943</v>
      </c>
      <c r="H2429" s="11" t="s">
        <v>27</v>
      </c>
      <c r="I2429" s="14" t="s">
        <v>28</v>
      </c>
      <c r="J2429" s="14" t="s">
        <v>138</v>
      </c>
      <c r="K2429" s="15" t="s">
        <v>30</v>
      </c>
      <c r="L2429" s="14" t="s">
        <v>3103</v>
      </c>
      <c r="M2429" s="14"/>
      <c r="N2429" s="14" t="s">
        <v>70</v>
      </c>
      <c r="O2429" s="14"/>
      <c r="P2429" s="15" t="s">
        <v>3018</v>
      </c>
      <c r="Q2429" s="16">
        <v>6999</v>
      </c>
      <c r="R2429" s="17">
        <v>45</v>
      </c>
      <c r="S2429" s="18">
        <v>4426.8674999999994</v>
      </c>
      <c r="T2429" s="19" t="s">
        <v>117</v>
      </c>
      <c r="U2429" s="20" t="s">
        <v>43</v>
      </c>
      <c r="V2429" s="21">
        <v>110</v>
      </c>
      <c r="W2429" s="21">
        <v>2</v>
      </c>
      <c r="X2429" s="22"/>
    </row>
    <row r="2430" spans="1:24" s="1" customFormat="1" ht="35.1" customHeight="1" x14ac:dyDescent="0.3">
      <c r="A2430" s="11" t="s">
        <v>3014</v>
      </c>
      <c r="B2430" s="11" t="s">
        <v>3104</v>
      </c>
      <c r="C2430" s="12" t="s">
        <v>3105</v>
      </c>
      <c r="D2430" s="83"/>
      <c r="E2430" s="69" t="str">
        <f>HYPERLINK("https://www.google.ru/search?q=72206107-6960&amp;newwindow=1&amp;tbm=isch","Еще фото")</f>
        <v>Еще фото</v>
      </c>
      <c r="F2430" s="13"/>
      <c r="G2430" s="11" t="s">
        <v>28</v>
      </c>
      <c r="H2430" s="11" t="s">
        <v>27</v>
      </c>
      <c r="I2430" s="14" t="s">
        <v>28</v>
      </c>
      <c r="J2430" s="14" t="s">
        <v>29</v>
      </c>
      <c r="K2430" s="15" t="s">
        <v>30</v>
      </c>
      <c r="L2430" s="86"/>
      <c r="M2430" s="14"/>
      <c r="N2430" s="14" t="s">
        <v>70</v>
      </c>
      <c r="O2430" s="14"/>
      <c r="P2430" s="15" t="s">
        <v>108</v>
      </c>
      <c r="Q2430" s="16">
        <v>3999</v>
      </c>
      <c r="R2430" s="17">
        <v>45</v>
      </c>
      <c r="S2430" s="18">
        <v>2529.3674999999994</v>
      </c>
      <c r="T2430" s="19" t="s">
        <v>117</v>
      </c>
      <c r="U2430" s="20" t="s">
        <v>94</v>
      </c>
      <c r="V2430" s="21">
        <v>104</v>
      </c>
      <c r="W2430" s="21">
        <v>6</v>
      </c>
      <c r="X2430" s="22"/>
    </row>
    <row r="2431" spans="1:24" s="1" customFormat="1" ht="35.1" customHeight="1" x14ac:dyDescent="0.3">
      <c r="A2431" s="23" t="s">
        <v>3014</v>
      </c>
      <c r="B2431" s="23" t="s">
        <v>3104</v>
      </c>
      <c r="C2431" s="12" t="s">
        <v>3105</v>
      </c>
      <c r="D2431" s="84"/>
      <c r="E2431" s="69" t="str">
        <f>HYPERLINK("https://www.google.ru/search?q=72206107-6960&amp;newwindow=1&amp;tbm=isch","Еще фото")</f>
        <v>Еще фото</v>
      </c>
      <c r="F2431" s="13"/>
      <c r="G2431" s="23" t="s">
        <v>28</v>
      </c>
      <c r="H2431" s="23" t="s">
        <v>27</v>
      </c>
      <c r="I2431" s="23" t="s">
        <v>28</v>
      </c>
      <c r="J2431" s="14" t="s">
        <v>29</v>
      </c>
      <c r="K2431" s="15" t="s">
        <v>30</v>
      </c>
      <c r="L2431" s="87"/>
      <c r="M2431" s="14"/>
      <c r="N2431" s="14" t="s">
        <v>70</v>
      </c>
      <c r="O2431" s="14"/>
      <c r="P2431" s="15" t="s">
        <v>108</v>
      </c>
      <c r="Q2431" s="16">
        <v>3999</v>
      </c>
      <c r="R2431" s="17">
        <v>45</v>
      </c>
      <c r="S2431" s="18">
        <v>2529.3674999999994</v>
      </c>
      <c r="T2431" s="19" t="s">
        <v>117</v>
      </c>
      <c r="U2431" s="20" t="s">
        <v>43</v>
      </c>
      <c r="V2431" s="21">
        <v>110</v>
      </c>
      <c r="W2431" s="21">
        <v>6</v>
      </c>
      <c r="X2431" s="22"/>
    </row>
    <row r="2432" spans="1:24" s="1" customFormat="1" ht="36.950000000000003" customHeight="1" x14ac:dyDescent="0.3">
      <c r="A2432" s="23" t="s">
        <v>3014</v>
      </c>
      <c r="B2432" s="23" t="s">
        <v>3104</v>
      </c>
      <c r="C2432" s="12" t="s">
        <v>3105</v>
      </c>
      <c r="D2432" s="85"/>
      <c r="E2432" s="69" t="str">
        <f>HYPERLINK("https://www.google.ru/search?q=72206107-6960&amp;newwindow=1&amp;tbm=isch","Еще фото")</f>
        <v>Еще фото</v>
      </c>
      <c r="F2432" s="13"/>
      <c r="G2432" s="23" t="s">
        <v>28</v>
      </c>
      <c r="H2432" s="23" t="s">
        <v>27</v>
      </c>
      <c r="I2432" s="23" t="s">
        <v>28</v>
      </c>
      <c r="J2432" s="14" t="s">
        <v>29</v>
      </c>
      <c r="K2432" s="15" t="s">
        <v>30</v>
      </c>
      <c r="L2432" s="88"/>
      <c r="M2432" s="14"/>
      <c r="N2432" s="14" t="s">
        <v>70</v>
      </c>
      <c r="O2432" s="14"/>
      <c r="P2432" s="15" t="s">
        <v>108</v>
      </c>
      <c r="Q2432" s="16">
        <v>3999</v>
      </c>
      <c r="R2432" s="17">
        <v>45</v>
      </c>
      <c r="S2432" s="18">
        <v>2529.3674999999994</v>
      </c>
      <c r="T2432" s="19" t="s">
        <v>117</v>
      </c>
      <c r="U2432" s="20" t="s">
        <v>36</v>
      </c>
      <c r="V2432" s="21">
        <v>122</v>
      </c>
      <c r="W2432" s="21">
        <v>4</v>
      </c>
      <c r="X2432" s="22"/>
    </row>
    <row r="2433" spans="1:24" s="1" customFormat="1" ht="26.1" customHeight="1" x14ac:dyDescent="0.3">
      <c r="A2433" s="11" t="s">
        <v>3014</v>
      </c>
      <c r="B2433" s="11" t="s">
        <v>3104</v>
      </c>
      <c r="C2433" s="12" t="s">
        <v>3106</v>
      </c>
      <c r="D2433" s="83"/>
      <c r="E2433" s="69" t="str">
        <f>HYPERLINK("https://www.google.ru/search?q=72206107-8070&amp;newwindow=1&amp;tbm=isch","Еще фото")</f>
        <v>Еще фото</v>
      </c>
      <c r="F2433" s="13"/>
      <c r="G2433" s="11" t="s">
        <v>28</v>
      </c>
      <c r="H2433" s="11" t="s">
        <v>27</v>
      </c>
      <c r="I2433" s="14" t="s">
        <v>28</v>
      </c>
      <c r="J2433" s="14" t="s">
        <v>29</v>
      </c>
      <c r="K2433" s="15" t="s">
        <v>30</v>
      </c>
      <c r="L2433" s="86"/>
      <c r="M2433" s="14"/>
      <c r="N2433" s="14" t="s">
        <v>242</v>
      </c>
      <c r="O2433" s="14"/>
      <c r="P2433" s="15" t="s">
        <v>108</v>
      </c>
      <c r="Q2433" s="16">
        <v>3999</v>
      </c>
      <c r="R2433" s="17">
        <v>45</v>
      </c>
      <c r="S2433" s="18">
        <v>2529.3674999999994</v>
      </c>
      <c r="T2433" s="19" t="s">
        <v>117</v>
      </c>
      <c r="U2433" s="20" t="s">
        <v>94</v>
      </c>
      <c r="V2433" s="21">
        <v>104</v>
      </c>
      <c r="W2433" s="21">
        <v>6</v>
      </c>
      <c r="X2433" s="22"/>
    </row>
    <row r="2434" spans="1:24" s="1" customFormat="1" ht="26.1" customHeight="1" x14ac:dyDescent="0.3">
      <c r="A2434" s="23" t="s">
        <v>3014</v>
      </c>
      <c r="B2434" s="23" t="s">
        <v>3104</v>
      </c>
      <c r="C2434" s="12" t="s">
        <v>3106</v>
      </c>
      <c r="D2434" s="84"/>
      <c r="E2434" s="69" t="str">
        <f>HYPERLINK("https://www.google.ru/search?q=72206107-8070&amp;newwindow=1&amp;tbm=isch","Еще фото")</f>
        <v>Еще фото</v>
      </c>
      <c r="F2434" s="13"/>
      <c r="G2434" s="23" t="s">
        <v>28</v>
      </c>
      <c r="H2434" s="23" t="s">
        <v>27</v>
      </c>
      <c r="I2434" s="23" t="s">
        <v>28</v>
      </c>
      <c r="J2434" s="14" t="s">
        <v>29</v>
      </c>
      <c r="K2434" s="15" t="s">
        <v>30</v>
      </c>
      <c r="L2434" s="87"/>
      <c r="M2434" s="14"/>
      <c r="N2434" s="14" t="s">
        <v>242</v>
      </c>
      <c r="O2434" s="14"/>
      <c r="P2434" s="15" t="s">
        <v>108</v>
      </c>
      <c r="Q2434" s="16">
        <v>3999</v>
      </c>
      <c r="R2434" s="17">
        <v>45</v>
      </c>
      <c r="S2434" s="18">
        <v>2529.3674999999994</v>
      </c>
      <c r="T2434" s="19" t="s">
        <v>117</v>
      </c>
      <c r="U2434" s="20" t="s">
        <v>43</v>
      </c>
      <c r="V2434" s="21">
        <v>110</v>
      </c>
      <c r="W2434" s="21">
        <v>5</v>
      </c>
      <c r="X2434" s="22"/>
    </row>
    <row r="2435" spans="1:24" s="1" customFormat="1" ht="26.1" customHeight="1" x14ac:dyDescent="0.3">
      <c r="A2435" s="23" t="s">
        <v>3014</v>
      </c>
      <c r="B2435" s="23" t="s">
        <v>3104</v>
      </c>
      <c r="C2435" s="12" t="s">
        <v>3106</v>
      </c>
      <c r="D2435" s="84"/>
      <c r="E2435" s="69" t="str">
        <f>HYPERLINK("https://www.google.ru/search?q=72206107-8070&amp;newwindow=1&amp;tbm=isch","Еще фото")</f>
        <v>Еще фото</v>
      </c>
      <c r="F2435" s="13"/>
      <c r="G2435" s="23" t="s">
        <v>28</v>
      </c>
      <c r="H2435" s="23" t="s">
        <v>27</v>
      </c>
      <c r="I2435" s="23" t="s">
        <v>28</v>
      </c>
      <c r="J2435" s="14" t="s">
        <v>29</v>
      </c>
      <c r="K2435" s="15" t="s">
        <v>30</v>
      </c>
      <c r="L2435" s="87"/>
      <c r="M2435" s="14"/>
      <c r="N2435" s="14" t="s">
        <v>242</v>
      </c>
      <c r="O2435" s="14"/>
      <c r="P2435" s="15" t="s">
        <v>108</v>
      </c>
      <c r="Q2435" s="16">
        <v>3999</v>
      </c>
      <c r="R2435" s="17">
        <v>45</v>
      </c>
      <c r="S2435" s="18">
        <v>2529.3674999999994</v>
      </c>
      <c r="T2435" s="19" t="s">
        <v>117</v>
      </c>
      <c r="U2435" s="20" t="s">
        <v>35</v>
      </c>
      <c r="V2435" s="21">
        <v>116</v>
      </c>
      <c r="W2435" s="21">
        <v>6</v>
      </c>
      <c r="X2435" s="22"/>
    </row>
    <row r="2436" spans="1:24" s="1" customFormat="1" ht="26.1" customHeight="1" x14ac:dyDescent="0.3">
      <c r="A2436" s="23" t="s">
        <v>3014</v>
      </c>
      <c r="B2436" s="23" t="s">
        <v>3104</v>
      </c>
      <c r="C2436" s="12" t="s">
        <v>3106</v>
      </c>
      <c r="D2436" s="85"/>
      <c r="E2436" s="69" t="str">
        <f>HYPERLINK("https://www.google.ru/search?q=72206107-8070&amp;newwindow=1&amp;tbm=isch","Еще фото")</f>
        <v>Еще фото</v>
      </c>
      <c r="F2436" s="13"/>
      <c r="G2436" s="23" t="s">
        <v>28</v>
      </c>
      <c r="H2436" s="23" t="s">
        <v>27</v>
      </c>
      <c r="I2436" s="23" t="s">
        <v>28</v>
      </c>
      <c r="J2436" s="14" t="s">
        <v>29</v>
      </c>
      <c r="K2436" s="15" t="s">
        <v>30</v>
      </c>
      <c r="L2436" s="88"/>
      <c r="M2436" s="14"/>
      <c r="N2436" s="14" t="s">
        <v>242</v>
      </c>
      <c r="O2436" s="14"/>
      <c r="P2436" s="15" t="s">
        <v>108</v>
      </c>
      <c r="Q2436" s="16">
        <v>3999</v>
      </c>
      <c r="R2436" s="17">
        <v>45</v>
      </c>
      <c r="S2436" s="18">
        <v>2529.3674999999994</v>
      </c>
      <c r="T2436" s="19" t="s">
        <v>117</v>
      </c>
      <c r="U2436" s="20" t="s">
        <v>36</v>
      </c>
      <c r="V2436" s="21">
        <v>122</v>
      </c>
      <c r="W2436" s="21">
        <v>5</v>
      </c>
      <c r="X2436" s="22"/>
    </row>
    <row r="2437" spans="1:24" s="1" customFormat="1" ht="12.95" customHeight="1" x14ac:dyDescent="0.3">
      <c r="A2437" s="11" t="s">
        <v>3014</v>
      </c>
      <c r="B2437" s="11" t="s">
        <v>3107</v>
      </c>
      <c r="C2437" s="12" t="s">
        <v>3108</v>
      </c>
      <c r="D2437" s="83"/>
      <c r="E2437" s="69" t="str">
        <f t="shared" ref="E2437:E2444" si="90">HYPERLINK("https://www.google.ru/search?q=73106103-9990&amp;newwindow=1&amp;tbm=isch","Еще фото")</f>
        <v>Еще фото</v>
      </c>
      <c r="F2437" s="13"/>
      <c r="G2437" s="11" t="s">
        <v>28</v>
      </c>
      <c r="H2437" s="11" t="s">
        <v>27</v>
      </c>
      <c r="I2437" s="14" t="s">
        <v>28</v>
      </c>
      <c r="J2437" s="14" t="s">
        <v>29</v>
      </c>
      <c r="K2437" s="15" t="s">
        <v>30</v>
      </c>
      <c r="L2437" s="86"/>
      <c r="M2437" s="14"/>
      <c r="N2437" s="14" t="s">
        <v>70</v>
      </c>
      <c r="O2437" s="14"/>
      <c r="P2437" s="15" t="s">
        <v>3109</v>
      </c>
      <c r="Q2437" s="16">
        <v>5999</v>
      </c>
      <c r="R2437" s="17">
        <v>45</v>
      </c>
      <c r="S2437" s="18">
        <v>3794.3674999999994</v>
      </c>
      <c r="T2437" s="19" t="s">
        <v>117</v>
      </c>
      <c r="U2437" s="26" t="s">
        <v>36</v>
      </c>
      <c r="V2437" s="21">
        <v>122</v>
      </c>
      <c r="W2437" s="21">
        <v>2</v>
      </c>
      <c r="X2437" s="22"/>
    </row>
    <row r="2438" spans="1:24" s="1" customFormat="1" ht="12.95" customHeight="1" x14ac:dyDescent="0.3">
      <c r="A2438" s="23" t="s">
        <v>3014</v>
      </c>
      <c r="B2438" s="23" t="s">
        <v>3107</v>
      </c>
      <c r="C2438" s="12" t="s">
        <v>3108</v>
      </c>
      <c r="D2438" s="84"/>
      <c r="E2438" s="69" t="str">
        <f t="shared" si="90"/>
        <v>Еще фото</v>
      </c>
      <c r="F2438" s="13"/>
      <c r="G2438" s="23" t="s">
        <v>28</v>
      </c>
      <c r="H2438" s="23" t="s">
        <v>27</v>
      </c>
      <c r="I2438" s="23" t="s">
        <v>28</v>
      </c>
      <c r="J2438" s="14" t="s">
        <v>29</v>
      </c>
      <c r="K2438" s="15" t="s">
        <v>30</v>
      </c>
      <c r="L2438" s="87"/>
      <c r="M2438" s="14"/>
      <c r="N2438" s="14" t="s">
        <v>70</v>
      </c>
      <c r="O2438" s="14"/>
      <c r="P2438" s="15" t="s">
        <v>3109</v>
      </c>
      <c r="Q2438" s="16">
        <v>5999</v>
      </c>
      <c r="R2438" s="17">
        <v>45</v>
      </c>
      <c r="S2438" s="18">
        <v>3794.3674999999994</v>
      </c>
      <c r="T2438" s="19" t="s">
        <v>117</v>
      </c>
      <c r="U2438" s="20" t="s">
        <v>37</v>
      </c>
      <c r="V2438" s="21">
        <v>128</v>
      </c>
      <c r="W2438" s="21">
        <v>2</v>
      </c>
      <c r="X2438" s="22"/>
    </row>
    <row r="2439" spans="1:24" s="1" customFormat="1" ht="12.95" customHeight="1" x14ac:dyDescent="0.3">
      <c r="A2439" s="23" t="s">
        <v>3014</v>
      </c>
      <c r="B2439" s="23" t="s">
        <v>3107</v>
      </c>
      <c r="C2439" s="12" t="s">
        <v>3108</v>
      </c>
      <c r="D2439" s="84"/>
      <c r="E2439" s="69" t="str">
        <f t="shared" si="90"/>
        <v>Еще фото</v>
      </c>
      <c r="F2439" s="13"/>
      <c r="G2439" s="23" t="s">
        <v>28</v>
      </c>
      <c r="H2439" s="23" t="s">
        <v>27</v>
      </c>
      <c r="I2439" s="23" t="s">
        <v>28</v>
      </c>
      <c r="J2439" s="14" t="s">
        <v>29</v>
      </c>
      <c r="K2439" s="15" t="s">
        <v>30</v>
      </c>
      <c r="L2439" s="87"/>
      <c r="M2439" s="14"/>
      <c r="N2439" s="14" t="s">
        <v>70</v>
      </c>
      <c r="O2439" s="14"/>
      <c r="P2439" s="15" t="s">
        <v>3109</v>
      </c>
      <c r="Q2439" s="16">
        <v>5999</v>
      </c>
      <c r="R2439" s="17">
        <v>45</v>
      </c>
      <c r="S2439" s="18">
        <v>3794.3674999999994</v>
      </c>
      <c r="T2439" s="19" t="s">
        <v>117</v>
      </c>
      <c r="U2439" s="20" t="s">
        <v>91</v>
      </c>
      <c r="V2439" s="21">
        <v>134</v>
      </c>
      <c r="W2439" s="21">
        <v>3</v>
      </c>
      <c r="X2439" s="22"/>
    </row>
    <row r="2440" spans="1:24" s="1" customFormat="1" ht="12.95" customHeight="1" x14ac:dyDescent="0.3">
      <c r="A2440" s="23" t="s">
        <v>3014</v>
      </c>
      <c r="B2440" s="23" t="s">
        <v>3107</v>
      </c>
      <c r="C2440" s="12" t="s">
        <v>3108</v>
      </c>
      <c r="D2440" s="84"/>
      <c r="E2440" s="69" t="str">
        <f t="shared" si="90"/>
        <v>Еще фото</v>
      </c>
      <c r="F2440" s="13"/>
      <c r="G2440" s="23" t="s">
        <v>28</v>
      </c>
      <c r="H2440" s="23" t="s">
        <v>27</v>
      </c>
      <c r="I2440" s="23" t="s">
        <v>28</v>
      </c>
      <c r="J2440" s="14" t="s">
        <v>29</v>
      </c>
      <c r="K2440" s="15" t="s">
        <v>30</v>
      </c>
      <c r="L2440" s="87"/>
      <c r="M2440" s="14"/>
      <c r="N2440" s="14" t="s">
        <v>70</v>
      </c>
      <c r="O2440" s="14"/>
      <c r="P2440" s="15" t="s">
        <v>3109</v>
      </c>
      <c r="Q2440" s="16">
        <v>5999</v>
      </c>
      <c r="R2440" s="17">
        <v>45</v>
      </c>
      <c r="S2440" s="18">
        <v>3794.3674999999994</v>
      </c>
      <c r="T2440" s="19" t="s">
        <v>117</v>
      </c>
      <c r="U2440" s="20" t="s">
        <v>290</v>
      </c>
      <c r="V2440" s="21">
        <v>140</v>
      </c>
      <c r="W2440" s="21">
        <v>3</v>
      </c>
      <c r="X2440" s="22"/>
    </row>
    <row r="2441" spans="1:24" s="1" customFormat="1" ht="12.95" customHeight="1" x14ac:dyDescent="0.3">
      <c r="A2441" s="23" t="s">
        <v>3014</v>
      </c>
      <c r="B2441" s="23" t="s">
        <v>3107</v>
      </c>
      <c r="C2441" s="12" t="s">
        <v>3108</v>
      </c>
      <c r="D2441" s="84"/>
      <c r="E2441" s="69" t="str">
        <f t="shared" si="90"/>
        <v>Еще фото</v>
      </c>
      <c r="F2441" s="13"/>
      <c r="G2441" s="23" t="s">
        <v>28</v>
      </c>
      <c r="H2441" s="23" t="s">
        <v>27</v>
      </c>
      <c r="I2441" s="23" t="s">
        <v>28</v>
      </c>
      <c r="J2441" s="14" t="s">
        <v>29</v>
      </c>
      <c r="K2441" s="15" t="s">
        <v>30</v>
      </c>
      <c r="L2441" s="87"/>
      <c r="M2441" s="14"/>
      <c r="N2441" s="14" t="s">
        <v>70</v>
      </c>
      <c r="O2441" s="14"/>
      <c r="P2441" s="15" t="s">
        <v>3109</v>
      </c>
      <c r="Q2441" s="16">
        <v>5999</v>
      </c>
      <c r="R2441" s="17">
        <v>45</v>
      </c>
      <c r="S2441" s="18">
        <v>3794.3674999999994</v>
      </c>
      <c r="T2441" s="19" t="s">
        <v>117</v>
      </c>
      <c r="U2441" s="20" t="s">
        <v>2993</v>
      </c>
      <c r="V2441" s="21">
        <v>146</v>
      </c>
      <c r="W2441" s="21">
        <v>2</v>
      </c>
      <c r="X2441" s="22"/>
    </row>
    <row r="2442" spans="1:24" s="1" customFormat="1" ht="12.95" customHeight="1" x14ac:dyDescent="0.3">
      <c r="A2442" s="23" t="s">
        <v>3014</v>
      </c>
      <c r="B2442" s="23" t="s">
        <v>3107</v>
      </c>
      <c r="C2442" s="12" t="s">
        <v>3108</v>
      </c>
      <c r="D2442" s="84"/>
      <c r="E2442" s="69" t="str">
        <f t="shared" si="90"/>
        <v>Еще фото</v>
      </c>
      <c r="F2442" s="13"/>
      <c r="G2442" s="23" t="s">
        <v>28</v>
      </c>
      <c r="H2442" s="23" t="s">
        <v>27</v>
      </c>
      <c r="I2442" s="23" t="s">
        <v>28</v>
      </c>
      <c r="J2442" s="14" t="s">
        <v>29</v>
      </c>
      <c r="K2442" s="15" t="s">
        <v>30</v>
      </c>
      <c r="L2442" s="87"/>
      <c r="M2442" s="14"/>
      <c r="N2442" s="14" t="s">
        <v>70</v>
      </c>
      <c r="O2442" s="14"/>
      <c r="P2442" s="15" t="s">
        <v>3109</v>
      </c>
      <c r="Q2442" s="16">
        <v>5999</v>
      </c>
      <c r="R2442" s="17">
        <v>45</v>
      </c>
      <c r="S2442" s="18">
        <v>3794.3674999999994</v>
      </c>
      <c r="T2442" s="19" t="s">
        <v>117</v>
      </c>
      <c r="U2442" s="20" t="s">
        <v>2160</v>
      </c>
      <c r="V2442" s="21">
        <v>152</v>
      </c>
      <c r="W2442" s="21">
        <v>2</v>
      </c>
      <c r="X2442" s="22"/>
    </row>
    <row r="2443" spans="1:24" s="1" customFormat="1" ht="12.95" customHeight="1" x14ac:dyDescent="0.3">
      <c r="A2443" s="23" t="s">
        <v>3014</v>
      </c>
      <c r="B2443" s="23" t="s">
        <v>3107</v>
      </c>
      <c r="C2443" s="12" t="s">
        <v>3108</v>
      </c>
      <c r="D2443" s="84"/>
      <c r="E2443" s="69" t="str">
        <f t="shared" si="90"/>
        <v>Еще фото</v>
      </c>
      <c r="F2443" s="13"/>
      <c r="G2443" s="23" t="s">
        <v>28</v>
      </c>
      <c r="H2443" s="23" t="s">
        <v>27</v>
      </c>
      <c r="I2443" s="23" t="s">
        <v>28</v>
      </c>
      <c r="J2443" s="14" t="s">
        <v>29</v>
      </c>
      <c r="K2443" s="15" t="s">
        <v>30</v>
      </c>
      <c r="L2443" s="87"/>
      <c r="M2443" s="14"/>
      <c r="N2443" s="14" t="s">
        <v>70</v>
      </c>
      <c r="O2443" s="14"/>
      <c r="P2443" s="15" t="s">
        <v>3109</v>
      </c>
      <c r="Q2443" s="16">
        <v>5999</v>
      </c>
      <c r="R2443" s="17">
        <v>45</v>
      </c>
      <c r="S2443" s="18">
        <v>3794.3674999999994</v>
      </c>
      <c r="T2443" s="19" t="s">
        <v>117</v>
      </c>
      <c r="U2443" s="20" t="s">
        <v>3088</v>
      </c>
      <c r="V2443" s="21">
        <v>158</v>
      </c>
      <c r="W2443" s="21">
        <v>2</v>
      </c>
      <c r="X2443" s="22"/>
    </row>
    <row r="2444" spans="1:24" s="1" customFormat="1" ht="18" customHeight="1" x14ac:dyDescent="0.3">
      <c r="A2444" s="23" t="s">
        <v>3014</v>
      </c>
      <c r="B2444" s="23" t="s">
        <v>3107</v>
      </c>
      <c r="C2444" s="12" t="s">
        <v>3108</v>
      </c>
      <c r="D2444" s="85"/>
      <c r="E2444" s="69" t="str">
        <f t="shared" si="90"/>
        <v>Еще фото</v>
      </c>
      <c r="F2444" s="13"/>
      <c r="G2444" s="23" t="s">
        <v>28</v>
      </c>
      <c r="H2444" s="23" t="s">
        <v>27</v>
      </c>
      <c r="I2444" s="23" t="s">
        <v>28</v>
      </c>
      <c r="J2444" s="14" t="s">
        <v>29</v>
      </c>
      <c r="K2444" s="15" t="s">
        <v>30</v>
      </c>
      <c r="L2444" s="88"/>
      <c r="M2444" s="14"/>
      <c r="N2444" s="14" t="s">
        <v>70</v>
      </c>
      <c r="O2444" s="14"/>
      <c r="P2444" s="15" t="s">
        <v>3109</v>
      </c>
      <c r="Q2444" s="16">
        <v>5999</v>
      </c>
      <c r="R2444" s="17">
        <v>45</v>
      </c>
      <c r="S2444" s="18">
        <v>3794.3674999999994</v>
      </c>
      <c r="T2444" s="19" t="s">
        <v>117</v>
      </c>
      <c r="U2444" s="20" t="s">
        <v>2161</v>
      </c>
      <c r="V2444" s="21">
        <v>164</v>
      </c>
      <c r="W2444" s="21">
        <v>2</v>
      </c>
      <c r="X2444" s="22"/>
    </row>
    <row r="2445" spans="1:24" s="1" customFormat="1" ht="17.100000000000001" customHeight="1" x14ac:dyDescent="0.3">
      <c r="A2445" s="11" t="s">
        <v>3014</v>
      </c>
      <c r="B2445" s="11" t="s">
        <v>3110</v>
      </c>
      <c r="C2445" s="12" t="s">
        <v>3111</v>
      </c>
      <c r="D2445" s="83"/>
      <c r="E2445" s="69" t="str">
        <f t="shared" ref="E2445:E2450" si="91">HYPERLINK("https://www.google.ru/search?q=73106104-9990&amp;newwindow=1&amp;tbm=isch","Еще фото")</f>
        <v>Еще фото</v>
      </c>
      <c r="F2445" s="13"/>
      <c r="G2445" s="11" t="s">
        <v>28</v>
      </c>
      <c r="H2445" s="11" t="s">
        <v>27</v>
      </c>
      <c r="I2445" s="14" t="s">
        <v>28</v>
      </c>
      <c r="J2445" s="14" t="s">
        <v>29</v>
      </c>
      <c r="K2445" s="15" t="s">
        <v>30</v>
      </c>
      <c r="L2445" s="86"/>
      <c r="M2445" s="14"/>
      <c r="N2445" s="14" t="s">
        <v>49</v>
      </c>
      <c r="O2445" s="14"/>
      <c r="P2445" s="15" t="s">
        <v>3109</v>
      </c>
      <c r="Q2445" s="16">
        <v>5999</v>
      </c>
      <c r="R2445" s="17">
        <v>45</v>
      </c>
      <c r="S2445" s="18">
        <v>3794.3674999999994</v>
      </c>
      <c r="T2445" s="19" t="s">
        <v>117</v>
      </c>
      <c r="U2445" s="20" t="s">
        <v>91</v>
      </c>
      <c r="V2445" s="21">
        <v>134</v>
      </c>
      <c r="W2445" s="21">
        <v>2</v>
      </c>
      <c r="X2445" s="22"/>
    </row>
    <row r="2446" spans="1:24" s="1" customFormat="1" ht="17.100000000000001" customHeight="1" x14ac:dyDescent="0.3">
      <c r="A2446" s="23" t="s">
        <v>3014</v>
      </c>
      <c r="B2446" s="23" t="s">
        <v>3110</v>
      </c>
      <c r="C2446" s="12" t="s">
        <v>3111</v>
      </c>
      <c r="D2446" s="84"/>
      <c r="E2446" s="69" t="str">
        <f t="shared" si="91"/>
        <v>Еще фото</v>
      </c>
      <c r="F2446" s="13"/>
      <c r="G2446" s="23" t="s">
        <v>28</v>
      </c>
      <c r="H2446" s="23" t="s">
        <v>27</v>
      </c>
      <c r="I2446" s="23" t="s">
        <v>28</v>
      </c>
      <c r="J2446" s="14" t="s">
        <v>29</v>
      </c>
      <c r="K2446" s="15" t="s">
        <v>30</v>
      </c>
      <c r="L2446" s="87"/>
      <c r="M2446" s="14"/>
      <c r="N2446" s="14" t="s">
        <v>49</v>
      </c>
      <c r="O2446" s="14"/>
      <c r="P2446" s="15" t="s">
        <v>3109</v>
      </c>
      <c r="Q2446" s="16">
        <v>5999</v>
      </c>
      <c r="R2446" s="17">
        <v>45</v>
      </c>
      <c r="S2446" s="18">
        <v>3794.3674999999994</v>
      </c>
      <c r="T2446" s="19" t="s">
        <v>117</v>
      </c>
      <c r="U2446" s="20" t="s">
        <v>290</v>
      </c>
      <c r="V2446" s="21">
        <v>140</v>
      </c>
      <c r="W2446" s="21">
        <v>2</v>
      </c>
      <c r="X2446" s="22"/>
    </row>
    <row r="2447" spans="1:24" s="1" customFormat="1" ht="17.100000000000001" customHeight="1" x14ac:dyDescent="0.3">
      <c r="A2447" s="23" t="s">
        <v>3014</v>
      </c>
      <c r="B2447" s="23" t="s">
        <v>3110</v>
      </c>
      <c r="C2447" s="12" t="s">
        <v>3111</v>
      </c>
      <c r="D2447" s="84"/>
      <c r="E2447" s="69" t="str">
        <f t="shared" si="91"/>
        <v>Еще фото</v>
      </c>
      <c r="F2447" s="13"/>
      <c r="G2447" s="23" t="s">
        <v>28</v>
      </c>
      <c r="H2447" s="23" t="s">
        <v>27</v>
      </c>
      <c r="I2447" s="23" t="s">
        <v>28</v>
      </c>
      <c r="J2447" s="14" t="s">
        <v>29</v>
      </c>
      <c r="K2447" s="15" t="s">
        <v>30</v>
      </c>
      <c r="L2447" s="87"/>
      <c r="M2447" s="14"/>
      <c r="N2447" s="14" t="s">
        <v>49</v>
      </c>
      <c r="O2447" s="14"/>
      <c r="P2447" s="15" t="s">
        <v>3109</v>
      </c>
      <c r="Q2447" s="16">
        <v>5999</v>
      </c>
      <c r="R2447" s="17">
        <v>45</v>
      </c>
      <c r="S2447" s="18">
        <v>3794.3674999999994</v>
      </c>
      <c r="T2447" s="19" t="s">
        <v>117</v>
      </c>
      <c r="U2447" s="20" t="s">
        <v>2993</v>
      </c>
      <c r="V2447" s="21">
        <v>146</v>
      </c>
      <c r="W2447" s="21">
        <v>2</v>
      </c>
      <c r="X2447" s="22"/>
    </row>
    <row r="2448" spans="1:24" s="1" customFormat="1" ht="17.100000000000001" customHeight="1" x14ac:dyDescent="0.3">
      <c r="A2448" s="23" t="s">
        <v>3014</v>
      </c>
      <c r="B2448" s="23" t="s">
        <v>3110</v>
      </c>
      <c r="C2448" s="12" t="s">
        <v>3111</v>
      </c>
      <c r="D2448" s="84"/>
      <c r="E2448" s="69" t="str">
        <f t="shared" si="91"/>
        <v>Еще фото</v>
      </c>
      <c r="F2448" s="13"/>
      <c r="G2448" s="23" t="s">
        <v>28</v>
      </c>
      <c r="H2448" s="23" t="s">
        <v>27</v>
      </c>
      <c r="I2448" s="23" t="s">
        <v>28</v>
      </c>
      <c r="J2448" s="14" t="s">
        <v>29</v>
      </c>
      <c r="K2448" s="15" t="s">
        <v>30</v>
      </c>
      <c r="L2448" s="87"/>
      <c r="M2448" s="14"/>
      <c r="N2448" s="14" t="s">
        <v>49</v>
      </c>
      <c r="O2448" s="14"/>
      <c r="P2448" s="15" t="s">
        <v>3109</v>
      </c>
      <c r="Q2448" s="16">
        <v>5999</v>
      </c>
      <c r="R2448" s="17">
        <v>45</v>
      </c>
      <c r="S2448" s="18">
        <v>3794.3674999999994</v>
      </c>
      <c r="T2448" s="19" t="s">
        <v>117</v>
      </c>
      <c r="U2448" s="20" t="s">
        <v>2160</v>
      </c>
      <c r="V2448" s="21">
        <v>152</v>
      </c>
      <c r="W2448" s="21">
        <v>2</v>
      </c>
      <c r="X2448" s="22"/>
    </row>
    <row r="2449" spans="1:24" s="1" customFormat="1" ht="17.100000000000001" customHeight="1" x14ac:dyDescent="0.3">
      <c r="A2449" s="23" t="s">
        <v>3014</v>
      </c>
      <c r="B2449" s="23" t="s">
        <v>3110</v>
      </c>
      <c r="C2449" s="12" t="s">
        <v>3111</v>
      </c>
      <c r="D2449" s="84"/>
      <c r="E2449" s="69" t="str">
        <f t="shared" si="91"/>
        <v>Еще фото</v>
      </c>
      <c r="F2449" s="13"/>
      <c r="G2449" s="23" t="s">
        <v>28</v>
      </c>
      <c r="H2449" s="23" t="s">
        <v>27</v>
      </c>
      <c r="I2449" s="23" t="s">
        <v>28</v>
      </c>
      <c r="J2449" s="14" t="s">
        <v>29</v>
      </c>
      <c r="K2449" s="15" t="s">
        <v>30</v>
      </c>
      <c r="L2449" s="87"/>
      <c r="M2449" s="14"/>
      <c r="N2449" s="14" t="s">
        <v>49</v>
      </c>
      <c r="O2449" s="14"/>
      <c r="P2449" s="15" t="s">
        <v>3109</v>
      </c>
      <c r="Q2449" s="16">
        <v>5999</v>
      </c>
      <c r="R2449" s="17">
        <v>45</v>
      </c>
      <c r="S2449" s="18">
        <v>3794.3674999999994</v>
      </c>
      <c r="T2449" s="19" t="s">
        <v>117</v>
      </c>
      <c r="U2449" s="20" t="s">
        <v>3088</v>
      </c>
      <c r="V2449" s="21">
        <v>158</v>
      </c>
      <c r="W2449" s="21">
        <v>1</v>
      </c>
      <c r="X2449" s="22"/>
    </row>
    <row r="2450" spans="1:24" s="1" customFormat="1" ht="21.95" customHeight="1" x14ac:dyDescent="0.3">
      <c r="A2450" s="23" t="s">
        <v>3014</v>
      </c>
      <c r="B2450" s="23" t="s">
        <v>3110</v>
      </c>
      <c r="C2450" s="12" t="s">
        <v>3111</v>
      </c>
      <c r="D2450" s="85"/>
      <c r="E2450" s="69" t="str">
        <f t="shared" si="91"/>
        <v>Еще фото</v>
      </c>
      <c r="F2450" s="13"/>
      <c r="G2450" s="23" t="s">
        <v>28</v>
      </c>
      <c r="H2450" s="23" t="s">
        <v>27</v>
      </c>
      <c r="I2450" s="23" t="s">
        <v>28</v>
      </c>
      <c r="J2450" s="14" t="s">
        <v>29</v>
      </c>
      <c r="K2450" s="15" t="s">
        <v>30</v>
      </c>
      <c r="L2450" s="88"/>
      <c r="M2450" s="14"/>
      <c r="N2450" s="14" t="s">
        <v>49</v>
      </c>
      <c r="O2450" s="14"/>
      <c r="P2450" s="15" t="s">
        <v>3109</v>
      </c>
      <c r="Q2450" s="16">
        <v>5999</v>
      </c>
      <c r="R2450" s="17">
        <v>45</v>
      </c>
      <c r="S2450" s="18">
        <v>3794.3674999999994</v>
      </c>
      <c r="T2450" s="19" t="s">
        <v>117</v>
      </c>
      <c r="U2450" s="20" t="s">
        <v>2161</v>
      </c>
      <c r="V2450" s="21">
        <v>164</v>
      </c>
      <c r="W2450" s="21">
        <v>1</v>
      </c>
      <c r="X2450" s="22"/>
    </row>
    <row r="2451" spans="1:24" s="1" customFormat="1" ht="26.1" customHeight="1" x14ac:dyDescent="0.3">
      <c r="A2451" s="11" t="s">
        <v>3014</v>
      </c>
      <c r="B2451" s="11" t="s">
        <v>3112</v>
      </c>
      <c r="C2451" s="12" t="s">
        <v>3113</v>
      </c>
      <c r="D2451" s="83"/>
      <c r="E2451" s="69" t="str">
        <f>HYPERLINK("https://www.google.ru/search?q=73205215-5091&amp;newwindow=1&amp;tbm=isch","Еще фото")</f>
        <v>Еще фото</v>
      </c>
      <c r="F2451" s="13"/>
      <c r="G2451" s="11" t="s">
        <v>97</v>
      </c>
      <c r="H2451" s="11" t="s">
        <v>27</v>
      </c>
      <c r="I2451" s="14" t="s">
        <v>28</v>
      </c>
      <c r="J2451" s="14" t="s">
        <v>29</v>
      </c>
      <c r="K2451" s="15" t="s">
        <v>30</v>
      </c>
      <c r="L2451" s="86"/>
      <c r="M2451" s="14"/>
      <c r="N2451" s="14" t="s">
        <v>576</v>
      </c>
      <c r="O2451" s="14"/>
      <c r="P2451" s="15" t="s">
        <v>3114</v>
      </c>
      <c r="Q2451" s="16">
        <v>2999</v>
      </c>
      <c r="R2451" s="17">
        <v>45</v>
      </c>
      <c r="S2451" s="18">
        <v>1896.8674999999998</v>
      </c>
      <c r="T2451" s="19" t="s">
        <v>117</v>
      </c>
      <c r="U2451" s="20" t="s">
        <v>3115</v>
      </c>
      <c r="V2451" s="21">
        <v>130</v>
      </c>
      <c r="W2451" s="21">
        <v>2</v>
      </c>
      <c r="X2451" s="22"/>
    </row>
    <row r="2452" spans="1:24" s="1" customFormat="1" ht="26.1" customHeight="1" x14ac:dyDescent="0.3">
      <c r="A2452" s="23" t="s">
        <v>3014</v>
      </c>
      <c r="B2452" s="23" t="s">
        <v>3112</v>
      </c>
      <c r="C2452" s="12" t="s">
        <v>3113</v>
      </c>
      <c r="D2452" s="84"/>
      <c r="E2452" s="69" t="str">
        <f>HYPERLINK("https://www.google.ru/search?q=73205215-5091&amp;newwindow=1&amp;tbm=isch","Еще фото")</f>
        <v>Еще фото</v>
      </c>
      <c r="F2452" s="13"/>
      <c r="G2452" s="23" t="s">
        <v>97</v>
      </c>
      <c r="H2452" s="23" t="s">
        <v>27</v>
      </c>
      <c r="I2452" s="23" t="s">
        <v>28</v>
      </c>
      <c r="J2452" s="14" t="s">
        <v>29</v>
      </c>
      <c r="K2452" s="15" t="s">
        <v>30</v>
      </c>
      <c r="L2452" s="87"/>
      <c r="M2452" s="14"/>
      <c r="N2452" s="14" t="s">
        <v>576</v>
      </c>
      <c r="O2452" s="14"/>
      <c r="P2452" s="15" t="s">
        <v>3114</v>
      </c>
      <c r="Q2452" s="16">
        <v>2999</v>
      </c>
      <c r="R2452" s="17">
        <v>45</v>
      </c>
      <c r="S2452" s="18">
        <v>1896.8674999999998</v>
      </c>
      <c r="T2452" s="19" t="s">
        <v>117</v>
      </c>
      <c r="U2452" s="20" t="s">
        <v>290</v>
      </c>
      <c r="V2452" s="21">
        <v>140</v>
      </c>
      <c r="W2452" s="21">
        <v>2</v>
      </c>
      <c r="X2452" s="22"/>
    </row>
    <row r="2453" spans="1:24" s="1" customFormat="1" ht="26.1" customHeight="1" x14ac:dyDescent="0.3">
      <c r="A2453" s="23" t="s">
        <v>3014</v>
      </c>
      <c r="B2453" s="23" t="s">
        <v>3112</v>
      </c>
      <c r="C2453" s="12" t="s">
        <v>3113</v>
      </c>
      <c r="D2453" s="84"/>
      <c r="E2453" s="69" t="str">
        <f>HYPERLINK("https://www.google.ru/search?q=73205215-5091&amp;newwindow=1&amp;tbm=isch","Еще фото")</f>
        <v>Еще фото</v>
      </c>
      <c r="F2453" s="13"/>
      <c r="G2453" s="23" t="s">
        <v>97</v>
      </c>
      <c r="H2453" s="23" t="s">
        <v>27</v>
      </c>
      <c r="I2453" s="23" t="s">
        <v>28</v>
      </c>
      <c r="J2453" s="14" t="s">
        <v>29</v>
      </c>
      <c r="K2453" s="15" t="s">
        <v>30</v>
      </c>
      <c r="L2453" s="87"/>
      <c r="M2453" s="14"/>
      <c r="N2453" s="14" t="s">
        <v>576</v>
      </c>
      <c r="O2453" s="14"/>
      <c r="P2453" s="15" t="s">
        <v>3114</v>
      </c>
      <c r="Q2453" s="16">
        <v>2999</v>
      </c>
      <c r="R2453" s="17">
        <v>45</v>
      </c>
      <c r="S2453" s="18">
        <v>1896.8674999999998</v>
      </c>
      <c r="T2453" s="19" t="s">
        <v>117</v>
      </c>
      <c r="U2453" s="20" t="s">
        <v>3116</v>
      </c>
      <c r="V2453" s="21">
        <v>150</v>
      </c>
      <c r="W2453" s="21">
        <v>2</v>
      </c>
      <c r="X2453" s="22"/>
    </row>
    <row r="2454" spans="1:24" s="1" customFormat="1" ht="26.1" customHeight="1" x14ac:dyDescent="0.3">
      <c r="A2454" s="23" t="s">
        <v>3014</v>
      </c>
      <c r="B2454" s="23" t="s">
        <v>3112</v>
      </c>
      <c r="C2454" s="12" t="s">
        <v>3113</v>
      </c>
      <c r="D2454" s="85"/>
      <c r="E2454" s="69" t="str">
        <f>HYPERLINK("https://www.google.ru/search?q=73205215-5091&amp;newwindow=1&amp;tbm=isch","Еще фото")</f>
        <v>Еще фото</v>
      </c>
      <c r="F2454" s="13"/>
      <c r="G2454" s="23" t="s">
        <v>97</v>
      </c>
      <c r="H2454" s="23" t="s">
        <v>27</v>
      </c>
      <c r="I2454" s="23" t="s">
        <v>28</v>
      </c>
      <c r="J2454" s="14" t="s">
        <v>29</v>
      </c>
      <c r="K2454" s="15" t="s">
        <v>30</v>
      </c>
      <c r="L2454" s="88"/>
      <c r="M2454" s="14"/>
      <c r="N2454" s="14" t="s">
        <v>576</v>
      </c>
      <c r="O2454" s="14"/>
      <c r="P2454" s="15" t="s">
        <v>3114</v>
      </c>
      <c r="Q2454" s="16">
        <v>2999</v>
      </c>
      <c r="R2454" s="17">
        <v>45</v>
      </c>
      <c r="S2454" s="18">
        <v>1896.8674999999998</v>
      </c>
      <c r="T2454" s="19" t="s">
        <v>117</v>
      </c>
      <c r="U2454" s="20" t="s">
        <v>3117</v>
      </c>
      <c r="V2454" s="21">
        <v>160</v>
      </c>
      <c r="W2454" s="21">
        <v>2</v>
      </c>
      <c r="X2454" s="22"/>
    </row>
    <row r="2455" spans="1:24" s="1" customFormat="1" ht="26.1" customHeight="1" x14ac:dyDescent="0.3">
      <c r="A2455" s="11" t="s">
        <v>3014</v>
      </c>
      <c r="B2455" s="11" t="s">
        <v>3112</v>
      </c>
      <c r="C2455" s="12" t="s">
        <v>3118</v>
      </c>
      <c r="D2455" s="83"/>
      <c r="E2455" s="69" t="str">
        <f>HYPERLINK("https://www.google.ru/search?q=73205215-6520&amp;newwindow=1&amp;tbm=isch","Еще фото")</f>
        <v>Еще фото</v>
      </c>
      <c r="F2455" s="13"/>
      <c r="G2455" s="11" t="s">
        <v>97</v>
      </c>
      <c r="H2455" s="11" t="s">
        <v>27</v>
      </c>
      <c r="I2455" s="14" t="s">
        <v>28</v>
      </c>
      <c r="J2455" s="14" t="s">
        <v>29</v>
      </c>
      <c r="K2455" s="15" t="s">
        <v>30</v>
      </c>
      <c r="L2455" s="86"/>
      <c r="M2455" s="14"/>
      <c r="N2455" s="14" t="s">
        <v>265</v>
      </c>
      <c r="O2455" s="14"/>
      <c r="P2455" s="15" t="s">
        <v>3114</v>
      </c>
      <c r="Q2455" s="16">
        <v>2999</v>
      </c>
      <c r="R2455" s="17">
        <v>45</v>
      </c>
      <c r="S2455" s="18">
        <v>1896.8674999999998</v>
      </c>
      <c r="T2455" s="19" t="s">
        <v>117</v>
      </c>
      <c r="U2455" s="20" t="s">
        <v>3115</v>
      </c>
      <c r="V2455" s="21">
        <v>130</v>
      </c>
      <c r="W2455" s="21">
        <v>3</v>
      </c>
      <c r="X2455" s="22"/>
    </row>
    <row r="2456" spans="1:24" s="1" customFormat="1" ht="26.1" customHeight="1" x14ac:dyDescent="0.3">
      <c r="A2456" s="23" t="s">
        <v>3014</v>
      </c>
      <c r="B2456" s="23" t="s">
        <v>3112</v>
      </c>
      <c r="C2456" s="12" t="s">
        <v>3118</v>
      </c>
      <c r="D2456" s="84"/>
      <c r="E2456" s="69" t="str">
        <f>HYPERLINK("https://www.google.ru/search?q=73205215-6520&amp;newwindow=1&amp;tbm=isch","Еще фото")</f>
        <v>Еще фото</v>
      </c>
      <c r="F2456" s="13"/>
      <c r="G2456" s="23" t="s">
        <v>97</v>
      </c>
      <c r="H2456" s="23" t="s">
        <v>27</v>
      </c>
      <c r="I2456" s="23" t="s">
        <v>28</v>
      </c>
      <c r="J2456" s="14" t="s">
        <v>29</v>
      </c>
      <c r="K2456" s="15" t="s">
        <v>30</v>
      </c>
      <c r="L2456" s="87"/>
      <c r="M2456" s="14"/>
      <c r="N2456" s="14" t="s">
        <v>265</v>
      </c>
      <c r="O2456" s="14"/>
      <c r="P2456" s="15" t="s">
        <v>3114</v>
      </c>
      <c r="Q2456" s="16">
        <v>2999</v>
      </c>
      <c r="R2456" s="17">
        <v>45</v>
      </c>
      <c r="S2456" s="18">
        <v>1896.8674999999998</v>
      </c>
      <c r="T2456" s="19" t="s">
        <v>117</v>
      </c>
      <c r="U2456" s="20" t="s">
        <v>290</v>
      </c>
      <c r="V2456" s="21">
        <v>140</v>
      </c>
      <c r="W2456" s="21">
        <v>3</v>
      </c>
      <c r="X2456" s="22"/>
    </row>
    <row r="2457" spans="1:24" s="1" customFormat="1" ht="26.1" customHeight="1" x14ac:dyDescent="0.3">
      <c r="A2457" s="23" t="s">
        <v>3014</v>
      </c>
      <c r="B2457" s="23" t="s">
        <v>3112</v>
      </c>
      <c r="C2457" s="12" t="s">
        <v>3118</v>
      </c>
      <c r="D2457" s="84"/>
      <c r="E2457" s="69" t="str">
        <f>HYPERLINK("https://www.google.ru/search?q=73205215-6520&amp;newwindow=1&amp;tbm=isch","Еще фото")</f>
        <v>Еще фото</v>
      </c>
      <c r="F2457" s="13"/>
      <c r="G2457" s="23" t="s">
        <v>97</v>
      </c>
      <c r="H2457" s="23" t="s">
        <v>27</v>
      </c>
      <c r="I2457" s="23" t="s">
        <v>28</v>
      </c>
      <c r="J2457" s="14" t="s">
        <v>29</v>
      </c>
      <c r="K2457" s="15" t="s">
        <v>30</v>
      </c>
      <c r="L2457" s="87"/>
      <c r="M2457" s="14"/>
      <c r="N2457" s="14" t="s">
        <v>265</v>
      </c>
      <c r="O2457" s="14"/>
      <c r="P2457" s="15" t="s">
        <v>3114</v>
      </c>
      <c r="Q2457" s="16">
        <v>2999</v>
      </c>
      <c r="R2457" s="17">
        <v>45</v>
      </c>
      <c r="S2457" s="18">
        <v>1896.8674999999998</v>
      </c>
      <c r="T2457" s="19" t="s">
        <v>117</v>
      </c>
      <c r="U2457" s="20" t="s">
        <v>3116</v>
      </c>
      <c r="V2457" s="21">
        <v>150</v>
      </c>
      <c r="W2457" s="21">
        <v>3</v>
      </c>
      <c r="X2457" s="22"/>
    </row>
    <row r="2458" spans="1:24" s="1" customFormat="1" ht="26.1" customHeight="1" x14ac:dyDescent="0.3">
      <c r="A2458" s="23" t="s">
        <v>3014</v>
      </c>
      <c r="B2458" s="23" t="s">
        <v>3112</v>
      </c>
      <c r="C2458" s="12" t="s">
        <v>3118</v>
      </c>
      <c r="D2458" s="85"/>
      <c r="E2458" s="69" t="str">
        <f>HYPERLINK("https://www.google.ru/search?q=73205215-6520&amp;newwindow=1&amp;tbm=isch","Еще фото")</f>
        <v>Еще фото</v>
      </c>
      <c r="F2458" s="13"/>
      <c r="G2458" s="23" t="s">
        <v>97</v>
      </c>
      <c r="H2458" s="23" t="s">
        <v>27</v>
      </c>
      <c r="I2458" s="23" t="s">
        <v>28</v>
      </c>
      <c r="J2458" s="14" t="s">
        <v>29</v>
      </c>
      <c r="K2458" s="15" t="s">
        <v>30</v>
      </c>
      <c r="L2458" s="88"/>
      <c r="M2458" s="14"/>
      <c r="N2458" s="14" t="s">
        <v>265</v>
      </c>
      <c r="O2458" s="14"/>
      <c r="P2458" s="15" t="s">
        <v>3114</v>
      </c>
      <c r="Q2458" s="16">
        <v>2999</v>
      </c>
      <c r="R2458" s="17">
        <v>45</v>
      </c>
      <c r="S2458" s="18">
        <v>1896.8674999999998</v>
      </c>
      <c r="T2458" s="19" t="s">
        <v>117</v>
      </c>
      <c r="U2458" s="20" t="s">
        <v>3117</v>
      </c>
      <c r="V2458" s="21">
        <v>160</v>
      </c>
      <c r="W2458" s="21">
        <v>2</v>
      </c>
      <c r="X2458" s="22"/>
    </row>
    <row r="2459" spans="1:24" s="1" customFormat="1" ht="26.1" customHeight="1" x14ac:dyDescent="0.3">
      <c r="A2459" s="11" t="s">
        <v>3014</v>
      </c>
      <c r="B2459" s="11" t="s">
        <v>3119</v>
      </c>
      <c r="C2459" s="12" t="s">
        <v>3120</v>
      </c>
      <c r="D2459" s="83"/>
      <c r="E2459" s="69" t="str">
        <f>HYPERLINK("https://www.google.ru/search?q=73206102-9470&amp;newwindow=1&amp;tbm=isch","Еще фото")</f>
        <v>Еще фото</v>
      </c>
      <c r="F2459" s="13"/>
      <c r="G2459" s="11" t="s">
        <v>137</v>
      </c>
      <c r="H2459" s="11" t="s">
        <v>27</v>
      </c>
      <c r="I2459" s="14" t="s">
        <v>28</v>
      </c>
      <c r="J2459" s="14" t="s">
        <v>29</v>
      </c>
      <c r="K2459" s="15" t="s">
        <v>30</v>
      </c>
      <c r="L2459" s="86"/>
      <c r="M2459" s="14"/>
      <c r="N2459" s="14" t="s">
        <v>49</v>
      </c>
      <c r="O2459" s="14"/>
      <c r="P2459" s="15" t="s">
        <v>3121</v>
      </c>
      <c r="Q2459" s="16">
        <v>4999</v>
      </c>
      <c r="R2459" s="17">
        <v>45</v>
      </c>
      <c r="S2459" s="18">
        <v>3161.8674999999994</v>
      </c>
      <c r="T2459" s="19" t="s">
        <v>117</v>
      </c>
      <c r="U2459" s="20" t="s">
        <v>37</v>
      </c>
      <c r="V2459" s="21">
        <v>128</v>
      </c>
      <c r="W2459" s="21">
        <v>5</v>
      </c>
      <c r="X2459" s="22"/>
    </row>
    <row r="2460" spans="1:24" s="1" customFormat="1" ht="26.1" customHeight="1" x14ac:dyDescent="0.3">
      <c r="A2460" s="23" t="s">
        <v>3014</v>
      </c>
      <c r="B2460" s="23" t="s">
        <v>3119</v>
      </c>
      <c r="C2460" s="12" t="s">
        <v>3120</v>
      </c>
      <c r="D2460" s="84"/>
      <c r="E2460" s="69" t="str">
        <f>HYPERLINK("https://www.google.ru/search?q=73206102-9470&amp;newwindow=1&amp;tbm=isch","Еще фото")</f>
        <v>Еще фото</v>
      </c>
      <c r="F2460" s="13"/>
      <c r="G2460" s="23" t="s">
        <v>137</v>
      </c>
      <c r="H2460" s="23" t="s">
        <v>27</v>
      </c>
      <c r="I2460" s="23" t="s">
        <v>28</v>
      </c>
      <c r="J2460" s="14" t="s">
        <v>29</v>
      </c>
      <c r="K2460" s="15" t="s">
        <v>30</v>
      </c>
      <c r="L2460" s="87"/>
      <c r="M2460" s="14"/>
      <c r="N2460" s="14" t="s">
        <v>49</v>
      </c>
      <c r="O2460" s="14"/>
      <c r="P2460" s="15" t="s">
        <v>3121</v>
      </c>
      <c r="Q2460" s="16">
        <v>4999</v>
      </c>
      <c r="R2460" s="17">
        <v>45</v>
      </c>
      <c r="S2460" s="18">
        <v>3161.8674999999994</v>
      </c>
      <c r="T2460" s="19" t="s">
        <v>117</v>
      </c>
      <c r="U2460" s="20" t="s">
        <v>91</v>
      </c>
      <c r="V2460" s="21">
        <v>134</v>
      </c>
      <c r="W2460" s="21">
        <v>6</v>
      </c>
      <c r="X2460" s="22"/>
    </row>
    <row r="2461" spans="1:24" s="1" customFormat="1" ht="26.1" customHeight="1" x14ac:dyDescent="0.3">
      <c r="A2461" s="23" t="s">
        <v>3014</v>
      </c>
      <c r="B2461" s="23" t="s">
        <v>3119</v>
      </c>
      <c r="C2461" s="12" t="s">
        <v>3120</v>
      </c>
      <c r="D2461" s="84"/>
      <c r="E2461" s="69" t="str">
        <f>HYPERLINK("https://www.google.ru/search?q=73206102-9470&amp;newwindow=1&amp;tbm=isch","Еще фото")</f>
        <v>Еще фото</v>
      </c>
      <c r="F2461" s="13"/>
      <c r="G2461" s="23" t="s">
        <v>137</v>
      </c>
      <c r="H2461" s="23" t="s">
        <v>27</v>
      </c>
      <c r="I2461" s="23" t="s">
        <v>28</v>
      </c>
      <c r="J2461" s="14" t="s">
        <v>29</v>
      </c>
      <c r="K2461" s="15" t="s">
        <v>30</v>
      </c>
      <c r="L2461" s="87"/>
      <c r="M2461" s="14"/>
      <c r="N2461" s="14" t="s">
        <v>49</v>
      </c>
      <c r="O2461" s="14"/>
      <c r="P2461" s="15" t="s">
        <v>3121</v>
      </c>
      <c r="Q2461" s="16">
        <v>4999</v>
      </c>
      <c r="R2461" s="17">
        <v>45</v>
      </c>
      <c r="S2461" s="18">
        <v>3161.8674999999994</v>
      </c>
      <c r="T2461" s="19" t="s">
        <v>117</v>
      </c>
      <c r="U2461" s="20" t="s">
        <v>290</v>
      </c>
      <c r="V2461" s="21">
        <v>140</v>
      </c>
      <c r="W2461" s="21">
        <v>4</v>
      </c>
      <c r="X2461" s="22"/>
    </row>
    <row r="2462" spans="1:24" s="1" customFormat="1" ht="26.1" customHeight="1" x14ac:dyDescent="0.3">
      <c r="A2462" s="23" t="s">
        <v>3014</v>
      </c>
      <c r="B2462" s="23" t="s">
        <v>3119</v>
      </c>
      <c r="C2462" s="12" t="s">
        <v>3120</v>
      </c>
      <c r="D2462" s="85"/>
      <c r="E2462" s="69" t="str">
        <f>HYPERLINK("https://www.google.ru/search?q=73206102-9470&amp;newwindow=1&amp;tbm=isch","Еще фото")</f>
        <v>Еще фото</v>
      </c>
      <c r="F2462" s="13"/>
      <c r="G2462" s="23" t="s">
        <v>137</v>
      </c>
      <c r="H2462" s="23" t="s">
        <v>27</v>
      </c>
      <c r="I2462" s="23" t="s">
        <v>28</v>
      </c>
      <c r="J2462" s="14" t="s">
        <v>29</v>
      </c>
      <c r="K2462" s="15" t="s">
        <v>30</v>
      </c>
      <c r="L2462" s="88"/>
      <c r="M2462" s="14"/>
      <c r="N2462" s="14" t="s">
        <v>49</v>
      </c>
      <c r="O2462" s="14"/>
      <c r="P2462" s="15" t="s">
        <v>3121</v>
      </c>
      <c r="Q2462" s="16">
        <v>4999</v>
      </c>
      <c r="R2462" s="17">
        <v>45</v>
      </c>
      <c r="S2462" s="18">
        <v>3161.8674999999994</v>
      </c>
      <c r="T2462" s="19" t="s">
        <v>117</v>
      </c>
      <c r="U2462" s="20" t="s">
        <v>2993</v>
      </c>
      <c r="V2462" s="21">
        <v>146</v>
      </c>
      <c r="W2462" s="21">
        <v>3</v>
      </c>
      <c r="X2462" s="22"/>
    </row>
    <row r="2463" spans="1:24" s="1" customFormat="1" ht="26.1" customHeight="1" x14ac:dyDescent="0.3">
      <c r="A2463" s="11" t="s">
        <v>3014</v>
      </c>
      <c r="B2463" s="11" t="s">
        <v>3122</v>
      </c>
      <c r="C2463" s="12" t="s">
        <v>3123</v>
      </c>
      <c r="D2463" s="83"/>
      <c r="E2463" s="69" t="str">
        <f>HYPERLINK("https://www.google.ru/search?q=73206112-8070&amp;newwindow=1&amp;tbm=isch","Еще фото")</f>
        <v>Еще фото</v>
      </c>
      <c r="F2463" s="13"/>
      <c r="G2463" s="11" t="s">
        <v>28</v>
      </c>
      <c r="H2463" s="11" t="s">
        <v>27</v>
      </c>
      <c r="I2463" s="14" t="s">
        <v>28</v>
      </c>
      <c r="J2463" s="14" t="s">
        <v>29</v>
      </c>
      <c r="K2463" s="15" t="s">
        <v>30</v>
      </c>
      <c r="L2463" s="86"/>
      <c r="M2463" s="14"/>
      <c r="N2463" s="14" t="s">
        <v>242</v>
      </c>
      <c r="O2463" s="14"/>
      <c r="P2463" s="15" t="s">
        <v>74</v>
      </c>
      <c r="Q2463" s="16">
        <v>4999</v>
      </c>
      <c r="R2463" s="17">
        <v>45</v>
      </c>
      <c r="S2463" s="18">
        <v>3161.8674999999994</v>
      </c>
      <c r="T2463" s="19" t="s">
        <v>117</v>
      </c>
      <c r="U2463" s="20" t="s">
        <v>91</v>
      </c>
      <c r="V2463" s="21">
        <v>134</v>
      </c>
      <c r="W2463" s="21">
        <v>2</v>
      </c>
      <c r="X2463" s="22"/>
    </row>
    <row r="2464" spans="1:24" s="1" customFormat="1" ht="26.1" customHeight="1" x14ac:dyDescent="0.3">
      <c r="A2464" s="23" t="s">
        <v>3014</v>
      </c>
      <c r="B2464" s="23" t="s">
        <v>3122</v>
      </c>
      <c r="C2464" s="12" t="s">
        <v>3123</v>
      </c>
      <c r="D2464" s="84"/>
      <c r="E2464" s="69" t="str">
        <f>HYPERLINK("https://www.google.ru/search?q=73206112-8070&amp;newwindow=1&amp;tbm=isch","Еще фото")</f>
        <v>Еще фото</v>
      </c>
      <c r="F2464" s="13"/>
      <c r="G2464" s="23" t="s">
        <v>28</v>
      </c>
      <c r="H2464" s="23" t="s">
        <v>27</v>
      </c>
      <c r="I2464" s="23" t="s">
        <v>28</v>
      </c>
      <c r="J2464" s="14" t="s">
        <v>29</v>
      </c>
      <c r="K2464" s="15" t="s">
        <v>30</v>
      </c>
      <c r="L2464" s="87"/>
      <c r="M2464" s="14"/>
      <c r="N2464" s="14" t="s">
        <v>242</v>
      </c>
      <c r="O2464" s="14"/>
      <c r="P2464" s="15" t="s">
        <v>74</v>
      </c>
      <c r="Q2464" s="16">
        <v>4999</v>
      </c>
      <c r="R2464" s="17">
        <v>45</v>
      </c>
      <c r="S2464" s="18">
        <v>3161.8674999999994</v>
      </c>
      <c r="T2464" s="19" t="s">
        <v>117</v>
      </c>
      <c r="U2464" s="20" t="s">
        <v>290</v>
      </c>
      <c r="V2464" s="21">
        <v>140</v>
      </c>
      <c r="W2464" s="21">
        <v>2</v>
      </c>
      <c r="X2464" s="22"/>
    </row>
    <row r="2465" spans="1:24" s="1" customFormat="1" ht="26.1" customHeight="1" x14ac:dyDescent="0.3">
      <c r="A2465" s="23" t="s">
        <v>3014</v>
      </c>
      <c r="B2465" s="23" t="s">
        <v>3122</v>
      </c>
      <c r="C2465" s="12" t="s">
        <v>3123</v>
      </c>
      <c r="D2465" s="84"/>
      <c r="E2465" s="69" t="str">
        <f>HYPERLINK("https://www.google.ru/search?q=73206112-8070&amp;newwindow=1&amp;tbm=isch","Еще фото")</f>
        <v>Еще фото</v>
      </c>
      <c r="F2465" s="13"/>
      <c r="G2465" s="23" t="s">
        <v>28</v>
      </c>
      <c r="H2465" s="23" t="s">
        <v>27</v>
      </c>
      <c r="I2465" s="23" t="s">
        <v>28</v>
      </c>
      <c r="J2465" s="14" t="s">
        <v>29</v>
      </c>
      <c r="K2465" s="15" t="s">
        <v>30</v>
      </c>
      <c r="L2465" s="87"/>
      <c r="M2465" s="14"/>
      <c r="N2465" s="14" t="s">
        <v>242</v>
      </c>
      <c r="O2465" s="14"/>
      <c r="P2465" s="15" t="s">
        <v>74</v>
      </c>
      <c r="Q2465" s="16">
        <v>4999</v>
      </c>
      <c r="R2465" s="17">
        <v>45</v>
      </c>
      <c r="S2465" s="18">
        <v>3161.8674999999994</v>
      </c>
      <c r="T2465" s="19" t="s">
        <v>117</v>
      </c>
      <c r="U2465" s="20" t="s">
        <v>2993</v>
      </c>
      <c r="V2465" s="21">
        <v>146</v>
      </c>
      <c r="W2465" s="21">
        <v>1</v>
      </c>
      <c r="X2465" s="22"/>
    </row>
    <row r="2466" spans="1:24" s="1" customFormat="1" ht="26.1" customHeight="1" x14ac:dyDescent="0.3">
      <c r="A2466" s="23" t="s">
        <v>3014</v>
      </c>
      <c r="B2466" s="23" t="s">
        <v>3122</v>
      </c>
      <c r="C2466" s="12" t="s">
        <v>3123</v>
      </c>
      <c r="D2466" s="85"/>
      <c r="E2466" s="69" t="str">
        <f>HYPERLINK("https://www.google.ru/search?q=73206112-8070&amp;newwindow=1&amp;tbm=isch","Еще фото")</f>
        <v>Еще фото</v>
      </c>
      <c r="F2466" s="13"/>
      <c r="G2466" s="23" t="s">
        <v>28</v>
      </c>
      <c r="H2466" s="23" t="s">
        <v>27</v>
      </c>
      <c r="I2466" s="23" t="s">
        <v>28</v>
      </c>
      <c r="J2466" s="14" t="s">
        <v>29</v>
      </c>
      <c r="K2466" s="15" t="s">
        <v>30</v>
      </c>
      <c r="L2466" s="88"/>
      <c r="M2466" s="14"/>
      <c r="N2466" s="14" t="s">
        <v>242</v>
      </c>
      <c r="O2466" s="14"/>
      <c r="P2466" s="15" t="s">
        <v>74</v>
      </c>
      <c r="Q2466" s="16">
        <v>4999</v>
      </c>
      <c r="R2466" s="17">
        <v>45</v>
      </c>
      <c r="S2466" s="18">
        <v>3161.8674999999994</v>
      </c>
      <c r="T2466" s="19" t="s">
        <v>117</v>
      </c>
      <c r="U2466" s="20" t="s">
        <v>2160</v>
      </c>
      <c r="V2466" s="21">
        <v>152</v>
      </c>
      <c r="W2466" s="21">
        <v>2</v>
      </c>
      <c r="X2466" s="22"/>
    </row>
    <row r="2467" spans="1:24" s="1" customFormat="1" ht="14.1" customHeight="1" x14ac:dyDescent="0.3">
      <c r="A2467" s="11" t="s">
        <v>3014</v>
      </c>
      <c r="B2467" s="11" t="s">
        <v>3124</v>
      </c>
      <c r="C2467" s="12" t="s">
        <v>3125</v>
      </c>
      <c r="D2467" s="83"/>
      <c r="E2467" s="69" t="str">
        <f t="shared" ref="E2467:E2473" si="92">HYPERLINK("https://www.google.ru/search?q=73206117-3110&amp;newwindow=1&amp;tbm=isch","Еще фото")</f>
        <v>Еще фото</v>
      </c>
      <c r="F2467" s="13"/>
      <c r="G2467" s="11" t="s">
        <v>3126</v>
      </c>
      <c r="H2467" s="11" t="s">
        <v>27</v>
      </c>
      <c r="I2467" s="14" t="s">
        <v>28</v>
      </c>
      <c r="J2467" s="14" t="s">
        <v>29</v>
      </c>
      <c r="K2467" s="15" t="s">
        <v>30</v>
      </c>
      <c r="L2467" s="86"/>
      <c r="M2467" s="14"/>
      <c r="N2467" s="14" t="s">
        <v>275</v>
      </c>
      <c r="O2467" s="14"/>
      <c r="P2467" s="15" t="s">
        <v>1294</v>
      </c>
      <c r="Q2467" s="16">
        <v>2999</v>
      </c>
      <c r="R2467" s="17">
        <v>45</v>
      </c>
      <c r="S2467" s="18">
        <v>1896.8674999999998</v>
      </c>
      <c r="T2467" s="19" t="s">
        <v>117</v>
      </c>
      <c r="U2467" s="20" t="s">
        <v>36</v>
      </c>
      <c r="V2467" s="21">
        <v>122</v>
      </c>
      <c r="W2467" s="21">
        <v>4</v>
      </c>
      <c r="X2467" s="22"/>
    </row>
    <row r="2468" spans="1:24" s="1" customFormat="1" ht="14.1" customHeight="1" x14ac:dyDescent="0.3">
      <c r="A2468" s="23" t="s">
        <v>3014</v>
      </c>
      <c r="B2468" s="23" t="s">
        <v>3124</v>
      </c>
      <c r="C2468" s="12" t="s">
        <v>3125</v>
      </c>
      <c r="D2468" s="84"/>
      <c r="E2468" s="69" t="str">
        <f t="shared" si="92"/>
        <v>Еще фото</v>
      </c>
      <c r="F2468" s="13"/>
      <c r="G2468" s="23" t="s">
        <v>3126</v>
      </c>
      <c r="H2468" s="23" t="s">
        <v>27</v>
      </c>
      <c r="I2468" s="23" t="s">
        <v>28</v>
      </c>
      <c r="J2468" s="14" t="s">
        <v>29</v>
      </c>
      <c r="K2468" s="15" t="s">
        <v>30</v>
      </c>
      <c r="L2468" s="87"/>
      <c r="M2468" s="14"/>
      <c r="N2468" s="14" t="s">
        <v>275</v>
      </c>
      <c r="O2468" s="14"/>
      <c r="P2468" s="15" t="s">
        <v>1294</v>
      </c>
      <c r="Q2468" s="16">
        <v>2999</v>
      </c>
      <c r="R2468" s="17">
        <v>45</v>
      </c>
      <c r="S2468" s="18">
        <v>1896.8674999999998</v>
      </c>
      <c r="T2468" s="19" t="s">
        <v>117</v>
      </c>
      <c r="U2468" s="20" t="s">
        <v>37</v>
      </c>
      <c r="V2468" s="21">
        <v>128</v>
      </c>
      <c r="W2468" s="21">
        <v>2</v>
      </c>
      <c r="X2468" s="22"/>
    </row>
    <row r="2469" spans="1:24" s="1" customFormat="1" ht="14.1" customHeight="1" x14ac:dyDescent="0.3">
      <c r="A2469" s="23" t="s">
        <v>3014</v>
      </c>
      <c r="B2469" s="23" t="s">
        <v>3124</v>
      </c>
      <c r="C2469" s="12" t="s">
        <v>3125</v>
      </c>
      <c r="D2469" s="84"/>
      <c r="E2469" s="69" t="str">
        <f t="shared" si="92"/>
        <v>Еще фото</v>
      </c>
      <c r="F2469" s="13"/>
      <c r="G2469" s="23" t="s">
        <v>3126</v>
      </c>
      <c r="H2469" s="23" t="s">
        <v>27</v>
      </c>
      <c r="I2469" s="23" t="s">
        <v>28</v>
      </c>
      <c r="J2469" s="14" t="s">
        <v>29</v>
      </c>
      <c r="K2469" s="15" t="s">
        <v>30</v>
      </c>
      <c r="L2469" s="87"/>
      <c r="M2469" s="14"/>
      <c r="N2469" s="14" t="s">
        <v>275</v>
      </c>
      <c r="O2469" s="14"/>
      <c r="P2469" s="15" t="s">
        <v>1294</v>
      </c>
      <c r="Q2469" s="16">
        <v>2999</v>
      </c>
      <c r="R2469" s="17">
        <v>45</v>
      </c>
      <c r="S2469" s="18">
        <v>1896.8674999999998</v>
      </c>
      <c r="T2469" s="19" t="s">
        <v>117</v>
      </c>
      <c r="U2469" s="20" t="s">
        <v>91</v>
      </c>
      <c r="V2469" s="21">
        <v>134</v>
      </c>
      <c r="W2469" s="21">
        <v>3</v>
      </c>
      <c r="X2469" s="22"/>
    </row>
    <row r="2470" spans="1:24" s="1" customFormat="1" ht="14.1" customHeight="1" x14ac:dyDescent="0.3">
      <c r="A2470" s="23" t="s">
        <v>3014</v>
      </c>
      <c r="B2470" s="23" t="s">
        <v>3124</v>
      </c>
      <c r="C2470" s="12" t="s">
        <v>3125</v>
      </c>
      <c r="D2470" s="84"/>
      <c r="E2470" s="69" t="str">
        <f t="shared" si="92"/>
        <v>Еще фото</v>
      </c>
      <c r="F2470" s="13"/>
      <c r="G2470" s="23" t="s">
        <v>3126</v>
      </c>
      <c r="H2470" s="23" t="s">
        <v>27</v>
      </c>
      <c r="I2470" s="23" t="s">
        <v>28</v>
      </c>
      <c r="J2470" s="14" t="s">
        <v>29</v>
      </c>
      <c r="K2470" s="15" t="s">
        <v>30</v>
      </c>
      <c r="L2470" s="87"/>
      <c r="M2470" s="14"/>
      <c r="N2470" s="14" t="s">
        <v>275</v>
      </c>
      <c r="O2470" s="14"/>
      <c r="P2470" s="15" t="s">
        <v>1294</v>
      </c>
      <c r="Q2470" s="16">
        <v>2999</v>
      </c>
      <c r="R2470" s="17">
        <v>45</v>
      </c>
      <c r="S2470" s="18">
        <v>1896.8674999999998</v>
      </c>
      <c r="T2470" s="19" t="s">
        <v>117</v>
      </c>
      <c r="U2470" s="20" t="s">
        <v>290</v>
      </c>
      <c r="V2470" s="21">
        <v>140</v>
      </c>
      <c r="W2470" s="21">
        <v>3</v>
      </c>
      <c r="X2470" s="22"/>
    </row>
    <row r="2471" spans="1:24" s="1" customFormat="1" ht="14.1" customHeight="1" x14ac:dyDescent="0.3">
      <c r="A2471" s="23" t="s">
        <v>3014</v>
      </c>
      <c r="B2471" s="23" t="s">
        <v>3124</v>
      </c>
      <c r="C2471" s="12" t="s">
        <v>3125</v>
      </c>
      <c r="D2471" s="84"/>
      <c r="E2471" s="69" t="str">
        <f t="shared" si="92"/>
        <v>Еще фото</v>
      </c>
      <c r="F2471" s="13"/>
      <c r="G2471" s="23" t="s">
        <v>3126</v>
      </c>
      <c r="H2471" s="23" t="s">
        <v>27</v>
      </c>
      <c r="I2471" s="23" t="s">
        <v>28</v>
      </c>
      <c r="J2471" s="14" t="s">
        <v>29</v>
      </c>
      <c r="K2471" s="15" t="s">
        <v>30</v>
      </c>
      <c r="L2471" s="87"/>
      <c r="M2471" s="14"/>
      <c r="N2471" s="14" t="s">
        <v>275</v>
      </c>
      <c r="O2471" s="14"/>
      <c r="P2471" s="15" t="s">
        <v>1294</v>
      </c>
      <c r="Q2471" s="16">
        <v>2999</v>
      </c>
      <c r="R2471" s="17">
        <v>45</v>
      </c>
      <c r="S2471" s="18">
        <v>1896.8674999999998</v>
      </c>
      <c r="T2471" s="19" t="s">
        <v>117</v>
      </c>
      <c r="U2471" s="20" t="s">
        <v>2993</v>
      </c>
      <c r="V2471" s="21">
        <v>146</v>
      </c>
      <c r="W2471" s="21">
        <v>4</v>
      </c>
      <c r="X2471" s="22"/>
    </row>
    <row r="2472" spans="1:24" s="1" customFormat="1" ht="14.1" customHeight="1" x14ac:dyDescent="0.3">
      <c r="A2472" s="23" t="s">
        <v>3014</v>
      </c>
      <c r="B2472" s="23" t="s">
        <v>3124</v>
      </c>
      <c r="C2472" s="12" t="s">
        <v>3125</v>
      </c>
      <c r="D2472" s="84"/>
      <c r="E2472" s="69" t="str">
        <f t="shared" si="92"/>
        <v>Еще фото</v>
      </c>
      <c r="F2472" s="13"/>
      <c r="G2472" s="23" t="s">
        <v>3126</v>
      </c>
      <c r="H2472" s="23" t="s">
        <v>27</v>
      </c>
      <c r="I2472" s="23" t="s">
        <v>28</v>
      </c>
      <c r="J2472" s="14" t="s">
        <v>29</v>
      </c>
      <c r="K2472" s="15" t="s">
        <v>30</v>
      </c>
      <c r="L2472" s="87"/>
      <c r="M2472" s="14"/>
      <c r="N2472" s="14" t="s">
        <v>275</v>
      </c>
      <c r="O2472" s="14"/>
      <c r="P2472" s="15" t="s">
        <v>1294</v>
      </c>
      <c r="Q2472" s="16">
        <v>2999</v>
      </c>
      <c r="R2472" s="17">
        <v>45</v>
      </c>
      <c r="S2472" s="18">
        <v>1896.8674999999998</v>
      </c>
      <c r="T2472" s="19" t="s">
        <v>117</v>
      </c>
      <c r="U2472" s="20" t="s">
        <v>2160</v>
      </c>
      <c r="V2472" s="21">
        <v>152</v>
      </c>
      <c r="W2472" s="21">
        <v>2</v>
      </c>
      <c r="X2472" s="22"/>
    </row>
    <row r="2473" spans="1:24" s="1" customFormat="1" ht="17.100000000000001" customHeight="1" x14ac:dyDescent="0.3">
      <c r="A2473" s="23" t="s">
        <v>3014</v>
      </c>
      <c r="B2473" s="23" t="s">
        <v>3124</v>
      </c>
      <c r="C2473" s="12" t="s">
        <v>3125</v>
      </c>
      <c r="D2473" s="85"/>
      <c r="E2473" s="69" t="str">
        <f t="shared" si="92"/>
        <v>Еще фото</v>
      </c>
      <c r="F2473" s="13"/>
      <c r="G2473" s="23" t="s">
        <v>3126</v>
      </c>
      <c r="H2473" s="23" t="s">
        <v>27</v>
      </c>
      <c r="I2473" s="23" t="s">
        <v>28</v>
      </c>
      <c r="J2473" s="14" t="s">
        <v>29</v>
      </c>
      <c r="K2473" s="15" t="s">
        <v>30</v>
      </c>
      <c r="L2473" s="88"/>
      <c r="M2473" s="14"/>
      <c r="N2473" s="14" t="s">
        <v>275</v>
      </c>
      <c r="O2473" s="14"/>
      <c r="P2473" s="15" t="s">
        <v>1294</v>
      </c>
      <c r="Q2473" s="16">
        <v>2999</v>
      </c>
      <c r="R2473" s="17">
        <v>45</v>
      </c>
      <c r="S2473" s="18">
        <v>1896.8674999999998</v>
      </c>
      <c r="T2473" s="19" t="s">
        <v>117</v>
      </c>
      <c r="U2473" s="20" t="s">
        <v>3088</v>
      </c>
      <c r="V2473" s="21">
        <v>158</v>
      </c>
      <c r="W2473" s="21">
        <v>1</v>
      </c>
      <c r="X2473" s="22"/>
    </row>
    <row r="2474" spans="1:24" s="1" customFormat="1" ht="26.1" customHeight="1" x14ac:dyDescent="0.3">
      <c r="A2474" s="11" t="s">
        <v>3014</v>
      </c>
      <c r="B2474" s="11" t="s">
        <v>3124</v>
      </c>
      <c r="C2474" s="12" t="s">
        <v>3127</v>
      </c>
      <c r="D2474" s="83"/>
      <c r="E2474" s="69" t="str">
        <f>HYPERLINK("https://www.google.ru/search?q=73206117-9340&amp;newwindow=1&amp;tbm=isch","Еще фото")</f>
        <v>Еще фото</v>
      </c>
      <c r="F2474" s="13"/>
      <c r="G2474" s="11" t="s">
        <v>3126</v>
      </c>
      <c r="H2474" s="11" t="s">
        <v>27</v>
      </c>
      <c r="I2474" s="14" t="s">
        <v>28</v>
      </c>
      <c r="J2474" s="14" t="s">
        <v>29</v>
      </c>
      <c r="K2474" s="15" t="s">
        <v>30</v>
      </c>
      <c r="L2474" s="86"/>
      <c r="M2474" s="14"/>
      <c r="N2474" s="14" t="s">
        <v>41</v>
      </c>
      <c r="O2474" s="14"/>
      <c r="P2474" s="15" t="s">
        <v>1294</v>
      </c>
      <c r="Q2474" s="16">
        <v>2999</v>
      </c>
      <c r="R2474" s="17">
        <v>45</v>
      </c>
      <c r="S2474" s="18">
        <v>1896.8674999999998</v>
      </c>
      <c r="T2474" s="19" t="s">
        <v>117</v>
      </c>
      <c r="U2474" s="20" t="s">
        <v>36</v>
      </c>
      <c r="V2474" s="21">
        <v>122</v>
      </c>
      <c r="W2474" s="21">
        <v>4</v>
      </c>
      <c r="X2474" s="22"/>
    </row>
    <row r="2475" spans="1:24" s="1" customFormat="1" ht="26.1" customHeight="1" x14ac:dyDescent="0.3">
      <c r="A2475" s="23" t="s">
        <v>3014</v>
      </c>
      <c r="B2475" s="23" t="s">
        <v>3124</v>
      </c>
      <c r="C2475" s="12" t="s">
        <v>3127</v>
      </c>
      <c r="D2475" s="84"/>
      <c r="E2475" s="69" t="str">
        <f>HYPERLINK("https://www.google.ru/search?q=73206117-9340&amp;newwindow=1&amp;tbm=isch","Еще фото")</f>
        <v>Еще фото</v>
      </c>
      <c r="F2475" s="13"/>
      <c r="G2475" s="23" t="s">
        <v>3126</v>
      </c>
      <c r="H2475" s="23" t="s">
        <v>27</v>
      </c>
      <c r="I2475" s="23" t="s">
        <v>28</v>
      </c>
      <c r="J2475" s="14" t="s">
        <v>29</v>
      </c>
      <c r="K2475" s="15" t="s">
        <v>30</v>
      </c>
      <c r="L2475" s="87"/>
      <c r="M2475" s="14"/>
      <c r="N2475" s="14" t="s">
        <v>41</v>
      </c>
      <c r="O2475" s="14"/>
      <c r="P2475" s="15" t="s">
        <v>1294</v>
      </c>
      <c r="Q2475" s="16">
        <v>2999</v>
      </c>
      <c r="R2475" s="17">
        <v>45</v>
      </c>
      <c r="S2475" s="18">
        <v>1896.8674999999998</v>
      </c>
      <c r="T2475" s="19" t="s">
        <v>117</v>
      </c>
      <c r="U2475" s="20" t="s">
        <v>37</v>
      </c>
      <c r="V2475" s="21">
        <v>128</v>
      </c>
      <c r="W2475" s="21">
        <v>4</v>
      </c>
      <c r="X2475" s="22"/>
    </row>
    <row r="2476" spans="1:24" s="1" customFormat="1" ht="26.1" customHeight="1" x14ac:dyDescent="0.3">
      <c r="A2476" s="23" t="s">
        <v>3014</v>
      </c>
      <c r="B2476" s="23" t="s">
        <v>3124</v>
      </c>
      <c r="C2476" s="12" t="s">
        <v>3127</v>
      </c>
      <c r="D2476" s="84"/>
      <c r="E2476" s="69" t="str">
        <f>HYPERLINK("https://www.google.ru/search?q=73206117-9340&amp;newwindow=1&amp;tbm=isch","Еще фото")</f>
        <v>Еще фото</v>
      </c>
      <c r="F2476" s="13"/>
      <c r="G2476" s="23" t="s">
        <v>3126</v>
      </c>
      <c r="H2476" s="23" t="s">
        <v>27</v>
      </c>
      <c r="I2476" s="23" t="s">
        <v>28</v>
      </c>
      <c r="J2476" s="14" t="s">
        <v>29</v>
      </c>
      <c r="K2476" s="15" t="s">
        <v>30</v>
      </c>
      <c r="L2476" s="87"/>
      <c r="M2476" s="14"/>
      <c r="N2476" s="14" t="s">
        <v>41</v>
      </c>
      <c r="O2476" s="14"/>
      <c r="P2476" s="15" t="s">
        <v>1294</v>
      </c>
      <c r="Q2476" s="16">
        <v>2999</v>
      </c>
      <c r="R2476" s="17">
        <v>45</v>
      </c>
      <c r="S2476" s="18">
        <v>1896.8674999999998</v>
      </c>
      <c r="T2476" s="19" t="s">
        <v>117</v>
      </c>
      <c r="U2476" s="20" t="s">
        <v>290</v>
      </c>
      <c r="V2476" s="21">
        <v>140</v>
      </c>
      <c r="W2476" s="21">
        <v>3</v>
      </c>
      <c r="X2476" s="22"/>
    </row>
    <row r="2477" spans="1:24" s="1" customFormat="1" ht="26.1" customHeight="1" x14ac:dyDescent="0.3">
      <c r="A2477" s="23" t="s">
        <v>3014</v>
      </c>
      <c r="B2477" s="23" t="s">
        <v>3124</v>
      </c>
      <c r="C2477" s="12" t="s">
        <v>3127</v>
      </c>
      <c r="D2477" s="85"/>
      <c r="E2477" s="69" t="str">
        <f>HYPERLINK("https://www.google.ru/search?q=73206117-9340&amp;newwindow=1&amp;tbm=isch","Еще фото")</f>
        <v>Еще фото</v>
      </c>
      <c r="F2477" s="13"/>
      <c r="G2477" s="23" t="s">
        <v>3126</v>
      </c>
      <c r="H2477" s="23" t="s">
        <v>27</v>
      </c>
      <c r="I2477" s="23" t="s">
        <v>28</v>
      </c>
      <c r="J2477" s="14" t="s">
        <v>29</v>
      </c>
      <c r="K2477" s="15" t="s">
        <v>30</v>
      </c>
      <c r="L2477" s="88"/>
      <c r="M2477" s="14"/>
      <c r="N2477" s="14" t="s">
        <v>41</v>
      </c>
      <c r="O2477" s="14"/>
      <c r="P2477" s="15" t="s">
        <v>1294</v>
      </c>
      <c r="Q2477" s="16">
        <v>2999</v>
      </c>
      <c r="R2477" s="17">
        <v>45</v>
      </c>
      <c r="S2477" s="18">
        <v>1896.8674999999998</v>
      </c>
      <c r="T2477" s="19" t="s">
        <v>117</v>
      </c>
      <c r="U2477" s="20" t="s">
        <v>2160</v>
      </c>
      <c r="V2477" s="21">
        <v>152</v>
      </c>
      <c r="W2477" s="21">
        <v>3</v>
      </c>
      <c r="X2477" s="22"/>
    </row>
    <row r="2478" spans="1:24" s="1" customFormat="1" ht="17.100000000000001" customHeight="1" x14ac:dyDescent="0.3">
      <c r="A2478" s="11" t="s">
        <v>3014</v>
      </c>
      <c r="B2478" s="11" t="s">
        <v>3124</v>
      </c>
      <c r="C2478" s="12" t="s">
        <v>3128</v>
      </c>
      <c r="D2478" s="83"/>
      <c r="E2478" s="69" t="str">
        <f t="shared" ref="E2478:E2483" si="93">HYPERLINK("https://www.google.ru/search?q=73206117-9370&amp;newwindow=1&amp;tbm=isch","Еще фото")</f>
        <v>Еще фото</v>
      </c>
      <c r="F2478" s="13"/>
      <c r="G2478" s="11" t="s">
        <v>3126</v>
      </c>
      <c r="H2478" s="11" t="s">
        <v>27</v>
      </c>
      <c r="I2478" s="14" t="s">
        <v>28</v>
      </c>
      <c r="J2478" s="14" t="s">
        <v>29</v>
      </c>
      <c r="K2478" s="15" t="s">
        <v>30</v>
      </c>
      <c r="L2478" s="86"/>
      <c r="M2478" s="14"/>
      <c r="N2478" s="14" t="s">
        <v>41</v>
      </c>
      <c r="O2478" s="14"/>
      <c r="P2478" s="15" t="s">
        <v>1294</v>
      </c>
      <c r="Q2478" s="16">
        <v>2999</v>
      </c>
      <c r="R2478" s="17">
        <v>45</v>
      </c>
      <c r="S2478" s="18">
        <v>1896.8674999999998</v>
      </c>
      <c r="T2478" s="19" t="s">
        <v>117</v>
      </c>
      <c r="U2478" s="20" t="s">
        <v>35</v>
      </c>
      <c r="V2478" s="21">
        <v>116</v>
      </c>
      <c r="W2478" s="21">
        <v>2</v>
      </c>
      <c r="X2478" s="22"/>
    </row>
    <row r="2479" spans="1:24" s="1" customFormat="1" ht="17.100000000000001" customHeight="1" x14ac:dyDescent="0.3">
      <c r="A2479" s="23" t="s">
        <v>3014</v>
      </c>
      <c r="B2479" s="23" t="s">
        <v>3124</v>
      </c>
      <c r="C2479" s="12" t="s">
        <v>3128</v>
      </c>
      <c r="D2479" s="84"/>
      <c r="E2479" s="69" t="str">
        <f t="shared" si="93"/>
        <v>Еще фото</v>
      </c>
      <c r="F2479" s="13"/>
      <c r="G2479" s="23" t="s">
        <v>3126</v>
      </c>
      <c r="H2479" s="23" t="s">
        <v>27</v>
      </c>
      <c r="I2479" s="23" t="s">
        <v>28</v>
      </c>
      <c r="J2479" s="14" t="s">
        <v>29</v>
      </c>
      <c r="K2479" s="15" t="s">
        <v>30</v>
      </c>
      <c r="L2479" s="87"/>
      <c r="M2479" s="14"/>
      <c r="N2479" s="14" t="s">
        <v>41</v>
      </c>
      <c r="O2479" s="14"/>
      <c r="P2479" s="15" t="s">
        <v>1294</v>
      </c>
      <c r="Q2479" s="16">
        <v>2999</v>
      </c>
      <c r="R2479" s="17">
        <v>45</v>
      </c>
      <c r="S2479" s="18">
        <v>1896.8674999999998</v>
      </c>
      <c r="T2479" s="19" t="s">
        <v>117</v>
      </c>
      <c r="U2479" s="20" t="s">
        <v>36</v>
      </c>
      <c r="V2479" s="21">
        <v>122</v>
      </c>
      <c r="W2479" s="21">
        <v>3</v>
      </c>
      <c r="X2479" s="22"/>
    </row>
    <row r="2480" spans="1:24" s="1" customFormat="1" ht="17.100000000000001" customHeight="1" x14ac:dyDescent="0.3">
      <c r="A2480" s="23" t="s">
        <v>3014</v>
      </c>
      <c r="B2480" s="23" t="s">
        <v>3124</v>
      </c>
      <c r="C2480" s="12" t="s">
        <v>3128</v>
      </c>
      <c r="D2480" s="84"/>
      <c r="E2480" s="69" t="str">
        <f t="shared" si="93"/>
        <v>Еще фото</v>
      </c>
      <c r="F2480" s="13"/>
      <c r="G2480" s="23" t="s">
        <v>3126</v>
      </c>
      <c r="H2480" s="23" t="s">
        <v>27</v>
      </c>
      <c r="I2480" s="23" t="s">
        <v>28</v>
      </c>
      <c r="J2480" s="14" t="s">
        <v>29</v>
      </c>
      <c r="K2480" s="15" t="s">
        <v>30</v>
      </c>
      <c r="L2480" s="87"/>
      <c r="M2480" s="14"/>
      <c r="N2480" s="14" t="s">
        <v>41</v>
      </c>
      <c r="O2480" s="14"/>
      <c r="P2480" s="15" t="s">
        <v>1294</v>
      </c>
      <c r="Q2480" s="16">
        <v>2999</v>
      </c>
      <c r="R2480" s="17">
        <v>45</v>
      </c>
      <c r="S2480" s="18">
        <v>1896.8674999999998</v>
      </c>
      <c r="T2480" s="19" t="s">
        <v>117</v>
      </c>
      <c r="U2480" s="20" t="s">
        <v>37</v>
      </c>
      <c r="V2480" s="21">
        <v>128</v>
      </c>
      <c r="W2480" s="21">
        <v>3</v>
      </c>
      <c r="X2480" s="22"/>
    </row>
    <row r="2481" spans="1:24" s="1" customFormat="1" ht="17.100000000000001" customHeight="1" x14ac:dyDescent="0.3">
      <c r="A2481" s="23" t="s">
        <v>3014</v>
      </c>
      <c r="B2481" s="23" t="s">
        <v>3124</v>
      </c>
      <c r="C2481" s="12" t="s">
        <v>3128</v>
      </c>
      <c r="D2481" s="84"/>
      <c r="E2481" s="69" t="str">
        <f t="shared" si="93"/>
        <v>Еще фото</v>
      </c>
      <c r="F2481" s="13"/>
      <c r="G2481" s="23" t="s">
        <v>3126</v>
      </c>
      <c r="H2481" s="23" t="s">
        <v>27</v>
      </c>
      <c r="I2481" s="23" t="s">
        <v>28</v>
      </c>
      <c r="J2481" s="14" t="s">
        <v>29</v>
      </c>
      <c r="K2481" s="15" t="s">
        <v>30</v>
      </c>
      <c r="L2481" s="87"/>
      <c r="M2481" s="14"/>
      <c r="N2481" s="14" t="s">
        <v>41</v>
      </c>
      <c r="O2481" s="14"/>
      <c r="P2481" s="15" t="s">
        <v>1294</v>
      </c>
      <c r="Q2481" s="16">
        <v>2999</v>
      </c>
      <c r="R2481" s="17">
        <v>45</v>
      </c>
      <c r="S2481" s="18">
        <v>1896.8674999999998</v>
      </c>
      <c r="T2481" s="19" t="s">
        <v>117</v>
      </c>
      <c r="U2481" s="20" t="s">
        <v>91</v>
      </c>
      <c r="V2481" s="21">
        <v>134</v>
      </c>
      <c r="W2481" s="21">
        <v>3</v>
      </c>
      <c r="X2481" s="22"/>
    </row>
    <row r="2482" spans="1:24" s="1" customFormat="1" ht="17.100000000000001" customHeight="1" x14ac:dyDescent="0.3">
      <c r="A2482" s="23" t="s">
        <v>3014</v>
      </c>
      <c r="B2482" s="23" t="s">
        <v>3124</v>
      </c>
      <c r="C2482" s="12" t="s">
        <v>3128</v>
      </c>
      <c r="D2482" s="84"/>
      <c r="E2482" s="69" t="str">
        <f t="shared" si="93"/>
        <v>Еще фото</v>
      </c>
      <c r="F2482" s="13"/>
      <c r="G2482" s="23" t="s">
        <v>3126</v>
      </c>
      <c r="H2482" s="23" t="s">
        <v>27</v>
      </c>
      <c r="I2482" s="23" t="s">
        <v>28</v>
      </c>
      <c r="J2482" s="14" t="s">
        <v>29</v>
      </c>
      <c r="K2482" s="15" t="s">
        <v>30</v>
      </c>
      <c r="L2482" s="87"/>
      <c r="M2482" s="14"/>
      <c r="N2482" s="14" t="s">
        <v>41</v>
      </c>
      <c r="O2482" s="14"/>
      <c r="P2482" s="15" t="s">
        <v>1294</v>
      </c>
      <c r="Q2482" s="16">
        <v>2999</v>
      </c>
      <c r="R2482" s="17">
        <v>45</v>
      </c>
      <c r="S2482" s="18">
        <v>1896.8674999999998</v>
      </c>
      <c r="T2482" s="19" t="s">
        <v>117</v>
      </c>
      <c r="U2482" s="20" t="s">
        <v>290</v>
      </c>
      <c r="V2482" s="21">
        <v>140</v>
      </c>
      <c r="W2482" s="21">
        <v>4</v>
      </c>
      <c r="X2482" s="22"/>
    </row>
    <row r="2483" spans="1:24" s="1" customFormat="1" ht="21.95" customHeight="1" x14ac:dyDescent="0.3">
      <c r="A2483" s="23" t="s">
        <v>3014</v>
      </c>
      <c r="B2483" s="23" t="s">
        <v>3124</v>
      </c>
      <c r="C2483" s="12" t="s">
        <v>3128</v>
      </c>
      <c r="D2483" s="85"/>
      <c r="E2483" s="69" t="str">
        <f t="shared" si="93"/>
        <v>Еще фото</v>
      </c>
      <c r="F2483" s="13"/>
      <c r="G2483" s="23" t="s">
        <v>3126</v>
      </c>
      <c r="H2483" s="23" t="s">
        <v>27</v>
      </c>
      <c r="I2483" s="23" t="s">
        <v>28</v>
      </c>
      <c r="J2483" s="14" t="s">
        <v>29</v>
      </c>
      <c r="K2483" s="15" t="s">
        <v>30</v>
      </c>
      <c r="L2483" s="88"/>
      <c r="M2483" s="14"/>
      <c r="N2483" s="14" t="s">
        <v>41</v>
      </c>
      <c r="O2483" s="14"/>
      <c r="P2483" s="15" t="s">
        <v>1294</v>
      </c>
      <c r="Q2483" s="16">
        <v>2999</v>
      </c>
      <c r="R2483" s="17">
        <v>45</v>
      </c>
      <c r="S2483" s="18">
        <v>1896.8674999999998</v>
      </c>
      <c r="T2483" s="19" t="s">
        <v>117</v>
      </c>
      <c r="U2483" s="20" t="s">
        <v>2993</v>
      </c>
      <c r="V2483" s="21">
        <v>146</v>
      </c>
      <c r="W2483" s="21">
        <v>3</v>
      </c>
      <c r="X2483" s="22"/>
    </row>
    <row r="2484" spans="1:24" s="1" customFormat="1" ht="26.1" customHeight="1" x14ac:dyDescent="0.3">
      <c r="A2484" s="11" t="s">
        <v>3129</v>
      </c>
      <c r="B2484" s="11" t="s">
        <v>3130</v>
      </c>
      <c r="C2484" s="12" t="s">
        <v>3131</v>
      </c>
      <c r="D2484" s="83"/>
      <c r="E2484" s="69" t="str">
        <f>HYPERLINK("https://www.google.ru/search?q=741368-7150&amp;newwindow=1&amp;tbm=isch","Еще фото")</f>
        <v>Еще фото</v>
      </c>
      <c r="F2484" s="13"/>
      <c r="G2484" s="11" t="s">
        <v>28</v>
      </c>
      <c r="H2484" s="11" t="s">
        <v>27</v>
      </c>
      <c r="I2484" s="14" t="s">
        <v>28</v>
      </c>
      <c r="J2484" s="14" t="s">
        <v>29</v>
      </c>
      <c r="K2484" s="15" t="s">
        <v>30</v>
      </c>
      <c r="L2484" s="86" t="s">
        <v>3132</v>
      </c>
      <c r="M2484" s="14" t="s">
        <v>2945</v>
      </c>
      <c r="N2484" s="14" t="s">
        <v>70</v>
      </c>
      <c r="O2484" s="14"/>
      <c r="P2484" s="15" t="s">
        <v>3133</v>
      </c>
      <c r="Q2484" s="16">
        <v>5799</v>
      </c>
      <c r="R2484" s="17">
        <v>45</v>
      </c>
      <c r="S2484" s="18">
        <v>3667.8674999999994</v>
      </c>
      <c r="T2484" s="19" t="s">
        <v>117</v>
      </c>
      <c r="U2484" s="20" t="s">
        <v>2961</v>
      </c>
      <c r="V2484" s="21">
        <v>98</v>
      </c>
      <c r="W2484" s="21">
        <v>1</v>
      </c>
      <c r="X2484" s="22"/>
    </row>
    <row r="2485" spans="1:24" s="1" customFormat="1" ht="26.1" customHeight="1" x14ac:dyDescent="0.3">
      <c r="A2485" s="23" t="s">
        <v>3129</v>
      </c>
      <c r="B2485" s="23" t="s">
        <v>3130</v>
      </c>
      <c r="C2485" s="12" t="s">
        <v>3131</v>
      </c>
      <c r="D2485" s="84"/>
      <c r="E2485" s="69" t="str">
        <f>HYPERLINK("https://www.google.ru/search?q=741368-7150&amp;newwindow=1&amp;tbm=isch","Еще фото")</f>
        <v>Еще фото</v>
      </c>
      <c r="F2485" s="13"/>
      <c r="G2485" s="23" t="s">
        <v>28</v>
      </c>
      <c r="H2485" s="23" t="s">
        <v>27</v>
      </c>
      <c r="I2485" s="23" t="s">
        <v>28</v>
      </c>
      <c r="J2485" s="14" t="s">
        <v>29</v>
      </c>
      <c r="K2485" s="15" t="s">
        <v>30</v>
      </c>
      <c r="L2485" s="87"/>
      <c r="M2485" s="14" t="s">
        <v>2945</v>
      </c>
      <c r="N2485" s="14" t="s">
        <v>70</v>
      </c>
      <c r="O2485" s="14"/>
      <c r="P2485" s="15" t="s">
        <v>3133</v>
      </c>
      <c r="Q2485" s="16">
        <v>5799</v>
      </c>
      <c r="R2485" s="17">
        <v>45</v>
      </c>
      <c r="S2485" s="18">
        <v>3667.8674999999994</v>
      </c>
      <c r="T2485" s="19" t="s">
        <v>117</v>
      </c>
      <c r="U2485" s="20" t="s">
        <v>43</v>
      </c>
      <c r="V2485" s="21">
        <v>110</v>
      </c>
      <c r="W2485" s="21">
        <v>2</v>
      </c>
      <c r="X2485" s="22"/>
    </row>
    <row r="2486" spans="1:24" s="1" customFormat="1" ht="26.1" customHeight="1" x14ac:dyDescent="0.3">
      <c r="A2486" s="23" t="s">
        <v>3129</v>
      </c>
      <c r="B2486" s="23" t="s">
        <v>3130</v>
      </c>
      <c r="C2486" s="12" t="s">
        <v>3131</v>
      </c>
      <c r="D2486" s="84"/>
      <c r="E2486" s="69" t="str">
        <f>HYPERLINK("https://www.google.ru/search?q=741368-7150&amp;newwindow=1&amp;tbm=isch","Еще фото")</f>
        <v>Еще фото</v>
      </c>
      <c r="F2486" s="13"/>
      <c r="G2486" s="23" t="s">
        <v>28</v>
      </c>
      <c r="H2486" s="23" t="s">
        <v>27</v>
      </c>
      <c r="I2486" s="23" t="s">
        <v>28</v>
      </c>
      <c r="J2486" s="14" t="s">
        <v>29</v>
      </c>
      <c r="K2486" s="15" t="s">
        <v>30</v>
      </c>
      <c r="L2486" s="87"/>
      <c r="M2486" s="14" t="s">
        <v>2945</v>
      </c>
      <c r="N2486" s="14" t="s">
        <v>70</v>
      </c>
      <c r="O2486" s="14"/>
      <c r="P2486" s="15" t="s">
        <v>3133</v>
      </c>
      <c r="Q2486" s="16">
        <v>5799</v>
      </c>
      <c r="R2486" s="17">
        <v>45</v>
      </c>
      <c r="S2486" s="18">
        <v>3667.8674999999994</v>
      </c>
      <c r="T2486" s="19" t="s">
        <v>117</v>
      </c>
      <c r="U2486" s="20" t="s">
        <v>36</v>
      </c>
      <c r="V2486" s="21">
        <v>122</v>
      </c>
      <c r="W2486" s="21">
        <v>2</v>
      </c>
      <c r="X2486" s="22"/>
    </row>
    <row r="2487" spans="1:24" s="1" customFormat="1" ht="26.1" customHeight="1" x14ac:dyDescent="0.3">
      <c r="A2487" s="23" t="s">
        <v>3129</v>
      </c>
      <c r="B2487" s="23" t="s">
        <v>3130</v>
      </c>
      <c r="C2487" s="12" t="s">
        <v>3131</v>
      </c>
      <c r="D2487" s="85"/>
      <c r="E2487" s="69" t="str">
        <f>HYPERLINK("https://www.google.ru/search?q=741368-7150&amp;newwindow=1&amp;tbm=isch","Еще фото")</f>
        <v>Еще фото</v>
      </c>
      <c r="F2487" s="13"/>
      <c r="G2487" s="23" t="s">
        <v>28</v>
      </c>
      <c r="H2487" s="23" t="s">
        <v>27</v>
      </c>
      <c r="I2487" s="23" t="s">
        <v>28</v>
      </c>
      <c r="J2487" s="14" t="s">
        <v>29</v>
      </c>
      <c r="K2487" s="15" t="s">
        <v>30</v>
      </c>
      <c r="L2487" s="88"/>
      <c r="M2487" s="14" t="s">
        <v>2945</v>
      </c>
      <c r="N2487" s="14" t="s">
        <v>70</v>
      </c>
      <c r="O2487" s="14"/>
      <c r="P2487" s="15" t="s">
        <v>3133</v>
      </c>
      <c r="Q2487" s="16">
        <v>5799</v>
      </c>
      <c r="R2487" s="17">
        <v>45</v>
      </c>
      <c r="S2487" s="18">
        <v>3667.8674999999994</v>
      </c>
      <c r="T2487" s="19" t="s">
        <v>117</v>
      </c>
      <c r="U2487" s="20" t="s">
        <v>37</v>
      </c>
      <c r="V2487" s="21">
        <v>128</v>
      </c>
      <c r="W2487" s="21">
        <v>1</v>
      </c>
      <c r="X2487" s="22"/>
    </row>
    <row r="2488" spans="1:24" s="1" customFormat="1" ht="21" customHeight="1" x14ac:dyDescent="0.3">
      <c r="A2488" s="11" t="s">
        <v>3129</v>
      </c>
      <c r="B2488" s="11" t="s">
        <v>3134</v>
      </c>
      <c r="C2488" s="27" t="s">
        <v>3135</v>
      </c>
      <c r="D2488" s="83"/>
      <c r="E2488" s="69" t="str">
        <f>HYPERLINK("https://www.google.ru/search?q=741369-1919&amp;newwindow=1&amp;tbm=isch","Еще фото")</f>
        <v>Еще фото</v>
      </c>
      <c r="F2488" s="13"/>
      <c r="G2488" s="11" t="s">
        <v>28</v>
      </c>
      <c r="H2488" s="11" t="s">
        <v>27</v>
      </c>
      <c r="I2488" s="14" t="s">
        <v>28</v>
      </c>
      <c r="J2488" s="14" t="s">
        <v>29</v>
      </c>
      <c r="K2488" s="15" t="s">
        <v>30</v>
      </c>
      <c r="L2488" s="86" t="s">
        <v>3136</v>
      </c>
      <c r="M2488" s="14" t="s">
        <v>2945</v>
      </c>
      <c r="N2488" s="14" t="s">
        <v>49</v>
      </c>
      <c r="O2488" s="14"/>
      <c r="P2488" s="15" t="s">
        <v>3133</v>
      </c>
      <c r="Q2488" s="16">
        <v>5799</v>
      </c>
      <c r="R2488" s="17">
        <v>45</v>
      </c>
      <c r="S2488" s="18">
        <v>3667.8674999999994</v>
      </c>
      <c r="T2488" s="19" t="s">
        <v>117</v>
      </c>
      <c r="U2488" s="20" t="s">
        <v>2961</v>
      </c>
      <c r="V2488" s="21">
        <v>98</v>
      </c>
      <c r="W2488" s="21">
        <v>1</v>
      </c>
      <c r="X2488" s="22"/>
    </row>
    <row r="2489" spans="1:24" s="1" customFormat="1" ht="21" customHeight="1" x14ac:dyDescent="0.3">
      <c r="A2489" s="23" t="s">
        <v>3129</v>
      </c>
      <c r="B2489" s="23" t="s">
        <v>3134</v>
      </c>
      <c r="C2489" s="28" t="s">
        <v>3135</v>
      </c>
      <c r="D2489" s="84"/>
      <c r="E2489" s="69" t="str">
        <f>HYPERLINK("https://www.google.ru/search?q=741369-1919&amp;newwindow=1&amp;tbm=isch","Еще фото")</f>
        <v>Еще фото</v>
      </c>
      <c r="F2489" s="13"/>
      <c r="G2489" s="23" t="s">
        <v>28</v>
      </c>
      <c r="H2489" s="23" t="s">
        <v>27</v>
      </c>
      <c r="I2489" s="23" t="s">
        <v>28</v>
      </c>
      <c r="J2489" s="14" t="s">
        <v>29</v>
      </c>
      <c r="K2489" s="15" t="s">
        <v>30</v>
      </c>
      <c r="L2489" s="87"/>
      <c r="M2489" s="14" t="s">
        <v>2945</v>
      </c>
      <c r="N2489" s="14" t="s">
        <v>49</v>
      </c>
      <c r="O2489" s="14"/>
      <c r="P2489" s="15" t="s">
        <v>3133</v>
      </c>
      <c r="Q2489" s="16">
        <v>5799</v>
      </c>
      <c r="R2489" s="17">
        <v>45</v>
      </c>
      <c r="S2489" s="18">
        <v>3667.8674999999994</v>
      </c>
      <c r="T2489" s="19" t="s">
        <v>117</v>
      </c>
      <c r="U2489" s="20" t="s">
        <v>94</v>
      </c>
      <c r="V2489" s="21">
        <v>104</v>
      </c>
      <c r="W2489" s="21">
        <v>1</v>
      </c>
      <c r="X2489" s="22"/>
    </row>
    <row r="2490" spans="1:24" s="1" customFormat="1" ht="21" customHeight="1" x14ac:dyDescent="0.3">
      <c r="A2490" s="23" t="s">
        <v>3129</v>
      </c>
      <c r="B2490" s="23" t="s">
        <v>3134</v>
      </c>
      <c r="C2490" s="28" t="s">
        <v>3135</v>
      </c>
      <c r="D2490" s="84"/>
      <c r="E2490" s="69" t="str">
        <f>HYPERLINK("https://www.google.ru/search?q=741369-1919&amp;newwindow=1&amp;tbm=isch","Еще фото")</f>
        <v>Еще фото</v>
      </c>
      <c r="F2490" s="13"/>
      <c r="G2490" s="23" t="s">
        <v>28</v>
      </c>
      <c r="H2490" s="23" t="s">
        <v>27</v>
      </c>
      <c r="I2490" s="23" t="s">
        <v>28</v>
      </c>
      <c r="J2490" s="14" t="s">
        <v>29</v>
      </c>
      <c r="K2490" s="15" t="s">
        <v>30</v>
      </c>
      <c r="L2490" s="87"/>
      <c r="M2490" s="14" t="s">
        <v>2945</v>
      </c>
      <c r="N2490" s="14" t="s">
        <v>49</v>
      </c>
      <c r="O2490" s="14"/>
      <c r="P2490" s="15" t="s">
        <v>3133</v>
      </c>
      <c r="Q2490" s="16">
        <v>5799</v>
      </c>
      <c r="R2490" s="17">
        <v>45</v>
      </c>
      <c r="S2490" s="18">
        <v>3667.8674999999994</v>
      </c>
      <c r="T2490" s="19" t="s">
        <v>117</v>
      </c>
      <c r="U2490" s="20" t="s">
        <v>35</v>
      </c>
      <c r="V2490" s="21">
        <v>116</v>
      </c>
      <c r="W2490" s="21">
        <v>1</v>
      </c>
      <c r="X2490" s="22"/>
    </row>
    <row r="2491" spans="1:24" s="1" customFormat="1" ht="21" customHeight="1" x14ac:dyDescent="0.3">
      <c r="A2491" s="23" t="s">
        <v>3129</v>
      </c>
      <c r="B2491" s="23" t="s">
        <v>3134</v>
      </c>
      <c r="C2491" s="28" t="s">
        <v>3135</v>
      </c>
      <c r="D2491" s="84"/>
      <c r="E2491" s="69" t="str">
        <f>HYPERLINK("https://www.google.ru/search?q=741369-1919&amp;newwindow=1&amp;tbm=isch","Еще фото")</f>
        <v>Еще фото</v>
      </c>
      <c r="F2491" s="13"/>
      <c r="G2491" s="23" t="s">
        <v>28</v>
      </c>
      <c r="H2491" s="23" t="s">
        <v>27</v>
      </c>
      <c r="I2491" s="23" t="s">
        <v>28</v>
      </c>
      <c r="J2491" s="14" t="s">
        <v>29</v>
      </c>
      <c r="K2491" s="15" t="s">
        <v>30</v>
      </c>
      <c r="L2491" s="87"/>
      <c r="M2491" s="14" t="s">
        <v>2945</v>
      </c>
      <c r="N2491" s="14" t="s">
        <v>49</v>
      </c>
      <c r="O2491" s="14"/>
      <c r="P2491" s="15" t="s">
        <v>3133</v>
      </c>
      <c r="Q2491" s="16">
        <v>5799</v>
      </c>
      <c r="R2491" s="17">
        <v>45</v>
      </c>
      <c r="S2491" s="18">
        <v>3667.8674999999994</v>
      </c>
      <c r="T2491" s="19" t="s">
        <v>117</v>
      </c>
      <c r="U2491" s="20" t="s">
        <v>36</v>
      </c>
      <c r="V2491" s="21">
        <v>122</v>
      </c>
      <c r="W2491" s="21">
        <v>3</v>
      </c>
      <c r="X2491" s="22"/>
    </row>
    <row r="2492" spans="1:24" s="1" customFormat="1" ht="32.1" customHeight="1" x14ac:dyDescent="0.3">
      <c r="A2492" s="23" t="s">
        <v>3129</v>
      </c>
      <c r="B2492" s="23" t="s">
        <v>3134</v>
      </c>
      <c r="C2492" s="28" t="s">
        <v>3135</v>
      </c>
      <c r="D2492" s="85"/>
      <c r="E2492" s="69" t="str">
        <f>HYPERLINK("https://www.google.ru/search?q=741369-1919&amp;newwindow=1&amp;tbm=isch","Еще фото")</f>
        <v>Еще фото</v>
      </c>
      <c r="F2492" s="13"/>
      <c r="G2492" s="23" t="s">
        <v>28</v>
      </c>
      <c r="H2492" s="23" t="s">
        <v>27</v>
      </c>
      <c r="I2492" s="23" t="s">
        <v>28</v>
      </c>
      <c r="J2492" s="14" t="s">
        <v>29</v>
      </c>
      <c r="K2492" s="15" t="s">
        <v>30</v>
      </c>
      <c r="L2492" s="88"/>
      <c r="M2492" s="14" t="s">
        <v>2945</v>
      </c>
      <c r="N2492" s="14" t="s">
        <v>49</v>
      </c>
      <c r="O2492" s="14"/>
      <c r="P2492" s="15" t="s">
        <v>3133</v>
      </c>
      <c r="Q2492" s="16">
        <v>5799</v>
      </c>
      <c r="R2492" s="17">
        <v>45</v>
      </c>
      <c r="S2492" s="18">
        <v>3667.8674999999994</v>
      </c>
      <c r="T2492" s="19" t="s">
        <v>117</v>
      </c>
      <c r="U2492" s="20" t="s">
        <v>37</v>
      </c>
      <c r="V2492" s="21">
        <v>128</v>
      </c>
      <c r="W2492" s="21">
        <v>2</v>
      </c>
      <c r="X2492" s="22"/>
    </row>
    <row r="2493" spans="1:24" s="1" customFormat="1" ht="26.1" customHeight="1" x14ac:dyDescent="0.3">
      <c r="A2493" s="11" t="s">
        <v>3129</v>
      </c>
      <c r="B2493" s="11" t="s">
        <v>3137</v>
      </c>
      <c r="C2493" s="12" t="s">
        <v>3138</v>
      </c>
      <c r="D2493" s="83"/>
      <c r="E2493" s="69" t="str">
        <f>HYPERLINK("https://www.google.ru/search?q=741401-5005&amp;newwindow=1&amp;tbm=isch","Еще фото")</f>
        <v>Еще фото</v>
      </c>
      <c r="F2493" s="13"/>
      <c r="G2493" s="11" t="s">
        <v>28</v>
      </c>
      <c r="H2493" s="11" t="s">
        <v>27</v>
      </c>
      <c r="I2493" s="14" t="s">
        <v>28</v>
      </c>
      <c r="J2493" s="14" t="s">
        <v>29</v>
      </c>
      <c r="K2493" s="15" t="s">
        <v>30</v>
      </c>
      <c r="L2493" s="86" t="s">
        <v>3139</v>
      </c>
      <c r="M2493" s="14"/>
      <c r="N2493" s="14" t="s">
        <v>275</v>
      </c>
      <c r="O2493" s="14"/>
      <c r="P2493" s="15" t="s">
        <v>3140</v>
      </c>
      <c r="Q2493" s="16">
        <v>4299</v>
      </c>
      <c r="R2493" s="17">
        <v>45</v>
      </c>
      <c r="S2493" s="18">
        <v>2719.1174999999994</v>
      </c>
      <c r="T2493" s="19" t="s">
        <v>117</v>
      </c>
      <c r="U2493" s="20" t="s">
        <v>2961</v>
      </c>
      <c r="V2493" s="21">
        <v>98</v>
      </c>
      <c r="W2493" s="21">
        <v>1</v>
      </c>
      <c r="X2493" s="22"/>
    </row>
    <row r="2494" spans="1:24" s="1" customFormat="1" ht="26.1" customHeight="1" x14ac:dyDescent="0.3">
      <c r="A2494" s="23" t="s">
        <v>3129</v>
      </c>
      <c r="B2494" s="23" t="s">
        <v>3137</v>
      </c>
      <c r="C2494" s="12" t="s">
        <v>3138</v>
      </c>
      <c r="D2494" s="84"/>
      <c r="E2494" s="69" t="str">
        <f>HYPERLINK("https://www.google.ru/search?q=741401-5005&amp;newwindow=1&amp;tbm=isch","Еще фото")</f>
        <v>Еще фото</v>
      </c>
      <c r="F2494" s="13"/>
      <c r="G2494" s="23" t="s">
        <v>28</v>
      </c>
      <c r="H2494" s="23" t="s">
        <v>27</v>
      </c>
      <c r="I2494" s="23" t="s">
        <v>28</v>
      </c>
      <c r="J2494" s="14" t="s">
        <v>29</v>
      </c>
      <c r="K2494" s="15" t="s">
        <v>30</v>
      </c>
      <c r="L2494" s="87"/>
      <c r="M2494" s="14"/>
      <c r="N2494" s="14" t="s">
        <v>275</v>
      </c>
      <c r="O2494" s="14"/>
      <c r="P2494" s="15" t="s">
        <v>3140</v>
      </c>
      <c r="Q2494" s="16">
        <v>4299</v>
      </c>
      <c r="R2494" s="17">
        <v>45</v>
      </c>
      <c r="S2494" s="18">
        <v>2719.1174999999994</v>
      </c>
      <c r="T2494" s="19" t="s">
        <v>117</v>
      </c>
      <c r="U2494" s="20" t="s">
        <v>94</v>
      </c>
      <c r="V2494" s="21">
        <v>104</v>
      </c>
      <c r="W2494" s="21">
        <v>2</v>
      </c>
      <c r="X2494" s="22"/>
    </row>
    <row r="2495" spans="1:24" s="1" customFormat="1" ht="26.1" customHeight="1" x14ac:dyDescent="0.3">
      <c r="A2495" s="23" t="s">
        <v>3129</v>
      </c>
      <c r="B2495" s="23" t="s">
        <v>3137</v>
      </c>
      <c r="C2495" s="12" t="s">
        <v>3138</v>
      </c>
      <c r="D2495" s="84"/>
      <c r="E2495" s="69" t="str">
        <f>HYPERLINK("https://www.google.ru/search?q=741401-5005&amp;newwindow=1&amp;tbm=isch","Еще фото")</f>
        <v>Еще фото</v>
      </c>
      <c r="F2495" s="13"/>
      <c r="G2495" s="23" t="s">
        <v>28</v>
      </c>
      <c r="H2495" s="23" t="s">
        <v>27</v>
      </c>
      <c r="I2495" s="23" t="s">
        <v>28</v>
      </c>
      <c r="J2495" s="14" t="s">
        <v>29</v>
      </c>
      <c r="K2495" s="15" t="s">
        <v>30</v>
      </c>
      <c r="L2495" s="87"/>
      <c r="M2495" s="14"/>
      <c r="N2495" s="14" t="s">
        <v>275</v>
      </c>
      <c r="O2495" s="14"/>
      <c r="P2495" s="15" t="s">
        <v>3140</v>
      </c>
      <c r="Q2495" s="16">
        <v>4299</v>
      </c>
      <c r="R2495" s="17">
        <v>45</v>
      </c>
      <c r="S2495" s="18">
        <v>2719.1174999999994</v>
      </c>
      <c r="T2495" s="19" t="s">
        <v>117</v>
      </c>
      <c r="U2495" s="20" t="s">
        <v>36</v>
      </c>
      <c r="V2495" s="21">
        <v>122</v>
      </c>
      <c r="W2495" s="21">
        <v>2</v>
      </c>
      <c r="X2495" s="22"/>
    </row>
    <row r="2496" spans="1:24" s="1" customFormat="1" ht="26.1" customHeight="1" x14ac:dyDescent="0.3">
      <c r="A2496" s="23" t="s">
        <v>3129</v>
      </c>
      <c r="B2496" s="23" t="s">
        <v>3137</v>
      </c>
      <c r="C2496" s="12" t="s">
        <v>3138</v>
      </c>
      <c r="D2496" s="85"/>
      <c r="E2496" s="69" t="str">
        <f>HYPERLINK("https://www.google.ru/search?q=741401-5005&amp;newwindow=1&amp;tbm=isch","Еще фото")</f>
        <v>Еще фото</v>
      </c>
      <c r="F2496" s="13"/>
      <c r="G2496" s="23" t="s">
        <v>28</v>
      </c>
      <c r="H2496" s="23" t="s">
        <v>27</v>
      </c>
      <c r="I2496" s="23" t="s">
        <v>28</v>
      </c>
      <c r="J2496" s="14" t="s">
        <v>29</v>
      </c>
      <c r="K2496" s="15" t="s">
        <v>30</v>
      </c>
      <c r="L2496" s="88"/>
      <c r="M2496" s="14"/>
      <c r="N2496" s="14" t="s">
        <v>275</v>
      </c>
      <c r="O2496" s="14"/>
      <c r="P2496" s="15" t="s">
        <v>3140</v>
      </c>
      <c r="Q2496" s="16">
        <v>4299</v>
      </c>
      <c r="R2496" s="17">
        <v>45</v>
      </c>
      <c r="S2496" s="18">
        <v>2719.1174999999994</v>
      </c>
      <c r="T2496" s="19" t="s">
        <v>117</v>
      </c>
      <c r="U2496" s="20" t="s">
        <v>37</v>
      </c>
      <c r="V2496" s="21">
        <v>128</v>
      </c>
      <c r="W2496" s="21">
        <v>3</v>
      </c>
      <c r="X2496" s="22"/>
    </row>
    <row r="2497" spans="1:24" s="1" customFormat="1" ht="17.100000000000001" customHeight="1" x14ac:dyDescent="0.3">
      <c r="A2497" s="11" t="s">
        <v>3129</v>
      </c>
      <c r="B2497" s="11" t="s">
        <v>3137</v>
      </c>
      <c r="C2497" s="12" t="s">
        <v>3141</v>
      </c>
      <c r="D2497" s="83"/>
      <c r="E2497" s="69" t="str">
        <f t="shared" ref="E2497:E2502" si="94">HYPERLINK("https://www.google.ru/search?q=741401-7850&amp;newwindow=1&amp;tbm=isch","Еще фото")</f>
        <v>Еще фото</v>
      </c>
      <c r="F2497" s="13"/>
      <c r="G2497" s="11" t="s">
        <v>28</v>
      </c>
      <c r="H2497" s="11" t="s">
        <v>27</v>
      </c>
      <c r="I2497" s="14" t="s">
        <v>28</v>
      </c>
      <c r="J2497" s="14" t="s">
        <v>29</v>
      </c>
      <c r="K2497" s="15" t="s">
        <v>30</v>
      </c>
      <c r="L2497" s="86" t="s">
        <v>3139</v>
      </c>
      <c r="M2497" s="14"/>
      <c r="N2497" s="14" t="s">
        <v>70</v>
      </c>
      <c r="O2497" s="14"/>
      <c r="P2497" s="15" t="s">
        <v>3140</v>
      </c>
      <c r="Q2497" s="16">
        <v>4299</v>
      </c>
      <c r="R2497" s="17">
        <v>45</v>
      </c>
      <c r="S2497" s="18">
        <v>2719.1174999999994</v>
      </c>
      <c r="T2497" s="19" t="s">
        <v>117</v>
      </c>
      <c r="U2497" s="20" t="s">
        <v>2961</v>
      </c>
      <c r="V2497" s="21">
        <v>98</v>
      </c>
      <c r="W2497" s="21">
        <v>2</v>
      </c>
      <c r="X2497" s="22"/>
    </row>
    <row r="2498" spans="1:24" s="1" customFormat="1" ht="17.100000000000001" customHeight="1" x14ac:dyDescent="0.3">
      <c r="A2498" s="23" t="s">
        <v>3129</v>
      </c>
      <c r="B2498" s="23" t="s">
        <v>3137</v>
      </c>
      <c r="C2498" s="12" t="s">
        <v>3141</v>
      </c>
      <c r="D2498" s="84"/>
      <c r="E2498" s="69" t="str">
        <f t="shared" si="94"/>
        <v>Еще фото</v>
      </c>
      <c r="F2498" s="13"/>
      <c r="G2498" s="23" t="s">
        <v>28</v>
      </c>
      <c r="H2498" s="23" t="s">
        <v>27</v>
      </c>
      <c r="I2498" s="23" t="s">
        <v>28</v>
      </c>
      <c r="J2498" s="14" t="s">
        <v>29</v>
      </c>
      <c r="K2498" s="15" t="s">
        <v>30</v>
      </c>
      <c r="L2498" s="87"/>
      <c r="M2498" s="14"/>
      <c r="N2498" s="14" t="s">
        <v>70</v>
      </c>
      <c r="O2498" s="14"/>
      <c r="P2498" s="15" t="s">
        <v>3140</v>
      </c>
      <c r="Q2498" s="16">
        <v>4299</v>
      </c>
      <c r="R2498" s="17">
        <v>45</v>
      </c>
      <c r="S2498" s="18">
        <v>2719.1174999999994</v>
      </c>
      <c r="T2498" s="19" t="s">
        <v>117</v>
      </c>
      <c r="U2498" s="20" t="s">
        <v>94</v>
      </c>
      <c r="V2498" s="21">
        <v>104</v>
      </c>
      <c r="W2498" s="21">
        <v>1</v>
      </c>
      <c r="X2498" s="22"/>
    </row>
    <row r="2499" spans="1:24" s="1" customFormat="1" ht="17.100000000000001" customHeight="1" x14ac:dyDescent="0.3">
      <c r="A2499" s="23" t="s">
        <v>3129</v>
      </c>
      <c r="B2499" s="23" t="s">
        <v>3137</v>
      </c>
      <c r="C2499" s="12" t="s">
        <v>3141</v>
      </c>
      <c r="D2499" s="84"/>
      <c r="E2499" s="69" t="str">
        <f t="shared" si="94"/>
        <v>Еще фото</v>
      </c>
      <c r="F2499" s="13"/>
      <c r="G2499" s="23" t="s">
        <v>28</v>
      </c>
      <c r="H2499" s="23" t="s">
        <v>27</v>
      </c>
      <c r="I2499" s="23" t="s">
        <v>28</v>
      </c>
      <c r="J2499" s="14" t="s">
        <v>29</v>
      </c>
      <c r="K2499" s="15" t="s">
        <v>30</v>
      </c>
      <c r="L2499" s="87"/>
      <c r="M2499" s="14"/>
      <c r="N2499" s="14" t="s">
        <v>70</v>
      </c>
      <c r="O2499" s="14"/>
      <c r="P2499" s="15" t="s">
        <v>3140</v>
      </c>
      <c r="Q2499" s="16">
        <v>4299</v>
      </c>
      <c r="R2499" s="17">
        <v>45</v>
      </c>
      <c r="S2499" s="18">
        <v>2719.1174999999994</v>
      </c>
      <c r="T2499" s="19" t="s">
        <v>117</v>
      </c>
      <c r="U2499" s="20" t="s">
        <v>43</v>
      </c>
      <c r="V2499" s="21">
        <v>110</v>
      </c>
      <c r="W2499" s="21">
        <v>1</v>
      </c>
      <c r="X2499" s="22"/>
    </row>
    <row r="2500" spans="1:24" s="1" customFormat="1" ht="17.100000000000001" customHeight="1" x14ac:dyDescent="0.3">
      <c r="A2500" s="23" t="s">
        <v>3129</v>
      </c>
      <c r="B2500" s="23" t="s">
        <v>3137</v>
      </c>
      <c r="C2500" s="12" t="s">
        <v>3141</v>
      </c>
      <c r="D2500" s="84"/>
      <c r="E2500" s="69" t="str">
        <f t="shared" si="94"/>
        <v>Еще фото</v>
      </c>
      <c r="F2500" s="13"/>
      <c r="G2500" s="23" t="s">
        <v>28</v>
      </c>
      <c r="H2500" s="23" t="s">
        <v>27</v>
      </c>
      <c r="I2500" s="23" t="s">
        <v>28</v>
      </c>
      <c r="J2500" s="14" t="s">
        <v>29</v>
      </c>
      <c r="K2500" s="15" t="s">
        <v>30</v>
      </c>
      <c r="L2500" s="87"/>
      <c r="M2500" s="14"/>
      <c r="N2500" s="14" t="s">
        <v>70</v>
      </c>
      <c r="O2500" s="14"/>
      <c r="P2500" s="15" t="s">
        <v>3140</v>
      </c>
      <c r="Q2500" s="16">
        <v>4299</v>
      </c>
      <c r="R2500" s="17">
        <v>45</v>
      </c>
      <c r="S2500" s="18">
        <v>2719.1174999999994</v>
      </c>
      <c r="T2500" s="19" t="s">
        <v>117</v>
      </c>
      <c r="U2500" s="20" t="s">
        <v>36</v>
      </c>
      <c r="V2500" s="21">
        <v>122</v>
      </c>
      <c r="W2500" s="21">
        <v>2</v>
      </c>
      <c r="X2500" s="22"/>
    </row>
    <row r="2501" spans="1:24" s="1" customFormat="1" ht="17.100000000000001" customHeight="1" x14ac:dyDescent="0.3">
      <c r="A2501" s="23" t="s">
        <v>3129</v>
      </c>
      <c r="B2501" s="23" t="s">
        <v>3137</v>
      </c>
      <c r="C2501" s="12" t="s">
        <v>3141</v>
      </c>
      <c r="D2501" s="84"/>
      <c r="E2501" s="69" t="str">
        <f t="shared" si="94"/>
        <v>Еще фото</v>
      </c>
      <c r="F2501" s="13"/>
      <c r="G2501" s="23" t="s">
        <v>28</v>
      </c>
      <c r="H2501" s="23" t="s">
        <v>27</v>
      </c>
      <c r="I2501" s="23" t="s">
        <v>28</v>
      </c>
      <c r="J2501" s="14" t="s">
        <v>29</v>
      </c>
      <c r="K2501" s="15" t="s">
        <v>30</v>
      </c>
      <c r="L2501" s="87"/>
      <c r="M2501" s="14"/>
      <c r="N2501" s="14" t="s">
        <v>70</v>
      </c>
      <c r="O2501" s="14"/>
      <c r="P2501" s="15" t="s">
        <v>3140</v>
      </c>
      <c r="Q2501" s="16">
        <v>4299</v>
      </c>
      <c r="R2501" s="17">
        <v>45</v>
      </c>
      <c r="S2501" s="18">
        <v>2719.1174999999994</v>
      </c>
      <c r="T2501" s="19" t="s">
        <v>117</v>
      </c>
      <c r="U2501" s="20" t="s">
        <v>37</v>
      </c>
      <c r="V2501" s="21">
        <v>128</v>
      </c>
      <c r="W2501" s="21">
        <v>1</v>
      </c>
      <c r="X2501" s="22"/>
    </row>
    <row r="2502" spans="1:24" s="1" customFormat="1" ht="21.95" customHeight="1" x14ac:dyDescent="0.3">
      <c r="A2502" s="23" t="s">
        <v>3129</v>
      </c>
      <c r="B2502" s="23" t="s">
        <v>3137</v>
      </c>
      <c r="C2502" s="12" t="s">
        <v>3141</v>
      </c>
      <c r="D2502" s="85"/>
      <c r="E2502" s="69" t="str">
        <f t="shared" si="94"/>
        <v>Еще фото</v>
      </c>
      <c r="F2502" s="13"/>
      <c r="G2502" s="23" t="s">
        <v>28</v>
      </c>
      <c r="H2502" s="23" t="s">
        <v>27</v>
      </c>
      <c r="I2502" s="23" t="s">
        <v>28</v>
      </c>
      <c r="J2502" s="14" t="s">
        <v>29</v>
      </c>
      <c r="K2502" s="15" t="s">
        <v>30</v>
      </c>
      <c r="L2502" s="88"/>
      <c r="M2502" s="14"/>
      <c r="N2502" s="14" t="s">
        <v>70</v>
      </c>
      <c r="O2502" s="14"/>
      <c r="P2502" s="15" t="s">
        <v>3140</v>
      </c>
      <c r="Q2502" s="16">
        <v>4299</v>
      </c>
      <c r="R2502" s="17">
        <v>45</v>
      </c>
      <c r="S2502" s="18">
        <v>2719.1174999999994</v>
      </c>
      <c r="T2502" s="19" t="s">
        <v>117</v>
      </c>
      <c r="U2502" s="20" t="s">
        <v>91</v>
      </c>
      <c r="V2502" s="21">
        <v>134</v>
      </c>
      <c r="W2502" s="21">
        <v>2</v>
      </c>
      <c r="X2502" s="22"/>
    </row>
    <row r="2503" spans="1:24" s="1" customFormat="1" ht="51.95" customHeight="1" x14ac:dyDescent="0.3">
      <c r="A2503" s="11" t="s">
        <v>3014</v>
      </c>
      <c r="B2503" s="11" t="s">
        <v>3142</v>
      </c>
      <c r="C2503" s="12" t="s">
        <v>3143</v>
      </c>
      <c r="D2503" s="89"/>
      <c r="E2503" s="69" t="str">
        <f>HYPERLINK("https://www.google.ru/search?q=7200088A-0920&amp;newwindow=1&amp;tbm=isch","Еще фото")</f>
        <v>Еще фото</v>
      </c>
      <c r="F2503" s="13"/>
      <c r="G2503" s="11" t="s">
        <v>111</v>
      </c>
      <c r="H2503" s="11" t="s">
        <v>112</v>
      </c>
      <c r="I2503" s="14" t="s">
        <v>113</v>
      </c>
      <c r="J2503" s="14" t="s">
        <v>29</v>
      </c>
      <c r="K2503" s="15" t="s">
        <v>30</v>
      </c>
      <c r="L2503" s="86" t="s">
        <v>3144</v>
      </c>
      <c r="M2503" s="14"/>
      <c r="N2503" s="14" t="s">
        <v>326</v>
      </c>
      <c r="O2503" s="14"/>
      <c r="P2503" s="15" t="s">
        <v>76</v>
      </c>
      <c r="Q2503" s="16">
        <v>2099</v>
      </c>
      <c r="R2503" s="17">
        <v>48</v>
      </c>
      <c r="S2503" s="18">
        <v>1255.202</v>
      </c>
      <c r="T2503" s="19" t="s">
        <v>117</v>
      </c>
      <c r="U2503" s="20" t="s">
        <v>3145</v>
      </c>
      <c r="V2503" s="21">
        <v>42</v>
      </c>
      <c r="W2503" s="21">
        <v>3</v>
      </c>
      <c r="X2503" s="22"/>
    </row>
    <row r="2504" spans="1:24" s="1" customFormat="1" ht="60.95" customHeight="1" x14ac:dyDescent="0.3">
      <c r="A2504" s="23" t="s">
        <v>3014</v>
      </c>
      <c r="B2504" s="23" t="s">
        <v>3142</v>
      </c>
      <c r="C2504" s="12" t="s">
        <v>3143</v>
      </c>
      <c r="D2504" s="90"/>
      <c r="E2504" s="69" t="str">
        <f>HYPERLINK("https://www.google.ru/search?q=7200088A-0920&amp;newwindow=1&amp;tbm=isch","Еще фото")</f>
        <v>Еще фото</v>
      </c>
      <c r="F2504" s="13"/>
      <c r="G2504" s="23" t="s">
        <v>111</v>
      </c>
      <c r="H2504" s="23" t="s">
        <v>112</v>
      </c>
      <c r="I2504" s="23" t="s">
        <v>113</v>
      </c>
      <c r="J2504" s="14" t="s">
        <v>29</v>
      </c>
      <c r="K2504" s="15" t="s">
        <v>30</v>
      </c>
      <c r="L2504" s="88"/>
      <c r="M2504" s="14"/>
      <c r="N2504" s="14" t="s">
        <v>326</v>
      </c>
      <c r="O2504" s="14"/>
      <c r="P2504" s="15" t="s">
        <v>76</v>
      </c>
      <c r="Q2504" s="16">
        <v>2099</v>
      </c>
      <c r="R2504" s="17">
        <v>48</v>
      </c>
      <c r="S2504" s="18">
        <v>1255.202</v>
      </c>
      <c r="T2504" s="19" t="s">
        <v>117</v>
      </c>
      <c r="U2504" s="20" t="s">
        <v>3146</v>
      </c>
      <c r="V2504" s="21">
        <v>46</v>
      </c>
      <c r="W2504" s="21">
        <v>3</v>
      </c>
      <c r="X2504" s="22"/>
    </row>
    <row r="2505" spans="1:24" s="1" customFormat="1" ht="51.95" customHeight="1" x14ac:dyDescent="0.3">
      <c r="A2505" s="11" t="s">
        <v>3014</v>
      </c>
      <c r="B2505" s="11" t="s">
        <v>3142</v>
      </c>
      <c r="C2505" s="12" t="s">
        <v>3147</v>
      </c>
      <c r="D2505" s="89"/>
      <c r="E2505" s="69" t="str">
        <f>HYPERLINK("https://www.google.ru/search?q=7200088A-4380&amp;newwindow=1&amp;tbm=isch","Еще фото")</f>
        <v>Еще фото</v>
      </c>
      <c r="F2505" s="13"/>
      <c r="G2505" s="11" t="s">
        <v>111</v>
      </c>
      <c r="H2505" s="11" t="s">
        <v>112</v>
      </c>
      <c r="I2505" s="14" t="s">
        <v>113</v>
      </c>
      <c r="J2505" s="14" t="s">
        <v>29</v>
      </c>
      <c r="K2505" s="15" t="s">
        <v>30</v>
      </c>
      <c r="L2505" s="86" t="s">
        <v>3144</v>
      </c>
      <c r="M2505" s="14"/>
      <c r="N2505" s="14" t="s">
        <v>275</v>
      </c>
      <c r="O2505" s="14"/>
      <c r="P2505" s="15" t="s">
        <v>76</v>
      </c>
      <c r="Q2505" s="16">
        <v>2099</v>
      </c>
      <c r="R2505" s="17">
        <v>48</v>
      </c>
      <c r="S2505" s="18">
        <v>1255.202</v>
      </c>
      <c r="T2505" s="19" t="s">
        <v>117</v>
      </c>
      <c r="U2505" s="20" t="s">
        <v>3145</v>
      </c>
      <c r="V2505" s="21">
        <v>42</v>
      </c>
      <c r="W2505" s="21">
        <v>1</v>
      </c>
      <c r="X2505" s="22"/>
    </row>
    <row r="2506" spans="1:24" s="1" customFormat="1" ht="60.95" customHeight="1" x14ac:dyDescent="0.3">
      <c r="A2506" s="23" t="s">
        <v>3014</v>
      </c>
      <c r="B2506" s="23" t="s">
        <v>3142</v>
      </c>
      <c r="C2506" s="12" t="s">
        <v>3147</v>
      </c>
      <c r="D2506" s="90"/>
      <c r="E2506" s="69" t="str">
        <f>HYPERLINK("https://www.google.ru/search?q=7200088A-4380&amp;newwindow=1&amp;tbm=isch","Еще фото")</f>
        <v>Еще фото</v>
      </c>
      <c r="F2506" s="13"/>
      <c r="G2506" s="23" t="s">
        <v>111</v>
      </c>
      <c r="H2506" s="23" t="s">
        <v>112</v>
      </c>
      <c r="I2506" s="23" t="s">
        <v>113</v>
      </c>
      <c r="J2506" s="14" t="s">
        <v>29</v>
      </c>
      <c r="K2506" s="15" t="s">
        <v>30</v>
      </c>
      <c r="L2506" s="88"/>
      <c r="M2506" s="14"/>
      <c r="N2506" s="14" t="s">
        <v>275</v>
      </c>
      <c r="O2506" s="14"/>
      <c r="P2506" s="15" t="s">
        <v>76</v>
      </c>
      <c r="Q2506" s="16">
        <v>2099</v>
      </c>
      <c r="R2506" s="17">
        <v>48</v>
      </c>
      <c r="S2506" s="18">
        <v>1255.202</v>
      </c>
      <c r="T2506" s="19" t="s">
        <v>117</v>
      </c>
      <c r="U2506" s="20" t="s">
        <v>3146</v>
      </c>
      <c r="V2506" s="21">
        <v>46</v>
      </c>
      <c r="W2506" s="21">
        <v>3</v>
      </c>
      <c r="X2506" s="22"/>
    </row>
    <row r="2507" spans="1:24" s="1" customFormat="1" ht="35.1" customHeight="1" x14ac:dyDescent="0.3">
      <c r="A2507" s="11" t="s">
        <v>3014</v>
      </c>
      <c r="B2507" s="11" t="s">
        <v>3142</v>
      </c>
      <c r="C2507" s="12" t="s">
        <v>3148</v>
      </c>
      <c r="D2507" s="83"/>
      <c r="E2507" s="69" t="str">
        <f>HYPERLINK("https://www.google.ru/search?q=7200088A-6930&amp;newwindow=1&amp;tbm=isch","Еще фото")</f>
        <v>Еще фото</v>
      </c>
      <c r="F2507" s="13"/>
      <c r="G2507" s="11" t="s">
        <v>111</v>
      </c>
      <c r="H2507" s="11" t="s">
        <v>112</v>
      </c>
      <c r="I2507" s="14" t="s">
        <v>113</v>
      </c>
      <c r="J2507" s="14" t="s">
        <v>29</v>
      </c>
      <c r="K2507" s="15" t="s">
        <v>30</v>
      </c>
      <c r="L2507" s="86" t="s">
        <v>3144</v>
      </c>
      <c r="M2507" s="14"/>
      <c r="N2507" s="14" t="s">
        <v>70</v>
      </c>
      <c r="O2507" s="14"/>
      <c r="P2507" s="15" t="s">
        <v>76</v>
      </c>
      <c r="Q2507" s="16">
        <v>2099</v>
      </c>
      <c r="R2507" s="17">
        <v>48</v>
      </c>
      <c r="S2507" s="18">
        <v>1255.202</v>
      </c>
      <c r="T2507" s="19" t="s">
        <v>117</v>
      </c>
      <c r="U2507" s="20" t="s">
        <v>3145</v>
      </c>
      <c r="V2507" s="21">
        <v>42</v>
      </c>
      <c r="W2507" s="21">
        <v>2</v>
      </c>
      <c r="X2507" s="22"/>
    </row>
    <row r="2508" spans="1:24" s="1" customFormat="1" ht="35.1" customHeight="1" x14ac:dyDescent="0.3">
      <c r="A2508" s="23" t="s">
        <v>3014</v>
      </c>
      <c r="B2508" s="23" t="s">
        <v>3142</v>
      </c>
      <c r="C2508" s="12" t="s">
        <v>3148</v>
      </c>
      <c r="D2508" s="84"/>
      <c r="E2508" s="69" t="str">
        <f>HYPERLINK("https://www.google.ru/search?q=7200088A-6930&amp;newwindow=1&amp;tbm=isch","Еще фото")</f>
        <v>Еще фото</v>
      </c>
      <c r="F2508" s="13"/>
      <c r="G2508" s="23" t="s">
        <v>111</v>
      </c>
      <c r="H2508" s="23" t="s">
        <v>112</v>
      </c>
      <c r="I2508" s="23" t="s">
        <v>113</v>
      </c>
      <c r="J2508" s="14" t="s">
        <v>29</v>
      </c>
      <c r="K2508" s="15" t="s">
        <v>30</v>
      </c>
      <c r="L2508" s="87"/>
      <c r="M2508" s="14"/>
      <c r="N2508" s="14" t="s">
        <v>70</v>
      </c>
      <c r="O2508" s="14"/>
      <c r="P2508" s="15" t="s">
        <v>76</v>
      </c>
      <c r="Q2508" s="16">
        <v>2099</v>
      </c>
      <c r="R2508" s="17">
        <v>48</v>
      </c>
      <c r="S2508" s="18">
        <v>1255.202</v>
      </c>
      <c r="T2508" s="19" t="s">
        <v>117</v>
      </c>
      <c r="U2508" s="20" t="s">
        <v>3146</v>
      </c>
      <c r="V2508" s="21">
        <v>46</v>
      </c>
      <c r="W2508" s="21">
        <v>2</v>
      </c>
      <c r="X2508" s="22"/>
    </row>
    <row r="2509" spans="1:24" s="1" customFormat="1" ht="36.950000000000003" customHeight="1" x14ac:dyDescent="0.3">
      <c r="A2509" s="23" t="s">
        <v>3014</v>
      </c>
      <c r="B2509" s="23" t="s">
        <v>3142</v>
      </c>
      <c r="C2509" s="12" t="s">
        <v>3148</v>
      </c>
      <c r="D2509" s="85"/>
      <c r="E2509" s="69" t="str">
        <f>HYPERLINK("https://www.google.ru/search?q=7200088A-6930&amp;newwindow=1&amp;tbm=isch","Еще фото")</f>
        <v>Еще фото</v>
      </c>
      <c r="F2509" s="13"/>
      <c r="G2509" s="23" t="s">
        <v>111</v>
      </c>
      <c r="H2509" s="23" t="s">
        <v>112</v>
      </c>
      <c r="I2509" s="23" t="s">
        <v>113</v>
      </c>
      <c r="J2509" s="14" t="s">
        <v>29</v>
      </c>
      <c r="K2509" s="15" t="s">
        <v>30</v>
      </c>
      <c r="L2509" s="88"/>
      <c r="M2509" s="14"/>
      <c r="N2509" s="14" t="s">
        <v>70</v>
      </c>
      <c r="O2509" s="14"/>
      <c r="P2509" s="15" t="s">
        <v>76</v>
      </c>
      <c r="Q2509" s="16">
        <v>2099</v>
      </c>
      <c r="R2509" s="17">
        <v>48</v>
      </c>
      <c r="S2509" s="18">
        <v>1255.202</v>
      </c>
      <c r="T2509" s="19" t="s">
        <v>117</v>
      </c>
      <c r="U2509" s="20" t="s">
        <v>728</v>
      </c>
      <c r="V2509" s="21">
        <v>50</v>
      </c>
      <c r="W2509" s="21">
        <v>1</v>
      </c>
      <c r="X2509" s="22"/>
    </row>
    <row r="2510" spans="1:24" s="1" customFormat="1" ht="35.1" customHeight="1" x14ac:dyDescent="0.3">
      <c r="A2510" s="11" t="s">
        <v>3029</v>
      </c>
      <c r="B2510" s="11" t="s">
        <v>3149</v>
      </c>
      <c r="C2510" s="12" t="s">
        <v>3150</v>
      </c>
      <c r="D2510" s="83"/>
      <c r="E2510" s="69" t="str">
        <f>HYPERLINK("https://www.google.ru/search?q=162233-4535&amp;newwindow=1&amp;tbm=isch","Еще фото")</f>
        <v>Еще фото</v>
      </c>
      <c r="F2510" s="13"/>
      <c r="G2510" s="11" t="s">
        <v>3151</v>
      </c>
      <c r="H2510" s="11" t="s">
        <v>112</v>
      </c>
      <c r="I2510" s="14" t="s">
        <v>113</v>
      </c>
      <c r="J2510" s="14" t="s">
        <v>29</v>
      </c>
      <c r="K2510" s="15" t="s">
        <v>30</v>
      </c>
      <c r="L2510" s="86" t="s">
        <v>3152</v>
      </c>
      <c r="M2510" s="14"/>
      <c r="N2510" s="14" t="s">
        <v>275</v>
      </c>
      <c r="O2510" s="14"/>
      <c r="P2510" s="15" t="s">
        <v>3032</v>
      </c>
      <c r="Q2510" s="16">
        <v>1999</v>
      </c>
      <c r="R2510" s="17">
        <v>45</v>
      </c>
      <c r="S2510" s="18">
        <v>1264.3675000000001</v>
      </c>
      <c r="T2510" s="19" t="s">
        <v>117</v>
      </c>
      <c r="U2510" s="20" t="s">
        <v>1257</v>
      </c>
      <c r="V2510" s="21">
        <v>48</v>
      </c>
      <c r="W2510" s="21">
        <v>4</v>
      </c>
      <c r="X2510" s="22"/>
    </row>
    <row r="2511" spans="1:24" s="1" customFormat="1" ht="35.1" customHeight="1" x14ac:dyDescent="0.3">
      <c r="A2511" s="23" t="s">
        <v>3029</v>
      </c>
      <c r="B2511" s="23" t="s">
        <v>3149</v>
      </c>
      <c r="C2511" s="12" t="s">
        <v>3150</v>
      </c>
      <c r="D2511" s="84"/>
      <c r="E2511" s="69" t="str">
        <f>HYPERLINK("https://www.google.ru/search?q=162233-4535&amp;newwindow=1&amp;tbm=isch","Еще фото")</f>
        <v>Еще фото</v>
      </c>
      <c r="F2511" s="13"/>
      <c r="G2511" s="23" t="s">
        <v>3151</v>
      </c>
      <c r="H2511" s="23" t="s">
        <v>112</v>
      </c>
      <c r="I2511" s="23" t="s">
        <v>113</v>
      </c>
      <c r="J2511" s="14" t="s">
        <v>29</v>
      </c>
      <c r="K2511" s="15" t="s">
        <v>30</v>
      </c>
      <c r="L2511" s="87"/>
      <c r="M2511" s="14"/>
      <c r="N2511" s="14" t="s">
        <v>275</v>
      </c>
      <c r="O2511" s="14"/>
      <c r="P2511" s="15" t="s">
        <v>3032</v>
      </c>
      <c r="Q2511" s="16">
        <v>1999</v>
      </c>
      <c r="R2511" s="17">
        <v>45</v>
      </c>
      <c r="S2511" s="18">
        <v>1264.3675000000001</v>
      </c>
      <c r="T2511" s="19" t="s">
        <v>117</v>
      </c>
      <c r="U2511" s="20" t="s">
        <v>104</v>
      </c>
      <c r="V2511" s="21">
        <v>50</v>
      </c>
      <c r="W2511" s="21">
        <v>2</v>
      </c>
      <c r="X2511" s="22"/>
    </row>
    <row r="2512" spans="1:24" s="1" customFormat="1" ht="36.950000000000003" customHeight="1" x14ac:dyDescent="0.3">
      <c r="A2512" s="23" t="s">
        <v>3029</v>
      </c>
      <c r="B2512" s="23" t="s">
        <v>3149</v>
      </c>
      <c r="C2512" s="12" t="s">
        <v>3150</v>
      </c>
      <c r="D2512" s="85"/>
      <c r="E2512" s="69" t="str">
        <f>HYPERLINK("https://www.google.ru/search?q=162233-4535&amp;newwindow=1&amp;tbm=isch","Еще фото")</f>
        <v>Еще фото</v>
      </c>
      <c r="F2512" s="13"/>
      <c r="G2512" s="23" t="s">
        <v>3151</v>
      </c>
      <c r="H2512" s="23" t="s">
        <v>112</v>
      </c>
      <c r="I2512" s="23" t="s">
        <v>113</v>
      </c>
      <c r="J2512" s="14" t="s">
        <v>29</v>
      </c>
      <c r="K2512" s="15" t="s">
        <v>30</v>
      </c>
      <c r="L2512" s="88"/>
      <c r="M2512" s="14"/>
      <c r="N2512" s="14" t="s">
        <v>275</v>
      </c>
      <c r="O2512" s="14"/>
      <c r="P2512" s="15" t="s">
        <v>3032</v>
      </c>
      <c r="Q2512" s="16">
        <v>1999</v>
      </c>
      <c r="R2512" s="17">
        <v>45</v>
      </c>
      <c r="S2512" s="18">
        <v>1264.3675000000001</v>
      </c>
      <c r="T2512" s="19" t="s">
        <v>117</v>
      </c>
      <c r="U2512" s="20" t="s">
        <v>3153</v>
      </c>
      <c r="V2512" s="21">
        <v>52</v>
      </c>
      <c r="W2512" s="21">
        <v>3</v>
      </c>
      <c r="X2512" s="22"/>
    </row>
    <row r="2513" spans="1:24" s="1" customFormat="1" ht="35.1" customHeight="1" x14ac:dyDescent="0.3">
      <c r="A2513" s="11" t="s">
        <v>3029</v>
      </c>
      <c r="B2513" s="11" t="s">
        <v>3149</v>
      </c>
      <c r="C2513" s="12" t="s">
        <v>3154</v>
      </c>
      <c r="D2513" s="83"/>
      <c r="E2513" s="69" t="str">
        <f>HYPERLINK("https://www.google.ru/search?q=162233-5416&amp;newwindow=1&amp;tbm=isch","Еще фото")</f>
        <v>Еще фото</v>
      </c>
      <c r="F2513" s="13"/>
      <c r="G2513" s="11" t="s">
        <v>3151</v>
      </c>
      <c r="H2513" s="11" t="s">
        <v>112</v>
      </c>
      <c r="I2513" s="14" t="s">
        <v>113</v>
      </c>
      <c r="J2513" s="14" t="s">
        <v>29</v>
      </c>
      <c r="K2513" s="15" t="s">
        <v>30</v>
      </c>
      <c r="L2513" s="86" t="s">
        <v>3152</v>
      </c>
      <c r="M2513" s="14"/>
      <c r="N2513" s="14" t="s">
        <v>275</v>
      </c>
      <c r="O2513" s="14"/>
      <c r="P2513" s="15" t="s">
        <v>3032</v>
      </c>
      <c r="Q2513" s="16">
        <v>1999</v>
      </c>
      <c r="R2513" s="17">
        <v>45</v>
      </c>
      <c r="S2513" s="18">
        <v>1264.3675000000001</v>
      </c>
      <c r="T2513" s="19" t="s">
        <v>117</v>
      </c>
      <c r="U2513" s="20" t="s">
        <v>104</v>
      </c>
      <c r="V2513" s="21">
        <v>50</v>
      </c>
      <c r="W2513" s="21">
        <v>2</v>
      </c>
      <c r="X2513" s="22"/>
    </row>
    <row r="2514" spans="1:24" s="1" customFormat="1" ht="35.1" customHeight="1" x14ac:dyDescent="0.3">
      <c r="A2514" s="23" t="s">
        <v>3029</v>
      </c>
      <c r="B2514" s="23" t="s">
        <v>3149</v>
      </c>
      <c r="C2514" s="12" t="s">
        <v>3154</v>
      </c>
      <c r="D2514" s="84"/>
      <c r="E2514" s="69" t="str">
        <f>HYPERLINK("https://www.google.ru/search?q=162233-5416&amp;newwindow=1&amp;tbm=isch","Еще фото")</f>
        <v>Еще фото</v>
      </c>
      <c r="F2514" s="13"/>
      <c r="G2514" s="23" t="s">
        <v>3151</v>
      </c>
      <c r="H2514" s="23" t="s">
        <v>112</v>
      </c>
      <c r="I2514" s="23" t="s">
        <v>113</v>
      </c>
      <c r="J2514" s="14" t="s">
        <v>29</v>
      </c>
      <c r="K2514" s="15" t="s">
        <v>30</v>
      </c>
      <c r="L2514" s="87"/>
      <c r="M2514" s="14"/>
      <c r="N2514" s="14" t="s">
        <v>275</v>
      </c>
      <c r="O2514" s="14"/>
      <c r="P2514" s="15" t="s">
        <v>3032</v>
      </c>
      <c r="Q2514" s="16">
        <v>1999</v>
      </c>
      <c r="R2514" s="17">
        <v>45</v>
      </c>
      <c r="S2514" s="18">
        <v>1264.3675000000001</v>
      </c>
      <c r="T2514" s="19" t="s">
        <v>117</v>
      </c>
      <c r="U2514" s="20" t="s">
        <v>3153</v>
      </c>
      <c r="V2514" s="21">
        <v>52</v>
      </c>
      <c r="W2514" s="21">
        <v>2</v>
      </c>
      <c r="X2514" s="22"/>
    </row>
    <row r="2515" spans="1:24" s="1" customFormat="1" ht="36.950000000000003" customHeight="1" x14ac:dyDescent="0.3">
      <c r="A2515" s="23" t="s">
        <v>3029</v>
      </c>
      <c r="B2515" s="23" t="s">
        <v>3149</v>
      </c>
      <c r="C2515" s="12" t="s">
        <v>3154</v>
      </c>
      <c r="D2515" s="85"/>
      <c r="E2515" s="69" t="str">
        <f>HYPERLINK("https://www.google.ru/search?q=162233-5416&amp;newwindow=1&amp;tbm=isch","Еще фото")</f>
        <v>Еще фото</v>
      </c>
      <c r="F2515" s="13"/>
      <c r="G2515" s="23" t="s">
        <v>3151</v>
      </c>
      <c r="H2515" s="23" t="s">
        <v>112</v>
      </c>
      <c r="I2515" s="23" t="s">
        <v>113</v>
      </c>
      <c r="J2515" s="14" t="s">
        <v>29</v>
      </c>
      <c r="K2515" s="15" t="s">
        <v>30</v>
      </c>
      <c r="L2515" s="88"/>
      <c r="M2515" s="14"/>
      <c r="N2515" s="14" t="s">
        <v>275</v>
      </c>
      <c r="O2515" s="14"/>
      <c r="P2515" s="15" t="s">
        <v>3032</v>
      </c>
      <c r="Q2515" s="16">
        <v>1999</v>
      </c>
      <c r="R2515" s="17">
        <v>45</v>
      </c>
      <c r="S2515" s="18">
        <v>1264.3675000000001</v>
      </c>
      <c r="T2515" s="19" t="s">
        <v>117</v>
      </c>
      <c r="U2515" s="20" t="s">
        <v>3155</v>
      </c>
      <c r="V2515" s="21">
        <v>54</v>
      </c>
      <c r="W2515" s="21">
        <v>3</v>
      </c>
      <c r="X2515" s="22"/>
    </row>
    <row r="2516" spans="1:24" s="1" customFormat="1" ht="108" customHeight="1" x14ac:dyDescent="0.3">
      <c r="A2516" s="11" t="s">
        <v>3014</v>
      </c>
      <c r="B2516" s="11" t="s">
        <v>3156</v>
      </c>
      <c r="C2516" s="12" t="s">
        <v>3157</v>
      </c>
      <c r="D2516" s="24"/>
      <c r="E2516" s="69" t="str">
        <f>HYPERLINK("https://www.google.ru/search?q=7300057A-6960&amp;newwindow=1&amp;tbm=isch","Еще фото")</f>
        <v>Еще фото</v>
      </c>
      <c r="F2516" s="13"/>
      <c r="G2516" s="11" t="s">
        <v>111</v>
      </c>
      <c r="H2516" s="11" t="s">
        <v>112</v>
      </c>
      <c r="I2516" s="14" t="s">
        <v>113</v>
      </c>
      <c r="J2516" s="14" t="s">
        <v>29</v>
      </c>
      <c r="K2516" s="15" t="s">
        <v>30</v>
      </c>
      <c r="L2516" s="14" t="s">
        <v>3158</v>
      </c>
      <c r="M2516" s="14"/>
      <c r="N2516" s="14" t="s">
        <v>70</v>
      </c>
      <c r="O2516" s="14"/>
      <c r="P2516" s="15" t="s">
        <v>3159</v>
      </c>
      <c r="Q2516" s="16">
        <v>1399</v>
      </c>
      <c r="R2516" s="17">
        <v>45</v>
      </c>
      <c r="S2516" s="29">
        <v>884.86749999999995</v>
      </c>
      <c r="T2516" s="19" t="s">
        <v>117</v>
      </c>
      <c r="U2516" s="20" t="s">
        <v>3145</v>
      </c>
      <c r="V2516" s="21">
        <v>42</v>
      </c>
      <c r="W2516" s="21">
        <v>1</v>
      </c>
      <c r="X2516" s="22"/>
    </row>
    <row r="2517" spans="1:24" s="1" customFormat="1" ht="51.95" customHeight="1" x14ac:dyDescent="0.3">
      <c r="A2517" s="11" t="s">
        <v>3014</v>
      </c>
      <c r="B2517" s="11" t="s">
        <v>3160</v>
      </c>
      <c r="C2517" s="12" t="s">
        <v>3161</v>
      </c>
      <c r="D2517" s="89"/>
      <c r="E2517" s="69" t="str">
        <f>HYPERLINK("https://www.google.ru/search?q=73304402-0160&amp;newwindow=1&amp;tbm=isch","Еще фото")</f>
        <v>Еще фото</v>
      </c>
      <c r="F2517" s="13"/>
      <c r="G2517" s="11" t="s">
        <v>111</v>
      </c>
      <c r="H2517" s="11" t="s">
        <v>112</v>
      </c>
      <c r="I2517" s="14" t="s">
        <v>113</v>
      </c>
      <c r="J2517" s="14" t="s">
        <v>29</v>
      </c>
      <c r="K2517" s="15" t="s">
        <v>30</v>
      </c>
      <c r="L2517" s="86" t="s">
        <v>3162</v>
      </c>
      <c r="M2517" s="14"/>
      <c r="N2517" s="14" t="s">
        <v>326</v>
      </c>
      <c r="O2517" s="14"/>
      <c r="P2517" s="15" t="s">
        <v>76</v>
      </c>
      <c r="Q2517" s="16">
        <v>1999</v>
      </c>
      <c r="R2517" s="17">
        <v>45</v>
      </c>
      <c r="S2517" s="18">
        <v>1264.3675000000001</v>
      </c>
      <c r="T2517" s="19" t="s">
        <v>117</v>
      </c>
      <c r="U2517" s="20" t="s">
        <v>3163</v>
      </c>
      <c r="V2517" s="21">
        <v>52</v>
      </c>
      <c r="W2517" s="21">
        <v>5</v>
      </c>
      <c r="X2517" s="22"/>
    </row>
    <row r="2518" spans="1:24" s="1" customFormat="1" ht="60.95" customHeight="1" x14ac:dyDescent="0.3">
      <c r="A2518" s="23" t="s">
        <v>3014</v>
      </c>
      <c r="B2518" s="23" t="s">
        <v>3160</v>
      </c>
      <c r="C2518" s="12" t="s">
        <v>3161</v>
      </c>
      <c r="D2518" s="90"/>
      <c r="E2518" s="69" t="str">
        <f>HYPERLINK("https://www.google.ru/search?q=73304402-0160&amp;newwindow=1&amp;tbm=isch","Еще фото")</f>
        <v>Еще фото</v>
      </c>
      <c r="F2518" s="13"/>
      <c r="G2518" s="23" t="s">
        <v>111</v>
      </c>
      <c r="H2518" s="23" t="s">
        <v>112</v>
      </c>
      <c r="I2518" s="23" t="s">
        <v>113</v>
      </c>
      <c r="J2518" s="14" t="s">
        <v>29</v>
      </c>
      <c r="K2518" s="15" t="s">
        <v>30</v>
      </c>
      <c r="L2518" s="88"/>
      <c r="M2518" s="14"/>
      <c r="N2518" s="14" t="s">
        <v>326</v>
      </c>
      <c r="O2518" s="14"/>
      <c r="P2518" s="15" t="s">
        <v>76</v>
      </c>
      <c r="Q2518" s="16">
        <v>1999</v>
      </c>
      <c r="R2518" s="17">
        <v>45</v>
      </c>
      <c r="S2518" s="18">
        <v>1264.3675000000001</v>
      </c>
      <c r="T2518" s="19" t="s">
        <v>117</v>
      </c>
      <c r="U2518" s="20" t="s">
        <v>3164</v>
      </c>
      <c r="V2518" s="21">
        <v>48</v>
      </c>
      <c r="W2518" s="21">
        <v>2</v>
      </c>
      <c r="X2518" s="22"/>
    </row>
    <row r="2519" spans="1:24" s="1" customFormat="1" ht="108" customHeight="1" x14ac:dyDescent="0.3">
      <c r="A2519" s="11" t="s">
        <v>3165</v>
      </c>
      <c r="B2519" s="11" t="s">
        <v>3166</v>
      </c>
      <c r="C2519" s="12" t="s">
        <v>3167</v>
      </c>
      <c r="D2519" s="24"/>
      <c r="E2519" s="69" t="str">
        <f>HYPERLINK("https://www.google.ru/search?q=IG0IG01239-1BJ&amp;newwindow=1&amp;tbm=isch","Еще фото")</f>
        <v>Еще фото</v>
      </c>
      <c r="F2519" s="13"/>
      <c r="G2519" s="11" t="s">
        <v>137</v>
      </c>
      <c r="H2519" s="11" t="s">
        <v>27</v>
      </c>
      <c r="I2519" s="14" t="s">
        <v>137</v>
      </c>
      <c r="J2519" s="14" t="s">
        <v>138</v>
      </c>
      <c r="K2519" s="15" t="s">
        <v>30</v>
      </c>
      <c r="L2519" s="14" t="s">
        <v>3168</v>
      </c>
      <c r="M2519" s="14"/>
      <c r="N2519" s="14" t="s">
        <v>3169</v>
      </c>
      <c r="O2519" s="14"/>
      <c r="P2519" s="15" t="s">
        <v>3170</v>
      </c>
      <c r="Q2519" s="16">
        <v>8199</v>
      </c>
      <c r="R2519" s="17">
        <v>74.41</v>
      </c>
      <c r="S2519" s="18">
        <v>2412.4354999999996</v>
      </c>
      <c r="T2519" s="19" t="s">
        <v>185</v>
      </c>
      <c r="U2519" s="20" t="s">
        <v>821</v>
      </c>
      <c r="V2519" s="25" t="s">
        <v>3171</v>
      </c>
      <c r="W2519" s="21">
        <v>2</v>
      </c>
      <c r="X2519" s="22"/>
    </row>
    <row r="2520" spans="1:24" s="1" customFormat="1" ht="11.1" customHeight="1" x14ac:dyDescent="0.3">
      <c r="A2520" s="11" t="s">
        <v>3029</v>
      </c>
      <c r="B2520" s="11" t="s">
        <v>143</v>
      </c>
      <c r="C2520" s="12" t="s">
        <v>3172</v>
      </c>
      <c r="D2520" s="83"/>
      <c r="E2520" s="69" t="str">
        <f t="shared" ref="E2520:E2530" si="95">HYPERLINK("https://www.google.ru/search?q=123406-7899&amp;newwindow=1&amp;tbm=isch","Еще фото")</f>
        <v>Еще фото</v>
      </c>
      <c r="F2520" s="13"/>
      <c r="G2520" s="11" t="s">
        <v>137</v>
      </c>
      <c r="H2520" s="11" t="s">
        <v>27</v>
      </c>
      <c r="I2520" s="14" t="s">
        <v>137</v>
      </c>
      <c r="J2520" s="14" t="s">
        <v>29</v>
      </c>
      <c r="K2520" s="15" t="s">
        <v>30</v>
      </c>
      <c r="L2520" s="86" t="s">
        <v>3173</v>
      </c>
      <c r="M2520" s="14"/>
      <c r="N2520" s="14" t="s">
        <v>70</v>
      </c>
      <c r="O2520" s="14"/>
      <c r="P2520" s="15" t="s">
        <v>3174</v>
      </c>
      <c r="Q2520" s="16">
        <v>3399</v>
      </c>
      <c r="R2520" s="17">
        <v>45</v>
      </c>
      <c r="S2520" s="18">
        <v>2149.8674999999998</v>
      </c>
      <c r="T2520" s="19" t="s">
        <v>117</v>
      </c>
      <c r="U2520" s="20" t="s">
        <v>196</v>
      </c>
      <c r="V2520" s="21">
        <v>86</v>
      </c>
      <c r="W2520" s="21">
        <v>4</v>
      </c>
      <c r="X2520" s="22"/>
    </row>
    <row r="2521" spans="1:24" s="1" customFormat="1" ht="11.1" customHeight="1" x14ac:dyDescent="0.3">
      <c r="A2521" s="23" t="s">
        <v>3029</v>
      </c>
      <c r="B2521" s="23" t="s">
        <v>143</v>
      </c>
      <c r="C2521" s="12" t="s">
        <v>3172</v>
      </c>
      <c r="D2521" s="84"/>
      <c r="E2521" s="69" t="str">
        <f t="shared" si="95"/>
        <v>Еще фото</v>
      </c>
      <c r="F2521" s="13"/>
      <c r="G2521" s="23" t="s">
        <v>137</v>
      </c>
      <c r="H2521" s="23" t="s">
        <v>27</v>
      </c>
      <c r="I2521" s="23" t="s">
        <v>137</v>
      </c>
      <c r="J2521" s="14" t="s">
        <v>29</v>
      </c>
      <c r="K2521" s="15" t="s">
        <v>30</v>
      </c>
      <c r="L2521" s="87"/>
      <c r="M2521" s="14"/>
      <c r="N2521" s="14" t="s">
        <v>70</v>
      </c>
      <c r="O2521" s="14"/>
      <c r="P2521" s="15" t="s">
        <v>3174</v>
      </c>
      <c r="Q2521" s="16">
        <v>3399</v>
      </c>
      <c r="R2521" s="17">
        <v>45</v>
      </c>
      <c r="S2521" s="18">
        <v>2149.8674999999998</v>
      </c>
      <c r="T2521" s="19" t="s">
        <v>117</v>
      </c>
      <c r="U2521" s="20" t="s">
        <v>77</v>
      </c>
      <c r="V2521" s="21">
        <v>92</v>
      </c>
      <c r="W2521" s="21">
        <v>3</v>
      </c>
      <c r="X2521" s="22"/>
    </row>
    <row r="2522" spans="1:24" s="1" customFormat="1" ht="11.1" customHeight="1" x14ac:dyDescent="0.3">
      <c r="A2522" s="23" t="s">
        <v>3029</v>
      </c>
      <c r="B2522" s="23" t="s">
        <v>143</v>
      </c>
      <c r="C2522" s="12" t="s">
        <v>3172</v>
      </c>
      <c r="D2522" s="84"/>
      <c r="E2522" s="69" t="str">
        <f t="shared" si="95"/>
        <v>Еще фото</v>
      </c>
      <c r="F2522" s="13"/>
      <c r="G2522" s="23" t="s">
        <v>137</v>
      </c>
      <c r="H2522" s="23" t="s">
        <v>27</v>
      </c>
      <c r="I2522" s="23" t="s">
        <v>137</v>
      </c>
      <c r="J2522" s="14" t="s">
        <v>29</v>
      </c>
      <c r="K2522" s="15" t="s">
        <v>30</v>
      </c>
      <c r="L2522" s="87"/>
      <c r="M2522" s="14"/>
      <c r="N2522" s="14" t="s">
        <v>70</v>
      </c>
      <c r="O2522" s="14"/>
      <c r="P2522" s="15" t="s">
        <v>3174</v>
      </c>
      <c r="Q2522" s="16">
        <v>3399</v>
      </c>
      <c r="R2522" s="17">
        <v>45</v>
      </c>
      <c r="S2522" s="18">
        <v>2149.8674999999998</v>
      </c>
      <c r="T2522" s="19" t="s">
        <v>117</v>
      </c>
      <c r="U2522" s="20" t="s">
        <v>78</v>
      </c>
      <c r="V2522" s="21">
        <v>98</v>
      </c>
      <c r="W2522" s="21">
        <v>4</v>
      </c>
      <c r="X2522" s="22"/>
    </row>
    <row r="2523" spans="1:24" s="1" customFormat="1" ht="11.1" customHeight="1" x14ac:dyDescent="0.3">
      <c r="A2523" s="23" t="s">
        <v>3029</v>
      </c>
      <c r="B2523" s="23" t="s">
        <v>143</v>
      </c>
      <c r="C2523" s="12" t="s">
        <v>3172</v>
      </c>
      <c r="D2523" s="84"/>
      <c r="E2523" s="69" t="str">
        <f t="shared" si="95"/>
        <v>Еще фото</v>
      </c>
      <c r="F2523" s="13"/>
      <c r="G2523" s="23" t="s">
        <v>137</v>
      </c>
      <c r="H2523" s="23" t="s">
        <v>27</v>
      </c>
      <c r="I2523" s="23" t="s">
        <v>137</v>
      </c>
      <c r="J2523" s="14" t="s">
        <v>29</v>
      </c>
      <c r="K2523" s="15" t="s">
        <v>30</v>
      </c>
      <c r="L2523" s="87"/>
      <c r="M2523" s="14"/>
      <c r="N2523" s="14" t="s">
        <v>70</v>
      </c>
      <c r="O2523" s="14"/>
      <c r="P2523" s="15" t="s">
        <v>3174</v>
      </c>
      <c r="Q2523" s="16">
        <v>3399</v>
      </c>
      <c r="R2523" s="17">
        <v>45</v>
      </c>
      <c r="S2523" s="18">
        <v>2149.8674999999998</v>
      </c>
      <c r="T2523" s="19" t="s">
        <v>117</v>
      </c>
      <c r="U2523" s="20" t="s">
        <v>94</v>
      </c>
      <c r="V2523" s="21">
        <v>104</v>
      </c>
      <c r="W2523" s="21">
        <v>3</v>
      </c>
      <c r="X2523" s="22"/>
    </row>
    <row r="2524" spans="1:24" s="1" customFormat="1" ht="11.1" customHeight="1" x14ac:dyDescent="0.3">
      <c r="A2524" s="23" t="s">
        <v>3029</v>
      </c>
      <c r="B2524" s="23" t="s">
        <v>143</v>
      </c>
      <c r="C2524" s="12" t="s">
        <v>3172</v>
      </c>
      <c r="D2524" s="84"/>
      <c r="E2524" s="69" t="str">
        <f t="shared" si="95"/>
        <v>Еще фото</v>
      </c>
      <c r="F2524" s="13"/>
      <c r="G2524" s="23" t="s">
        <v>137</v>
      </c>
      <c r="H2524" s="23" t="s">
        <v>27</v>
      </c>
      <c r="I2524" s="23" t="s">
        <v>137</v>
      </c>
      <c r="J2524" s="14" t="s">
        <v>29</v>
      </c>
      <c r="K2524" s="15" t="s">
        <v>30</v>
      </c>
      <c r="L2524" s="87"/>
      <c r="M2524" s="14"/>
      <c r="N2524" s="14" t="s">
        <v>70</v>
      </c>
      <c r="O2524" s="14"/>
      <c r="P2524" s="15" t="s">
        <v>3174</v>
      </c>
      <c r="Q2524" s="16">
        <v>3399</v>
      </c>
      <c r="R2524" s="17">
        <v>45</v>
      </c>
      <c r="S2524" s="18">
        <v>2149.8674999999998</v>
      </c>
      <c r="T2524" s="19" t="s">
        <v>117</v>
      </c>
      <c r="U2524" s="20" t="s">
        <v>43</v>
      </c>
      <c r="V2524" s="21">
        <v>110</v>
      </c>
      <c r="W2524" s="21">
        <v>8</v>
      </c>
      <c r="X2524" s="22"/>
    </row>
    <row r="2525" spans="1:24" s="1" customFormat="1" ht="11.1" customHeight="1" x14ac:dyDescent="0.3">
      <c r="A2525" s="23" t="s">
        <v>3029</v>
      </c>
      <c r="B2525" s="23" t="s">
        <v>143</v>
      </c>
      <c r="C2525" s="12" t="s">
        <v>3172</v>
      </c>
      <c r="D2525" s="84"/>
      <c r="E2525" s="69" t="str">
        <f t="shared" si="95"/>
        <v>Еще фото</v>
      </c>
      <c r="F2525" s="13"/>
      <c r="G2525" s="23" t="s">
        <v>137</v>
      </c>
      <c r="H2525" s="23" t="s">
        <v>27</v>
      </c>
      <c r="I2525" s="23" t="s">
        <v>137</v>
      </c>
      <c r="J2525" s="14" t="s">
        <v>29</v>
      </c>
      <c r="K2525" s="15" t="s">
        <v>30</v>
      </c>
      <c r="L2525" s="87"/>
      <c r="M2525" s="14"/>
      <c r="N2525" s="14" t="s">
        <v>70</v>
      </c>
      <c r="O2525" s="14"/>
      <c r="P2525" s="15" t="s">
        <v>3174</v>
      </c>
      <c r="Q2525" s="16">
        <v>3399</v>
      </c>
      <c r="R2525" s="17">
        <v>45</v>
      </c>
      <c r="S2525" s="18">
        <v>2149.8674999999998</v>
      </c>
      <c r="T2525" s="19" t="s">
        <v>117</v>
      </c>
      <c r="U2525" s="20" t="s">
        <v>35</v>
      </c>
      <c r="V2525" s="21">
        <v>116</v>
      </c>
      <c r="W2525" s="21">
        <v>7</v>
      </c>
      <c r="X2525" s="22"/>
    </row>
    <row r="2526" spans="1:24" s="1" customFormat="1" ht="11.1" customHeight="1" x14ac:dyDescent="0.3">
      <c r="A2526" s="23" t="s">
        <v>3029</v>
      </c>
      <c r="B2526" s="23" t="s">
        <v>143</v>
      </c>
      <c r="C2526" s="12" t="s">
        <v>3172</v>
      </c>
      <c r="D2526" s="84"/>
      <c r="E2526" s="69" t="str">
        <f t="shared" si="95"/>
        <v>Еще фото</v>
      </c>
      <c r="F2526" s="13"/>
      <c r="G2526" s="23" t="s">
        <v>137</v>
      </c>
      <c r="H2526" s="23" t="s">
        <v>27</v>
      </c>
      <c r="I2526" s="23" t="s">
        <v>137</v>
      </c>
      <c r="J2526" s="14" t="s">
        <v>29</v>
      </c>
      <c r="K2526" s="15" t="s">
        <v>30</v>
      </c>
      <c r="L2526" s="87"/>
      <c r="M2526" s="14"/>
      <c r="N2526" s="14" t="s">
        <v>70</v>
      </c>
      <c r="O2526" s="14"/>
      <c r="P2526" s="15" t="s">
        <v>3174</v>
      </c>
      <c r="Q2526" s="16">
        <v>3399</v>
      </c>
      <c r="R2526" s="17">
        <v>45</v>
      </c>
      <c r="S2526" s="18">
        <v>2149.8674999999998</v>
      </c>
      <c r="T2526" s="19" t="s">
        <v>117</v>
      </c>
      <c r="U2526" s="20" t="s">
        <v>36</v>
      </c>
      <c r="V2526" s="21">
        <v>122</v>
      </c>
      <c r="W2526" s="21">
        <v>7</v>
      </c>
      <c r="X2526" s="22"/>
    </row>
    <row r="2527" spans="1:24" s="1" customFormat="1" ht="11.1" customHeight="1" x14ac:dyDescent="0.3">
      <c r="A2527" s="23" t="s">
        <v>3029</v>
      </c>
      <c r="B2527" s="23" t="s">
        <v>143</v>
      </c>
      <c r="C2527" s="12" t="s">
        <v>3172</v>
      </c>
      <c r="D2527" s="84"/>
      <c r="E2527" s="69" t="str">
        <f t="shared" si="95"/>
        <v>Еще фото</v>
      </c>
      <c r="F2527" s="13"/>
      <c r="G2527" s="23" t="s">
        <v>137</v>
      </c>
      <c r="H2527" s="23" t="s">
        <v>27</v>
      </c>
      <c r="I2527" s="23" t="s">
        <v>137</v>
      </c>
      <c r="J2527" s="14" t="s">
        <v>29</v>
      </c>
      <c r="K2527" s="15" t="s">
        <v>30</v>
      </c>
      <c r="L2527" s="87"/>
      <c r="M2527" s="14"/>
      <c r="N2527" s="14" t="s">
        <v>70</v>
      </c>
      <c r="O2527" s="14"/>
      <c r="P2527" s="15" t="s">
        <v>3174</v>
      </c>
      <c r="Q2527" s="16">
        <v>3399</v>
      </c>
      <c r="R2527" s="17">
        <v>45</v>
      </c>
      <c r="S2527" s="18">
        <v>2149.8674999999998</v>
      </c>
      <c r="T2527" s="19" t="s">
        <v>117</v>
      </c>
      <c r="U2527" s="20" t="s">
        <v>37</v>
      </c>
      <c r="V2527" s="21">
        <v>128</v>
      </c>
      <c r="W2527" s="21">
        <v>8</v>
      </c>
      <c r="X2527" s="22"/>
    </row>
    <row r="2528" spans="1:24" s="1" customFormat="1" ht="11.1" customHeight="1" x14ac:dyDescent="0.3">
      <c r="A2528" s="23" t="s">
        <v>3029</v>
      </c>
      <c r="B2528" s="23" t="s">
        <v>143</v>
      </c>
      <c r="C2528" s="12" t="s">
        <v>3172</v>
      </c>
      <c r="D2528" s="84"/>
      <c r="E2528" s="69" t="str">
        <f t="shared" si="95"/>
        <v>Еще фото</v>
      </c>
      <c r="F2528" s="13"/>
      <c r="G2528" s="23" t="s">
        <v>137</v>
      </c>
      <c r="H2528" s="23" t="s">
        <v>27</v>
      </c>
      <c r="I2528" s="23" t="s">
        <v>137</v>
      </c>
      <c r="J2528" s="14" t="s">
        <v>29</v>
      </c>
      <c r="K2528" s="15" t="s">
        <v>30</v>
      </c>
      <c r="L2528" s="87"/>
      <c r="M2528" s="14"/>
      <c r="N2528" s="14" t="s">
        <v>70</v>
      </c>
      <c r="O2528" s="14"/>
      <c r="P2528" s="15" t="s">
        <v>3174</v>
      </c>
      <c r="Q2528" s="16">
        <v>3399</v>
      </c>
      <c r="R2528" s="17">
        <v>45</v>
      </c>
      <c r="S2528" s="18">
        <v>2149.8674999999998</v>
      </c>
      <c r="T2528" s="19" t="s">
        <v>117</v>
      </c>
      <c r="U2528" s="20" t="s">
        <v>91</v>
      </c>
      <c r="V2528" s="21">
        <v>134</v>
      </c>
      <c r="W2528" s="21">
        <v>8</v>
      </c>
      <c r="X2528" s="22"/>
    </row>
    <row r="2529" spans="1:24" s="1" customFormat="1" ht="11.1" customHeight="1" x14ac:dyDescent="0.3">
      <c r="A2529" s="14" t="s">
        <v>3029</v>
      </c>
      <c r="B2529" s="14" t="s">
        <v>143</v>
      </c>
      <c r="C2529" s="12" t="s">
        <v>3172</v>
      </c>
      <c r="D2529" s="84"/>
      <c r="E2529" s="69" t="str">
        <f t="shared" si="95"/>
        <v>Еще фото</v>
      </c>
      <c r="F2529" s="36"/>
      <c r="G2529" s="14" t="s">
        <v>137</v>
      </c>
      <c r="H2529" s="14" t="s">
        <v>27</v>
      </c>
      <c r="I2529" s="14" t="s">
        <v>137</v>
      </c>
      <c r="J2529" s="14" t="s">
        <v>29</v>
      </c>
      <c r="K2529" s="14" t="s">
        <v>30</v>
      </c>
      <c r="L2529" s="87"/>
      <c r="M2529" s="14"/>
      <c r="N2529" s="14" t="s">
        <v>70</v>
      </c>
      <c r="O2529" s="14"/>
      <c r="P2529" s="14" t="s">
        <v>3174</v>
      </c>
      <c r="Q2529" s="33">
        <v>3399</v>
      </c>
      <c r="R2529" s="34">
        <v>45</v>
      </c>
      <c r="S2529" s="35">
        <v>2149.8674999999998</v>
      </c>
      <c r="T2529" s="19" t="s">
        <v>117</v>
      </c>
      <c r="U2529" s="20" t="s">
        <v>290</v>
      </c>
      <c r="V2529" s="21">
        <v>140</v>
      </c>
      <c r="W2529" s="21">
        <v>8</v>
      </c>
      <c r="X2529" s="22"/>
    </row>
    <row r="2530" spans="1:24" s="1" customFormat="1" ht="11.1" customHeight="1" x14ac:dyDescent="0.3">
      <c r="A2530" s="14" t="s">
        <v>3029</v>
      </c>
      <c r="B2530" s="14" t="s">
        <v>143</v>
      </c>
      <c r="C2530" s="12" t="s">
        <v>3172</v>
      </c>
      <c r="D2530" s="85"/>
      <c r="E2530" s="69" t="str">
        <f t="shared" si="95"/>
        <v>Еще фото</v>
      </c>
      <c r="F2530" s="36"/>
      <c r="G2530" s="14" t="s">
        <v>137</v>
      </c>
      <c r="H2530" s="14" t="s">
        <v>27</v>
      </c>
      <c r="I2530" s="14" t="s">
        <v>137</v>
      </c>
      <c r="J2530" s="14" t="s">
        <v>29</v>
      </c>
      <c r="K2530" s="14" t="s">
        <v>30</v>
      </c>
      <c r="L2530" s="88"/>
      <c r="M2530" s="14"/>
      <c r="N2530" s="14" t="s">
        <v>70</v>
      </c>
      <c r="O2530" s="14"/>
      <c r="P2530" s="14" t="s">
        <v>3174</v>
      </c>
      <c r="Q2530" s="33">
        <v>3399</v>
      </c>
      <c r="R2530" s="34">
        <v>45</v>
      </c>
      <c r="S2530" s="35">
        <v>2149.8674999999998</v>
      </c>
      <c r="T2530" s="19" t="s">
        <v>117</v>
      </c>
      <c r="U2530" s="20" t="s">
        <v>2160</v>
      </c>
      <c r="V2530" s="21">
        <v>152</v>
      </c>
      <c r="W2530" s="21">
        <v>3</v>
      </c>
      <c r="X2530" s="22"/>
    </row>
    <row r="2531" spans="1:24" s="1" customFormat="1" ht="11.1" customHeight="1" x14ac:dyDescent="0.3">
      <c r="A2531" s="11" t="s">
        <v>3029</v>
      </c>
      <c r="B2531" s="11" t="s">
        <v>143</v>
      </c>
      <c r="C2531" s="12" t="s">
        <v>3175</v>
      </c>
      <c r="D2531" s="83"/>
      <c r="E2531" s="69" t="str">
        <f t="shared" ref="E2531:E2541" si="96">HYPERLINK("https://www.google.ru/search?q=123438-7337&amp;newwindow=1&amp;tbm=isch","Еще фото")</f>
        <v>Еще фото</v>
      </c>
      <c r="F2531" s="13"/>
      <c r="G2531" s="11" t="s">
        <v>137</v>
      </c>
      <c r="H2531" s="11" t="s">
        <v>27</v>
      </c>
      <c r="I2531" s="14" t="s">
        <v>137</v>
      </c>
      <c r="J2531" s="14" t="s">
        <v>29</v>
      </c>
      <c r="K2531" s="15" t="s">
        <v>30</v>
      </c>
      <c r="L2531" s="86" t="s">
        <v>3176</v>
      </c>
      <c r="M2531" s="14"/>
      <c r="N2531" s="14" t="s">
        <v>70</v>
      </c>
      <c r="O2531" s="14"/>
      <c r="P2531" s="15" t="s">
        <v>3174</v>
      </c>
      <c r="Q2531" s="16">
        <v>3999</v>
      </c>
      <c r="R2531" s="17">
        <v>45</v>
      </c>
      <c r="S2531" s="18">
        <v>2529.3674999999994</v>
      </c>
      <c r="T2531" s="19" t="s">
        <v>117</v>
      </c>
      <c r="U2531" s="20" t="s">
        <v>196</v>
      </c>
      <c r="V2531" s="21">
        <v>86</v>
      </c>
      <c r="W2531" s="21">
        <v>2</v>
      </c>
      <c r="X2531" s="22"/>
    </row>
    <row r="2532" spans="1:24" s="1" customFormat="1" ht="11.1" customHeight="1" x14ac:dyDescent="0.3">
      <c r="A2532" s="23" t="s">
        <v>3029</v>
      </c>
      <c r="B2532" s="23" t="s">
        <v>143</v>
      </c>
      <c r="C2532" s="12" t="s">
        <v>3175</v>
      </c>
      <c r="D2532" s="84"/>
      <c r="E2532" s="69" t="str">
        <f t="shared" si="96"/>
        <v>Еще фото</v>
      </c>
      <c r="F2532" s="13"/>
      <c r="G2532" s="23" t="s">
        <v>137</v>
      </c>
      <c r="H2532" s="23" t="s">
        <v>27</v>
      </c>
      <c r="I2532" s="23" t="s">
        <v>137</v>
      </c>
      <c r="J2532" s="14" t="s">
        <v>29</v>
      </c>
      <c r="K2532" s="15" t="s">
        <v>30</v>
      </c>
      <c r="L2532" s="87"/>
      <c r="M2532" s="14"/>
      <c r="N2532" s="14" t="s">
        <v>70</v>
      </c>
      <c r="O2532" s="14"/>
      <c r="P2532" s="15" t="s">
        <v>3174</v>
      </c>
      <c r="Q2532" s="16">
        <v>3999</v>
      </c>
      <c r="R2532" s="17">
        <v>45</v>
      </c>
      <c r="S2532" s="18">
        <v>2529.3674999999994</v>
      </c>
      <c r="T2532" s="19" t="s">
        <v>117</v>
      </c>
      <c r="U2532" s="20" t="s">
        <v>77</v>
      </c>
      <c r="V2532" s="21">
        <v>92</v>
      </c>
      <c r="W2532" s="21">
        <v>2</v>
      </c>
      <c r="X2532" s="22"/>
    </row>
    <row r="2533" spans="1:24" s="1" customFormat="1" ht="11.1" customHeight="1" x14ac:dyDescent="0.3">
      <c r="A2533" s="23" t="s">
        <v>3029</v>
      </c>
      <c r="B2533" s="23" t="s">
        <v>143</v>
      </c>
      <c r="C2533" s="12" t="s">
        <v>3175</v>
      </c>
      <c r="D2533" s="84"/>
      <c r="E2533" s="69" t="str">
        <f t="shared" si="96"/>
        <v>Еще фото</v>
      </c>
      <c r="F2533" s="13"/>
      <c r="G2533" s="23" t="s">
        <v>137</v>
      </c>
      <c r="H2533" s="23" t="s">
        <v>27</v>
      </c>
      <c r="I2533" s="23" t="s">
        <v>137</v>
      </c>
      <c r="J2533" s="14" t="s">
        <v>29</v>
      </c>
      <c r="K2533" s="15" t="s">
        <v>30</v>
      </c>
      <c r="L2533" s="87"/>
      <c r="M2533" s="14"/>
      <c r="N2533" s="14" t="s">
        <v>70</v>
      </c>
      <c r="O2533" s="14"/>
      <c r="P2533" s="15" t="s">
        <v>3174</v>
      </c>
      <c r="Q2533" s="16">
        <v>3999</v>
      </c>
      <c r="R2533" s="17">
        <v>45</v>
      </c>
      <c r="S2533" s="18">
        <v>2529.3674999999994</v>
      </c>
      <c r="T2533" s="19" t="s">
        <v>117</v>
      </c>
      <c r="U2533" s="20" t="s">
        <v>78</v>
      </c>
      <c r="V2533" s="21">
        <v>98</v>
      </c>
      <c r="W2533" s="21">
        <v>2</v>
      </c>
      <c r="X2533" s="22"/>
    </row>
    <row r="2534" spans="1:24" s="1" customFormat="1" ht="11.1" customHeight="1" x14ac:dyDescent="0.3">
      <c r="A2534" s="23" t="s">
        <v>3029</v>
      </c>
      <c r="B2534" s="23" t="s">
        <v>143</v>
      </c>
      <c r="C2534" s="12" t="s">
        <v>3175</v>
      </c>
      <c r="D2534" s="84"/>
      <c r="E2534" s="69" t="str">
        <f t="shared" si="96"/>
        <v>Еще фото</v>
      </c>
      <c r="F2534" s="13"/>
      <c r="G2534" s="23" t="s">
        <v>137</v>
      </c>
      <c r="H2534" s="23" t="s">
        <v>27</v>
      </c>
      <c r="I2534" s="23" t="s">
        <v>137</v>
      </c>
      <c r="J2534" s="14" t="s">
        <v>29</v>
      </c>
      <c r="K2534" s="15" t="s">
        <v>30</v>
      </c>
      <c r="L2534" s="87"/>
      <c r="M2534" s="14"/>
      <c r="N2534" s="14" t="s">
        <v>70</v>
      </c>
      <c r="O2534" s="14"/>
      <c r="P2534" s="15" t="s">
        <v>3174</v>
      </c>
      <c r="Q2534" s="16">
        <v>3999</v>
      </c>
      <c r="R2534" s="17">
        <v>45</v>
      </c>
      <c r="S2534" s="18">
        <v>2529.3674999999994</v>
      </c>
      <c r="T2534" s="19" t="s">
        <v>117</v>
      </c>
      <c r="U2534" s="20" t="s">
        <v>94</v>
      </c>
      <c r="V2534" s="21">
        <v>104</v>
      </c>
      <c r="W2534" s="21">
        <v>3</v>
      </c>
      <c r="X2534" s="22"/>
    </row>
    <row r="2535" spans="1:24" s="1" customFormat="1" ht="11.1" customHeight="1" x14ac:dyDescent="0.3">
      <c r="A2535" s="23" t="s">
        <v>3029</v>
      </c>
      <c r="B2535" s="23" t="s">
        <v>143</v>
      </c>
      <c r="C2535" s="12" t="s">
        <v>3175</v>
      </c>
      <c r="D2535" s="84"/>
      <c r="E2535" s="69" t="str">
        <f t="shared" si="96"/>
        <v>Еще фото</v>
      </c>
      <c r="F2535" s="13"/>
      <c r="G2535" s="23" t="s">
        <v>137</v>
      </c>
      <c r="H2535" s="23" t="s">
        <v>27</v>
      </c>
      <c r="I2535" s="23" t="s">
        <v>137</v>
      </c>
      <c r="J2535" s="14" t="s">
        <v>29</v>
      </c>
      <c r="K2535" s="15" t="s">
        <v>30</v>
      </c>
      <c r="L2535" s="87"/>
      <c r="M2535" s="14"/>
      <c r="N2535" s="14" t="s">
        <v>70</v>
      </c>
      <c r="O2535" s="14"/>
      <c r="P2535" s="15" t="s">
        <v>3174</v>
      </c>
      <c r="Q2535" s="16">
        <v>3999</v>
      </c>
      <c r="R2535" s="17">
        <v>45</v>
      </c>
      <c r="S2535" s="18">
        <v>2529.3674999999994</v>
      </c>
      <c r="T2535" s="19" t="s">
        <v>117</v>
      </c>
      <c r="U2535" s="20" t="s">
        <v>43</v>
      </c>
      <c r="V2535" s="21">
        <v>110</v>
      </c>
      <c r="W2535" s="21">
        <v>8</v>
      </c>
      <c r="X2535" s="22"/>
    </row>
    <row r="2536" spans="1:24" s="1" customFormat="1" ht="11.1" customHeight="1" x14ac:dyDescent="0.3">
      <c r="A2536" s="23" t="s">
        <v>3029</v>
      </c>
      <c r="B2536" s="23" t="s">
        <v>143</v>
      </c>
      <c r="C2536" s="12" t="s">
        <v>3175</v>
      </c>
      <c r="D2536" s="84"/>
      <c r="E2536" s="69" t="str">
        <f t="shared" si="96"/>
        <v>Еще фото</v>
      </c>
      <c r="F2536" s="13"/>
      <c r="G2536" s="23" t="s">
        <v>137</v>
      </c>
      <c r="H2536" s="23" t="s">
        <v>27</v>
      </c>
      <c r="I2536" s="23" t="s">
        <v>137</v>
      </c>
      <c r="J2536" s="14" t="s">
        <v>29</v>
      </c>
      <c r="K2536" s="15" t="s">
        <v>30</v>
      </c>
      <c r="L2536" s="87"/>
      <c r="M2536" s="14"/>
      <c r="N2536" s="14" t="s">
        <v>70</v>
      </c>
      <c r="O2536" s="14"/>
      <c r="P2536" s="15" t="s">
        <v>3174</v>
      </c>
      <c r="Q2536" s="16">
        <v>3999</v>
      </c>
      <c r="R2536" s="17">
        <v>45</v>
      </c>
      <c r="S2536" s="18">
        <v>2529.3674999999994</v>
      </c>
      <c r="T2536" s="19" t="s">
        <v>117</v>
      </c>
      <c r="U2536" s="20" t="s">
        <v>35</v>
      </c>
      <c r="V2536" s="21">
        <v>116</v>
      </c>
      <c r="W2536" s="21">
        <v>4</v>
      </c>
      <c r="X2536" s="22"/>
    </row>
    <row r="2537" spans="1:24" s="1" customFormat="1" ht="11.1" customHeight="1" x14ac:dyDescent="0.3">
      <c r="A2537" s="23" t="s">
        <v>3029</v>
      </c>
      <c r="B2537" s="23" t="s">
        <v>143</v>
      </c>
      <c r="C2537" s="12" t="s">
        <v>3175</v>
      </c>
      <c r="D2537" s="84"/>
      <c r="E2537" s="69" t="str">
        <f t="shared" si="96"/>
        <v>Еще фото</v>
      </c>
      <c r="F2537" s="13"/>
      <c r="G2537" s="23" t="s">
        <v>137</v>
      </c>
      <c r="H2537" s="23" t="s">
        <v>27</v>
      </c>
      <c r="I2537" s="23" t="s">
        <v>137</v>
      </c>
      <c r="J2537" s="14" t="s">
        <v>29</v>
      </c>
      <c r="K2537" s="15" t="s">
        <v>30</v>
      </c>
      <c r="L2537" s="87"/>
      <c r="M2537" s="14"/>
      <c r="N2537" s="14" t="s">
        <v>70</v>
      </c>
      <c r="O2537" s="14"/>
      <c r="P2537" s="15" t="s">
        <v>3174</v>
      </c>
      <c r="Q2537" s="16">
        <v>3999</v>
      </c>
      <c r="R2537" s="17">
        <v>45</v>
      </c>
      <c r="S2537" s="18">
        <v>2529.3674999999994</v>
      </c>
      <c r="T2537" s="19" t="s">
        <v>117</v>
      </c>
      <c r="U2537" s="20" t="s">
        <v>36</v>
      </c>
      <c r="V2537" s="21">
        <v>122</v>
      </c>
      <c r="W2537" s="21">
        <v>1</v>
      </c>
      <c r="X2537" s="22"/>
    </row>
    <row r="2538" spans="1:24" s="1" customFormat="1" ht="11.1" customHeight="1" x14ac:dyDescent="0.3">
      <c r="A2538" s="23" t="s">
        <v>3029</v>
      </c>
      <c r="B2538" s="23" t="s">
        <v>143</v>
      </c>
      <c r="C2538" s="12" t="s">
        <v>3175</v>
      </c>
      <c r="D2538" s="84"/>
      <c r="E2538" s="69" t="str">
        <f t="shared" si="96"/>
        <v>Еще фото</v>
      </c>
      <c r="F2538" s="13"/>
      <c r="G2538" s="23" t="s">
        <v>137</v>
      </c>
      <c r="H2538" s="23" t="s">
        <v>27</v>
      </c>
      <c r="I2538" s="23" t="s">
        <v>137</v>
      </c>
      <c r="J2538" s="14" t="s">
        <v>29</v>
      </c>
      <c r="K2538" s="15" t="s">
        <v>30</v>
      </c>
      <c r="L2538" s="87"/>
      <c r="M2538" s="14"/>
      <c r="N2538" s="14" t="s">
        <v>70</v>
      </c>
      <c r="O2538" s="14"/>
      <c r="P2538" s="15" t="s">
        <v>3174</v>
      </c>
      <c r="Q2538" s="16">
        <v>3999</v>
      </c>
      <c r="R2538" s="17">
        <v>45</v>
      </c>
      <c r="S2538" s="18">
        <v>2529.3674999999994</v>
      </c>
      <c r="T2538" s="19" t="s">
        <v>117</v>
      </c>
      <c r="U2538" s="20" t="s">
        <v>37</v>
      </c>
      <c r="V2538" s="21">
        <v>128</v>
      </c>
      <c r="W2538" s="21">
        <v>2</v>
      </c>
      <c r="X2538" s="22"/>
    </row>
    <row r="2539" spans="1:24" s="1" customFormat="1" ht="11.1" customHeight="1" x14ac:dyDescent="0.3">
      <c r="A2539" s="23" t="s">
        <v>3029</v>
      </c>
      <c r="B2539" s="23" t="s">
        <v>143</v>
      </c>
      <c r="C2539" s="12" t="s">
        <v>3175</v>
      </c>
      <c r="D2539" s="84"/>
      <c r="E2539" s="69" t="str">
        <f t="shared" si="96"/>
        <v>Еще фото</v>
      </c>
      <c r="F2539" s="13"/>
      <c r="G2539" s="23" t="s">
        <v>137</v>
      </c>
      <c r="H2539" s="23" t="s">
        <v>27</v>
      </c>
      <c r="I2539" s="23" t="s">
        <v>137</v>
      </c>
      <c r="J2539" s="14" t="s">
        <v>29</v>
      </c>
      <c r="K2539" s="15" t="s">
        <v>30</v>
      </c>
      <c r="L2539" s="87"/>
      <c r="M2539" s="14"/>
      <c r="N2539" s="14" t="s">
        <v>70</v>
      </c>
      <c r="O2539" s="14"/>
      <c r="P2539" s="15" t="s">
        <v>3174</v>
      </c>
      <c r="Q2539" s="16">
        <v>3999</v>
      </c>
      <c r="R2539" s="17">
        <v>45</v>
      </c>
      <c r="S2539" s="18">
        <v>2529.3674999999994</v>
      </c>
      <c r="T2539" s="19" t="s">
        <v>117</v>
      </c>
      <c r="U2539" s="20" t="s">
        <v>91</v>
      </c>
      <c r="V2539" s="21">
        <v>134</v>
      </c>
      <c r="W2539" s="21">
        <v>5</v>
      </c>
      <c r="X2539" s="22"/>
    </row>
    <row r="2540" spans="1:24" s="1" customFormat="1" ht="11.1" customHeight="1" x14ac:dyDescent="0.3">
      <c r="A2540" s="14" t="s">
        <v>3029</v>
      </c>
      <c r="B2540" s="14" t="s">
        <v>143</v>
      </c>
      <c r="C2540" s="12" t="s">
        <v>3175</v>
      </c>
      <c r="D2540" s="84"/>
      <c r="E2540" s="69" t="str">
        <f t="shared" si="96"/>
        <v>Еще фото</v>
      </c>
      <c r="F2540" s="36"/>
      <c r="G2540" s="14" t="s">
        <v>137</v>
      </c>
      <c r="H2540" s="14" t="s">
        <v>27</v>
      </c>
      <c r="I2540" s="14" t="s">
        <v>137</v>
      </c>
      <c r="J2540" s="14" t="s">
        <v>29</v>
      </c>
      <c r="K2540" s="14" t="s">
        <v>30</v>
      </c>
      <c r="L2540" s="87"/>
      <c r="M2540" s="14"/>
      <c r="N2540" s="14" t="s">
        <v>70</v>
      </c>
      <c r="O2540" s="14"/>
      <c r="P2540" s="14" t="s">
        <v>3174</v>
      </c>
      <c r="Q2540" s="33">
        <v>3999</v>
      </c>
      <c r="R2540" s="34">
        <v>45</v>
      </c>
      <c r="S2540" s="35">
        <v>2529.3674999999994</v>
      </c>
      <c r="T2540" s="19" t="s">
        <v>117</v>
      </c>
      <c r="U2540" s="20" t="s">
        <v>290</v>
      </c>
      <c r="V2540" s="21">
        <v>140</v>
      </c>
      <c r="W2540" s="21">
        <v>5</v>
      </c>
      <c r="X2540" s="22"/>
    </row>
    <row r="2541" spans="1:24" s="1" customFormat="1" ht="11.1" customHeight="1" x14ac:dyDescent="0.3">
      <c r="A2541" s="14" t="s">
        <v>3029</v>
      </c>
      <c r="B2541" s="14" t="s">
        <v>143</v>
      </c>
      <c r="C2541" s="12" t="s">
        <v>3175</v>
      </c>
      <c r="D2541" s="85"/>
      <c r="E2541" s="69" t="str">
        <f t="shared" si="96"/>
        <v>Еще фото</v>
      </c>
      <c r="F2541" s="36"/>
      <c r="G2541" s="14" t="s">
        <v>137</v>
      </c>
      <c r="H2541" s="14" t="s">
        <v>27</v>
      </c>
      <c r="I2541" s="14" t="s">
        <v>137</v>
      </c>
      <c r="J2541" s="14" t="s">
        <v>29</v>
      </c>
      <c r="K2541" s="14" t="s">
        <v>30</v>
      </c>
      <c r="L2541" s="88"/>
      <c r="M2541" s="14"/>
      <c r="N2541" s="14" t="s">
        <v>70</v>
      </c>
      <c r="O2541" s="14"/>
      <c r="P2541" s="14" t="s">
        <v>3174</v>
      </c>
      <c r="Q2541" s="33">
        <v>3999</v>
      </c>
      <c r="R2541" s="34">
        <v>45</v>
      </c>
      <c r="S2541" s="35">
        <v>2529.3674999999994</v>
      </c>
      <c r="T2541" s="19" t="s">
        <v>117</v>
      </c>
      <c r="U2541" s="20" t="s">
        <v>2160</v>
      </c>
      <c r="V2541" s="21">
        <v>152</v>
      </c>
      <c r="W2541" s="21">
        <v>3</v>
      </c>
      <c r="X2541" s="22"/>
    </row>
    <row r="2542" spans="1:24" s="1" customFormat="1" ht="26.1" customHeight="1" x14ac:dyDescent="0.3">
      <c r="A2542" s="11" t="s">
        <v>3014</v>
      </c>
      <c r="B2542" s="11" t="s">
        <v>3177</v>
      </c>
      <c r="C2542" s="12" t="s">
        <v>3178</v>
      </c>
      <c r="D2542" s="83"/>
      <c r="E2542" s="69" t="str">
        <f>HYPERLINK("https://www.google.ru/search?q=73204104-6030&amp;newwindow=1&amp;tbm=isch","Еще фото")</f>
        <v>Еще фото</v>
      </c>
      <c r="F2542" s="13"/>
      <c r="G2542" s="11" t="s">
        <v>137</v>
      </c>
      <c r="H2542" s="11" t="s">
        <v>27</v>
      </c>
      <c r="I2542" s="14" t="s">
        <v>137</v>
      </c>
      <c r="J2542" s="14" t="s">
        <v>29</v>
      </c>
      <c r="K2542" s="15" t="s">
        <v>30</v>
      </c>
      <c r="L2542" s="86" t="s">
        <v>3179</v>
      </c>
      <c r="M2542" s="14"/>
      <c r="N2542" s="14" t="s">
        <v>265</v>
      </c>
      <c r="O2542" s="14"/>
      <c r="P2542" s="15" t="s">
        <v>3180</v>
      </c>
      <c r="Q2542" s="16">
        <v>4999</v>
      </c>
      <c r="R2542" s="17">
        <v>45</v>
      </c>
      <c r="S2542" s="18">
        <v>3161.8674999999994</v>
      </c>
      <c r="T2542" s="19" t="s">
        <v>117</v>
      </c>
      <c r="U2542" s="20" t="s">
        <v>91</v>
      </c>
      <c r="V2542" s="21">
        <v>134</v>
      </c>
      <c r="W2542" s="21">
        <v>1</v>
      </c>
      <c r="X2542" s="22"/>
    </row>
    <row r="2543" spans="1:24" s="1" customFormat="1" ht="26.1" customHeight="1" x14ac:dyDescent="0.3">
      <c r="A2543" s="23" t="s">
        <v>3014</v>
      </c>
      <c r="B2543" s="23" t="s">
        <v>3177</v>
      </c>
      <c r="C2543" s="12" t="s">
        <v>3178</v>
      </c>
      <c r="D2543" s="84"/>
      <c r="E2543" s="69" t="str">
        <f>HYPERLINK("https://www.google.ru/search?q=73204104-6030&amp;newwindow=1&amp;tbm=isch","Еще фото")</f>
        <v>Еще фото</v>
      </c>
      <c r="F2543" s="13"/>
      <c r="G2543" s="23" t="s">
        <v>137</v>
      </c>
      <c r="H2543" s="23" t="s">
        <v>27</v>
      </c>
      <c r="I2543" s="23" t="s">
        <v>137</v>
      </c>
      <c r="J2543" s="14" t="s">
        <v>29</v>
      </c>
      <c r="K2543" s="15" t="s">
        <v>30</v>
      </c>
      <c r="L2543" s="87"/>
      <c r="M2543" s="14"/>
      <c r="N2543" s="14" t="s">
        <v>265</v>
      </c>
      <c r="O2543" s="14"/>
      <c r="P2543" s="15" t="s">
        <v>3180</v>
      </c>
      <c r="Q2543" s="16">
        <v>4999</v>
      </c>
      <c r="R2543" s="17">
        <v>45</v>
      </c>
      <c r="S2543" s="18">
        <v>3161.8674999999994</v>
      </c>
      <c r="T2543" s="19" t="s">
        <v>117</v>
      </c>
      <c r="U2543" s="20" t="s">
        <v>37</v>
      </c>
      <c r="V2543" s="21">
        <v>128</v>
      </c>
      <c r="W2543" s="21">
        <v>1</v>
      </c>
      <c r="X2543" s="22"/>
    </row>
    <row r="2544" spans="1:24" s="1" customFormat="1" ht="26.1" customHeight="1" x14ac:dyDescent="0.3">
      <c r="A2544" s="23" t="s">
        <v>3014</v>
      </c>
      <c r="B2544" s="23" t="s">
        <v>3177</v>
      </c>
      <c r="C2544" s="12" t="s">
        <v>3178</v>
      </c>
      <c r="D2544" s="84"/>
      <c r="E2544" s="69" t="str">
        <f>HYPERLINK("https://www.google.ru/search?q=73204104-6030&amp;newwindow=1&amp;tbm=isch","Еще фото")</f>
        <v>Еще фото</v>
      </c>
      <c r="F2544" s="13"/>
      <c r="G2544" s="23" t="s">
        <v>137</v>
      </c>
      <c r="H2544" s="23" t="s">
        <v>27</v>
      </c>
      <c r="I2544" s="23" t="s">
        <v>137</v>
      </c>
      <c r="J2544" s="14" t="s">
        <v>29</v>
      </c>
      <c r="K2544" s="15" t="s">
        <v>30</v>
      </c>
      <c r="L2544" s="87"/>
      <c r="M2544" s="14"/>
      <c r="N2544" s="14" t="s">
        <v>265</v>
      </c>
      <c r="O2544" s="14"/>
      <c r="P2544" s="15" t="s">
        <v>3180</v>
      </c>
      <c r="Q2544" s="16">
        <v>4999</v>
      </c>
      <c r="R2544" s="17">
        <v>45</v>
      </c>
      <c r="S2544" s="18">
        <v>3161.8674999999994</v>
      </c>
      <c r="T2544" s="19" t="s">
        <v>117</v>
      </c>
      <c r="U2544" s="20" t="s">
        <v>2160</v>
      </c>
      <c r="V2544" s="21">
        <v>152</v>
      </c>
      <c r="W2544" s="21">
        <v>4</v>
      </c>
      <c r="X2544" s="22"/>
    </row>
    <row r="2545" spans="1:24" s="1" customFormat="1" ht="26.1" customHeight="1" x14ac:dyDescent="0.3">
      <c r="A2545" s="23" t="s">
        <v>3014</v>
      </c>
      <c r="B2545" s="23" t="s">
        <v>3177</v>
      </c>
      <c r="C2545" s="12" t="s">
        <v>3178</v>
      </c>
      <c r="D2545" s="85"/>
      <c r="E2545" s="69" t="str">
        <f>HYPERLINK("https://www.google.ru/search?q=73204104-6030&amp;newwindow=1&amp;tbm=isch","Еще фото")</f>
        <v>Еще фото</v>
      </c>
      <c r="F2545" s="13"/>
      <c r="G2545" s="23" t="s">
        <v>137</v>
      </c>
      <c r="H2545" s="23" t="s">
        <v>27</v>
      </c>
      <c r="I2545" s="23" t="s">
        <v>137</v>
      </c>
      <c r="J2545" s="14" t="s">
        <v>29</v>
      </c>
      <c r="K2545" s="15" t="s">
        <v>30</v>
      </c>
      <c r="L2545" s="88"/>
      <c r="M2545" s="14"/>
      <c r="N2545" s="14" t="s">
        <v>265</v>
      </c>
      <c r="O2545" s="14"/>
      <c r="P2545" s="15" t="s">
        <v>3180</v>
      </c>
      <c r="Q2545" s="16">
        <v>4999</v>
      </c>
      <c r="R2545" s="17">
        <v>45</v>
      </c>
      <c r="S2545" s="18">
        <v>3161.8674999999994</v>
      </c>
      <c r="T2545" s="19" t="s">
        <v>117</v>
      </c>
      <c r="U2545" s="20" t="s">
        <v>3088</v>
      </c>
      <c r="V2545" s="21">
        <v>158</v>
      </c>
      <c r="W2545" s="21">
        <v>4</v>
      </c>
      <c r="X2545" s="22"/>
    </row>
    <row r="2546" spans="1:24" s="1" customFormat="1" ht="35.1" customHeight="1" x14ac:dyDescent="0.3">
      <c r="A2546" s="11" t="s">
        <v>3014</v>
      </c>
      <c r="B2546" s="11" t="s">
        <v>3119</v>
      </c>
      <c r="C2546" s="12" t="s">
        <v>3181</v>
      </c>
      <c r="D2546" s="83"/>
      <c r="E2546" s="69" t="str">
        <f>HYPERLINK("https://www.google.ru/search?q=73204105-9370&amp;newwindow=1&amp;tbm=isch","Еще фото")</f>
        <v>Еще фото</v>
      </c>
      <c r="F2546" s="13"/>
      <c r="G2546" s="11" t="s">
        <v>137</v>
      </c>
      <c r="H2546" s="11" t="s">
        <v>27</v>
      </c>
      <c r="I2546" s="14" t="s">
        <v>137</v>
      </c>
      <c r="J2546" s="14" t="s">
        <v>29</v>
      </c>
      <c r="K2546" s="15" t="s">
        <v>30</v>
      </c>
      <c r="L2546" s="86" t="s">
        <v>3182</v>
      </c>
      <c r="M2546" s="14"/>
      <c r="N2546" s="14" t="s">
        <v>41</v>
      </c>
      <c r="O2546" s="14"/>
      <c r="P2546" s="15" t="s">
        <v>3180</v>
      </c>
      <c r="Q2546" s="16">
        <v>3999</v>
      </c>
      <c r="R2546" s="17">
        <v>45</v>
      </c>
      <c r="S2546" s="18">
        <v>2529.3674999999994</v>
      </c>
      <c r="T2546" s="19" t="s">
        <v>117</v>
      </c>
      <c r="U2546" s="20" t="s">
        <v>91</v>
      </c>
      <c r="V2546" s="21">
        <v>134</v>
      </c>
      <c r="W2546" s="21">
        <v>4</v>
      </c>
      <c r="X2546" s="22"/>
    </row>
    <row r="2547" spans="1:24" s="1" customFormat="1" ht="35.1" customHeight="1" x14ac:dyDescent="0.3">
      <c r="A2547" s="23" t="s">
        <v>3014</v>
      </c>
      <c r="B2547" s="23" t="s">
        <v>3119</v>
      </c>
      <c r="C2547" s="12" t="s">
        <v>3181</v>
      </c>
      <c r="D2547" s="84"/>
      <c r="E2547" s="69" t="str">
        <f>HYPERLINK("https://www.google.ru/search?q=73204105-9370&amp;newwindow=1&amp;tbm=isch","Еще фото")</f>
        <v>Еще фото</v>
      </c>
      <c r="F2547" s="13"/>
      <c r="G2547" s="23" t="s">
        <v>137</v>
      </c>
      <c r="H2547" s="23" t="s">
        <v>27</v>
      </c>
      <c r="I2547" s="23" t="s">
        <v>137</v>
      </c>
      <c r="J2547" s="14" t="s">
        <v>29</v>
      </c>
      <c r="K2547" s="15" t="s">
        <v>30</v>
      </c>
      <c r="L2547" s="87"/>
      <c r="M2547" s="14"/>
      <c r="N2547" s="14" t="s">
        <v>41</v>
      </c>
      <c r="O2547" s="14"/>
      <c r="P2547" s="15" t="s">
        <v>3180</v>
      </c>
      <c r="Q2547" s="16">
        <v>3999</v>
      </c>
      <c r="R2547" s="17">
        <v>45</v>
      </c>
      <c r="S2547" s="18">
        <v>2529.3674999999994</v>
      </c>
      <c r="T2547" s="19" t="s">
        <v>117</v>
      </c>
      <c r="U2547" s="20" t="s">
        <v>290</v>
      </c>
      <c r="V2547" s="21">
        <v>140</v>
      </c>
      <c r="W2547" s="21">
        <v>1</v>
      </c>
      <c r="X2547" s="22"/>
    </row>
    <row r="2548" spans="1:24" s="1" customFormat="1" ht="36.950000000000003" customHeight="1" x14ac:dyDescent="0.3">
      <c r="A2548" s="23" t="s">
        <v>3014</v>
      </c>
      <c r="B2548" s="23" t="s">
        <v>3119</v>
      </c>
      <c r="C2548" s="12" t="s">
        <v>3181</v>
      </c>
      <c r="D2548" s="85"/>
      <c r="E2548" s="69" t="str">
        <f>HYPERLINK("https://www.google.ru/search?q=73204105-9370&amp;newwindow=1&amp;tbm=isch","Еще фото")</f>
        <v>Еще фото</v>
      </c>
      <c r="F2548" s="13"/>
      <c r="G2548" s="23" t="s">
        <v>137</v>
      </c>
      <c r="H2548" s="23" t="s">
        <v>27</v>
      </c>
      <c r="I2548" s="23" t="s">
        <v>137</v>
      </c>
      <c r="J2548" s="14" t="s">
        <v>29</v>
      </c>
      <c r="K2548" s="15" t="s">
        <v>30</v>
      </c>
      <c r="L2548" s="88"/>
      <c r="M2548" s="14"/>
      <c r="N2548" s="14" t="s">
        <v>41</v>
      </c>
      <c r="O2548" s="14"/>
      <c r="P2548" s="15" t="s">
        <v>3180</v>
      </c>
      <c r="Q2548" s="16">
        <v>3999</v>
      </c>
      <c r="R2548" s="17">
        <v>45</v>
      </c>
      <c r="S2548" s="18">
        <v>2529.3674999999994</v>
      </c>
      <c r="T2548" s="19" t="s">
        <v>117</v>
      </c>
      <c r="U2548" s="20" t="s">
        <v>37</v>
      </c>
      <c r="V2548" s="21">
        <v>128</v>
      </c>
      <c r="W2548" s="21">
        <v>4</v>
      </c>
      <c r="X2548" s="22"/>
    </row>
    <row r="2549" spans="1:24" s="1" customFormat="1" ht="35.1" customHeight="1" x14ac:dyDescent="0.3">
      <c r="A2549" s="11" t="s">
        <v>3183</v>
      </c>
      <c r="B2549" s="11" t="s">
        <v>3184</v>
      </c>
      <c r="C2549" s="12" t="s">
        <v>3185</v>
      </c>
      <c r="D2549" s="83"/>
      <c r="E2549" s="69" t="str">
        <f>HYPERLINK("https://www.google.ru/search?q=J369BA032MEC4002&amp;newwindow=1&amp;tbm=isch","Еще фото")</f>
        <v>Еще фото</v>
      </c>
      <c r="F2549" s="13"/>
      <c r="G2549" s="11" t="s">
        <v>150</v>
      </c>
      <c r="H2549" s="11" t="s">
        <v>151</v>
      </c>
      <c r="I2549" s="14" t="s">
        <v>152</v>
      </c>
      <c r="J2549" s="14" t="s">
        <v>29</v>
      </c>
      <c r="K2549" s="15" t="s">
        <v>30</v>
      </c>
      <c r="L2549" s="86"/>
      <c r="M2549" s="14"/>
      <c r="N2549" s="14" t="s">
        <v>70</v>
      </c>
      <c r="O2549" s="14"/>
      <c r="P2549" s="15" t="s">
        <v>3186</v>
      </c>
      <c r="Q2549" s="16">
        <v>10790</v>
      </c>
      <c r="R2549" s="17">
        <v>50</v>
      </c>
      <c r="S2549" s="18">
        <v>6204.2499999999991</v>
      </c>
      <c r="T2549" s="19" t="s">
        <v>328</v>
      </c>
      <c r="U2549" s="20" t="s">
        <v>552</v>
      </c>
      <c r="V2549" s="21">
        <v>32</v>
      </c>
      <c r="W2549" s="21">
        <v>9</v>
      </c>
      <c r="X2549" s="22"/>
    </row>
    <row r="2550" spans="1:24" s="1" customFormat="1" ht="35.1" customHeight="1" x14ac:dyDescent="0.3">
      <c r="A2550" s="23" t="s">
        <v>3183</v>
      </c>
      <c r="B2550" s="23" t="s">
        <v>3184</v>
      </c>
      <c r="C2550" s="12" t="s">
        <v>3185</v>
      </c>
      <c r="D2550" s="84"/>
      <c r="E2550" s="69" t="str">
        <f>HYPERLINK("https://www.google.ru/search?q=J369BA032MEC4002&amp;newwindow=1&amp;tbm=isch","Еще фото")</f>
        <v>Еще фото</v>
      </c>
      <c r="F2550" s="13"/>
      <c r="G2550" s="23" t="s">
        <v>150</v>
      </c>
      <c r="H2550" s="23" t="s">
        <v>151</v>
      </c>
      <c r="I2550" s="23" t="s">
        <v>152</v>
      </c>
      <c r="J2550" s="14" t="s">
        <v>29</v>
      </c>
      <c r="K2550" s="15" t="s">
        <v>30</v>
      </c>
      <c r="L2550" s="87"/>
      <c r="M2550" s="14"/>
      <c r="N2550" s="14" t="s">
        <v>70</v>
      </c>
      <c r="O2550" s="14"/>
      <c r="P2550" s="15" t="s">
        <v>3186</v>
      </c>
      <c r="Q2550" s="16">
        <v>10790</v>
      </c>
      <c r="R2550" s="17">
        <v>50</v>
      </c>
      <c r="S2550" s="18">
        <v>6204.2499999999991</v>
      </c>
      <c r="T2550" s="19" t="s">
        <v>328</v>
      </c>
      <c r="U2550" s="20" t="s">
        <v>409</v>
      </c>
      <c r="V2550" s="21">
        <v>37</v>
      </c>
      <c r="W2550" s="21">
        <v>12</v>
      </c>
      <c r="X2550" s="22"/>
    </row>
    <row r="2551" spans="1:24" s="1" customFormat="1" ht="36.950000000000003" customHeight="1" x14ac:dyDescent="0.3">
      <c r="A2551" s="23" t="s">
        <v>3183</v>
      </c>
      <c r="B2551" s="23" t="s">
        <v>3184</v>
      </c>
      <c r="C2551" s="12" t="s">
        <v>3185</v>
      </c>
      <c r="D2551" s="85"/>
      <c r="E2551" s="69" t="str">
        <f>HYPERLINK("https://www.google.ru/search?q=J369BA032MEC4002&amp;newwindow=1&amp;tbm=isch","Еще фото")</f>
        <v>Еще фото</v>
      </c>
      <c r="F2551" s="13"/>
      <c r="G2551" s="23" t="s">
        <v>150</v>
      </c>
      <c r="H2551" s="23" t="s">
        <v>151</v>
      </c>
      <c r="I2551" s="23" t="s">
        <v>152</v>
      </c>
      <c r="J2551" s="14" t="s">
        <v>29</v>
      </c>
      <c r="K2551" s="15" t="s">
        <v>30</v>
      </c>
      <c r="L2551" s="88"/>
      <c r="M2551" s="14"/>
      <c r="N2551" s="14" t="s">
        <v>70</v>
      </c>
      <c r="O2551" s="14"/>
      <c r="P2551" s="15" t="s">
        <v>3186</v>
      </c>
      <c r="Q2551" s="16">
        <v>10790</v>
      </c>
      <c r="R2551" s="17">
        <v>50</v>
      </c>
      <c r="S2551" s="18">
        <v>6204.2499999999991</v>
      </c>
      <c r="T2551" s="19" t="s">
        <v>328</v>
      </c>
      <c r="U2551" s="20" t="s">
        <v>426</v>
      </c>
      <c r="V2551" s="21">
        <v>38</v>
      </c>
      <c r="W2551" s="21">
        <v>6</v>
      </c>
      <c r="X2551" s="22"/>
    </row>
    <row r="2552" spans="1:24" s="1" customFormat="1" ht="11.1" customHeight="1" x14ac:dyDescent="0.3">
      <c r="A2552" s="11" t="s">
        <v>3183</v>
      </c>
      <c r="B2552" s="11" t="s">
        <v>3184</v>
      </c>
      <c r="C2552" s="12" t="s">
        <v>3187</v>
      </c>
      <c r="D2552" s="83"/>
      <c r="E2552" s="69" t="str">
        <f t="shared" ref="E2552:E2561" si="97">HYPERLINK("https://www.google.ru/search?q=J569BA0ME32C0033&amp;newwindow=1&amp;tbm=isch","Еще фото")</f>
        <v>Еще фото</v>
      </c>
      <c r="F2552" s="13"/>
      <c r="G2552" s="11" t="s">
        <v>150</v>
      </c>
      <c r="H2552" s="11" t="s">
        <v>151</v>
      </c>
      <c r="I2552" s="14" t="s">
        <v>152</v>
      </c>
      <c r="J2552" s="14" t="s">
        <v>29</v>
      </c>
      <c r="K2552" s="15" t="s">
        <v>30</v>
      </c>
      <c r="L2552" s="86"/>
      <c r="M2552" s="14"/>
      <c r="N2552" s="14" t="s">
        <v>49</v>
      </c>
      <c r="O2552" s="14"/>
      <c r="P2552" s="15" t="s">
        <v>3188</v>
      </c>
      <c r="Q2552" s="16">
        <v>10490</v>
      </c>
      <c r="R2552" s="17">
        <v>50</v>
      </c>
      <c r="S2552" s="18">
        <v>6031.7499999999991</v>
      </c>
      <c r="T2552" s="19" t="s">
        <v>328</v>
      </c>
      <c r="U2552" s="20" t="s">
        <v>3189</v>
      </c>
      <c r="V2552" s="21">
        <v>30</v>
      </c>
      <c r="W2552" s="21">
        <v>8</v>
      </c>
      <c r="X2552" s="22"/>
    </row>
    <row r="2553" spans="1:24" s="1" customFormat="1" ht="11.1" customHeight="1" x14ac:dyDescent="0.3">
      <c r="A2553" s="23" t="s">
        <v>3183</v>
      </c>
      <c r="B2553" s="23" t="s">
        <v>3184</v>
      </c>
      <c r="C2553" s="12" t="s">
        <v>3187</v>
      </c>
      <c r="D2553" s="84"/>
      <c r="E2553" s="69" t="str">
        <f t="shared" si="97"/>
        <v>Еще фото</v>
      </c>
      <c r="F2553" s="13"/>
      <c r="G2553" s="23" t="s">
        <v>150</v>
      </c>
      <c r="H2553" s="23" t="s">
        <v>151</v>
      </c>
      <c r="I2553" s="23" t="s">
        <v>152</v>
      </c>
      <c r="J2553" s="14" t="s">
        <v>29</v>
      </c>
      <c r="K2553" s="15" t="s">
        <v>30</v>
      </c>
      <c r="L2553" s="87"/>
      <c r="M2553" s="14"/>
      <c r="N2553" s="14" t="s">
        <v>49</v>
      </c>
      <c r="O2553" s="14"/>
      <c r="P2553" s="15" t="s">
        <v>3188</v>
      </c>
      <c r="Q2553" s="16">
        <v>10490</v>
      </c>
      <c r="R2553" s="17">
        <v>50</v>
      </c>
      <c r="S2553" s="18">
        <v>6031.7499999999991</v>
      </c>
      <c r="T2553" s="19" t="s">
        <v>328</v>
      </c>
      <c r="U2553" s="20" t="s">
        <v>3190</v>
      </c>
      <c r="V2553" s="21">
        <v>31</v>
      </c>
      <c r="W2553" s="21">
        <v>8</v>
      </c>
      <c r="X2553" s="22"/>
    </row>
    <row r="2554" spans="1:24" s="1" customFormat="1" ht="11.1" customHeight="1" x14ac:dyDescent="0.3">
      <c r="A2554" s="23" t="s">
        <v>3183</v>
      </c>
      <c r="B2554" s="23" t="s">
        <v>3184</v>
      </c>
      <c r="C2554" s="12" t="s">
        <v>3187</v>
      </c>
      <c r="D2554" s="84"/>
      <c r="E2554" s="69" t="str">
        <f t="shared" si="97"/>
        <v>Еще фото</v>
      </c>
      <c r="F2554" s="13"/>
      <c r="G2554" s="23" t="s">
        <v>150</v>
      </c>
      <c r="H2554" s="23" t="s">
        <v>151</v>
      </c>
      <c r="I2554" s="23" t="s">
        <v>152</v>
      </c>
      <c r="J2554" s="14" t="s">
        <v>29</v>
      </c>
      <c r="K2554" s="15" t="s">
        <v>30</v>
      </c>
      <c r="L2554" s="87"/>
      <c r="M2554" s="14"/>
      <c r="N2554" s="14" t="s">
        <v>49</v>
      </c>
      <c r="O2554" s="14"/>
      <c r="P2554" s="15" t="s">
        <v>3188</v>
      </c>
      <c r="Q2554" s="16">
        <v>10490</v>
      </c>
      <c r="R2554" s="17">
        <v>50</v>
      </c>
      <c r="S2554" s="18">
        <v>6031.7499999999991</v>
      </c>
      <c r="T2554" s="19" t="s">
        <v>328</v>
      </c>
      <c r="U2554" s="20" t="s">
        <v>552</v>
      </c>
      <c r="V2554" s="21">
        <v>32</v>
      </c>
      <c r="W2554" s="21">
        <v>12</v>
      </c>
      <c r="X2554" s="22"/>
    </row>
    <row r="2555" spans="1:24" s="1" customFormat="1" ht="11.1" customHeight="1" x14ac:dyDescent="0.3">
      <c r="A2555" s="23" t="s">
        <v>3183</v>
      </c>
      <c r="B2555" s="23" t="s">
        <v>3184</v>
      </c>
      <c r="C2555" s="12" t="s">
        <v>3187</v>
      </c>
      <c r="D2555" s="84"/>
      <c r="E2555" s="69" t="str">
        <f t="shared" si="97"/>
        <v>Еще фото</v>
      </c>
      <c r="F2555" s="13"/>
      <c r="G2555" s="23" t="s">
        <v>150</v>
      </c>
      <c r="H2555" s="23" t="s">
        <v>151</v>
      </c>
      <c r="I2555" s="23" t="s">
        <v>152</v>
      </c>
      <c r="J2555" s="14" t="s">
        <v>29</v>
      </c>
      <c r="K2555" s="15" t="s">
        <v>30</v>
      </c>
      <c r="L2555" s="87"/>
      <c r="M2555" s="14"/>
      <c r="N2555" s="14" t="s">
        <v>49</v>
      </c>
      <c r="O2555" s="14"/>
      <c r="P2555" s="15" t="s">
        <v>3188</v>
      </c>
      <c r="Q2555" s="16">
        <v>10490</v>
      </c>
      <c r="R2555" s="17">
        <v>50</v>
      </c>
      <c r="S2555" s="18">
        <v>6031.7499999999991</v>
      </c>
      <c r="T2555" s="19" t="s">
        <v>328</v>
      </c>
      <c r="U2555" s="20" t="s">
        <v>553</v>
      </c>
      <c r="V2555" s="21">
        <v>33</v>
      </c>
      <c r="W2555" s="21">
        <v>16</v>
      </c>
      <c r="X2555" s="22"/>
    </row>
    <row r="2556" spans="1:24" s="1" customFormat="1" ht="11.1" customHeight="1" x14ac:dyDescent="0.3">
      <c r="A2556" s="23" t="s">
        <v>3183</v>
      </c>
      <c r="B2556" s="23" t="s">
        <v>3184</v>
      </c>
      <c r="C2556" s="12" t="s">
        <v>3187</v>
      </c>
      <c r="D2556" s="84"/>
      <c r="E2556" s="69" t="str">
        <f t="shared" si="97"/>
        <v>Еще фото</v>
      </c>
      <c r="F2556" s="13"/>
      <c r="G2556" s="23" t="s">
        <v>150</v>
      </c>
      <c r="H2556" s="23" t="s">
        <v>151</v>
      </c>
      <c r="I2556" s="23" t="s">
        <v>152</v>
      </c>
      <c r="J2556" s="14" t="s">
        <v>29</v>
      </c>
      <c r="K2556" s="15" t="s">
        <v>30</v>
      </c>
      <c r="L2556" s="87"/>
      <c r="M2556" s="14"/>
      <c r="N2556" s="14" t="s">
        <v>49</v>
      </c>
      <c r="O2556" s="14"/>
      <c r="P2556" s="15" t="s">
        <v>3188</v>
      </c>
      <c r="Q2556" s="16">
        <v>10490</v>
      </c>
      <c r="R2556" s="17">
        <v>50</v>
      </c>
      <c r="S2556" s="18">
        <v>6031.7499999999991</v>
      </c>
      <c r="T2556" s="19" t="s">
        <v>328</v>
      </c>
      <c r="U2556" s="20" t="s">
        <v>554</v>
      </c>
      <c r="V2556" s="21">
        <v>34</v>
      </c>
      <c r="W2556" s="21">
        <v>16</v>
      </c>
      <c r="X2556" s="22"/>
    </row>
    <row r="2557" spans="1:24" s="1" customFormat="1" ht="11.1" customHeight="1" x14ac:dyDescent="0.3">
      <c r="A2557" s="23" t="s">
        <v>3183</v>
      </c>
      <c r="B2557" s="23" t="s">
        <v>3184</v>
      </c>
      <c r="C2557" s="12" t="s">
        <v>3187</v>
      </c>
      <c r="D2557" s="84"/>
      <c r="E2557" s="69" t="str">
        <f t="shared" si="97"/>
        <v>Еще фото</v>
      </c>
      <c r="F2557" s="13"/>
      <c r="G2557" s="23" t="s">
        <v>150</v>
      </c>
      <c r="H2557" s="23" t="s">
        <v>151</v>
      </c>
      <c r="I2557" s="23" t="s">
        <v>152</v>
      </c>
      <c r="J2557" s="14" t="s">
        <v>29</v>
      </c>
      <c r="K2557" s="15" t="s">
        <v>30</v>
      </c>
      <c r="L2557" s="87"/>
      <c r="M2557" s="14"/>
      <c r="N2557" s="14" t="s">
        <v>49</v>
      </c>
      <c r="O2557" s="14"/>
      <c r="P2557" s="15" t="s">
        <v>3188</v>
      </c>
      <c r="Q2557" s="16">
        <v>10490</v>
      </c>
      <c r="R2557" s="17">
        <v>50</v>
      </c>
      <c r="S2557" s="18">
        <v>6031.7499999999991</v>
      </c>
      <c r="T2557" s="19" t="s">
        <v>328</v>
      </c>
      <c r="U2557" s="20" t="s">
        <v>431</v>
      </c>
      <c r="V2557" s="21">
        <v>35</v>
      </c>
      <c r="W2557" s="21">
        <v>16</v>
      </c>
      <c r="X2557" s="22"/>
    </row>
    <row r="2558" spans="1:24" s="1" customFormat="1" ht="11.1" customHeight="1" x14ac:dyDescent="0.3">
      <c r="A2558" s="23" t="s">
        <v>3183</v>
      </c>
      <c r="B2558" s="23" t="s">
        <v>3184</v>
      </c>
      <c r="C2558" s="12" t="s">
        <v>3187</v>
      </c>
      <c r="D2558" s="84"/>
      <c r="E2558" s="69" t="str">
        <f t="shared" si="97"/>
        <v>Еще фото</v>
      </c>
      <c r="F2558" s="13"/>
      <c r="G2558" s="23" t="s">
        <v>150</v>
      </c>
      <c r="H2558" s="23" t="s">
        <v>151</v>
      </c>
      <c r="I2558" s="23" t="s">
        <v>152</v>
      </c>
      <c r="J2558" s="14" t="s">
        <v>29</v>
      </c>
      <c r="K2558" s="15" t="s">
        <v>30</v>
      </c>
      <c r="L2558" s="87"/>
      <c r="M2558" s="14"/>
      <c r="N2558" s="14" t="s">
        <v>49</v>
      </c>
      <c r="O2558" s="14"/>
      <c r="P2558" s="15" t="s">
        <v>3188</v>
      </c>
      <c r="Q2558" s="16">
        <v>10490</v>
      </c>
      <c r="R2558" s="17">
        <v>50</v>
      </c>
      <c r="S2558" s="18">
        <v>6031.7499999999991</v>
      </c>
      <c r="T2558" s="19" t="s">
        <v>328</v>
      </c>
      <c r="U2558" s="20" t="s">
        <v>1503</v>
      </c>
      <c r="V2558" s="21">
        <v>36</v>
      </c>
      <c r="W2558" s="21">
        <v>14</v>
      </c>
      <c r="X2558" s="22"/>
    </row>
    <row r="2559" spans="1:24" s="1" customFormat="1" ht="11.1" customHeight="1" x14ac:dyDescent="0.3">
      <c r="A2559" s="23" t="s">
        <v>3183</v>
      </c>
      <c r="B2559" s="23" t="s">
        <v>3184</v>
      </c>
      <c r="C2559" s="12" t="s">
        <v>3187</v>
      </c>
      <c r="D2559" s="84"/>
      <c r="E2559" s="69" t="str">
        <f t="shared" si="97"/>
        <v>Еще фото</v>
      </c>
      <c r="F2559" s="13"/>
      <c r="G2559" s="23" t="s">
        <v>150</v>
      </c>
      <c r="H2559" s="23" t="s">
        <v>151</v>
      </c>
      <c r="I2559" s="23" t="s">
        <v>152</v>
      </c>
      <c r="J2559" s="14" t="s">
        <v>29</v>
      </c>
      <c r="K2559" s="15" t="s">
        <v>30</v>
      </c>
      <c r="L2559" s="87"/>
      <c r="M2559" s="14"/>
      <c r="N2559" s="14" t="s">
        <v>49</v>
      </c>
      <c r="O2559" s="14"/>
      <c r="P2559" s="15" t="s">
        <v>3188</v>
      </c>
      <c r="Q2559" s="16">
        <v>10490</v>
      </c>
      <c r="R2559" s="17">
        <v>50</v>
      </c>
      <c r="S2559" s="18">
        <v>6031.7499999999991</v>
      </c>
      <c r="T2559" s="19" t="s">
        <v>328</v>
      </c>
      <c r="U2559" s="20" t="s">
        <v>409</v>
      </c>
      <c r="V2559" s="21">
        <v>37</v>
      </c>
      <c r="W2559" s="21">
        <v>12</v>
      </c>
      <c r="X2559" s="22"/>
    </row>
    <row r="2560" spans="1:24" s="1" customFormat="1" ht="11.1" customHeight="1" x14ac:dyDescent="0.3">
      <c r="A2560" s="23" t="s">
        <v>3183</v>
      </c>
      <c r="B2560" s="23" t="s">
        <v>3184</v>
      </c>
      <c r="C2560" s="12" t="s">
        <v>3187</v>
      </c>
      <c r="D2560" s="84"/>
      <c r="E2560" s="69" t="str">
        <f t="shared" si="97"/>
        <v>Еще фото</v>
      </c>
      <c r="F2560" s="13"/>
      <c r="G2560" s="23" t="s">
        <v>150</v>
      </c>
      <c r="H2560" s="23" t="s">
        <v>151</v>
      </c>
      <c r="I2560" s="23" t="s">
        <v>152</v>
      </c>
      <c r="J2560" s="14" t="s">
        <v>29</v>
      </c>
      <c r="K2560" s="15" t="s">
        <v>30</v>
      </c>
      <c r="L2560" s="87"/>
      <c r="M2560" s="14"/>
      <c r="N2560" s="14" t="s">
        <v>49</v>
      </c>
      <c r="O2560" s="14"/>
      <c r="P2560" s="15" t="s">
        <v>3188</v>
      </c>
      <c r="Q2560" s="16">
        <v>10490</v>
      </c>
      <c r="R2560" s="17">
        <v>50</v>
      </c>
      <c r="S2560" s="18">
        <v>6031.7499999999991</v>
      </c>
      <c r="T2560" s="19" t="s">
        <v>328</v>
      </c>
      <c r="U2560" s="20" t="s">
        <v>426</v>
      </c>
      <c r="V2560" s="21">
        <v>38</v>
      </c>
      <c r="W2560" s="21">
        <v>6</v>
      </c>
      <c r="X2560" s="22"/>
    </row>
    <row r="2561" spans="1:24" s="1" customFormat="1" ht="11.1" customHeight="1" x14ac:dyDescent="0.3">
      <c r="A2561" s="14" t="s">
        <v>3183</v>
      </c>
      <c r="B2561" s="14" t="s">
        <v>3184</v>
      </c>
      <c r="C2561" s="12" t="s">
        <v>3187</v>
      </c>
      <c r="D2561" s="85"/>
      <c r="E2561" s="69" t="str">
        <f t="shared" si="97"/>
        <v>Еще фото</v>
      </c>
      <c r="F2561" s="36"/>
      <c r="G2561" s="14" t="s">
        <v>150</v>
      </c>
      <c r="H2561" s="14" t="s">
        <v>151</v>
      </c>
      <c r="I2561" s="14" t="s">
        <v>152</v>
      </c>
      <c r="J2561" s="14" t="s">
        <v>29</v>
      </c>
      <c r="K2561" s="14" t="s">
        <v>30</v>
      </c>
      <c r="L2561" s="88"/>
      <c r="M2561" s="14"/>
      <c r="N2561" s="14" t="s">
        <v>49</v>
      </c>
      <c r="O2561" s="14"/>
      <c r="P2561" s="14" t="s">
        <v>3188</v>
      </c>
      <c r="Q2561" s="33">
        <v>10490</v>
      </c>
      <c r="R2561" s="34">
        <v>50</v>
      </c>
      <c r="S2561" s="35">
        <v>6031.7499999999991</v>
      </c>
      <c r="T2561" s="19" t="s">
        <v>328</v>
      </c>
      <c r="U2561" s="20" t="s">
        <v>413</v>
      </c>
      <c r="V2561" s="21">
        <v>39</v>
      </c>
      <c r="W2561" s="21">
        <v>6</v>
      </c>
      <c r="X2561" s="22"/>
    </row>
    <row r="2562" spans="1:24" s="1" customFormat="1" ht="108" customHeight="1" x14ac:dyDescent="0.3">
      <c r="A2562" s="11" t="s">
        <v>3183</v>
      </c>
      <c r="B2562" s="11" t="s">
        <v>3191</v>
      </c>
      <c r="C2562" s="12" t="s">
        <v>3192</v>
      </c>
      <c r="D2562" s="24"/>
      <c r="E2562" s="69" t="str">
        <f>HYPERLINK("https://www.google.ru/search?q=J9420G000CNC9240&amp;newwindow=1&amp;tbm=isch","Еще фото")</f>
        <v>Еще фото</v>
      </c>
      <c r="F2562" s="13"/>
      <c r="G2562" s="11" t="s">
        <v>150</v>
      </c>
      <c r="H2562" s="11" t="s">
        <v>151</v>
      </c>
      <c r="I2562" s="14" t="s">
        <v>152</v>
      </c>
      <c r="J2562" s="14" t="s">
        <v>29</v>
      </c>
      <c r="K2562" s="15" t="s">
        <v>30</v>
      </c>
      <c r="L2562" s="14"/>
      <c r="M2562" s="14"/>
      <c r="N2562" s="14" t="s">
        <v>49</v>
      </c>
      <c r="O2562" s="14"/>
      <c r="P2562" s="15" t="s">
        <v>3193</v>
      </c>
      <c r="Q2562" s="16">
        <v>11390</v>
      </c>
      <c r="R2562" s="17">
        <v>50</v>
      </c>
      <c r="S2562" s="18">
        <v>6549.2499999999991</v>
      </c>
      <c r="T2562" s="19" t="s">
        <v>328</v>
      </c>
      <c r="U2562" s="20" t="s">
        <v>400</v>
      </c>
      <c r="V2562" s="21">
        <v>41</v>
      </c>
      <c r="W2562" s="21">
        <v>7</v>
      </c>
      <c r="X2562" s="22"/>
    </row>
    <row r="2563" spans="1:24" s="1" customFormat="1" ht="14.1" customHeight="1" x14ac:dyDescent="0.3">
      <c r="A2563" s="11" t="s">
        <v>3194</v>
      </c>
      <c r="B2563" s="11" t="s">
        <v>3195</v>
      </c>
      <c r="C2563" s="12" t="s">
        <v>3196</v>
      </c>
      <c r="D2563" s="83"/>
      <c r="E2563" s="69" t="str">
        <f t="shared" ref="E2563:E2569" si="98">HYPERLINK("https://www.google.ru/search?q=101386026&amp;newwindow=1&amp;tbm=isch","Еще фото")</f>
        <v>Еще фото</v>
      </c>
      <c r="F2563" s="13"/>
      <c r="G2563" s="11" t="s">
        <v>150</v>
      </c>
      <c r="H2563" s="11" t="s">
        <v>151</v>
      </c>
      <c r="I2563" s="14" t="s">
        <v>152</v>
      </c>
      <c r="J2563" s="14" t="s">
        <v>29</v>
      </c>
      <c r="K2563" s="15" t="s">
        <v>47</v>
      </c>
      <c r="L2563" s="86"/>
      <c r="M2563" s="14"/>
      <c r="N2563" s="14" t="s">
        <v>313</v>
      </c>
      <c r="O2563" s="14"/>
      <c r="P2563" s="15" t="s">
        <v>3197</v>
      </c>
      <c r="Q2563" s="16">
        <v>13999</v>
      </c>
      <c r="R2563" s="17">
        <v>45</v>
      </c>
      <c r="S2563" s="18">
        <v>8854.3674999999985</v>
      </c>
      <c r="T2563" s="19" t="s">
        <v>328</v>
      </c>
      <c r="U2563" s="20" t="s">
        <v>431</v>
      </c>
      <c r="V2563" s="21">
        <v>34</v>
      </c>
      <c r="W2563" s="21">
        <v>1</v>
      </c>
      <c r="X2563" s="22"/>
    </row>
    <row r="2564" spans="1:24" s="1" customFormat="1" ht="14.1" customHeight="1" x14ac:dyDescent="0.3">
      <c r="A2564" s="23" t="s">
        <v>3194</v>
      </c>
      <c r="B2564" s="23" t="s">
        <v>3195</v>
      </c>
      <c r="C2564" s="12" t="s">
        <v>3196</v>
      </c>
      <c r="D2564" s="84"/>
      <c r="E2564" s="69" t="str">
        <f t="shared" si="98"/>
        <v>Еще фото</v>
      </c>
      <c r="F2564" s="13"/>
      <c r="G2564" s="23" t="s">
        <v>150</v>
      </c>
      <c r="H2564" s="23" t="s">
        <v>151</v>
      </c>
      <c r="I2564" s="23" t="s">
        <v>152</v>
      </c>
      <c r="J2564" s="14" t="s">
        <v>29</v>
      </c>
      <c r="K2564" s="15" t="s">
        <v>47</v>
      </c>
      <c r="L2564" s="87"/>
      <c r="M2564" s="14"/>
      <c r="N2564" s="14" t="s">
        <v>313</v>
      </c>
      <c r="O2564" s="14"/>
      <c r="P2564" s="15" t="s">
        <v>3197</v>
      </c>
      <c r="Q2564" s="16">
        <v>13999</v>
      </c>
      <c r="R2564" s="17">
        <v>45</v>
      </c>
      <c r="S2564" s="18">
        <v>8854.3674999999985</v>
      </c>
      <c r="T2564" s="19" t="s">
        <v>328</v>
      </c>
      <c r="U2564" s="20" t="s">
        <v>1503</v>
      </c>
      <c r="V2564" s="21">
        <v>35</v>
      </c>
      <c r="W2564" s="21">
        <v>7</v>
      </c>
      <c r="X2564" s="22"/>
    </row>
    <row r="2565" spans="1:24" s="1" customFormat="1" ht="14.1" customHeight="1" x14ac:dyDescent="0.3">
      <c r="A2565" s="23" t="s">
        <v>3194</v>
      </c>
      <c r="B2565" s="23" t="s">
        <v>3195</v>
      </c>
      <c r="C2565" s="12" t="s">
        <v>3196</v>
      </c>
      <c r="D2565" s="84"/>
      <c r="E2565" s="69" t="str">
        <f t="shared" si="98"/>
        <v>Еще фото</v>
      </c>
      <c r="F2565" s="13"/>
      <c r="G2565" s="23" t="s">
        <v>150</v>
      </c>
      <c r="H2565" s="23" t="s">
        <v>151</v>
      </c>
      <c r="I2565" s="23" t="s">
        <v>152</v>
      </c>
      <c r="J2565" s="14" t="s">
        <v>29</v>
      </c>
      <c r="K2565" s="15" t="s">
        <v>47</v>
      </c>
      <c r="L2565" s="87"/>
      <c r="M2565" s="14"/>
      <c r="N2565" s="14" t="s">
        <v>313</v>
      </c>
      <c r="O2565" s="14"/>
      <c r="P2565" s="15" t="s">
        <v>3197</v>
      </c>
      <c r="Q2565" s="16">
        <v>13999</v>
      </c>
      <c r="R2565" s="17">
        <v>45</v>
      </c>
      <c r="S2565" s="18">
        <v>8854.3674999999985</v>
      </c>
      <c r="T2565" s="19" t="s">
        <v>328</v>
      </c>
      <c r="U2565" s="20" t="s">
        <v>409</v>
      </c>
      <c r="V2565" s="21">
        <v>36</v>
      </c>
      <c r="W2565" s="21">
        <v>12</v>
      </c>
      <c r="X2565" s="22"/>
    </row>
    <row r="2566" spans="1:24" s="1" customFormat="1" ht="14.1" customHeight="1" x14ac:dyDescent="0.3">
      <c r="A2566" s="23" t="s">
        <v>3194</v>
      </c>
      <c r="B2566" s="23" t="s">
        <v>3195</v>
      </c>
      <c r="C2566" s="12" t="s">
        <v>3196</v>
      </c>
      <c r="D2566" s="84"/>
      <c r="E2566" s="69" t="str">
        <f t="shared" si="98"/>
        <v>Еще фото</v>
      </c>
      <c r="F2566" s="13"/>
      <c r="G2566" s="23" t="s">
        <v>150</v>
      </c>
      <c r="H2566" s="23" t="s">
        <v>151</v>
      </c>
      <c r="I2566" s="23" t="s">
        <v>152</v>
      </c>
      <c r="J2566" s="14" t="s">
        <v>29</v>
      </c>
      <c r="K2566" s="15" t="s">
        <v>47</v>
      </c>
      <c r="L2566" s="87"/>
      <c r="M2566" s="14"/>
      <c r="N2566" s="14" t="s">
        <v>313</v>
      </c>
      <c r="O2566" s="14"/>
      <c r="P2566" s="15" t="s">
        <v>3197</v>
      </c>
      <c r="Q2566" s="16">
        <v>13999</v>
      </c>
      <c r="R2566" s="17">
        <v>45</v>
      </c>
      <c r="S2566" s="18">
        <v>8854.3674999999985</v>
      </c>
      <c r="T2566" s="19" t="s">
        <v>328</v>
      </c>
      <c r="U2566" s="20" t="s">
        <v>426</v>
      </c>
      <c r="V2566" s="21">
        <v>37</v>
      </c>
      <c r="W2566" s="21">
        <v>19</v>
      </c>
      <c r="X2566" s="22"/>
    </row>
    <row r="2567" spans="1:24" s="1" customFormat="1" ht="14.1" customHeight="1" x14ac:dyDescent="0.3">
      <c r="A2567" s="23" t="s">
        <v>3194</v>
      </c>
      <c r="B2567" s="23" t="s">
        <v>3195</v>
      </c>
      <c r="C2567" s="12" t="s">
        <v>3196</v>
      </c>
      <c r="D2567" s="84"/>
      <c r="E2567" s="69" t="str">
        <f t="shared" si="98"/>
        <v>Еще фото</v>
      </c>
      <c r="F2567" s="13"/>
      <c r="G2567" s="23" t="s">
        <v>150</v>
      </c>
      <c r="H2567" s="23" t="s">
        <v>151</v>
      </c>
      <c r="I2567" s="23" t="s">
        <v>152</v>
      </c>
      <c r="J2567" s="14" t="s">
        <v>29</v>
      </c>
      <c r="K2567" s="15" t="s">
        <v>47</v>
      </c>
      <c r="L2567" s="87"/>
      <c r="M2567" s="14"/>
      <c r="N2567" s="14" t="s">
        <v>313</v>
      </c>
      <c r="O2567" s="14"/>
      <c r="P2567" s="15" t="s">
        <v>3197</v>
      </c>
      <c r="Q2567" s="16">
        <v>13999</v>
      </c>
      <c r="R2567" s="17">
        <v>45</v>
      </c>
      <c r="S2567" s="18">
        <v>8854.3674999999985</v>
      </c>
      <c r="T2567" s="19" t="s">
        <v>328</v>
      </c>
      <c r="U2567" s="20" t="s">
        <v>413</v>
      </c>
      <c r="V2567" s="21">
        <v>38</v>
      </c>
      <c r="W2567" s="21">
        <v>12</v>
      </c>
      <c r="X2567" s="22"/>
    </row>
    <row r="2568" spans="1:24" s="1" customFormat="1" ht="14.1" customHeight="1" x14ac:dyDescent="0.3">
      <c r="A2568" s="23" t="s">
        <v>3194</v>
      </c>
      <c r="B2568" s="23" t="s">
        <v>3195</v>
      </c>
      <c r="C2568" s="12" t="s">
        <v>3196</v>
      </c>
      <c r="D2568" s="84"/>
      <c r="E2568" s="69" t="str">
        <f t="shared" si="98"/>
        <v>Еще фото</v>
      </c>
      <c r="F2568" s="13"/>
      <c r="G2568" s="23" t="s">
        <v>150</v>
      </c>
      <c r="H2568" s="23" t="s">
        <v>151</v>
      </c>
      <c r="I2568" s="23" t="s">
        <v>152</v>
      </c>
      <c r="J2568" s="14" t="s">
        <v>29</v>
      </c>
      <c r="K2568" s="15" t="s">
        <v>47</v>
      </c>
      <c r="L2568" s="87"/>
      <c r="M2568" s="14"/>
      <c r="N2568" s="14" t="s">
        <v>313</v>
      </c>
      <c r="O2568" s="14"/>
      <c r="P2568" s="15" t="s">
        <v>3197</v>
      </c>
      <c r="Q2568" s="16">
        <v>13999</v>
      </c>
      <c r="R2568" s="17">
        <v>45</v>
      </c>
      <c r="S2568" s="18">
        <v>8854.3674999999985</v>
      </c>
      <c r="T2568" s="19" t="s">
        <v>328</v>
      </c>
      <c r="U2568" s="20" t="s">
        <v>399</v>
      </c>
      <c r="V2568" s="21">
        <v>39</v>
      </c>
      <c r="W2568" s="21">
        <v>5</v>
      </c>
      <c r="X2568" s="22"/>
    </row>
    <row r="2569" spans="1:24" s="1" customFormat="1" ht="17.100000000000001" customHeight="1" x14ac:dyDescent="0.3">
      <c r="A2569" s="23" t="s">
        <v>3194</v>
      </c>
      <c r="B2569" s="23" t="s">
        <v>3195</v>
      </c>
      <c r="C2569" s="12" t="s">
        <v>3196</v>
      </c>
      <c r="D2569" s="85"/>
      <c r="E2569" s="69" t="str">
        <f t="shared" si="98"/>
        <v>Еще фото</v>
      </c>
      <c r="F2569" s="13"/>
      <c r="G2569" s="23" t="s">
        <v>150</v>
      </c>
      <c r="H2569" s="23" t="s">
        <v>151</v>
      </c>
      <c r="I2569" s="23" t="s">
        <v>152</v>
      </c>
      <c r="J2569" s="14" t="s">
        <v>29</v>
      </c>
      <c r="K2569" s="15" t="s">
        <v>47</v>
      </c>
      <c r="L2569" s="88"/>
      <c r="M2569" s="14"/>
      <c r="N2569" s="14" t="s">
        <v>313</v>
      </c>
      <c r="O2569" s="14"/>
      <c r="P2569" s="15" t="s">
        <v>3197</v>
      </c>
      <c r="Q2569" s="16">
        <v>13999</v>
      </c>
      <c r="R2569" s="17">
        <v>45</v>
      </c>
      <c r="S2569" s="18">
        <v>8854.3674999999985</v>
      </c>
      <c r="T2569" s="19" t="s">
        <v>328</v>
      </c>
      <c r="U2569" s="20" t="s">
        <v>400</v>
      </c>
      <c r="V2569" s="21">
        <v>40</v>
      </c>
      <c r="W2569" s="21">
        <v>1</v>
      </c>
      <c r="X2569" s="22"/>
    </row>
    <row r="2570" spans="1:24" s="1" customFormat="1" ht="17.100000000000001" customHeight="1" x14ac:dyDescent="0.3">
      <c r="A2570" s="11" t="s">
        <v>3194</v>
      </c>
      <c r="B2570" s="11" t="s">
        <v>3198</v>
      </c>
      <c r="C2570" s="12" t="s">
        <v>3199</v>
      </c>
      <c r="D2570" s="83"/>
      <c r="E2570" s="69" t="str">
        <f t="shared" ref="E2570:E2575" si="99">HYPERLINK("https://www.google.ru/search?q=101681942&amp;newwindow=1&amp;tbm=isch","Еще фото")</f>
        <v>Еще фото</v>
      </c>
      <c r="F2570" s="13"/>
      <c r="G2570" s="11" t="s">
        <v>150</v>
      </c>
      <c r="H2570" s="11" t="s">
        <v>151</v>
      </c>
      <c r="I2570" s="14" t="s">
        <v>152</v>
      </c>
      <c r="J2570" s="14" t="s">
        <v>29</v>
      </c>
      <c r="K2570" s="15" t="s">
        <v>47</v>
      </c>
      <c r="L2570" s="86"/>
      <c r="M2570" s="14"/>
      <c r="N2570" s="14" t="s">
        <v>3200</v>
      </c>
      <c r="O2570" s="14"/>
      <c r="P2570" s="15" t="s">
        <v>3201</v>
      </c>
      <c r="Q2570" s="16">
        <v>14999</v>
      </c>
      <c r="R2570" s="17">
        <v>45</v>
      </c>
      <c r="S2570" s="18">
        <v>9486.8675000000003</v>
      </c>
      <c r="T2570" s="19" t="s">
        <v>328</v>
      </c>
      <c r="U2570" s="20" t="s">
        <v>1503</v>
      </c>
      <c r="V2570" s="21">
        <v>35</v>
      </c>
      <c r="W2570" s="21">
        <v>3</v>
      </c>
      <c r="X2570" s="22"/>
    </row>
    <row r="2571" spans="1:24" s="1" customFormat="1" ht="17.100000000000001" customHeight="1" x14ac:dyDescent="0.3">
      <c r="A2571" s="23" t="s">
        <v>3194</v>
      </c>
      <c r="B2571" s="23" t="s">
        <v>3198</v>
      </c>
      <c r="C2571" s="12" t="s">
        <v>3199</v>
      </c>
      <c r="D2571" s="84"/>
      <c r="E2571" s="69" t="str">
        <f t="shared" si="99"/>
        <v>Еще фото</v>
      </c>
      <c r="F2571" s="13"/>
      <c r="G2571" s="23" t="s">
        <v>150</v>
      </c>
      <c r="H2571" s="23" t="s">
        <v>151</v>
      </c>
      <c r="I2571" s="23" t="s">
        <v>152</v>
      </c>
      <c r="J2571" s="14" t="s">
        <v>29</v>
      </c>
      <c r="K2571" s="15" t="s">
        <v>47</v>
      </c>
      <c r="L2571" s="87"/>
      <c r="M2571" s="14"/>
      <c r="N2571" s="14" t="s">
        <v>3200</v>
      </c>
      <c r="O2571" s="14"/>
      <c r="P2571" s="15" t="s">
        <v>3201</v>
      </c>
      <c r="Q2571" s="16">
        <v>14999</v>
      </c>
      <c r="R2571" s="17">
        <v>45</v>
      </c>
      <c r="S2571" s="18">
        <v>9486.8675000000003</v>
      </c>
      <c r="T2571" s="19" t="s">
        <v>328</v>
      </c>
      <c r="U2571" s="20" t="s">
        <v>409</v>
      </c>
      <c r="V2571" s="21">
        <v>36</v>
      </c>
      <c r="W2571" s="21">
        <v>9</v>
      </c>
      <c r="X2571" s="22"/>
    </row>
    <row r="2572" spans="1:24" s="1" customFormat="1" ht="17.100000000000001" customHeight="1" x14ac:dyDescent="0.3">
      <c r="A2572" s="23" t="s">
        <v>3194</v>
      </c>
      <c r="B2572" s="23" t="s">
        <v>3198</v>
      </c>
      <c r="C2572" s="12" t="s">
        <v>3199</v>
      </c>
      <c r="D2572" s="84"/>
      <c r="E2572" s="69" t="str">
        <f t="shared" si="99"/>
        <v>Еще фото</v>
      </c>
      <c r="F2572" s="13"/>
      <c r="G2572" s="23" t="s">
        <v>150</v>
      </c>
      <c r="H2572" s="23" t="s">
        <v>151</v>
      </c>
      <c r="I2572" s="23" t="s">
        <v>152</v>
      </c>
      <c r="J2572" s="14" t="s">
        <v>29</v>
      </c>
      <c r="K2572" s="15" t="s">
        <v>47</v>
      </c>
      <c r="L2572" s="87"/>
      <c r="M2572" s="14"/>
      <c r="N2572" s="14" t="s">
        <v>3200</v>
      </c>
      <c r="O2572" s="14"/>
      <c r="P2572" s="15" t="s">
        <v>3201</v>
      </c>
      <c r="Q2572" s="16">
        <v>14999</v>
      </c>
      <c r="R2572" s="17">
        <v>45</v>
      </c>
      <c r="S2572" s="18">
        <v>9486.8675000000003</v>
      </c>
      <c r="T2572" s="19" t="s">
        <v>328</v>
      </c>
      <c r="U2572" s="20" t="s">
        <v>426</v>
      </c>
      <c r="V2572" s="21">
        <v>37</v>
      </c>
      <c r="W2572" s="21">
        <v>15</v>
      </c>
      <c r="X2572" s="22"/>
    </row>
    <row r="2573" spans="1:24" s="1" customFormat="1" ht="17.100000000000001" customHeight="1" x14ac:dyDescent="0.3">
      <c r="A2573" s="23" t="s">
        <v>3194</v>
      </c>
      <c r="B2573" s="23" t="s">
        <v>3198</v>
      </c>
      <c r="C2573" s="12" t="s">
        <v>3199</v>
      </c>
      <c r="D2573" s="84"/>
      <c r="E2573" s="69" t="str">
        <f t="shared" si="99"/>
        <v>Еще фото</v>
      </c>
      <c r="F2573" s="13"/>
      <c r="G2573" s="23" t="s">
        <v>150</v>
      </c>
      <c r="H2573" s="23" t="s">
        <v>151</v>
      </c>
      <c r="I2573" s="23" t="s">
        <v>152</v>
      </c>
      <c r="J2573" s="14" t="s">
        <v>29</v>
      </c>
      <c r="K2573" s="15" t="s">
        <v>47</v>
      </c>
      <c r="L2573" s="87"/>
      <c r="M2573" s="14"/>
      <c r="N2573" s="14" t="s">
        <v>3200</v>
      </c>
      <c r="O2573" s="14"/>
      <c r="P2573" s="15" t="s">
        <v>3201</v>
      </c>
      <c r="Q2573" s="16">
        <v>14999</v>
      </c>
      <c r="R2573" s="17">
        <v>45</v>
      </c>
      <c r="S2573" s="18">
        <v>9486.8675000000003</v>
      </c>
      <c r="T2573" s="19" t="s">
        <v>328</v>
      </c>
      <c r="U2573" s="20" t="s">
        <v>413</v>
      </c>
      <c r="V2573" s="21">
        <v>38</v>
      </c>
      <c r="W2573" s="21">
        <v>15</v>
      </c>
      <c r="X2573" s="22"/>
    </row>
    <row r="2574" spans="1:24" s="1" customFormat="1" ht="17.100000000000001" customHeight="1" x14ac:dyDescent="0.3">
      <c r="A2574" s="23" t="s">
        <v>3194</v>
      </c>
      <c r="B2574" s="23" t="s">
        <v>3198</v>
      </c>
      <c r="C2574" s="12" t="s">
        <v>3199</v>
      </c>
      <c r="D2574" s="84"/>
      <c r="E2574" s="69" t="str">
        <f t="shared" si="99"/>
        <v>Еще фото</v>
      </c>
      <c r="F2574" s="13"/>
      <c r="G2574" s="23" t="s">
        <v>150</v>
      </c>
      <c r="H2574" s="23" t="s">
        <v>151</v>
      </c>
      <c r="I2574" s="23" t="s">
        <v>152</v>
      </c>
      <c r="J2574" s="14" t="s">
        <v>29</v>
      </c>
      <c r="K2574" s="15" t="s">
        <v>47</v>
      </c>
      <c r="L2574" s="87"/>
      <c r="M2574" s="14"/>
      <c r="N2574" s="14" t="s">
        <v>3200</v>
      </c>
      <c r="O2574" s="14"/>
      <c r="P2574" s="15" t="s">
        <v>3201</v>
      </c>
      <c r="Q2574" s="16">
        <v>14999</v>
      </c>
      <c r="R2574" s="17">
        <v>45</v>
      </c>
      <c r="S2574" s="18">
        <v>9486.8675000000003</v>
      </c>
      <c r="T2574" s="19" t="s">
        <v>328</v>
      </c>
      <c r="U2574" s="20" t="s">
        <v>399</v>
      </c>
      <c r="V2574" s="21">
        <v>39</v>
      </c>
      <c r="W2574" s="21">
        <v>10</v>
      </c>
      <c r="X2574" s="22"/>
    </row>
    <row r="2575" spans="1:24" s="1" customFormat="1" ht="21.95" customHeight="1" x14ac:dyDescent="0.3">
      <c r="A2575" s="23" t="s">
        <v>3194</v>
      </c>
      <c r="B2575" s="23" t="s">
        <v>3198</v>
      </c>
      <c r="C2575" s="12" t="s">
        <v>3199</v>
      </c>
      <c r="D2575" s="85"/>
      <c r="E2575" s="69" t="str">
        <f t="shared" si="99"/>
        <v>Еще фото</v>
      </c>
      <c r="F2575" s="13"/>
      <c r="G2575" s="23" t="s">
        <v>150</v>
      </c>
      <c r="H2575" s="23" t="s">
        <v>151</v>
      </c>
      <c r="I2575" s="23" t="s">
        <v>152</v>
      </c>
      <c r="J2575" s="14" t="s">
        <v>29</v>
      </c>
      <c r="K2575" s="15" t="s">
        <v>47</v>
      </c>
      <c r="L2575" s="88"/>
      <c r="M2575" s="14"/>
      <c r="N2575" s="14" t="s">
        <v>3200</v>
      </c>
      <c r="O2575" s="14"/>
      <c r="P2575" s="15" t="s">
        <v>3201</v>
      </c>
      <c r="Q2575" s="16">
        <v>14999</v>
      </c>
      <c r="R2575" s="17">
        <v>45</v>
      </c>
      <c r="S2575" s="18">
        <v>9486.8675000000003</v>
      </c>
      <c r="T2575" s="19" t="s">
        <v>328</v>
      </c>
      <c r="U2575" s="20" t="s">
        <v>400</v>
      </c>
      <c r="V2575" s="21">
        <v>40</v>
      </c>
      <c r="W2575" s="21">
        <v>2</v>
      </c>
      <c r="X2575" s="22"/>
    </row>
    <row r="2576" spans="1:24" s="1" customFormat="1" ht="14.1" customHeight="1" x14ac:dyDescent="0.3">
      <c r="A2576" s="11" t="s">
        <v>3194</v>
      </c>
      <c r="B2576" s="11" t="s">
        <v>3198</v>
      </c>
      <c r="C2576" s="12" t="s">
        <v>3202</v>
      </c>
      <c r="D2576" s="83"/>
      <c r="E2576" s="69" t="str">
        <f t="shared" ref="E2576:E2582" si="100">HYPERLINK("https://www.google.ru/search?q=101681980&amp;newwindow=1&amp;tbm=isch","Еще фото")</f>
        <v>Еще фото</v>
      </c>
      <c r="F2576" s="13"/>
      <c r="G2576" s="11" t="s">
        <v>150</v>
      </c>
      <c r="H2576" s="11" t="s">
        <v>151</v>
      </c>
      <c r="I2576" s="14" t="s">
        <v>152</v>
      </c>
      <c r="J2576" s="14" t="s">
        <v>29</v>
      </c>
      <c r="K2576" s="15" t="s">
        <v>47</v>
      </c>
      <c r="L2576" s="86"/>
      <c r="M2576" s="14"/>
      <c r="N2576" s="14" t="s">
        <v>49</v>
      </c>
      <c r="O2576" s="14"/>
      <c r="P2576" s="15" t="s">
        <v>3201</v>
      </c>
      <c r="Q2576" s="16">
        <v>14999</v>
      </c>
      <c r="R2576" s="17">
        <v>45</v>
      </c>
      <c r="S2576" s="18">
        <v>9486.8675000000003</v>
      </c>
      <c r="T2576" s="19" t="s">
        <v>328</v>
      </c>
      <c r="U2576" s="20" t="s">
        <v>431</v>
      </c>
      <c r="V2576" s="21">
        <v>34</v>
      </c>
      <c r="W2576" s="21">
        <v>2</v>
      </c>
      <c r="X2576" s="22"/>
    </row>
    <row r="2577" spans="1:24" s="1" customFormat="1" ht="14.1" customHeight="1" x14ac:dyDescent="0.3">
      <c r="A2577" s="23" t="s">
        <v>3194</v>
      </c>
      <c r="B2577" s="23" t="s">
        <v>3198</v>
      </c>
      <c r="C2577" s="12" t="s">
        <v>3202</v>
      </c>
      <c r="D2577" s="84"/>
      <c r="E2577" s="69" t="str">
        <f t="shared" si="100"/>
        <v>Еще фото</v>
      </c>
      <c r="F2577" s="13"/>
      <c r="G2577" s="23" t="s">
        <v>150</v>
      </c>
      <c r="H2577" s="23" t="s">
        <v>151</v>
      </c>
      <c r="I2577" s="23" t="s">
        <v>152</v>
      </c>
      <c r="J2577" s="14" t="s">
        <v>29</v>
      </c>
      <c r="K2577" s="15" t="s">
        <v>47</v>
      </c>
      <c r="L2577" s="87"/>
      <c r="M2577" s="14"/>
      <c r="N2577" s="14" t="s">
        <v>49</v>
      </c>
      <c r="O2577" s="14"/>
      <c r="P2577" s="15" t="s">
        <v>3201</v>
      </c>
      <c r="Q2577" s="16">
        <v>14999</v>
      </c>
      <c r="R2577" s="17">
        <v>45</v>
      </c>
      <c r="S2577" s="18">
        <v>9486.8675000000003</v>
      </c>
      <c r="T2577" s="19" t="s">
        <v>328</v>
      </c>
      <c r="U2577" s="20" t="s">
        <v>1503</v>
      </c>
      <c r="V2577" s="21">
        <v>35</v>
      </c>
      <c r="W2577" s="21">
        <v>5</v>
      </c>
      <c r="X2577" s="22"/>
    </row>
    <row r="2578" spans="1:24" s="1" customFormat="1" ht="14.1" customHeight="1" x14ac:dyDescent="0.3">
      <c r="A2578" s="23" t="s">
        <v>3194</v>
      </c>
      <c r="B2578" s="23" t="s">
        <v>3198</v>
      </c>
      <c r="C2578" s="12" t="s">
        <v>3202</v>
      </c>
      <c r="D2578" s="84"/>
      <c r="E2578" s="69" t="str">
        <f t="shared" si="100"/>
        <v>Еще фото</v>
      </c>
      <c r="F2578" s="13"/>
      <c r="G2578" s="23" t="s">
        <v>150</v>
      </c>
      <c r="H2578" s="23" t="s">
        <v>151</v>
      </c>
      <c r="I2578" s="23" t="s">
        <v>152</v>
      </c>
      <c r="J2578" s="14" t="s">
        <v>29</v>
      </c>
      <c r="K2578" s="15" t="s">
        <v>47</v>
      </c>
      <c r="L2578" s="87"/>
      <c r="M2578" s="14"/>
      <c r="N2578" s="14" t="s">
        <v>49</v>
      </c>
      <c r="O2578" s="14"/>
      <c r="P2578" s="15" t="s">
        <v>3201</v>
      </c>
      <c r="Q2578" s="16">
        <v>14999</v>
      </c>
      <c r="R2578" s="17">
        <v>45</v>
      </c>
      <c r="S2578" s="18">
        <v>9486.8675000000003</v>
      </c>
      <c r="T2578" s="19" t="s">
        <v>328</v>
      </c>
      <c r="U2578" s="20" t="s">
        <v>409</v>
      </c>
      <c r="V2578" s="21">
        <v>36</v>
      </c>
      <c r="W2578" s="21">
        <v>7</v>
      </c>
      <c r="X2578" s="22"/>
    </row>
    <row r="2579" spans="1:24" s="1" customFormat="1" ht="14.1" customHeight="1" x14ac:dyDescent="0.3">
      <c r="A2579" s="23" t="s">
        <v>3194</v>
      </c>
      <c r="B2579" s="23" t="s">
        <v>3198</v>
      </c>
      <c r="C2579" s="12" t="s">
        <v>3202</v>
      </c>
      <c r="D2579" s="84"/>
      <c r="E2579" s="69" t="str">
        <f t="shared" si="100"/>
        <v>Еще фото</v>
      </c>
      <c r="F2579" s="13"/>
      <c r="G2579" s="23" t="s">
        <v>150</v>
      </c>
      <c r="H2579" s="23" t="s">
        <v>151</v>
      </c>
      <c r="I2579" s="23" t="s">
        <v>152</v>
      </c>
      <c r="J2579" s="14" t="s">
        <v>29</v>
      </c>
      <c r="K2579" s="15" t="s">
        <v>47</v>
      </c>
      <c r="L2579" s="87"/>
      <c r="M2579" s="14"/>
      <c r="N2579" s="14" t="s">
        <v>49</v>
      </c>
      <c r="O2579" s="14"/>
      <c r="P2579" s="15" t="s">
        <v>3201</v>
      </c>
      <c r="Q2579" s="16">
        <v>14999</v>
      </c>
      <c r="R2579" s="17">
        <v>45</v>
      </c>
      <c r="S2579" s="18">
        <v>9486.8675000000003</v>
      </c>
      <c r="T2579" s="19" t="s">
        <v>328</v>
      </c>
      <c r="U2579" s="20" t="s">
        <v>426</v>
      </c>
      <c r="V2579" s="21">
        <v>37</v>
      </c>
      <c r="W2579" s="21">
        <v>14</v>
      </c>
      <c r="X2579" s="22"/>
    </row>
    <row r="2580" spans="1:24" s="1" customFormat="1" ht="14.1" customHeight="1" x14ac:dyDescent="0.3">
      <c r="A2580" s="23" t="s">
        <v>3194</v>
      </c>
      <c r="B2580" s="23" t="s">
        <v>3198</v>
      </c>
      <c r="C2580" s="12" t="s">
        <v>3202</v>
      </c>
      <c r="D2580" s="84"/>
      <c r="E2580" s="69" t="str">
        <f t="shared" si="100"/>
        <v>Еще фото</v>
      </c>
      <c r="F2580" s="13"/>
      <c r="G2580" s="23" t="s">
        <v>150</v>
      </c>
      <c r="H2580" s="23" t="s">
        <v>151</v>
      </c>
      <c r="I2580" s="23" t="s">
        <v>152</v>
      </c>
      <c r="J2580" s="14" t="s">
        <v>29</v>
      </c>
      <c r="K2580" s="15" t="s">
        <v>47</v>
      </c>
      <c r="L2580" s="87"/>
      <c r="M2580" s="14"/>
      <c r="N2580" s="14" t="s">
        <v>49</v>
      </c>
      <c r="O2580" s="14"/>
      <c r="P2580" s="15" t="s">
        <v>3201</v>
      </c>
      <c r="Q2580" s="16">
        <v>14999</v>
      </c>
      <c r="R2580" s="17">
        <v>45</v>
      </c>
      <c r="S2580" s="18">
        <v>9486.8675000000003</v>
      </c>
      <c r="T2580" s="19" t="s">
        <v>328</v>
      </c>
      <c r="U2580" s="20" t="s">
        <v>413</v>
      </c>
      <c r="V2580" s="21">
        <v>38</v>
      </c>
      <c r="W2580" s="21">
        <v>10</v>
      </c>
      <c r="X2580" s="22"/>
    </row>
    <row r="2581" spans="1:24" s="1" customFormat="1" ht="14.1" customHeight="1" x14ac:dyDescent="0.3">
      <c r="A2581" s="23" t="s">
        <v>3194</v>
      </c>
      <c r="B2581" s="23" t="s">
        <v>3198</v>
      </c>
      <c r="C2581" s="12" t="s">
        <v>3202</v>
      </c>
      <c r="D2581" s="84"/>
      <c r="E2581" s="69" t="str">
        <f t="shared" si="100"/>
        <v>Еще фото</v>
      </c>
      <c r="F2581" s="13"/>
      <c r="G2581" s="23" t="s">
        <v>150</v>
      </c>
      <c r="H2581" s="23" t="s">
        <v>151</v>
      </c>
      <c r="I2581" s="23" t="s">
        <v>152</v>
      </c>
      <c r="J2581" s="14" t="s">
        <v>29</v>
      </c>
      <c r="K2581" s="15" t="s">
        <v>47</v>
      </c>
      <c r="L2581" s="87"/>
      <c r="M2581" s="14"/>
      <c r="N2581" s="14" t="s">
        <v>49</v>
      </c>
      <c r="O2581" s="14"/>
      <c r="P2581" s="15" t="s">
        <v>3201</v>
      </c>
      <c r="Q2581" s="16">
        <v>14999</v>
      </c>
      <c r="R2581" s="17">
        <v>45</v>
      </c>
      <c r="S2581" s="18">
        <v>9486.8675000000003</v>
      </c>
      <c r="T2581" s="19" t="s">
        <v>328</v>
      </c>
      <c r="U2581" s="20" t="s">
        <v>399</v>
      </c>
      <c r="V2581" s="21">
        <v>39</v>
      </c>
      <c r="W2581" s="21">
        <v>3</v>
      </c>
      <c r="X2581" s="22"/>
    </row>
    <row r="2582" spans="1:24" s="1" customFormat="1" ht="17.100000000000001" customHeight="1" x14ac:dyDescent="0.3">
      <c r="A2582" s="23" t="s">
        <v>3194</v>
      </c>
      <c r="B2582" s="23" t="s">
        <v>3198</v>
      </c>
      <c r="C2582" s="12" t="s">
        <v>3202</v>
      </c>
      <c r="D2582" s="85"/>
      <c r="E2582" s="69" t="str">
        <f t="shared" si="100"/>
        <v>Еще фото</v>
      </c>
      <c r="F2582" s="13"/>
      <c r="G2582" s="23" t="s">
        <v>150</v>
      </c>
      <c r="H2582" s="23" t="s">
        <v>151</v>
      </c>
      <c r="I2582" s="23" t="s">
        <v>152</v>
      </c>
      <c r="J2582" s="14" t="s">
        <v>29</v>
      </c>
      <c r="K2582" s="15" t="s">
        <v>47</v>
      </c>
      <c r="L2582" s="88"/>
      <c r="M2582" s="14"/>
      <c r="N2582" s="14" t="s">
        <v>49</v>
      </c>
      <c r="O2582" s="14"/>
      <c r="P2582" s="15" t="s">
        <v>3201</v>
      </c>
      <c r="Q2582" s="16">
        <v>14999</v>
      </c>
      <c r="R2582" s="17">
        <v>45</v>
      </c>
      <c r="S2582" s="18">
        <v>9486.8675000000003</v>
      </c>
      <c r="T2582" s="19" t="s">
        <v>328</v>
      </c>
      <c r="U2582" s="20" t="s">
        <v>400</v>
      </c>
      <c r="V2582" s="21">
        <v>40</v>
      </c>
      <c r="W2582" s="21">
        <v>2</v>
      </c>
      <c r="X2582" s="22"/>
    </row>
    <row r="2583" spans="1:24" s="1" customFormat="1" ht="17.100000000000001" customHeight="1" x14ac:dyDescent="0.3">
      <c r="A2583" s="11" t="s">
        <v>3194</v>
      </c>
      <c r="B2583" s="11" t="s">
        <v>3198</v>
      </c>
      <c r="C2583" s="12" t="s">
        <v>3203</v>
      </c>
      <c r="D2583" s="83"/>
      <c r="E2583" s="69" t="str">
        <f t="shared" ref="E2583:E2588" si="101">HYPERLINK("https://www.google.ru/search?q=101682024&amp;newwindow=1&amp;tbm=isch","Еще фото")</f>
        <v>Еще фото</v>
      </c>
      <c r="F2583" s="13"/>
      <c r="G2583" s="11" t="s">
        <v>150</v>
      </c>
      <c r="H2583" s="11" t="s">
        <v>151</v>
      </c>
      <c r="I2583" s="14" t="s">
        <v>152</v>
      </c>
      <c r="J2583" s="14" t="s">
        <v>29</v>
      </c>
      <c r="K2583" s="15" t="s">
        <v>47</v>
      </c>
      <c r="L2583" s="86"/>
      <c r="M2583" s="14"/>
      <c r="N2583" s="14" t="s">
        <v>313</v>
      </c>
      <c r="O2583" s="14"/>
      <c r="P2583" s="15" t="s">
        <v>3201</v>
      </c>
      <c r="Q2583" s="16">
        <v>14999</v>
      </c>
      <c r="R2583" s="17">
        <v>45</v>
      </c>
      <c r="S2583" s="18">
        <v>9486.8675000000003</v>
      </c>
      <c r="T2583" s="19" t="s">
        <v>328</v>
      </c>
      <c r="U2583" s="20" t="s">
        <v>431</v>
      </c>
      <c r="V2583" s="21">
        <v>34</v>
      </c>
      <c r="W2583" s="21">
        <v>1</v>
      </c>
      <c r="X2583" s="22"/>
    </row>
    <row r="2584" spans="1:24" s="1" customFormat="1" ht="17.100000000000001" customHeight="1" x14ac:dyDescent="0.3">
      <c r="A2584" s="23" t="s">
        <v>3194</v>
      </c>
      <c r="B2584" s="23" t="s">
        <v>3198</v>
      </c>
      <c r="C2584" s="12" t="s">
        <v>3203</v>
      </c>
      <c r="D2584" s="84"/>
      <c r="E2584" s="69" t="str">
        <f t="shared" si="101"/>
        <v>Еще фото</v>
      </c>
      <c r="F2584" s="13"/>
      <c r="G2584" s="23" t="s">
        <v>150</v>
      </c>
      <c r="H2584" s="23" t="s">
        <v>151</v>
      </c>
      <c r="I2584" s="23" t="s">
        <v>152</v>
      </c>
      <c r="J2584" s="14" t="s">
        <v>29</v>
      </c>
      <c r="K2584" s="15" t="s">
        <v>47</v>
      </c>
      <c r="L2584" s="87"/>
      <c r="M2584" s="14"/>
      <c r="N2584" s="14" t="s">
        <v>313</v>
      </c>
      <c r="O2584" s="14"/>
      <c r="P2584" s="15" t="s">
        <v>3201</v>
      </c>
      <c r="Q2584" s="16">
        <v>14999</v>
      </c>
      <c r="R2584" s="17">
        <v>45</v>
      </c>
      <c r="S2584" s="18">
        <v>9486.8675000000003</v>
      </c>
      <c r="T2584" s="19" t="s">
        <v>328</v>
      </c>
      <c r="U2584" s="20" t="s">
        <v>1503</v>
      </c>
      <c r="V2584" s="21">
        <v>35</v>
      </c>
      <c r="W2584" s="21">
        <v>5</v>
      </c>
      <c r="X2584" s="22"/>
    </row>
    <row r="2585" spans="1:24" s="1" customFormat="1" ht="17.100000000000001" customHeight="1" x14ac:dyDescent="0.3">
      <c r="A2585" s="23" t="s">
        <v>3194</v>
      </c>
      <c r="B2585" s="23" t="s">
        <v>3198</v>
      </c>
      <c r="C2585" s="12" t="s">
        <v>3203</v>
      </c>
      <c r="D2585" s="84"/>
      <c r="E2585" s="69" t="str">
        <f t="shared" si="101"/>
        <v>Еще фото</v>
      </c>
      <c r="F2585" s="13"/>
      <c r="G2585" s="23" t="s">
        <v>150</v>
      </c>
      <c r="H2585" s="23" t="s">
        <v>151</v>
      </c>
      <c r="I2585" s="23" t="s">
        <v>152</v>
      </c>
      <c r="J2585" s="14" t="s">
        <v>29</v>
      </c>
      <c r="K2585" s="15" t="s">
        <v>47</v>
      </c>
      <c r="L2585" s="87"/>
      <c r="M2585" s="14"/>
      <c r="N2585" s="14" t="s">
        <v>313</v>
      </c>
      <c r="O2585" s="14"/>
      <c r="P2585" s="15" t="s">
        <v>3201</v>
      </c>
      <c r="Q2585" s="16">
        <v>14999</v>
      </c>
      <c r="R2585" s="17">
        <v>45</v>
      </c>
      <c r="S2585" s="18">
        <v>9486.8675000000003</v>
      </c>
      <c r="T2585" s="19" t="s">
        <v>328</v>
      </c>
      <c r="U2585" s="20" t="s">
        <v>409</v>
      </c>
      <c r="V2585" s="21">
        <v>36</v>
      </c>
      <c r="W2585" s="21">
        <v>7</v>
      </c>
      <c r="X2585" s="22"/>
    </row>
    <row r="2586" spans="1:24" s="1" customFormat="1" ht="17.100000000000001" customHeight="1" x14ac:dyDescent="0.3">
      <c r="A2586" s="23" t="s">
        <v>3194</v>
      </c>
      <c r="B2586" s="23" t="s">
        <v>3198</v>
      </c>
      <c r="C2586" s="12" t="s">
        <v>3203</v>
      </c>
      <c r="D2586" s="84"/>
      <c r="E2586" s="69" t="str">
        <f t="shared" si="101"/>
        <v>Еще фото</v>
      </c>
      <c r="F2586" s="13"/>
      <c r="G2586" s="23" t="s">
        <v>150</v>
      </c>
      <c r="H2586" s="23" t="s">
        <v>151</v>
      </c>
      <c r="I2586" s="23" t="s">
        <v>152</v>
      </c>
      <c r="J2586" s="14" t="s">
        <v>29</v>
      </c>
      <c r="K2586" s="15" t="s">
        <v>47</v>
      </c>
      <c r="L2586" s="87"/>
      <c r="M2586" s="14"/>
      <c r="N2586" s="14" t="s">
        <v>313</v>
      </c>
      <c r="O2586" s="14"/>
      <c r="P2586" s="15" t="s">
        <v>3201</v>
      </c>
      <c r="Q2586" s="16">
        <v>14999</v>
      </c>
      <c r="R2586" s="17">
        <v>45</v>
      </c>
      <c r="S2586" s="18">
        <v>9486.8675000000003</v>
      </c>
      <c r="T2586" s="19" t="s">
        <v>328</v>
      </c>
      <c r="U2586" s="20" t="s">
        <v>426</v>
      </c>
      <c r="V2586" s="21">
        <v>37</v>
      </c>
      <c r="W2586" s="21">
        <v>8</v>
      </c>
      <c r="X2586" s="22"/>
    </row>
    <row r="2587" spans="1:24" s="1" customFormat="1" ht="17.100000000000001" customHeight="1" x14ac:dyDescent="0.3">
      <c r="A2587" s="23" t="s">
        <v>3194</v>
      </c>
      <c r="B2587" s="23" t="s">
        <v>3198</v>
      </c>
      <c r="C2587" s="12" t="s">
        <v>3203</v>
      </c>
      <c r="D2587" s="84"/>
      <c r="E2587" s="69" t="str">
        <f t="shared" si="101"/>
        <v>Еще фото</v>
      </c>
      <c r="F2587" s="13"/>
      <c r="G2587" s="23" t="s">
        <v>150</v>
      </c>
      <c r="H2587" s="23" t="s">
        <v>151</v>
      </c>
      <c r="I2587" s="23" t="s">
        <v>152</v>
      </c>
      <c r="J2587" s="14" t="s">
        <v>29</v>
      </c>
      <c r="K2587" s="15" t="s">
        <v>47</v>
      </c>
      <c r="L2587" s="87"/>
      <c r="M2587" s="14"/>
      <c r="N2587" s="14" t="s">
        <v>313</v>
      </c>
      <c r="O2587" s="14"/>
      <c r="P2587" s="15" t="s">
        <v>3201</v>
      </c>
      <c r="Q2587" s="16">
        <v>14999</v>
      </c>
      <c r="R2587" s="17">
        <v>45</v>
      </c>
      <c r="S2587" s="18">
        <v>9486.8675000000003</v>
      </c>
      <c r="T2587" s="19" t="s">
        <v>328</v>
      </c>
      <c r="U2587" s="20" t="s">
        <v>413</v>
      </c>
      <c r="V2587" s="21">
        <v>38</v>
      </c>
      <c r="W2587" s="21">
        <v>9</v>
      </c>
      <c r="X2587" s="22"/>
    </row>
    <row r="2588" spans="1:24" s="1" customFormat="1" ht="21.95" customHeight="1" x14ac:dyDescent="0.3">
      <c r="A2588" s="23" t="s">
        <v>3194</v>
      </c>
      <c r="B2588" s="23" t="s">
        <v>3198</v>
      </c>
      <c r="C2588" s="12" t="s">
        <v>3203</v>
      </c>
      <c r="D2588" s="85"/>
      <c r="E2588" s="69" t="str">
        <f t="shared" si="101"/>
        <v>Еще фото</v>
      </c>
      <c r="F2588" s="13"/>
      <c r="G2588" s="23" t="s">
        <v>150</v>
      </c>
      <c r="H2588" s="23" t="s">
        <v>151</v>
      </c>
      <c r="I2588" s="23" t="s">
        <v>152</v>
      </c>
      <c r="J2588" s="14" t="s">
        <v>29</v>
      </c>
      <c r="K2588" s="15" t="s">
        <v>47</v>
      </c>
      <c r="L2588" s="88"/>
      <c r="M2588" s="14"/>
      <c r="N2588" s="14" t="s">
        <v>313</v>
      </c>
      <c r="O2588" s="14"/>
      <c r="P2588" s="15" t="s">
        <v>3201</v>
      </c>
      <c r="Q2588" s="16">
        <v>14999</v>
      </c>
      <c r="R2588" s="17">
        <v>45</v>
      </c>
      <c r="S2588" s="18">
        <v>9486.8675000000003</v>
      </c>
      <c r="T2588" s="19" t="s">
        <v>328</v>
      </c>
      <c r="U2588" s="20" t="s">
        <v>399</v>
      </c>
      <c r="V2588" s="21">
        <v>39</v>
      </c>
      <c r="W2588" s="21">
        <v>2</v>
      </c>
      <c r="X2588" s="22"/>
    </row>
    <row r="2589" spans="1:24" s="1" customFormat="1" ht="21" customHeight="1" x14ac:dyDescent="0.3">
      <c r="A2589" s="11" t="s">
        <v>3194</v>
      </c>
      <c r="B2589" s="11" t="s">
        <v>3198</v>
      </c>
      <c r="C2589" s="27" t="s">
        <v>3204</v>
      </c>
      <c r="D2589" s="83"/>
      <c r="E2589" s="69" t="str">
        <f>HYPERLINK("https://www.google.ru/search?q=101682036&amp;newwindow=1&amp;tbm=isch","Еще фото")</f>
        <v>Еще фото</v>
      </c>
      <c r="F2589" s="13"/>
      <c r="G2589" s="11" t="s">
        <v>150</v>
      </c>
      <c r="H2589" s="11" t="s">
        <v>151</v>
      </c>
      <c r="I2589" s="14" t="s">
        <v>152</v>
      </c>
      <c r="J2589" s="14" t="s">
        <v>29</v>
      </c>
      <c r="K2589" s="15" t="s">
        <v>47</v>
      </c>
      <c r="L2589" s="86"/>
      <c r="M2589" s="14"/>
      <c r="N2589" s="14" t="s">
        <v>49</v>
      </c>
      <c r="O2589" s="14"/>
      <c r="P2589" s="15" t="s">
        <v>3205</v>
      </c>
      <c r="Q2589" s="16">
        <v>13999</v>
      </c>
      <c r="R2589" s="17">
        <v>45</v>
      </c>
      <c r="S2589" s="18">
        <v>8854.3674999999985</v>
      </c>
      <c r="T2589" s="19" t="s">
        <v>328</v>
      </c>
      <c r="U2589" s="20" t="s">
        <v>1503</v>
      </c>
      <c r="V2589" s="21">
        <v>35</v>
      </c>
      <c r="W2589" s="21">
        <v>1</v>
      </c>
      <c r="X2589" s="22"/>
    </row>
    <row r="2590" spans="1:24" s="1" customFormat="1" ht="21" customHeight="1" x14ac:dyDescent="0.3">
      <c r="A2590" s="23" t="s">
        <v>3194</v>
      </c>
      <c r="B2590" s="23" t="s">
        <v>3198</v>
      </c>
      <c r="C2590" s="28" t="s">
        <v>3204</v>
      </c>
      <c r="D2590" s="84"/>
      <c r="E2590" s="69" t="str">
        <f>HYPERLINK("https://www.google.ru/search?q=101682036&amp;newwindow=1&amp;tbm=isch","Еще фото")</f>
        <v>Еще фото</v>
      </c>
      <c r="F2590" s="13"/>
      <c r="G2590" s="23" t="s">
        <v>150</v>
      </c>
      <c r="H2590" s="23" t="s">
        <v>151</v>
      </c>
      <c r="I2590" s="23" t="s">
        <v>152</v>
      </c>
      <c r="J2590" s="14" t="s">
        <v>29</v>
      </c>
      <c r="K2590" s="15" t="s">
        <v>47</v>
      </c>
      <c r="L2590" s="87"/>
      <c r="M2590" s="14"/>
      <c r="N2590" s="14" t="s">
        <v>49</v>
      </c>
      <c r="O2590" s="14"/>
      <c r="P2590" s="15" t="s">
        <v>3205</v>
      </c>
      <c r="Q2590" s="16">
        <v>13999</v>
      </c>
      <c r="R2590" s="17">
        <v>45</v>
      </c>
      <c r="S2590" s="18">
        <v>8854.3674999999985</v>
      </c>
      <c r="T2590" s="19" t="s">
        <v>328</v>
      </c>
      <c r="U2590" s="20" t="s">
        <v>409</v>
      </c>
      <c r="V2590" s="21">
        <v>36</v>
      </c>
      <c r="W2590" s="21">
        <v>5</v>
      </c>
      <c r="X2590" s="22"/>
    </row>
    <row r="2591" spans="1:24" s="1" customFormat="1" ht="21" customHeight="1" x14ac:dyDescent="0.3">
      <c r="A2591" s="23" t="s">
        <v>3194</v>
      </c>
      <c r="B2591" s="23" t="s">
        <v>3198</v>
      </c>
      <c r="C2591" s="28" t="s">
        <v>3204</v>
      </c>
      <c r="D2591" s="84"/>
      <c r="E2591" s="69" t="str">
        <f>HYPERLINK("https://www.google.ru/search?q=101682036&amp;newwindow=1&amp;tbm=isch","Еще фото")</f>
        <v>Еще фото</v>
      </c>
      <c r="F2591" s="13"/>
      <c r="G2591" s="23" t="s">
        <v>150</v>
      </c>
      <c r="H2591" s="23" t="s">
        <v>151</v>
      </c>
      <c r="I2591" s="23" t="s">
        <v>152</v>
      </c>
      <c r="J2591" s="14" t="s">
        <v>29</v>
      </c>
      <c r="K2591" s="15" t="s">
        <v>47</v>
      </c>
      <c r="L2591" s="87"/>
      <c r="M2591" s="14"/>
      <c r="N2591" s="14" t="s">
        <v>49</v>
      </c>
      <c r="O2591" s="14"/>
      <c r="P2591" s="15" t="s">
        <v>3205</v>
      </c>
      <c r="Q2591" s="16">
        <v>13999</v>
      </c>
      <c r="R2591" s="17">
        <v>45</v>
      </c>
      <c r="S2591" s="18">
        <v>8854.3674999999985</v>
      </c>
      <c r="T2591" s="19" t="s">
        <v>328</v>
      </c>
      <c r="U2591" s="20" t="s">
        <v>426</v>
      </c>
      <c r="V2591" s="21">
        <v>37</v>
      </c>
      <c r="W2591" s="21">
        <v>9</v>
      </c>
      <c r="X2591" s="22"/>
    </row>
    <row r="2592" spans="1:24" s="1" customFormat="1" ht="21" customHeight="1" x14ac:dyDescent="0.3">
      <c r="A2592" s="23" t="s">
        <v>3194</v>
      </c>
      <c r="B2592" s="23" t="s">
        <v>3198</v>
      </c>
      <c r="C2592" s="28" t="s">
        <v>3204</v>
      </c>
      <c r="D2592" s="84"/>
      <c r="E2592" s="69" t="str">
        <f>HYPERLINK("https://www.google.ru/search?q=101682036&amp;newwindow=1&amp;tbm=isch","Еще фото")</f>
        <v>Еще фото</v>
      </c>
      <c r="F2592" s="13"/>
      <c r="G2592" s="23" t="s">
        <v>150</v>
      </c>
      <c r="H2592" s="23" t="s">
        <v>151</v>
      </c>
      <c r="I2592" s="23" t="s">
        <v>152</v>
      </c>
      <c r="J2592" s="14" t="s">
        <v>29</v>
      </c>
      <c r="K2592" s="15" t="s">
        <v>47</v>
      </c>
      <c r="L2592" s="87"/>
      <c r="M2592" s="14"/>
      <c r="N2592" s="14" t="s">
        <v>49</v>
      </c>
      <c r="O2592" s="14"/>
      <c r="P2592" s="15" t="s">
        <v>3205</v>
      </c>
      <c r="Q2592" s="16">
        <v>13999</v>
      </c>
      <c r="R2592" s="17">
        <v>45</v>
      </c>
      <c r="S2592" s="18">
        <v>8854.3674999999985</v>
      </c>
      <c r="T2592" s="19" t="s">
        <v>328</v>
      </c>
      <c r="U2592" s="20" t="s">
        <v>413</v>
      </c>
      <c r="V2592" s="21">
        <v>38</v>
      </c>
      <c r="W2592" s="21">
        <v>8</v>
      </c>
      <c r="X2592" s="22"/>
    </row>
    <row r="2593" spans="1:24" s="1" customFormat="1" ht="32.1" customHeight="1" x14ac:dyDescent="0.3">
      <c r="A2593" s="23" t="s">
        <v>3194</v>
      </c>
      <c r="B2593" s="23" t="s">
        <v>3198</v>
      </c>
      <c r="C2593" s="28" t="s">
        <v>3204</v>
      </c>
      <c r="D2593" s="85"/>
      <c r="E2593" s="69" t="str">
        <f>HYPERLINK("https://www.google.ru/search?q=101682036&amp;newwindow=1&amp;tbm=isch","Еще фото")</f>
        <v>Еще фото</v>
      </c>
      <c r="F2593" s="13"/>
      <c r="G2593" s="23" t="s">
        <v>150</v>
      </c>
      <c r="H2593" s="23" t="s">
        <v>151</v>
      </c>
      <c r="I2593" s="23" t="s">
        <v>152</v>
      </c>
      <c r="J2593" s="14" t="s">
        <v>29</v>
      </c>
      <c r="K2593" s="15" t="s">
        <v>47</v>
      </c>
      <c r="L2593" s="88"/>
      <c r="M2593" s="14"/>
      <c r="N2593" s="14" t="s">
        <v>49</v>
      </c>
      <c r="O2593" s="14"/>
      <c r="P2593" s="15" t="s">
        <v>3205</v>
      </c>
      <c r="Q2593" s="16">
        <v>13999</v>
      </c>
      <c r="R2593" s="17">
        <v>45</v>
      </c>
      <c r="S2593" s="18">
        <v>8854.3674999999985</v>
      </c>
      <c r="T2593" s="19" t="s">
        <v>328</v>
      </c>
      <c r="U2593" s="20" t="s">
        <v>399</v>
      </c>
      <c r="V2593" s="21">
        <v>39</v>
      </c>
      <c r="W2593" s="21">
        <v>3</v>
      </c>
      <c r="X2593" s="22"/>
    </row>
    <row r="2594" spans="1:24" s="1" customFormat="1" ht="21" customHeight="1" x14ac:dyDescent="0.3">
      <c r="A2594" s="11" t="s">
        <v>3194</v>
      </c>
      <c r="B2594" s="11" t="s">
        <v>3195</v>
      </c>
      <c r="C2594" s="27" t="s">
        <v>3206</v>
      </c>
      <c r="D2594" s="83"/>
      <c r="E2594" s="69" t="str">
        <f>HYPERLINK("https://www.google.ru/search?q=101906204&amp;newwindow=1&amp;tbm=isch","Еще фото")</f>
        <v>Еще фото</v>
      </c>
      <c r="F2594" s="13"/>
      <c r="G2594" s="11" t="s">
        <v>150</v>
      </c>
      <c r="H2594" s="11" t="s">
        <v>151</v>
      </c>
      <c r="I2594" s="14" t="s">
        <v>152</v>
      </c>
      <c r="J2594" s="14" t="s">
        <v>29</v>
      </c>
      <c r="K2594" s="15" t="s">
        <v>47</v>
      </c>
      <c r="L2594" s="86"/>
      <c r="M2594" s="14"/>
      <c r="N2594" s="14" t="s">
        <v>49</v>
      </c>
      <c r="O2594" s="14"/>
      <c r="P2594" s="15" t="s">
        <v>3207</v>
      </c>
      <c r="Q2594" s="16">
        <v>13999</v>
      </c>
      <c r="R2594" s="17">
        <v>45</v>
      </c>
      <c r="S2594" s="18">
        <v>8854.3674999999985</v>
      </c>
      <c r="T2594" s="19" t="s">
        <v>328</v>
      </c>
      <c r="U2594" s="20" t="s">
        <v>1503</v>
      </c>
      <c r="V2594" s="21">
        <v>35</v>
      </c>
      <c r="W2594" s="21">
        <v>2</v>
      </c>
      <c r="X2594" s="22"/>
    </row>
    <row r="2595" spans="1:24" s="1" customFormat="1" ht="21" customHeight="1" x14ac:dyDescent="0.3">
      <c r="A2595" s="23" t="s">
        <v>3194</v>
      </c>
      <c r="B2595" s="23" t="s">
        <v>3195</v>
      </c>
      <c r="C2595" s="28" t="s">
        <v>3206</v>
      </c>
      <c r="D2595" s="84"/>
      <c r="E2595" s="69" t="str">
        <f>HYPERLINK("https://www.google.ru/search?q=101906204&amp;newwindow=1&amp;tbm=isch","Еще фото")</f>
        <v>Еще фото</v>
      </c>
      <c r="F2595" s="13"/>
      <c r="G2595" s="23" t="s">
        <v>150</v>
      </c>
      <c r="H2595" s="23" t="s">
        <v>151</v>
      </c>
      <c r="I2595" s="23" t="s">
        <v>152</v>
      </c>
      <c r="J2595" s="14" t="s">
        <v>29</v>
      </c>
      <c r="K2595" s="15" t="s">
        <v>47</v>
      </c>
      <c r="L2595" s="87"/>
      <c r="M2595" s="14"/>
      <c r="N2595" s="14" t="s">
        <v>49</v>
      </c>
      <c r="O2595" s="14"/>
      <c r="P2595" s="15" t="s">
        <v>3207</v>
      </c>
      <c r="Q2595" s="16">
        <v>13999</v>
      </c>
      <c r="R2595" s="17">
        <v>45</v>
      </c>
      <c r="S2595" s="18">
        <v>8854.3674999999985</v>
      </c>
      <c r="T2595" s="19" t="s">
        <v>328</v>
      </c>
      <c r="U2595" s="20" t="s">
        <v>409</v>
      </c>
      <c r="V2595" s="21">
        <v>36</v>
      </c>
      <c r="W2595" s="21">
        <v>5</v>
      </c>
      <c r="X2595" s="22"/>
    </row>
    <row r="2596" spans="1:24" s="1" customFormat="1" ht="21" customHeight="1" x14ac:dyDescent="0.3">
      <c r="A2596" s="23" t="s">
        <v>3194</v>
      </c>
      <c r="B2596" s="23" t="s">
        <v>3195</v>
      </c>
      <c r="C2596" s="28" t="s">
        <v>3206</v>
      </c>
      <c r="D2596" s="84"/>
      <c r="E2596" s="69" t="str">
        <f>HYPERLINK("https://www.google.ru/search?q=101906204&amp;newwindow=1&amp;tbm=isch","Еще фото")</f>
        <v>Еще фото</v>
      </c>
      <c r="F2596" s="13"/>
      <c r="G2596" s="23" t="s">
        <v>150</v>
      </c>
      <c r="H2596" s="23" t="s">
        <v>151</v>
      </c>
      <c r="I2596" s="23" t="s">
        <v>152</v>
      </c>
      <c r="J2596" s="14" t="s">
        <v>29</v>
      </c>
      <c r="K2596" s="15" t="s">
        <v>47</v>
      </c>
      <c r="L2596" s="87"/>
      <c r="M2596" s="14"/>
      <c r="N2596" s="14" t="s">
        <v>49</v>
      </c>
      <c r="O2596" s="14"/>
      <c r="P2596" s="15" t="s">
        <v>3207</v>
      </c>
      <c r="Q2596" s="16">
        <v>13999</v>
      </c>
      <c r="R2596" s="17">
        <v>45</v>
      </c>
      <c r="S2596" s="18">
        <v>8854.3674999999985</v>
      </c>
      <c r="T2596" s="19" t="s">
        <v>328</v>
      </c>
      <c r="U2596" s="20" t="s">
        <v>426</v>
      </c>
      <c r="V2596" s="21">
        <v>37</v>
      </c>
      <c r="W2596" s="21">
        <v>7</v>
      </c>
      <c r="X2596" s="22"/>
    </row>
    <row r="2597" spans="1:24" s="1" customFormat="1" ht="21" customHeight="1" x14ac:dyDescent="0.3">
      <c r="A2597" s="23" t="s">
        <v>3194</v>
      </c>
      <c r="B2597" s="23" t="s">
        <v>3195</v>
      </c>
      <c r="C2597" s="28" t="s">
        <v>3206</v>
      </c>
      <c r="D2597" s="84"/>
      <c r="E2597" s="69" t="str">
        <f>HYPERLINK("https://www.google.ru/search?q=101906204&amp;newwindow=1&amp;tbm=isch","Еще фото")</f>
        <v>Еще фото</v>
      </c>
      <c r="F2597" s="13"/>
      <c r="G2597" s="23" t="s">
        <v>150</v>
      </c>
      <c r="H2597" s="23" t="s">
        <v>151</v>
      </c>
      <c r="I2597" s="23" t="s">
        <v>152</v>
      </c>
      <c r="J2597" s="14" t="s">
        <v>29</v>
      </c>
      <c r="K2597" s="15" t="s">
        <v>47</v>
      </c>
      <c r="L2597" s="87"/>
      <c r="M2597" s="14"/>
      <c r="N2597" s="14" t="s">
        <v>49</v>
      </c>
      <c r="O2597" s="14"/>
      <c r="P2597" s="15" t="s">
        <v>3207</v>
      </c>
      <c r="Q2597" s="16">
        <v>13999</v>
      </c>
      <c r="R2597" s="17">
        <v>45</v>
      </c>
      <c r="S2597" s="18">
        <v>8854.3674999999985</v>
      </c>
      <c r="T2597" s="19" t="s">
        <v>328</v>
      </c>
      <c r="U2597" s="20" t="s">
        <v>413</v>
      </c>
      <c r="V2597" s="21">
        <v>38</v>
      </c>
      <c r="W2597" s="21">
        <v>5</v>
      </c>
      <c r="X2597" s="22"/>
    </row>
    <row r="2598" spans="1:24" s="1" customFormat="1" ht="32.1" customHeight="1" x14ac:dyDescent="0.3">
      <c r="A2598" s="23" t="s">
        <v>3194</v>
      </c>
      <c r="B2598" s="23" t="s">
        <v>3195</v>
      </c>
      <c r="C2598" s="28" t="s">
        <v>3206</v>
      </c>
      <c r="D2598" s="85"/>
      <c r="E2598" s="69" t="str">
        <f>HYPERLINK("https://www.google.ru/search?q=101906204&amp;newwindow=1&amp;tbm=isch","Еще фото")</f>
        <v>Еще фото</v>
      </c>
      <c r="F2598" s="13"/>
      <c r="G2598" s="23" t="s">
        <v>150</v>
      </c>
      <c r="H2598" s="23" t="s">
        <v>151</v>
      </c>
      <c r="I2598" s="23" t="s">
        <v>152</v>
      </c>
      <c r="J2598" s="14" t="s">
        <v>29</v>
      </c>
      <c r="K2598" s="15" t="s">
        <v>47</v>
      </c>
      <c r="L2598" s="88"/>
      <c r="M2598" s="14"/>
      <c r="N2598" s="14" t="s">
        <v>49</v>
      </c>
      <c r="O2598" s="14"/>
      <c r="P2598" s="15" t="s">
        <v>3207</v>
      </c>
      <c r="Q2598" s="16">
        <v>13999</v>
      </c>
      <c r="R2598" s="17">
        <v>45</v>
      </c>
      <c r="S2598" s="18">
        <v>8854.3674999999985</v>
      </c>
      <c r="T2598" s="19" t="s">
        <v>328</v>
      </c>
      <c r="U2598" s="20" t="s">
        <v>399</v>
      </c>
      <c r="V2598" s="21">
        <v>39</v>
      </c>
      <c r="W2598" s="21">
        <v>1</v>
      </c>
      <c r="X2598" s="22"/>
    </row>
    <row r="2599" spans="1:24" s="1" customFormat="1" ht="51.95" customHeight="1" x14ac:dyDescent="0.3">
      <c r="A2599" s="11" t="s">
        <v>3194</v>
      </c>
      <c r="B2599" s="11" t="s">
        <v>3198</v>
      </c>
      <c r="C2599" s="12" t="s">
        <v>3208</v>
      </c>
      <c r="D2599" s="89"/>
      <c r="E2599" s="69" t="str">
        <f>HYPERLINK("https://www.google.ru/search?q=101987936&amp;newwindow=1&amp;tbm=isch","Еще фото")</f>
        <v>Еще фото</v>
      </c>
      <c r="F2599" s="13"/>
      <c r="G2599" s="11" t="s">
        <v>150</v>
      </c>
      <c r="H2599" s="11" t="s">
        <v>151</v>
      </c>
      <c r="I2599" s="14" t="s">
        <v>152</v>
      </c>
      <c r="J2599" s="14" t="s">
        <v>29</v>
      </c>
      <c r="K2599" s="15" t="s">
        <v>55</v>
      </c>
      <c r="L2599" s="86"/>
      <c r="M2599" s="14"/>
      <c r="N2599" s="14" t="s">
        <v>49</v>
      </c>
      <c r="O2599" s="14"/>
      <c r="P2599" s="15" t="s">
        <v>3209</v>
      </c>
      <c r="Q2599" s="16">
        <v>13999</v>
      </c>
      <c r="R2599" s="17">
        <v>45</v>
      </c>
      <c r="S2599" s="18">
        <v>8854.3674999999985</v>
      </c>
      <c r="T2599" s="19" t="s">
        <v>328</v>
      </c>
      <c r="U2599" s="20" t="s">
        <v>400</v>
      </c>
      <c r="V2599" s="21">
        <v>40</v>
      </c>
      <c r="W2599" s="21">
        <v>1</v>
      </c>
      <c r="X2599" s="22"/>
    </row>
    <row r="2600" spans="1:24" s="1" customFormat="1" ht="60.95" customHeight="1" x14ac:dyDescent="0.3">
      <c r="A2600" s="23" t="s">
        <v>3194</v>
      </c>
      <c r="B2600" s="23" t="s">
        <v>3198</v>
      </c>
      <c r="C2600" s="12" t="s">
        <v>3208</v>
      </c>
      <c r="D2600" s="90"/>
      <c r="E2600" s="69" t="str">
        <f>HYPERLINK("https://www.google.ru/search?q=101987936&amp;newwindow=1&amp;tbm=isch","Еще фото")</f>
        <v>Еще фото</v>
      </c>
      <c r="F2600" s="13"/>
      <c r="G2600" s="23" t="s">
        <v>150</v>
      </c>
      <c r="H2600" s="23" t="s">
        <v>151</v>
      </c>
      <c r="I2600" s="23" t="s">
        <v>152</v>
      </c>
      <c r="J2600" s="14" t="s">
        <v>29</v>
      </c>
      <c r="K2600" s="15" t="s">
        <v>55</v>
      </c>
      <c r="L2600" s="88"/>
      <c r="M2600" s="14"/>
      <c r="N2600" s="14" t="s">
        <v>49</v>
      </c>
      <c r="O2600" s="14"/>
      <c r="P2600" s="15" t="s">
        <v>3209</v>
      </c>
      <c r="Q2600" s="16">
        <v>13999</v>
      </c>
      <c r="R2600" s="17">
        <v>45</v>
      </c>
      <c r="S2600" s="18">
        <v>8854.3674999999985</v>
      </c>
      <c r="T2600" s="19" t="s">
        <v>328</v>
      </c>
      <c r="U2600" s="20" t="s">
        <v>457</v>
      </c>
      <c r="V2600" s="21">
        <v>41</v>
      </c>
      <c r="W2600" s="21">
        <v>1</v>
      </c>
      <c r="X2600" s="22"/>
    </row>
    <row r="2601" spans="1:24" s="1" customFormat="1" ht="51.95" customHeight="1" x14ac:dyDescent="0.3">
      <c r="A2601" s="11" t="s">
        <v>3194</v>
      </c>
      <c r="B2601" s="11" t="s">
        <v>3198</v>
      </c>
      <c r="C2601" s="12" t="s">
        <v>3210</v>
      </c>
      <c r="D2601" s="89"/>
      <c r="E2601" s="69" t="str">
        <f>HYPERLINK("https://www.google.ru/search?q=101987937&amp;newwindow=1&amp;tbm=isch","Еще фото")</f>
        <v>Еще фото</v>
      </c>
      <c r="F2601" s="13"/>
      <c r="G2601" s="11" t="s">
        <v>150</v>
      </c>
      <c r="H2601" s="11" t="s">
        <v>151</v>
      </c>
      <c r="I2601" s="14" t="s">
        <v>152</v>
      </c>
      <c r="J2601" s="14" t="s">
        <v>29</v>
      </c>
      <c r="K2601" s="15" t="s">
        <v>55</v>
      </c>
      <c r="L2601" s="86"/>
      <c r="M2601" s="14"/>
      <c r="N2601" s="14" t="s">
        <v>154</v>
      </c>
      <c r="O2601" s="14"/>
      <c r="P2601" s="15" t="s">
        <v>3205</v>
      </c>
      <c r="Q2601" s="16">
        <v>14499</v>
      </c>
      <c r="R2601" s="17">
        <v>45</v>
      </c>
      <c r="S2601" s="18">
        <v>9170.6174999999985</v>
      </c>
      <c r="T2601" s="19" t="s">
        <v>328</v>
      </c>
      <c r="U2601" s="20" t="s">
        <v>399</v>
      </c>
      <c r="V2601" s="21">
        <v>39</v>
      </c>
      <c r="W2601" s="21">
        <v>1</v>
      </c>
      <c r="X2601" s="22"/>
    </row>
    <row r="2602" spans="1:24" s="1" customFormat="1" ht="60.95" customHeight="1" x14ac:dyDescent="0.3">
      <c r="A2602" s="23" t="s">
        <v>3194</v>
      </c>
      <c r="B2602" s="23" t="s">
        <v>3198</v>
      </c>
      <c r="C2602" s="12" t="s">
        <v>3210</v>
      </c>
      <c r="D2602" s="90"/>
      <c r="E2602" s="69" t="str">
        <f>HYPERLINK("https://www.google.ru/search?q=101987937&amp;newwindow=1&amp;tbm=isch","Еще фото")</f>
        <v>Еще фото</v>
      </c>
      <c r="F2602" s="13"/>
      <c r="G2602" s="23" t="s">
        <v>150</v>
      </c>
      <c r="H2602" s="23" t="s">
        <v>151</v>
      </c>
      <c r="I2602" s="23" t="s">
        <v>152</v>
      </c>
      <c r="J2602" s="14" t="s">
        <v>29</v>
      </c>
      <c r="K2602" s="15" t="s">
        <v>55</v>
      </c>
      <c r="L2602" s="88"/>
      <c r="M2602" s="14"/>
      <c r="N2602" s="14" t="s">
        <v>154</v>
      </c>
      <c r="O2602" s="14"/>
      <c r="P2602" s="15" t="s">
        <v>3205</v>
      </c>
      <c r="Q2602" s="16">
        <v>14499</v>
      </c>
      <c r="R2602" s="17">
        <v>45</v>
      </c>
      <c r="S2602" s="18">
        <v>9170.6174999999985</v>
      </c>
      <c r="T2602" s="19" t="s">
        <v>328</v>
      </c>
      <c r="U2602" s="20" t="s">
        <v>400</v>
      </c>
      <c r="V2602" s="21">
        <v>40</v>
      </c>
      <c r="W2602" s="21">
        <v>1</v>
      </c>
      <c r="X2602" s="22"/>
    </row>
    <row r="2603" spans="1:24" s="1" customFormat="1" ht="51.95" customHeight="1" x14ac:dyDescent="0.3">
      <c r="A2603" s="11" t="s">
        <v>3194</v>
      </c>
      <c r="B2603" s="11" t="s">
        <v>3198</v>
      </c>
      <c r="C2603" s="12" t="s">
        <v>3211</v>
      </c>
      <c r="D2603" s="89"/>
      <c r="E2603" s="69" t="str">
        <f>HYPERLINK("https://www.google.ru/search?q=101987938&amp;newwindow=1&amp;tbm=isch","Еще фото")</f>
        <v>Еще фото</v>
      </c>
      <c r="F2603" s="13"/>
      <c r="G2603" s="11" t="s">
        <v>150</v>
      </c>
      <c r="H2603" s="11" t="s">
        <v>151</v>
      </c>
      <c r="I2603" s="14" t="s">
        <v>152</v>
      </c>
      <c r="J2603" s="14" t="s">
        <v>29</v>
      </c>
      <c r="K2603" s="15" t="s">
        <v>55</v>
      </c>
      <c r="L2603" s="86"/>
      <c r="M2603" s="14"/>
      <c r="N2603" s="14" t="s">
        <v>313</v>
      </c>
      <c r="O2603" s="14"/>
      <c r="P2603" s="15" t="s">
        <v>3205</v>
      </c>
      <c r="Q2603" s="16">
        <v>14499</v>
      </c>
      <c r="R2603" s="17">
        <v>45</v>
      </c>
      <c r="S2603" s="18">
        <v>9170.6174999999985</v>
      </c>
      <c r="T2603" s="19" t="s">
        <v>328</v>
      </c>
      <c r="U2603" s="20" t="s">
        <v>399</v>
      </c>
      <c r="V2603" s="21">
        <v>39</v>
      </c>
      <c r="W2603" s="21">
        <v>1</v>
      </c>
      <c r="X2603" s="22"/>
    </row>
    <row r="2604" spans="1:24" s="1" customFormat="1" ht="60.95" customHeight="1" x14ac:dyDescent="0.3">
      <c r="A2604" s="23" t="s">
        <v>3194</v>
      </c>
      <c r="B2604" s="23" t="s">
        <v>3198</v>
      </c>
      <c r="C2604" s="12" t="s">
        <v>3211</v>
      </c>
      <c r="D2604" s="90"/>
      <c r="E2604" s="69" t="str">
        <f>HYPERLINK("https://www.google.ru/search?q=101987938&amp;newwindow=1&amp;tbm=isch","Еще фото")</f>
        <v>Еще фото</v>
      </c>
      <c r="F2604" s="13"/>
      <c r="G2604" s="23" t="s">
        <v>150</v>
      </c>
      <c r="H2604" s="23" t="s">
        <v>151</v>
      </c>
      <c r="I2604" s="23" t="s">
        <v>152</v>
      </c>
      <c r="J2604" s="14" t="s">
        <v>29</v>
      </c>
      <c r="K2604" s="15" t="s">
        <v>55</v>
      </c>
      <c r="L2604" s="88"/>
      <c r="M2604" s="14"/>
      <c r="N2604" s="14" t="s">
        <v>313</v>
      </c>
      <c r="O2604" s="14"/>
      <c r="P2604" s="15" t="s">
        <v>3205</v>
      </c>
      <c r="Q2604" s="16">
        <v>14499</v>
      </c>
      <c r="R2604" s="17">
        <v>45</v>
      </c>
      <c r="S2604" s="18">
        <v>9170.6174999999985</v>
      </c>
      <c r="T2604" s="19" t="s">
        <v>328</v>
      </c>
      <c r="U2604" s="20" t="s">
        <v>400</v>
      </c>
      <c r="V2604" s="21">
        <v>40</v>
      </c>
      <c r="W2604" s="21">
        <v>1</v>
      </c>
      <c r="X2604" s="22"/>
    </row>
    <row r="2605" spans="1:24" s="1" customFormat="1" ht="51.95" customHeight="1" x14ac:dyDescent="0.3">
      <c r="A2605" s="11" t="s">
        <v>3194</v>
      </c>
      <c r="B2605" s="11" t="s">
        <v>3198</v>
      </c>
      <c r="C2605" s="12" t="s">
        <v>3212</v>
      </c>
      <c r="D2605" s="89"/>
      <c r="E2605" s="69" t="str">
        <f>HYPERLINK("https://www.google.ru/search?q=101987948&amp;newwindow=1&amp;tbm=isch","Еще фото")</f>
        <v>Еще фото</v>
      </c>
      <c r="F2605" s="13"/>
      <c r="G2605" s="11" t="s">
        <v>150</v>
      </c>
      <c r="H2605" s="11" t="s">
        <v>151</v>
      </c>
      <c r="I2605" s="14" t="s">
        <v>152</v>
      </c>
      <c r="J2605" s="14" t="s">
        <v>29</v>
      </c>
      <c r="K2605" s="15" t="s">
        <v>55</v>
      </c>
      <c r="L2605" s="86"/>
      <c r="M2605" s="14"/>
      <c r="N2605" s="14" t="s">
        <v>49</v>
      </c>
      <c r="O2605" s="14"/>
      <c r="P2605" s="15" t="s">
        <v>3209</v>
      </c>
      <c r="Q2605" s="16">
        <v>14899</v>
      </c>
      <c r="R2605" s="17">
        <v>45</v>
      </c>
      <c r="S2605" s="18">
        <v>9423.6175000000003</v>
      </c>
      <c r="T2605" s="19" t="s">
        <v>328</v>
      </c>
      <c r="U2605" s="20" t="s">
        <v>400</v>
      </c>
      <c r="V2605" s="21">
        <v>40</v>
      </c>
      <c r="W2605" s="21">
        <v>3</v>
      </c>
      <c r="X2605" s="22"/>
    </row>
    <row r="2606" spans="1:24" s="1" customFormat="1" ht="60.95" customHeight="1" x14ac:dyDescent="0.3">
      <c r="A2606" s="23" t="s">
        <v>3194</v>
      </c>
      <c r="B2606" s="23" t="s">
        <v>3198</v>
      </c>
      <c r="C2606" s="12" t="s">
        <v>3212</v>
      </c>
      <c r="D2606" s="90"/>
      <c r="E2606" s="69" t="str">
        <f>HYPERLINK("https://www.google.ru/search?q=101987948&amp;newwindow=1&amp;tbm=isch","Еще фото")</f>
        <v>Еще фото</v>
      </c>
      <c r="F2606" s="13"/>
      <c r="G2606" s="23" t="s">
        <v>150</v>
      </c>
      <c r="H2606" s="23" t="s">
        <v>151</v>
      </c>
      <c r="I2606" s="23" t="s">
        <v>152</v>
      </c>
      <c r="J2606" s="14" t="s">
        <v>29</v>
      </c>
      <c r="K2606" s="15" t="s">
        <v>55</v>
      </c>
      <c r="L2606" s="88"/>
      <c r="M2606" s="14"/>
      <c r="N2606" s="14" t="s">
        <v>49</v>
      </c>
      <c r="O2606" s="14"/>
      <c r="P2606" s="15" t="s">
        <v>3209</v>
      </c>
      <c r="Q2606" s="16">
        <v>14899</v>
      </c>
      <c r="R2606" s="17">
        <v>45</v>
      </c>
      <c r="S2606" s="18">
        <v>9423.6175000000003</v>
      </c>
      <c r="T2606" s="19" t="s">
        <v>328</v>
      </c>
      <c r="U2606" s="20" t="s">
        <v>457</v>
      </c>
      <c r="V2606" s="21">
        <v>41</v>
      </c>
      <c r="W2606" s="21">
        <v>1</v>
      </c>
      <c r="X2606" s="22"/>
    </row>
    <row r="2607" spans="1:24" s="1" customFormat="1" ht="108" customHeight="1" x14ac:dyDescent="0.3">
      <c r="A2607" s="11" t="s">
        <v>3194</v>
      </c>
      <c r="B2607" s="11" t="s">
        <v>3198</v>
      </c>
      <c r="C2607" s="12" t="s">
        <v>3213</v>
      </c>
      <c r="D2607" s="24"/>
      <c r="E2607" s="69" t="str">
        <f>HYPERLINK("https://www.google.ru/search?q=101987949&amp;newwindow=1&amp;tbm=isch","Еще фото")</f>
        <v>Еще фото</v>
      </c>
      <c r="F2607" s="13"/>
      <c r="G2607" s="11" t="s">
        <v>150</v>
      </c>
      <c r="H2607" s="11" t="s">
        <v>151</v>
      </c>
      <c r="I2607" s="14" t="s">
        <v>152</v>
      </c>
      <c r="J2607" s="14" t="s">
        <v>29</v>
      </c>
      <c r="K2607" s="15" t="s">
        <v>55</v>
      </c>
      <c r="L2607" s="14"/>
      <c r="M2607" s="14"/>
      <c r="N2607" s="14" t="s">
        <v>154</v>
      </c>
      <c r="O2607" s="14"/>
      <c r="P2607" s="15" t="s">
        <v>3209</v>
      </c>
      <c r="Q2607" s="16">
        <v>14899</v>
      </c>
      <c r="R2607" s="17">
        <v>45</v>
      </c>
      <c r="S2607" s="18">
        <v>9423.6175000000003</v>
      </c>
      <c r="T2607" s="19" t="s">
        <v>328</v>
      </c>
      <c r="U2607" s="20" t="s">
        <v>399</v>
      </c>
      <c r="V2607" s="21">
        <v>39</v>
      </c>
      <c r="W2607" s="21">
        <v>1</v>
      </c>
      <c r="X2607" s="22"/>
    </row>
    <row r="2608" spans="1:24" s="1" customFormat="1" ht="51.95" customHeight="1" x14ac:dyDescent="0.3">
      <c r="A2608" s="11" t="s">
        <v>3194</v>
      </c>
      <c r="B2608" s="11" t="s">
        <v>3198</v>
      </c>
      <c r="C2608" s="12" t="s">
        <v>3214</v>
      </c>
      <c r="D2608" s="89"/>
      <c r="E2608" s="69" t="str">
        <f>HYPERLINK("https://www.google.ru/search?q=101987951&amp;newwindow=1&amp;tbm=isch","Еще фото")</f>
        <v>Еще фото</v>
      </c>
      <c r="F2608" s="13"/>
      <c r="G2608" s="11" t="s">
        <v>150</v>
      </c>
      <c r="H2608" s="11" t="s">
        <v>151</v>
      </c>
      <c r="I2608" s="14" t="s">
        <v>152</v>
      </c>
      <c r="J2608" s="14" t="s">
        <v>29</v>
      </c>
      <c r="K2608" s="15" t="s">
        <v>55</v>
      </c>
      <c r="L2608" s="86"/>
      <c r="M2608" s="14"/>
      <c r="N2608" s="14" t="s">
        <v>41</v>
      </c>
      <c r="O2608" s="14"/>
      <c r="P2608" s="15" t="s">
        <v>3209</v>
      </c>
      <c r="Q2608" s="16">
        <v>14899</v>
      </c>
      <c r="R2608" s="17">
        <v>45</v>
      </c>
      <c r="S2608" s="18">
        <v>9423.6175000000003</v>
      </c>
      <c r="T2608" s="19" t="s">
        <v>328</v>
      </c>
      <c r="U2608" s="20" t="s">
        <v>399</v>
      </c>
      <c r="V2608" s="21">
        <v>39</v>
      </c>
      <c r="W2608" s="21">
        <v>2</v>
      </c>
      <c r="X2608" s="22"/>
    </row>
    <row r="2609" spans="1:24" s="1" customFormat="1" ht="60.95" customHeight="1" x14ac:dyDescent="0.3">
      <c r="A2609" s="23" t="s">
        <v>3194</v>
      </c>
      <c r="B2609" s="23" t="s">
        <v>3198</v>
      </c>
      <c r="C2609" s="12" t="s">
        <v>3214</v>
      </c>
      <c r="D2609" s="90"/>
      <c r="E2609" s="69" t="str">
        <f>HYPERLINK("https://www.google.ru/search?q=101987951&amp;newwindow=1&amp;tbm=isch","Еще фото")</f>
        <v>Еще фото</v>
      </c>
      <c r="F2609" s="13"/>
      <c r="G2609" s="23" t="s">
        <v>150</v>
      </c>
      <c r="H2609" s="23" t="s">
        <v>151</v>
      </c>
      <c r="I2609" s="23" t="s">
        <v>152</v>
      </c>
      <c r="J2609" s="14" t="s">
        <v>29</v>
      </c>
      <c r="K2609" s="15" t="s">
        <v>55</v>
      </c>
      <c r="L2609" s="88"/>
      <c r="M2609" s="14"/>
      <c r="N2609" s="14" t="s">
        <v>41</v>
      </c>
      <c r="O2609" s="14"/>
      <c r="P2609" s="15" t="s">
        <v>3209</v>
      </c>
      <c r="Q2609" s="16">
        <v>14899</v>
      </c>
      <c r="R2609" s="17">
        <v>45</v>
      </c>
      <c r="S2609" s="18">
        <v>9423.6175000000003</v>
      </c>
      <c r="T2609" s="19" t="s">
        <v>328</v>
      </c>
      <c r="U2609" s="20" t="s">
        <v>457</v>
      </c>
      <c r="V2609" s="21">
        <v>41</v>
      </c>
      <c r="W2609" s="21">
        <v>1</v>
      </c>
      <c r="X2609" s="22"/>
    </row>
    <row r="2610" spans="1:24" s="1" customFormat="1" ht="51.95" customHeight="1" x14ac:dyDescent="0.3">
      <c r="A2610" s="11" t="s">
        <v>3194</v>
      </c>
      <c r="B2610" s="11" t="s">
        <v>3198</v>
      </c>
      <c r="C2610" s="12" t="s">
        <v>3215</v>
      </c>
      <c r="D2610" s="89"/>
      <c r="E2610" s="69" t="str">
        <f>HYPERLINK("https://www.google.ru/search?q=101987952&amp;newwindow=1&amp;tbm=isch","Еще фото")</f>
        <v>Еще фото</v>
      </c>
      <c r="F2610" s="13"/>
      <c r="G2610" s="11" t="s">
        <v>150</v>
      </c>
      <c r="H2610" s="11" t="s">
        <v>151</v>
      </c>
      <c r="I2610" s="14" t="s">
        <v>152</v>
      </c>
      <c r="J2610" s="14" t="s">
        <v>29</v>
      </c>
      <c r="K2610" s="15" t="s">
        <v>55</v>
      </c>
      <c r="L2610" s="86"/>
      <c r="M2610" s="14"/>
      <c r="N2610" s="14" t="s">
        <v>154</v>
      </c>
      <c r="O2610" s="14"/>
      <c r="P2610" s="15" t="s">
        <v>3205</v>
      </c>
      <c r="Q2610" s="16">
        <v>14499</v>
      </c>
      <c r="R2610" s="17">
        <v>45</v>
      </c>
      <c r="S2610" s="18">
        <v>9170.6174999999985</v>
      </c>
      <c r="T2610" s="19" t="s">
        <v>328</v>
      </c>
      <c r="U2610" s="20" t="s">
        <v>400</v>
      </c>
      <c r="V2610" s="21">
        <v>40</v>
      </c>
      <c r="W2610" s="21">
        <v>2</v>
      </c>
      <c r="X2610" s="22"/>
    </row>
    <row r="2611" spans="1:24" s="1" customFormat="1" ht="60.95" customHeight="1" x14ac:dyDescent="0.3">
      <c r="A2611" s="23" t="s">
        <v>3194</v>
      </c>
      <c r="B2611" s="23" t="s">
        <v>3198</v>
      </c>
      <c r="C2611" s="12" t="s">
        <v>3215</v>
      </c>
      <c r="D2611" s="90"/>
      <c r="E2611" s="69" t="str">
        <f>HYPERLINK("https://www.google.ru/search?q=101987952&amp;newwindow=1&amp;tbm=isch","Еще фото")</f>
        <v>Еще фото</v>
      </c>
      <c r="F2611" s="13"/>
      <c r="G2611" s="23" t="s">
        <v>150</v>
      </c>
      <c r="H2611" s="23" t="s">
        <v>151</v>
      </c>
      <c r="I2611" s="23" t="s">
        <v>152</v>
      </c>
      <c r="J2611" s="14" t="s">
        <v>29</v>
      </c>
      <c r="K2611" s="15" t="s">
        <v>55</v>
      </c>
      <c r="L2611" s="88"/>
      <c r="M2611" s="14"/>
      <c r="N2611" s="14" t="s">
        <v>154</v>
      </c>
      <c r="O2611" s="14"/>
      <c r="P2611" s="15" t="s">
        <v>3205</v>
      </c>
      <c r="Q2611" s="16">
        <v>14499</v>
      </c>
      <c r="R2611" s="17">
        <v>45</v>
      </c>
      <c r="S2611" s="18">
        <v>9170.6174999999985</v>
      </c>
      <c r="T2611" s="19" t="s">
        <v>328</v>
      </c>
      <c r="U2611" s="20" t="s">
        <v>457</v>
      </c>
      <c r="V2611" s="21">
        <v>41</v>
      </c>
      <c r="W2611" s="21">
        <v>1</v>
      </c>
      <c r="X2611" s="22"/>
    </row>
    <row r="2612" spans="1:24" s="1" customFormat="1" ht="35.1" customHeight="1" x14ac:dyDescent="0.3">
      <c r="A2612" s="11" t="s">
        <v>3194</v>
      </c>
      <c r="B2612" s="11" t="s">
        <v>3198</v>
      </c>
      <c r="C2612" s="12" t="s">
        <v>3216</v>
      </c>
      <c r="D2612" s="83"/>
      <c r="E2612" s="69" t="str">
        <f>HYPERLINK("https://www.google.ru/search?q=101987954&amp;newwindow=1&amp;tbm=isch","Еще фото")</f>
        <v>Еще фото</v>
      </c>
      <c r="F2612" s="13"/>
      <c r="G2612" s="11" t="s">
        <v>150</v>
      </c>
      <c r="H2612" s="11" t="s">
        <v>151</v>
      </c>
      <c r="I2612" s="14" t="s">
        <v>152</v>
      </c>
      <c r="J2612" s="14" t="s">
        <v>29</v>
      </c>
      <c r="K2612" s="15" t="s">
        <v>55</v>
      </c>
      <c r="L2612" s="86"/>
      <c r="M2612" s="14"/>
      <c r="N2612" s="14" t="s">
        <v>313</v>
      </c>
      <c r="O2612" s="14"/>
      <c r="P2612" s="15" t="s">
        <v>3209</v>
      </c>
      <c r="Q2612" s="16">
        <v>14899</v>
      </c>
      <c r="R2612" s="17">
        <v>45</v>
      </c>
      <c r="S2612" s="18">
        <v>9423.6175000000003</v>
      </c>
      <c r="T2612" s="19" t="s">
        <v>328</v>
      </c>
      <c r="U2612" s="20" t="s">
        <v>399</v>
      </c>
      <c r="V2612" s="21">
        <v>39</v>
      </c>
      <c r="W2612" s="21">
        <v>3</v>
      </c>
      <c r="X2612" s="22"/>
    </row>
    <row r="2613" spans="1:24" s="1" customFormat="1" ht="35.1" customHeight="1" x14ac:dyDescent="0.3">
      <c r="A2613" s="23" t="s">
        <v>3194</v>
      </c>
      <c r="B2613" s="23" t="s">
        <v>3198</v>
      </c>
      <c r="C2613" s="12" t="s">
        <v>3216</v>
      </c>
      <c r="D2613" s="84"/>
      <c r="E2613" s="69" t="str">
        <f>HYPERLINK("https://www.google.ru/search?q=101987954&amp;newwindow=1&amp;tbm=isch","Еще фото")</f>
        <v>Еще фото</v>
      </c>
      <c r="F2613" s="13"/>
      <c r="G2613" s="23" t="s">
        <v>150</v>
      </c>
      <c r="H2613" s="23" t="s">
        <v>151</v>
      </c>
      <c r="I2613" s="23" t="s">
        <v>152</v>
      </c>
      <c r="J2613" s="14" t="s">
        <v>29</v>
      </c>
      <c r="K2613" s="15" t="s">
        <v>55</v>
      </c>
      <c r="L2613" s="87"/>
      <c r="M2613" s="14"/>
      <c r="N2613" s="14" t="s">
        <v>313</v>
      </c>
      <c r="O2613" s="14"/>
      <c r="P2613" s="15" t="s">
        <v>3209</v>
      </c>
      <c r="Q2613" s="16">
        <v>14899</v>
      </c>
      <c r="R2613" s="17">
        <v>45</v>
      </c>
      <c r="S2613" s="18">
        <v>9423.6175000000003</v>
      </c>
      <c r="T2613" s="19" t="s">
        <v>328</v>
      </c>
      <c r="U2613" s="20" t="s">
        <v>400</v>
      </c>
      <c r="V2613" s="21">
        <v>40</v>
      </c>
      <c r="W2613" s="21">
        <v>3</v>
      </c>
      <c r="X2613" s="22"/>
    </row>
    <row r="2614" spans="1:24" s="1" customFormat="1" ht="36.950000000000003" customHeight="1" x14ac:dyDescent="0.3">
      <c r="A2614" s="23" t="s">
        <v>3194</v>
      </c>
      <c r="B2614" s="23" t="s">
        <v>3198</v>
      </c>
      <c r="C2614" s="12" t="s">
        <v>3216</v>
      </c>
      <c r="D2614" s="85"/>
      <c r="E2614" s="69" t="str">
        <f>HYPERLINK("https://www.google.ru/search?q=101987954&amp;newwindow=1&amp;tbm=isch","Еще фото")</f>
        <v>Еще фото</v>
      </c>
      <c r="F2614" s="13"/>
      <c r="G2614" s="23" t="s">
        <v>150</v>
      </c>
      <c r="H2614" s="23" t="s">
        <v>151</v>
      </c>
      <c r="I2614" s="23" t="s">
        <v>152</v>
      </c>
      <c r="J2614" s="14" t="s">
        <v>29</v>
      </c>
      <c r="K2614" s="15" t="s">
        <v>55</v>
      </c>
      <c r="L2614" s="88"/>
      <c r="M2614" s="14"/>
      <c r="N2614" s="14" t="s">
        <v>313</v>
      </c>
      <c r="O2614" s="14"/>
      <c r="P2614" s="15" t="s">
        <v>3209</v>
      </c>
      <c r="Q2614" s="16">
        <v>14899</v>
      </c>
      <c r="R2614" s="17">
        <v>45</v>
      </c>
      <c r="S2614" s="18">
        <v>9423.6175000000003</v>
      </c>
      <c r="T2614" s="19" t="s">
        <v>328</v>
      </c>
      <c r="U2614" s="20" t="s">
        <v>457</v>
      </c>
      <c r="V2614" s="21">
        <v>41</v>
      </c>
      <c r="W2614" s="21">
        <v>3</v>
      </c>
      <c r="X2614" s="22"/>
    </row>
    <row r="2615" spans="1:24" s="1" customFormat="1" ht="108" customHeight="1" x14ac:dyDescent="0.3">
      <c r="A2615" s="11" t="s">
        <v>3194</v>
      </c>
      <c r="B2615" s="11" t="s">
        <v>3198</v>
      </c>
      <c r="C2615" s="12" t="s">
        <v>3217</v>
      </c>
      <c r="D2615" s="24"/>
      <c r="E2615" s="69" t="str">
        <f>HYPERLINK("https://www.google.ru/search?q=101987957&amp;newwindow=1&amp;tbm=isch","Еще фото")</f>
        <v>Еще фото</v>
      </c>
      <c r="F2615" s="13"/>
      <c r="G2615" s="11" t="s">
        <v>150</v>
      </c>
      <c r="H2615" s="11" t="s">
        <v>151</v>
      </c>
      <c r="I2615" s="14" t="s">
        <v>152</v>
      </c>
      <c r="J2615" s="14" t="s">
        <v>29</v>
      </c>
      <c r="K2615" s="15" t="s">
        <v>55</v>
      </c>
      <c r="L2615" s="14"/>
      <c r="M2615" s="14"/>
      <c r="N2615" s="14" t="s">
        <v>154</v>
      </c>
      <c r="O2615" s="14"/>
      <c r="P2615" s="15" t="s">
        <v>3205</v>
      </c>
      <c r="Q2615" s="16">
        <v>14499</v>
      </c>
      <c r="R2615" s="17">
        <v>45</v>
      </c>
      <c r="S2615" s="18">
        <v>9170.6174999999985</v>
      </c>
      <c r="T2615" s="19" t="s">
        <v>328</v>
      </c>
      <c r="U2615" s="20" t="s">
        <v>400</v>
      </c>
      <c r="V2615" s="21">
        <v>40</v>
      </c>
      <c r="W2615" s="21">
        <v>1</v>
      </c>
      <c r="X2615" s="22"/>
    </row>
    <row r="2616" spans="1:24" s="1" customFormat="1" ht="51.95" customHeight="1" x14ac:dyDescent="0.3">
      <c r="A2616" s="11" t="s">
        <v>3194</v>
      </c>
      <c r="B2616" s="11" t="s">
        <v>3198</v>
      </c>
      <c r="C2616" s="12" t="s">
        <v>3218</v>
      </c>
      <c r="D2616" s="89"/>
      <c r="E2616" s="69" t="str">
        <f>HYPERLINK("https://www.google.ru/search?q=101987959&amp;newwindow=1&amp;tbm=isch","Еще фото")</f>
        <v>Еще фото</v>
      </c>
      <c r="F2616" s="13"/>
      <c r="G2616" s="11" t="s">
        <v>150</v>
      </c>
      <c r="H2616" s="11" t="s">
        <v>151</v>
      </c>
      <c r="I2616" s="14" t="s">
        <v>152</v>
      </c>
      <c r="J2616" s="14" t="s">
        <v>29</v>
      </c>
      <c r="K2616" s="15" t="s">
        <v>55</v>
      </c>
      <c r="L2616" s="86"/>
      <c r="M2616" s="14"/>
      <c r="N2616" s="14" t="s">
        <v>154</v>
      </c>
      <c r="O2616" s="14"/>
      <c r="P2616" s="15" t="s">
        <v>3205</v>
      </c>
      <c r="Q2616" s="16">
        <v>14499</v>
      </c>
      <c r="R2616" s="17">
        <v>45</v>
      </c>
      <c r="S2616" s="18">
        <v>9170.6174999999985</v>
      </c>
      <c r="T2616" s="19" t="s">
        <v>328</v>
      </c>
      <c r="U2616" s="20" t="s">
        <v>400</v>
      </c>
      <c r="V2616" s="21">
        <v>40</v>
      </c>
      <c r="W2616" s="21">
        <v>2</v>
      </c>
      <c r="X2616" s="22"/>
    </row>
    <row r="2617" spans="1:24" s="1" customFormat="1" ht="60.95" customHeight="1" x14ac:dyDescent="0.3">
      <c r="A2617" s="23" t="s">
        <v>3194</v>
      </c>
      <c r="B2617" s="23" t="s">
        <v>3198</v>
      </c>
      <c r="C2617" s="12" t="s">
        <v>3218</v>
      </c>
      <c r="D2617" s="90"/>
      <c r="E2617" s="69" t="str">
        <f>HYPERLINK("https://www.google.ru/search?q=101987959&amp;newwindow=1&amp;tbm=isch","Еще фото")</f>
        <v>Еще фото</v>
      </c>
      <c r="F2617" s="13"/>
      <c r="G2617" s="23" t="s">
        <v>150</v>
      </c>
      <c r="H2617" s="23" t="s">
        <v>151</v>
      </c>
      <c r="I2617" s="23" t="s">
        <v>152</v>
      </c>
      <c r="J2617" s="14" t="s">
        <v>29</v>
      </c>
      <c r="K2617" s="15" t="s">
        <v>55</v>
      </c>
      <c r="L2617" s="88"/>
      <c r="M2617" s="14"/>
      <c r="N2617" s="14" t="s">
        <v>154</v>
      </c>
      <c r="O2617" s="14"/>
      <c r="P2617" s="15" t="s">
        <v>3205</v>
      </c>
      <c r="Q2617" s="16">
        <v>14499</v>
      </c>
      <c r="R2617" s="17">
        <v>45</v>
      </c>
      <c r="S2617" s="18">
        <v>9170.6174999999985</v>
      </c>
      <c r="T2617" s="19" t="s">
        <v>328</v>
      </c>
      <c r="U2617" s="20" t="s">
        <v>457</v>
      </c>
      <c r="V2617" s="21">
        <v>41</v>
      </c>
      <c r="W2617" s="21">
        <v>1</v>
      </c>
      <c r="X2617" s="22"/>
    </row>
    <row r="2618" spans="1:24" s="1" customFormat="1" ht="51.95" customHeight="1" x14ac:dyDescent="0.3">
      <c r="A2618" s="11" t="s">
        <v>3194</v>
      </c>
      <c r="B2618" s="11" t="s">
        <v>3198</v>
      </c>
      <c r="C2618" s="12" t="s">
        <v>3219</v>
      </c>
      <c r="D2618" s="89"/>
      <c r="E2618" s="69" t="str">
        <f>HYPERLINK("https://www.google.ru/search?q=101987963&amp;newwindow=1&amp;tbm=isch","Еще фото")</f>
        <v>Еще фото</v>
      </c>
      <c r="F2618" s="13"/>
      <c r="G2618" s="11" t="s">
        <v>150</v>
      </c>
      <c r="H2618" s="11" t="s">
        <v>151</v>
      </c>
      <c r="I2618" s="14" t="s">
        <v>152</v>
      </c>
      <c r="J2618" s="14" t="s">
        <v>29</v>
      </c>
      <c r="K2618" s="15" t="s">
        <v>55</v>
      </c>
      <c r="L2618" s="86"/>
      <c r="M2618" s="14"/>
      <c r="N2618" s="14" t="s">
        <v>313</v>
      </c>
      <c r="O2618" s="14"/>
      <c r="P2618" s="15" t="s">
        <v>3205</v>
      </c>
      <c r="Q2618" s="16">
        <v>15999</v>
      </c>
      <c r="R2618" s="17">
        <v>45</v>
      </c>
      <c r="S2618" s="18">
        <v>10119.3675</v>
      </c>
      <c r="T2618" s="19" t="s">
        <v>328</v>
      </c>
      <c r="U2618" s="20" t="s">
        <v>399</v>
      </c>
      <c r="V2618" s="21">
        <v>39</v>
      </c>
      <c r="W2618" s="21">
        <v>1</v>
      </c>
      <c r="X2618" s="22"/>
    </row>
    <row r="2619" spans="1:24" s="1" customFormat="1" ht="60.95" customHeight="1" x14ac:dyDescent="0.3">
      <c r="A2619" s="23" t="s">
        <v>3194</v>
      </c>
      <c r="B2619" s="23" t="s">
        <v>3198</v>
      </c>
      <c r="C2619" s="12" t="s">
        <v>3219</v>
      </c>
      <c r="D2619" s="90"/>
      <c r="E2619" s="69" t="str">
        <f>HYPERLINK("https://www.google.ru/search?q=101987963&amp;newwindow=1&amp;tbm=isch","Еще фото")</f>
        <v>Еще фото</v>
      </c>
      <c r="F2619" s="13"/>
      <c r="G2619" s="23" t="s">
        <v>150</v>
      </c>
      <c r="H2619" s="23" t="s">
        <v>151</v>
      </c>
      <c r="I2619" s="23" t="s">
        <v>152</v>
      </c>
      <c r="J2619" s="14" t="s">
        <v>29</v>
      </c>
      <c r="K2619" s="15" t="s">
        <v>55</v>
      </c>
      <c r="L2619" s="88"/>
      <c r="M2619" s="14"/>
      <c r="N2619" s="14" t="s">
        <v>313</v>
      </c>
      <c r="O2619" s="14"/>
      <c r="P2619" s="15" t="s">
        <v>3205</v>
      </c>
      <c r="Q2619" s="16">
        <v>15999</v>
      </c>
      <c r="R2619" s="17">
        <v>45</v>
      </c>
      <c r="S2619" s="18">
        <v>10119.3675</v>
      </c>
      <c r="T2619" s="19" t="s">
        <v>328</v>
      </c>
      <c r="U2619" s="20" t="s">
        <v>400</v>
      </c>
      <c r="V2619" s="21">
        <v>40</v>
      </c>
      <c r="W2619" s="21">
        <v>1</v>
      </c>
      <c r="X2619" s="22"/>
    </row>
    <row r="2620" spans="1:24" s="1" customFormat="1" ht="21" customHeight="1" x14ac:dyDescent="0.3">
      <c r="A2620" s="11" t="s">
        <v>3194</v>
      </c>
      <c r="B2620" s="11" t="s">
        <v>3195</v>
      </c>
      <c r="C2620" s="27" t="s">
        <v>3220</v>
      </c>
      <c r="D2620" s="83"/>
      <c r="E2620" s="69" t="str">
        <f>HYPERLINK("https://www.google.ru/search?q=101988075&amp;newwindow=1&amp;tbm=isch","Еще фото")</f>
        <v>Еще фото</v>
      </c>
      <c r="F2620" s="13"/>
      <c r="G2620" s="11" t="s">
        <v>150</v>
      </c>
      <c r="H2620" s="11" t="s">
        <v>151</v>
      </c>
      <c r="I2620" s="14" t="s">
        <v>152</v>
      </c>
      <c r="J2620" s="14" t="s">
        <v>29</v>
      </c>
      <c r="K2620" s="15" t="s">
        <v>47</v>
      </c>
      <c r="L2620" s="86"/>
      <c r="M2620" s="14"/>
      <c r="N2620" s="14" t="s">
        <v>175</v>
      </c>
      <c r="O2620" s="14"/>
      <c r="P2620" s="15" t="s">
        <v>3221</v>
      </c>
      <c r="Q2620" s="16">
        <v>13999</v>
      </c>
      <c r="R2620" s="17">
        <v>45</v>
      </c>
      <c r="S2620" s="18">
        <v>8854.3674999999985</v>
      </c>
      <c r="T2620" s="19" t="s">
        <v>328</v>
      </c>
      <c r="U2620" s="20" t="s">
        <v>1503</v>
      </c>
      <c r="V2620" s="21">
        <v>35</v>
      </c>
      <c r="W2620" s="21">
        <v>3</v>
      </c>
      <c r="X2620" s="22"/>
    </row>
    <row r="2621" spans="1:24" s="1" customFormat="1" ht="21" customHeight="1" x14ac:dyDescent="0.3">
      <c r="A2621" s="23" t="s">
        <v>3194</v>
      </c>
      <c r="B2621" s="23" t="s">
        <v>3195</v>
      </c>
      <c r="C2621" s="28" t="s">
        <v>3220</v>
      </c>
      <c r="D2621" s="84"/>
      <c r="E2621" s="69" t="str">
        <f>HYPERLINK("https://www.google.ru/search?q=101988075&amp;newwindow=1&amp;tbm=isch","Еще фото")</f>
        <v>Еще фото</v>
      </c>
      <c r="F2621" s="13"/>
      <c r="G2621" s="23" t="s">
        <v>150</v>
      </c>
      <c r="H2621" s="23" t="s">
        <v>151</v>
      </c>
      <c r="I2621" s="23" t="s">
        <v>152</v>
      </c>
      <c r="J2621" s="14" t="s">
        <v>29</v>
      </c>
      <c r="K2621" s="15" t="s">
        <v>47</v>
      </c>
      <c r="L2621" s="87"/>
      <c r="M2621" s="14"/>
      <c r="N2621" s="14" t="s">
        <v>175</v>
      </c>
      <c r="O2621" s="14"/>
      <c r="P2621" s="15" t="s">
        <v>3221</v>
      </c>
      <c r="Q2621" s="16">
        <v>13999</v>
      </c>
      <c r="R2621" s="17">
        <v>45</v>
      </c>
      <c r="S2621" s="18">
        <v>8854.3674999999985</v>
      </c>
      <c r="T2621" s="19" t="s">
        <v>328</v>
      </c>
      <c r="U2621" s="20" t="s">
        <v>409</v>
      </c>
      <c r="V2621" s="21">
        <v>36</v>
      </c>
      <c r="W2621" s="21">
        <v>6</v>
      </c>
      <c r="X2621" s="22"/>
    </row>
    <row r="2622" spans="1:24" s="1" customFormat="1" ht="21" customHeight="1" x14ac:dyDescent="0.3">
      <c r="A2622" s="23" t="s">
        <v>3194</v>
      </c>
      <c r="B2622" s="23" t="s">
        <v>3195</v>
      </c>
      <c r="C2622" s="28" t="s">
        <v>3220</v>
      </c>
      <c r="D2622" s="84"/>
      <c r="E2622" s="69" t="str">
        <f>HYPERLINK("https://www.google.ru/search?q=101988075&amp;newwindow=1&amp;tbm=isch","Еще фото")</f>
        <v>Еще фото</v>
      </c>
      <c r="F2622" s="13"/>
      <c r="G2622" s="23" t="s">
        <v>150</v>
      </c>
      <c r="H2622" s="23" t="s">
        <v>151</v>
      </c>
      <c r="I2622" s="23" t="s">
        <v>152</v>
      </c>
      <c r="J2622" s="14" t="s">
        <v>29</v>
      </c>
      <c r="K2622" s="15" t="s">
        <v>47</v>
      </c>
      <c r="L2622" s="87"/>
      <c r="M2622" s="14"/>
      <c r="N2622" s="14" t="s">
        <v>175</v>
      </c>
      <c r="O2622" s="14"/>
      <c r="P2622" s="15" t="s">
        <v>3221</v>
      </c>
      <c r="Q2622" s="16">
        <v>13999</v>
      </c>
      <c r="R2622" s="17">
        <v>45</v>
      </c>
      <c r="S2622" s="18">
        <v>8854.3674999999985</v>
      </c>
      <c r="T2622" s="19" t="s">
        <v>328</v>
      </c>
      <c r="U2622" s="20" t="s">
        <v>426</v>
      </c>
      <c r="V2622" s="21">
        <v>37</v>
      </c>
      <c r="W2622" s="21">
        <v>5</v>
      </c>
      <c r="X2622" s="22"/>
    </row>
    <row r="2623" spans="1:24" s="1" customFormat="1" ht="21" customHeight="1" x14ac:dyDescent="0.3">
      <c r="A2623" s="23" t="s">
        <v>3194</v>
      </c>
      <c r="B2623" s="23" t="s">
        <v>3195</v>
      </c>
      <c r="C2623" s="28" t="s">
        <v>3220</v>
      </c>
      <c r="D2623" s="84"/>
      <c r="E2623" s="69" t="str">
        <f>HYPERLINK("https://www.google.ru/search?q=101988075&amp;newwindow=1&amp;tbm=isch","Еще фото")</f>
        <v>Еще фото</v>
      </c>
      <c r="F2623" s="13"/>
      <c r="G2623" s="23" t="s">
        <v>150</v>
      </c>
      <c r="H2623" s="23" t="s">
        <v>151</v>
      </c>
      <c r="I2623" s="23" t="s">
        <v>152</v>
      </c>
      <c r="J2623" s="14" t="s">
        <v>29</v>
      </c>
      <c r="K2623" s="15" t="s">
        <v>47</v>
      </c>
      <c r="L2623" s="87"/>
      <c r="M2623" s="14"/>
      <c r="N2623" s="14" t="s">
        <v>175</v>
      </c>
      <c r="O2623" s="14"/>
      <c r="P2623" s="15" t="s">
        <v>3221</v>
      </c>
      <c r="Q2623" s="16">
        <v>13999</v>
      </c>
      <c r="R2623" s="17">
        <v>45</v>
      </c>
      <c r="S2623" s="18">
        <v>8854.3674999999985</v>
      </c>
      <c r="T2623" s="19" t="s">
        <v>328</v>
      </c>
      <c r="U2623" s="20" t="s">
        <v>413</v>
      </c>
      <c r="V2623" s="21">
        <v>38</v>
      </c>
      <c r="W2623" s="21">
        <v>1</v>
      </c>
      <c r="X2623" s="22"/>
    </row>
    <row r="2624" spans="1:24" s="1" customFormat="1" ht="32.1" customHeight="1" x14ac:dyDescent="0.3">
      <c r="A2624" s="23" t="s">
        <v>3194</v>
      </c>
      <c r="B2624" s="23" t="s">
        <v>3195</v>
      </c>
      <c r="C2624" s="28" t="s">
        <v>3220</v>
      </c>
      <c r="D2624" s="85"/>
      <c r="E2624" s="69" t="str">
        <f>HYPERLINK("https://www.google.ru/search?q=101988075&amp;newwindow=1&amp;tbm=isch","Еще фото")</f>
        <v>Еще фото</v>
      </c>
      <c r="F2624" s="13"/>
      <c r="G2624" s="23" t="s">
        <v>150</v>
      </c>
      <c r="H2624" s="23" t="s">
        <v>151</v>
      </c>
      <c r="I2624" s="23" t="s">
        <v>152</v>
      </c>
      <c r="J2624" s="14" t="s">
        <v>29</v>
      </c>
      <c r="K2624" s="15" t="s">
        <v>47</v>
      </c>
      <c r="L2624" s="88"/>
      <c r="M2624" s="14"/>
      <c r="N2624" s="14" t="s">
        <v>175</v>
      </c>
      <c r="O2624" s="14"/>
      <c r="P2624" s="15" t="s">
        <v>3221</v>
      </c>
      <c r="Q2624" s="16">
        <v>13999</v>
      </c>
      <c r="R2624" s="17">
        <v>45</v>
      </c>
      <c r="S2624" s="18">
        <v>8854.3674999999985</v>
      </c>
      <c r="T2624" s="19" t="s">
        <v>328</v>
      </c>
      <c r="U2624" s="20" t="s">
        <v>399</v>
      </c>
      <c r="V2624" s="21">
        <v>39</v>
      </c>
      <c r="W2624" s="21">
        <v>2</v>
      </c>
      <c r="X2624" s="22"/>
    </row>
    <row r="2625" spans="1:24" s="1" customFormat="1" ht="26.1" customHeight="1" x14ac:dyDescent="0.3">
      <c r="A2625" s="11" t="s">
        <v>3194</v>
      </c>
      <c r="B2625" s="11" t="s">
        <v>3222</v>
      </c>
      <c r="C2625" s="12" t="s">
        <v>3223</v>
      </c>
      <c r="D2625" s="83"/>
      <c r="E2625" s="69" t="str">
        <f>HYPERLINK("https://www.google.ru/search?q=101988091&amp;newwindow=1&amp;tbm=isch","Еще фото")</f>
        <v>Еще фото</v>
      </c>
      <c r="F2625" s="13"/>
      <c r="G2625" s="11" t="s">
        <v>3224</v>
      </c>
      <c r="H2625" s="11" t="s">
        <v>151</v>
      </c>
      <c r="I2625" s="14" t="s">
        <v>152</v>
      </c>
      <c r="J2625" s="14" t="s">
        <v>29</v>
      </c>
      <c r="K2625" s="15" t="s">
        <v>47</v>
      </c>
      <c r="L2625" s="86"/>
      <c r="M2625" s="14"/>
      <c r="N2625" s="14" t="s">
        <v>49</v>
      </c>
      <c r="O2625" s="14"/>
      <c r="P2625" s="15" t="s">
        <v>3205</v>
      </c>
      <c r="Q2625" s="16">
        <v>8399</v>
      </c>
      <c r="R2625" s="17">
        <v>45</v>
      </c>
      <c r="S2625" s="18">
        <v>5312.3674999999994</v>
      </c>
      <c r="T2625" s="19" t="s">
        <v>328</v>
      </c>
      <c r="U2625" s="20" t="s">
        <v>409</v>
      </c>
      <c r="V2625" s="21">
        <v>36</v>
      </c>
      <c r="W2625" s="21">
        <v>5</v>
      </c>
      <c r="X2625" s="22"/>
    </row>
    <row r="2626" spans="1:24" s="1" customFormat="1" ht="26.1" customHeight="1" x14ac:dyDescent="0.3">
      <c r="A2626" s="23" t="s">
        <v>3194</v>
      </c>
      <c r="B2626" s="23" t="s">
        <v>3222</v>
      </c>
      <c r="C2626" s="12" t="s">
        <v>3223</v>
      </c>
      <c r="D2626" s="84"/>
      <c r="E2626" s="69" t="str">
        <f>HYPERLINK("https://www.google.ru/search?q=101988091&amp;newwindow=1&amp;tbm=isch","Еще фото")</f>
        <v>Еще фото</v>
      </c>
      <c r="F2626" s="13"/>
      <c r="G2626" s="23" t="s">
        <v>3224</v>
      </c>
      <c r="H2626" s="23" t="s">
        <v>151</v>
      </c>
      <c r="I2626" s="23" t="s">
        <v>152</v>
      </c>
      <c r="J2626" s="14" t="s">
        <v>29</v>
      </c>
      <c r="K2626" s="15" t="s">
        <v>47</v>
      </c>
      <c r="L2626" s="87"/>
      <c r="M2626" s="14"/>
      <c r="N2626" s="14" t="s">
        <v>49</v>
      </c>
      <c r="O2626" s="14"/>
      <c r="P2626" s="15" t="s">
        <v>3205</v>
      </c>
      <c r="Q2626" s="16">
        <v>8399</v>
      </c>
      <c r="R2626" s="17">
        <v>45</v>
      </c>
      <c r="S2626" s="18">
        <v>5312.3674999999994</v>
      </c>
      <c r="T2626" s="19" t="s">
        <v>328</v>
      </c>
      <c r="U2626" s="20" t="s">
        <v>426</v>
      </c>
      <c r="V2626" s="21">
        <v>37</v>
      </c>
      <c r="W2626" s="21">
        <v>7</v>
      </c>
      <c r="X2626" s="22"/>
    </row>
    <row r="2627" spans="1:24" s="1" customFormat="1" ht="26.1" customHeight="1" x14ac:dyDescent="0.3">
      <c r="A2627" s="23" t="s">
        <v>3194</v>
      </c>
      <c r="B2627" s="23" t="s">
        <v>3222</v>
      </c>
      <c r="C2627" s="12" t="s">
        <v>3223</v>
      </c>
      <c r="D2627" s="84"/>
      <c r="E2627" s="69" t="str">
        <f>HYPERLINK("https://www.google.ru/search?q=101988091&amp;newwindow=1&amp;tbm=isch","Еще фото")</f>
        <v>Еще фото</v>
      </c>
      <c r="F2627" s="13"/>
      <c r="G2627" s="23" t="s">
        <v>3224</v>
      </c>
      <c r="H2627" s="23" t="s">
        <v>151</v>
      </c>
      <c r="I2627" s="23" t="s">
        <v>152</v>
      </c>
      <c r="J2627" s="14" t="s">
        <v>29</v>
      </c>
      <c r="K2627" s="15" t="s">
        <v>47</v>
      </c>
      <c r="L2627" s="87"/>
      <c r="M2627" s="14"/>
      <c r="N2627" s="14" t="s">
        <v>49</v>
      </c>
      <c r="O2627" s="14"/>
      <c r="P2627" s="15" t="s">
        <v>3205</v>
      </c>
      <c r="Q2627" s="16">
        <v>8399</v>
      </c>
      <c r="R2627" s="17">
        <v>45</v>
      </c>
      <c r="S2627" s="18">
        <v>5312.3674999999994</v>
      </c>
      <c r="T2627" s="19" t="s">
        <v>328</v>
      </c>
      <c r="U2627" s="20" t="s">
        <v>413</v>
      </c>
      <c r="V2627" s="21">
        <v>38</v>
      </c>
      <c r="W2627" s="21">
        <v>7</v>
      </c>
      <c r="X2627" s="22"/>
    </row>
    <row r="2628" spans="1:24" s="1" customFormat="1" ht="26.1" customHeight="1" x14ac:dyDescent="0.3">
      <c r="A2628" s="23" t="s">
        <v>3194</v>
      </c>
      <c r="B2628" s="23" t="s">
        <v>3222</v>
      </c>
      <c r="C2628" s="12" t="s">
        <v>3223</v>
      </c>
      <c r="D2628" s="85"/>
      <c r="E2628" s="69" t="str">
        <f>HYPERLINK("https://www.google.ru/search?q=101988091&amp;newwindow=1&amp;tbm=isch","Еще фото")</f>
        <v>Еще фото</v>
      </c>
      <c r="F2628" s="13"/>
      <c r="G2628" s="23" t="s">
        <v>3224</v>
      </c>
      <c r="H2628" s="23" t="s">
        <v>151</v>
      </c>
      <c r="I2628" s="23" t="s">
        <v>152</v>
      </c>
      <c r="J2628" s="14" t="s">
        <v>29</v>
      </c>
      <c r="K2628" s="15" t="s">
        <v>47</v>
      </c>
      <c r="L2628" s="88"/>
      <c r="M2628" s="14"/>
      <c r="N2628" s="14" t="s">
        <v>49</v>
      </c>
      <c r="O2628" s="14"/>
      <c r="P2628" s="15" t="s">
        <v>3205</v>
      </c>
      <c r="Q2628" s="16">
        <v>8399</v>
      </c>
      <c r="R2628" s="17">
        <v>45</v>
      </c>
      <c r="S2628" s="18">
        <v>5312.3674999999994</v>
      </c>
      <c r="T2628" s="19" t="s">
        <v>328</v>
      </c>
      <c r="U2628" s="20" t="s">
        <v>399</v>
      </c>
      <c r="V2628" s="21">
        <v>39</v>
      </c>
      <c r="W2628" s="21">
        <v>3</v>
      </c>
      <c r="X2628" s="22"/>
    </row>
    <row r="2629" spans="1:24" s="1" customFormat="1" ht="35.1" customHeight="1" x14ac:dyDescent="0.3">
      <c r="A2629" s="11" t="s">
        <v>3194</v>
      </c>
      <c r="B2629" s="11" t="s">
        <v>3198</v>
      </c>
      <c r="C2629" s="12" t="s">
        <v>3225</v>
      </c>
      <c r="D2629" s="83"/>
      <c r="E2629" s="69" t="str">
        <f>HYPERLINK("https://www.google.ru/search?q=101988107&amp;newwindow=1&amp;tbm=isch","Еще фото")</f>
        <v>Еще фото</v>
      </c>
      <c r="F2629" s="13"/>
      <c r="G2629" s="11" t="s">
        <v>150</v>
      </c>
      <c r="H2629" s="11" t="s">
        <v>151</v>
      </c>
      <c r="I2629" s="14" t="s">
        <v>152</v>
      </c>
      <c r="J2629" s="14" t="s">
        <v>29</v>
      </c>
      <c r="K2629" s="15" t="s">
        <v>55</v>
      </c>
      <c r="L2629" s="86"/>
      <c r="M2629" s="14"/>
      <c r="N2629" s="14" t="s">
        <v>154</v>
      </c>
      <c r="O2629" s="14"/>
      <c r="P2629" s="15" t="s">
        <v>3226</v>
      </c>
      <c r="Q2629" s="16">
        <v>14899</v>
      </c>
      <c r="R2629" s="17">
        <v>45</v>
      </c>
      <c r="S2629" s="18">
        <v>9423.6175000000003</v>
      </c>
      <c r="T2629" s="19" t="s">
        <v>328</v>
      </c>
      <c r="U2629" s="20" t="s">
        <v>1503</v>
      </c>
      <c r="V2629" s="21">
        <v>35</v>
      </c>
      <c r="W2629" s="21">
        <v>2</v>
      </c>
      <c r="X2629" s="22"/>
    </row>
    <row r="2630" spans="1:24" s="1" customFormat="1" ht="35.1" customHeight="1" x14ac:dyDescent="0.3">
      <c r="A2630" s="23" t="s">
        <v>3194</v>
      </c>
      <c r="B2630" s="23" t="s">
        <v>3198</v>
      </c>
      <c r="C2630" s="12" t="s">
        <v>3225</v>
      </c>
      <c r="D2630" s="84"/>
      <c r="E2630" s="69" t="str">
        <f>HYPERLINK("https://www.google.ru/search?q=101988107&amp;newwindow=1&amp;tbm=isch","Еще фото")</f>
        <v>Еще фото</v>
      </c>
      <c r="F2630" s="13"/>
      <c r="G2630" s="23" t="s">
        <v>150</v>
      </c>
      <c r="H2630" s="23" t="s">
        <v>151</v>
      </c>
      <c r="I2630" s="23" t="s">
        <v>152</v>
      </c>
      <c r="J2630" s="14" t="s">
        <v>29</v>
      </c>
      <c r="K2630" s="15" t="s">
        <v>55</v>
      </c>
      <c r="L2630" s="87"/>
      <c r="M2630" s="14"/>
      <c r="N2630" s="14" t="s">
        <v>154</v>
      </c>
      <c r="O2630" s="14"/>
      <c r="P2630" s="15" t="s">
        <v>3226</v>
      </c>
      <c r="Q2630" s="16">
        <v>14899</v>
      </c>
      <c r="R2630" s="17">
        <v>45</v>
      </c>
      <c r="S2630" s="18">
        <v>9423.6175000000003</v>
      </c>
      <c r="T2630" s="19" t="s">
        <v>328</v>
      </c>
      <c r="U2630" s="20" t="s">
        <v>409</v>
      </c>
      <c r="V2630" s="21">
        <v>36</v>
      </c>
      <c r="W2630" s="21">
        <v>2</v>
      </c>
      <c r="X2630" s="22"/>
    </row>
    <row r="2631" spans="1:24" s="1" customFormat="1" ht="36.950000000000003" customHeight="1" x14ac:dyDescent="0.3">
      <c r="A2631" s="23" t="s">
        <v>3194</v>
      </c>
      <c r="B2631" s="23" t="s">
        <v>3198</v>
      </c>
      <c r="C2631" s="12" t="s">
        <v>3225</v>
      </c>
      <c r="D2631" s="85"/>
      <c r="E2631" s="69" t="str">
        <f>HYPERLINK("https://www.google.ru/search?q=101988107&amp;newwindow=1&amp;tbm=isch","Еще фото")</f>
        <v>Еще фото</v>
      </c>
      <c r="F2631" s="13"/>
      <c r="G2631" s="23" t="s">
        <v>150</v>
      </c>
      <c r="H2631" s="23" t="s">
        <v>151</v>
      </c>
      <c r="I2631" s="23" t="s">
        <v>152</v>
      </c>
      <c r="J2631" s="14" t="s">
        <v>29</v>
      </c>
      <c r="K2631" s="15" t="s">
        <v>55</v>
      </c>
      <c r="L2631" s="88"/>
      <c r="M2631" s="14"/>
      <c r="N2631" s="14" t="s">
        <v>154</v>
      </c>
      <c r="O2631" s="14"/>
      <c r="P2631" s="15" t="s">
        <v>3226</v>
      </c>
      <c r="Q2631" s="16">
        <v>14899</v>
      </c>
      <c r="R2631" s="17">
        <v>45</v>
      </c>
      <c r="S2631" s="18">
        <v>9423.6175000000003</v>
      </c>
      <c r="T2631" s="19" t="s">
        <v>328</v>
      </c>
      <c r="U2631" s="20" t="s">
        <v>426</v>
      </c>
      <c r="V2631" s="21">
        <v>37</v>
      </c>
      <c r="W2631" s="21">
        <v>5</v>
      </c>
      <c r="X2631" s="22"/>
    </row>
    <row r="2632" spans="1:24" s="1" customFormat="1" ht="17.100000000000001" customHeight="1" x14ac:dyDescent="0.3">
      <c r="A2632" s="11" t="s">
        <v>3194</v>
      </c>
      <c r="B2632" s="11" t="s">
        <v>3198</v>
      </c>
      <c r="C2632" s="12" t="s">
        <v>3227</v>
      </c>
      <c r="D2632" s="83"/>
      <c r="E2632" s="69" t="str">
        <f t="shared" ref="E2632:E2637" si="102">HYPERLINK("https://www.google.ru/search?q=101988109&amp;newwindow=1&amp;tbm=isch","Еще фото")</f>
        <v>Еще фото</v>
      </c>
      <c r="F2632" s="13"/>
      <c r="G2632" s="11" t="s">
        <v>150</v>
      </c>
      <c r="H2632" s="11" t="s">
        <v>151</v>
      </c>
      <c r="I2632" s="14" t="s">
        <v>152</v>
      </c>
      <c r="J2632" s="14" t="s">
        <v>29</v>
      </c>
      <c r="K2632" s="15" t="s">
        <v>55</v>
      </c>
      <c r="L2632" s="86"/>
      <c r="M2632" s="14"/>
      <c r="N2632" s="14" t="s">
        <v>326</v>
      </c>
      <c r="O2632" s="14"/>
      <c r="P2632" s="15" t="s">
        <v>3226</v>
      </c>
      <c r="Q2632" s="16">
        <v>14899</v>
      </c>
      <c r="R2632" s="17">
        <v>45</v>
      </c>
      <c r="S2632" s="18">
        <v>9423.6175000000003</v>
      </c>
      <c r="T2632" s="19" t="s">
        <v>328</v>
      </c>
      <c r="U2632" s="20" t="s">
        <v>1503</v>
      </c>
      <c r="V2632" s="21">
        <v>35</v>
      </c>
      <c r="W2632" s="21">
        <v>1</v>
      </c>
      <c r="X2632" s="22"/>
    </row>
    <row r="2633" spans="1:24" s="1" customFormat="1" ht="17.100000000000001" customHeight="1" x14ac:dyDescent="0.3">
      <c r="A2633" s="23" t="s">
        <v>3194</v>
      </c>
      <c r="B2633" s="23" t="s">
        <v>3198</v>
      </c>
      <c r="C2633" s="12" t="s">
        <v>3227</v>
      </c>
      <c r="D2633" s="84"/>
      <c r="E2633" s="69" t="str">
        <f t="shared" si="102"/>
        <v>Еще фото</v>
      </c>
      <c r="F2633" s="13"/>
      <c r="G2633" s="23" t="s">
        <v>150</v>
      </c>
      <c r="H2633" s="23" t="s">
        <v>151</v>
      </c>
      <c r="I2633" s="23" t="s">
        <v>152</v>
      </c>
      <c r="J2633" s="14" t="s">
        <v>29</v>
      </c>
      <c r="K2633" s="15" t="s">
        <v>55</v>
      </c>
      <c r="L2633" s="87"/>
      <c r="M2633" s="14"/>
      <c r="N2633" s="14" t="s">
        <v>326</v>
      </c>
      <c r="O2633" s="14"/>
      <c r="P2633" s="15" t="s">
        <v>3226</v>
      </c>
      <c r="Q2633" s="16">
        <v>14899</v>
      </c>
      <c r="R2633" s="17">
        <v>45</v>
      </c>
      <c r="S2633" s="18">
        <v>9423.6175000000003</v>
      </c>
      <c r="T2633" s="19" t="s">
        <v>328</v>
      </c>
      <c r="U2633" s="20" t="s">
        <v>409</v>
      </c>
      <c r="V2633" s="21">
        <v>36</v>
      </c>
      <c r="W2633" s="21">
        <v>4</v>
      </c>
      <c r="X2633" s="22"/>
    </row>
    <row r="2634" spans="1:24" s="1" customFormat="1" ht="17.100000000000001" customHeight="1" x14ac:dyDescent="0.3">
      <c r="A2634" s="23" t="s">
        <v>3194</v>
      </c>
      <c r="B2634" s="23" t="s">
        <v>3198</v>
      </c>
      <c r="C2634" s="12" t="s">
        <v>3227</v>
      </c>
      <c r="D2634" s="84"/>
      <c r="E2634" s="69" t="str">
        <f t="shared" si="102"/>
        <v>Еще фото</v>
      </c>
      <c r="F2634" s="13"/>
      <c r="G2634" s="23" t="s">
        <v>150</v>
      </c>
      <c r="H2634" s="23" t="s">
        <v>151</v>
      </c>
      <c r="I2634" s="23" t="s">
        <v>152</v>
      </c>
      <c r="J2634" s="14" t="s">
        <v>29</v>
      </c>
      <c r="K2634" s="15" t="s">
        <v>55</v>
      </c>
      <c r="L2634" s="87"/>
      <c r="M2634" s="14"/>
      <c r="N2634" s="14" t="s">
        <v>326</v>
      </c>
      <c r="O2634" s="14"/>
      <c r="P2634" s="15" t="s">
        <v>3226</v>
      </c>
      <c r="Q2634" s="16">
        <v>14899</v>
      </c>
      <c r="R2634" s="17">
        <v>45</v>
      </c>
      <c r="S2634" s="18">
        <v>9423.6175000000003</v>
      </c>
      <c r="T2634" s="19" t="s">
        <v>328</v>
      </c>
      <c r="U2634" s="20" t="s">
        <v>426</v>
      </c>
      <c r="V2634" s="21">
        <v>37</v>
      </c>
      <c r="W2634" s="21">
        <v>5</v>
      </c>
      <c r="X2634" s="22"/>
    </row>
    <row r="2635" spans="1:24" s="1" customFormat="1" ht="17.100000000000001" customHeight="1" x14ac:dyDescent="0.3">
      <c r="A2635" s="23" t="s">
        <v>3194</v>
      </c>
      <c r="B2635" s="23" t="s">
        <v>3198</v>
      </c>
      <c r="C2635" s="12" t="s">
        <v>3227</v>
      </c>
      <c r="D2635" s="84"/>
      <c r="E2635" s="69" t="str">
        <f t="shared" si="102"/>
        <v>Еще фото</v>
      </c>
      <c r="F2635" s="13"/>
      <c r="G2635" s="23" t="s">
        <v>150</v>
      </c>
      <c r="H2635" s="23" t="s">
        <v>151</v>
      </c>
      <c r="I2635" s="23" t="s">
        <v>152</v>
      </c>
      <c r="J2635" s="14" t="s">
        <v>29</v>
      </c>
      <c r="K2635" s="15" t="s">
        <v>55</v>
      </c>
      <c r="L2635" s="87"/>
      <c r="M2635" s="14"/>
      <c r="N2635" s="14" t="s">
        <v>326</v>
      </c>
      <c r="O2635" s="14"/>
      <c r="P2635" s="15" t="s">
        <v>3226</v>
      </c>
      <c r="Q2635" s="16">
        <v>14899</v>
      </c>
      <c r="R2635" s="17">
        <v>45</v>
      </c>
      <c r="S2635" s="18">
        <v>9423.6175000000003</v>
      </c>
      <c r="T2635" s="19" t="s">
        <v>328</v>
      </c>
      <c r="U2635" s="20" t="s">
        <v>413</v>
      </c>
      <c r="V2635" s="21">
        <v>38</v>
      </c>
      <c r="W2635" s="21">
        <v>5</v>
      </c>
      <c r="X2635" s="22"/>
    </row>
    <row r="2636" spans="1:24" s="1" customFormat="1" ht="17.100000000000001" customHeight="1" x14ac:dyDescent="0.3">
      <c r="A2636" s="23" t="s">
        <v>3194</v>
      </c>
      <c r="B2636" s="23" t="s">
        <v>3198</v>
      </c>
      <c r="C2636" s="12" t="s">
        <v>3227</v>
      </c>
      <c r="D2636" s="84"/>
      <c r="E2636" s="69" t="str">
        <f t="shared" si="102"/>
        <v>Еще фото</v>
      </c>
      <c r="F2636" s="13"/>
      <c r="G2636" s="23" t="s">
        <v>150</v>
      </c>
      <c r="H2636" s="23" t="s">
        <v>151</v>
      </c>
      <c r="I2636" s="23" t="s">
        <v>152</v>
      </c>
      <c r="J2636" s="14" t="s">
        <v>29</v>
      </c>
      <c r="K2636" s="15" t="s">
        <v>55</v>
      </c>
      <c r="L2636" s="87"/>
      <c r="M2636" s="14"/>
      <c r="N2636" s="14" t="s">
        <v>326</v>
      </c>
      <c r="O2636" s="14"/>
      <c r="P2636" s="15" t="s">
        <v>3226</v>
      </c>
      <c r="Q2636" s="16">
        <v>14899</v>
      </c>
      <c r="R2636" s="17">
        <v>45</v>
      </c>
      <c r="S2636" s="18">
        <v>9423.6175000000003</v>
      </c>
      <c r="T2636" s="19" t="s">
        <v>328</v>
      </c>
      <c r="U2636" s="20" t="s">
        <v>399</v>
      </c>
      <c r="V2636" s="21">
        <v>39</v>
      </c>
      <c r="W2636" s="21">
        <v>1</v>
      </c>
      <c r="X2636" s="22"/>
    </row>
    <row r="2637" spans="1:24" s="1" customFormat="1" ht="21.95" customHeight="1" x14ac:dyDescent="0.3">
      <c r="A2637" s="23" t="s">
        <v>3194</v>
      </c>
      <c r="B2637" s="23" t="s">
        <v>3198</v>
      </c>
      <c r="C2637" s="12" t="s">
        <v>3227</v>
      </c>
      <c r="D2637" s="85"/>
      <c r="E2637" s="69" t="str">
        <f t="shared" si="102"/>
        <v>Еще фото</v>
      </c>
      <c r="F2637" s="13"/>
      <c r="G2637" s="23" t="s">
        <v>150</v>
      </c>
      <c r="H2637" s="23" t="s">
        <v>151</v>
      </c>
      <c r="I2637" s="23" t="s">
        <v>152</v>
      </c>
      <c r="J2637" s="14" t="s">
        <v>29</v>
      </c>
      <c r="K2637" s="15" t="s">
        <v>55</v>
      </c>
      <c r="L2637" s="88"/>
      <c r="M2637" s="14"/>
      <c r="N2637" s="14" t="s">
        <v>326</v>
      </c>
      <c r="O2637" s="14"/>
      <c r="P2637" s="15" t="s">
        <v>3226</v>
      </c>
      <c r="Q2637" s="16">
        <v>14899</v>
      </c>
      <c r="R2637" s="17">
        <v>45</v>
      </c>
      <c r="S2637" s="18">
        <v>9423.6175000000003</v>
      </c>
      <c r="T2637" s="19" t="s">
        <v>328</v>
      </c>
      <c r="U2637" s="20" t="s">
        <v>400</v>
      </c>
      <c r="V2637" s="21">
        <v>40</v>
      </c>
      <c r="W2637" s="21">
        <v>1</v>
      </c>
      <c r="X2637" s="22"/>
    </row>
    <row r="2638" spans="1:24" s="1" customFormat="1" ht="17.100000000000001" customHeight="1" x14ac:dyDescent="0.3">
      <c r="A2638" s="11" t="s">
        <v>3194</v>
      </c>
      <c r="B2638" s="11" t="s">
        <v>3228</v>
      </c>
      <c r="C2638" s="12" t="s">
        <v>3229</v>
      </c>
      <c r="D2638" s="83"/>
      <c r="E2638" s="69" t="str">
        <f t="shared" ref="E2638:E2643" si="103">HYPERLINK("https://www.google.ru/search?q=101988154&amp;newwindow=1&amp;tbm=isch","Еще фото")</f>
        <v>Еще фото</v>
      </c>
      <c r="F2638" s="13"/>
      <c r="G2638" s="11" t="s">
        <v>3224</v>
      </c>
      <c r="H2638" s="11" t="s">
        <v>151</v>
      </c>
      <c r="I2638" s="14" t="s">
        <v>152</v>
      </c>
      <c r="J2638" s="14" t="s">
        <v>29</v>
      </c>
      <c r="K2638" s="15" t="s">
        <v>55</v>
      </c>
      <c r="L2638" s="86"/>
      <c r="M2638" s="14"/>
      <c r="N2638" s="14" t="s">
        <v>49</v>
      </c>
      <c r="O2638" s="14"/>
      <c r="P2638" s="15" t="s">
        <v>3230</v>
      </c>
      <c r="Q2638" s="16">
        <v>15999</v>
      </c>
      <c r="R2638" s="17">
        <v>45</v>
      </c>
      <c r="S2638" s="18">
        <v>10119.3675</v>
      </c>
      <c r="T2638" s="19" t="s">
        <v>328</v>
      </c>
      <c r="U2638" s="20" t="s">
        <v>1503</v>
      </c>
      <c r="V2638" s="21">
        <v>35</v>
      </c>
      <c r="W2638" s="21">
        <v>6</v>
      </c>
      <c r="X2638" s="22"/>
    </row>
    <row r="2639" spans="1:24" s="1" customFormat="1" ht="17.100000000000001" customHeight="1" x14ac:dyDescent="0.3">
      <c r="A2639" s="23" t="s">
        <v>3194</v>
      </c>
      <c r="B2639" s="23" t="s">
        <v>3228</v>
      </c>
      <c r="C2639" s="12" t="s">
        <v>3229</v>
      </c>
      <c r="D2639" s="84"/>
      <c r="E2639" s="69" t="str">
        <f t="shared" si="103"/>
        <v>Еще фото</v>
      </c>
      <c r="F2639" s="13"/>
      <c r="G2639" s="23" t="s">
        <v>3224</v>
      </c>
      <c r="H2639" s="23" t="s">
        <v>151</v>
      </c>
      <c r="I2639" s="23" t="s">
        <v>152</v>
      </c>
      <c r="J2639" s="14" t="s">
        <v>29</v>
      </c>
      <c r="K2639" s="15" t="s">
        <v>55</v>
      </c>
      <c r="L2639" s="87"/>
      <c r="M2639" s="14"/>
      <c r="N2639" s="14" t="s">
        <v>49</v>
      </c>
      <c r="O2639" s="14"/>
      <c r="P2639" s="15" t="s">
        <v>3230</v>
      </c>
      <c r="Q2639" s="16">
        <v>15999</v>
      </c>
      <c r="R2639" s="17">
        <v>45</v>
      </c>
      <c r="S2639" s="18">
        <v>10119.3675</v>
      </c>
      <c r="T2639" s="19" t="s">
        <v>328</v>
      </c>
      <c r="U2639" s="20" t="s">
        <v>409</v>
      </c>
      <c r="V2639" s="21">
        <v>36</v>
      </c>
      <c r="W2639" s="21">
        <v>12</v>
      </c>
      <c r="X2639" s="22"/>
    </row>
    <row r="2640" spans="1:24" s="1" customFormat="1" ht="17.100000000000001" customHeight="1" x14ac:dyDescent="0.3">
      <c r="A2640" s="23" t="s">
        <v>3194</v>
      </c>
      <c r="B2640" s="23" t="s">
        <v>3228</v>
      </c>
      <c r="C2640" s="12" t="s">
        <v>3229</v>
      </c>
      <c r="D2640" s="84"/>
      <c r="E2640" s="69" t="str">
        <f t="shared" si="103"/>
        <v>Еще фото</v>
      </c>
      <c r="F2640" s="13"/>
      <c r="G2640" s="23" t="s">
        <v>3224</v>
      </c>
      <c r="H2640" s="23" t="s">
        <v>151</v>
      </c>
      <c r="I2640" s="23" t="s">
        <v>152</v>
      </c>
      <c r="J2640" s="14" t="s">
        <v>29</v>
      </c>
      <c r="K2640" s="15" t="s">
        <v>55</v>
      </c>
      <c r="L2640" s="87"/>
      <c r="M2640" s="14"/>
      <c r="N2640" s="14" t="s">
        <v>49</v>
      </c>
      <c r="O2640" s="14"/>
      <c r="P2640" s="15" t="s">
        <v>3230</v>
      </c>
      <c r="Q2640" s="16">
        <v>15999</v>
      </c>
      <c r="R2640" s="17">
        <v>45</v>
      </c>
      <c r="S2640" s="18">
        <v>10119.3675</v>
      </c>
      <c r="T2640" s="19" t="s">
        <v>328</v>
      </c>
      <c r="U2640" s="20" t="s">
        <v>426</v>
      </c>
      <c r="V2640" s="21">
        <v>37</v>
      </c>
      <c r="W2640" s="21">
        <v>19</v>
      </c>
      <c r="X2640" s="22"/>
    </row>
    <row r="2641" spans="1:24" s="1" customFormat="1" ht="17.100000000000001" customHeight="1" x14ac:dyDescent="0.3">
      <c r="A2641" s="23" t="s">
        <v>3194</v>
      </c>
      <c r="B2641" s="23" t="s">
        <v>3228</v>
      </c>
      <c r="C2641" s="12" t="s">
        <v>3229</v>
      </c>
      <c r="D2641" s="84"/>
      <c r="E2641" s="69" t="str">
        <f t="shared" si="103"/>
        <v>Еще фото</v>
      </c>
      <c r="F2641" s="13"/>
      <c r="G2641" s="23" t="s">
        <v>3224</v>
      </c>
      <c r="H2641" s="23" t="s">
        <v>151</v>
      </c>
      <c r="I2641" s="23" t="s">
        <v>152</v>
      </c>
      <c r="J2641" s="14" t="s">
        <v>29</v>
      </c>
      <c r="K2641" s="15" t="s">
        <v>55</v>
      </c>
      <c r="L2641" s="87"/>
      <c r="M2641" s="14"/>
      <c r="N2641" s="14" t="s">
        <v>49</v>
      </c>
      <c r="O2641" s="14"/>
      <c r="P2641" s="15" t="s">
        <v>3230</v>
      </c>
      <c r="Q2641" s="16">
        <v>15999</v>
      </c>
      <c r="R2641" s="17">
        <v>45</v>
      </c>
      <c r="S2641" s="18">
        <v>10119.3675</v>
      </c>
      <c r="T2641" s="19" t="s">
        <v>328</v>
      </c>
      <c r="U2641" s="20" t="s">
        <v>413</v>
      </c>
      <c r="V2641" s="21">
        <v>38</v>
      </c>
      <c r="W2641" s="21">
        <v>16</v>
      </c>
      <c r="X2641" s="22"/>
    </row>
    <row r="2642" spans="1:24" s="1" customFormat="1" ht="17.100000000000001" customHeight="1" x14ac:dyDescent="0.3">
      <c r="A2642" s="23" t="s">
        <v>3194</v>
      </c>
      <c r="B2642" s="23" t="s">
        <v>3228</v>
      </c>
      <c r="C2642" s="12" t="s">
        <v>3229</v>
      </c>
      <c r="D2642" s="84"/>
      <c r="E2642" s="69" t="str">
        <f t="shared" si="103"/>
        <v>Еще фото</v>
      </c>
      <c r="F2642" s="13"/>
      <c r="G2642" s="23" t="s">
        <v>3224</v>
      </c>
      <c r="H2642" s="23" t="s">
        <v>151</v>
      </c>
      <c r="I2642" s="23" t="s">
        <v>152</v>
      </c>
      <c r="J2642" s="14" t="s">
        <v>29</v>
      </c>
      <c r="K2642" s="15" t="s">
        <v>55</v>
      </c>
      <c r="L2642" s="87"/>
      <c r="M2642" s="14"/>
      <c r="N2642" s="14" t="s">
        <v>49</v>
      </c>
      <c r="O2642" s="14"/>
      <c r="P2642" s="15" t="s">
        <v>3230</v>
      </c>
      <c r="Q2642" s="16">
        <v>15999</v>
      </c>
      <c r="R2642" s="17">
        <v>45</v>
      </c>
      <c r="S2642" s="18">
        <v>10119.3675</v>
      </c>
      <c r="T2642" s="19" t="s">
        <v>328</v>
      </c>
      <c r="U2642" s="20" t="s">
        <v>399</v>
      </c>
      <c r="V2642" s="21">
        <v>39</v>
      </c>
      <c r="W2642" s="21">
        <v>12</v>
      </c>
      <c r="X2642" s="22"/>
    </row>
    <row r="2643" spans="1:24" s="1" customFormat="1" ht="21.95" customHeight="1" x14ac:dyDescent="0.3">
      <c r="A2643" s="23" t="s">
        <v>3194</v>
      </c>
      <c r="B2643" s="23" t="s">
        <v>3228</v>
      </c>
      <c r="C2643" s="12" t="s">
        <v>3229</v>
      </c>
      <c r="D2643" s="85"/>
      <c r="E2643" s="69" t="str">
        <f t="shared" si="103"/>
        <v>Еще фото</v>
      </c>
      <c r="F2643" s="13"/>
      <c r="G2643" s="23" t="s">
        <v>3224</v>
      </c>
      <c r="H2643" s="23" t="s">
        <v>151</v>
      </c>
      <c r="I2643" s="23" t="s">
        <v>152</v>
      </c>
      <c r="J2643" s="14" t="s">
        <v>29</v>
      </c>
      <c r="K2643" s="15" t="s">
        <v>55</v>
      </c>
      <c r="L2643" s="88"/>
      <c r="M2643" s="14"/>
      <c r="N2643" s="14" t="s">
        <v>49</v>
      </c>
      <c r="O2643" s="14"/>
      <c r="P2643" s="15" t="s">
        <v>3230</v>
      </c>
      <c r="Q2643" s="16">
        <v>15999</v>
      </c>
      <c r="R2643" s="17">
        <v>45</v>
      </c>
      <c r="S2643" s="18">
        <v>10119.3675</v>
      </c>
      <c r="T2643" s="19" t="s">
        <v>328</v>
      </c>
      <c r="U2643" s="20" t="s">
        <v>400</v>
      </c>
      <c r="V2643" s="21">
        <v>40</v>
      </c>
      <c r="W2643" s="21">
        <v>5</v>
      </c>
      <c r="X2643" s="22"/>
    </row>
    <row r="2644" spans="1:24" s="1" customFormat="1" ht="26.1" customHeight="1" x14ac:dyDescent="0.3">
      <c r="A2644" s="11" t="s">
        <v>3194</v>
      </c>
      <c r="B2644" s="11" t="s">
        <v>3228</v>
      </c>
      <c r="C2644" s="12" t="s">
        <v>3231</v>
      </c>
      <c r="D2644" s="83"/>
      <c r="E2644" s="69" t="str">
        <f>HYPERLINK("https://www.google.ru/search?q=101988155&amp;newwindow=1&amp;tbm=isch","Еще фото")</f>
        <v>Еще фото</v>
      </c>
      <c r="F2644" s="13"/>
      <c r="G2644" s="11" t="s">
        <v>3224</v>
      </c>
      <c r="H2644" s="11" t="s">
        <v>151</v>
      </c>
      <c r="I2644" s="14" t="s">
        <v>152</v>
      </c>
      <c r="J2644" s="14" t="s">
        <v>29</v>
      </c>
      <c r="K2644" s="15" t="s">
        <v>55</v>
      </c>
      <c r="L2644" s="86"/>
      <c r="M2644" s="14"/>
      <c r="N2644" s="14" t="s">
        <v>32</v>
      </c>
      <c r="O2644" s="14"/>
      <c r="P2644" s="15" t="s">
        <v>3230</v>
      </c>
      <c r="Q2644" s="16">
        <v>15999</v>
      </c>
      <c r="R2644" s="17">
        <v>45</v>
      </c>
      <c r="S2644" s="18">
        <v>10119.3675</v>
      </c>
      <c r="T2644" s="19" t="s">
        <v>328</v>
      </c>
      <c r="U2644" s="20" t="s">
        <v>1503</v>
      </c>
      <c r="V2644" s="21">
        <v>35</v>
      </c>
      <c r="W2644" s="21">
        <v>5</v>
      </c>
      <c r="X2644" s="22"/>
    </row>
    <row r="2645" spans="1:24" s="1" customFormat="1" ht="26.1" customHeight="1" x14ac:dyDescent="0.3">
      <c r="A2645" s="23" t="s">
        <v>3194</v>
      </c>
      <c r="B2645" s="23" t="s">
        <v>3228</v>
      </c>
      <c r="C2645" s="12" t="s">
        <v>3231</v>
      </c>
      <c r="D2645" s="84"/>
      <c r="E2645" s="69" t="str">
        <f>HYPERLINK("https://www.google.ru/search?q=101988155&amp;newwindow=1&amp;tbm=isch","Еще фото")</f>
        <v>Еще фото</v>
      </c>
      <c r="F2645" s="13"/>
      <c r="G2645" s="23" t="s">
        <v>3224</v>
      </c>
      <c r="H2645" s="23" t="s">
        <v>151</v>
      </c>
      <c r="I2645" s="23" t="s">
        <v>152</v>
      </c>
      <c r="J2645" s="14" t="s">
        <v>29</v>
      </c>
      <c r="K2645" s="15" t="s">
        <v>55</v>
      </c>
      <c r="L2645" s="87"/>
      <c r="M2645" s="14"/>
      <c r="N2645" s="14" t="s">
        <v>32</v>
      </c>
      <c r="O2645" s="14"/>
      <c r="P2645" s="15" t="s">
        <v>3230</v>
      </c>
      <c r="Q2645" s="16">
        <v>15999</v>
      </c>
      <c r="R2645" s="17">
        <v>45</v>
      </c>
      <c r="S2645" s="18">
        <v>10119.3675</v>
      </c>
      <c r="T2645" s="19" t="s">
        <v>328</v>
      </c>
      <c r="U2645" s="20" t="s">
        <v>409</v>
      </c>
      <c r="V2645" s="21">
        <v>36</v>
      </c>
      <c r="W2645" s="21">
        <v>11</v>
      </c>
      <c r="X2645" s="22"/>
    </row>
    <row r="2646" spans="1:24" s="1" customFormat="1" ht="26.1" customHeight="1" x14ac:dyDescent="0.3">
      <c r="A2646" s="23" t="s">
        <v>3194</v>
      </c>
      <c r="B2646" s="23" t="s">
        <v>3228</v>
      </c>
      <c r="C2646" s="12" t="s">
        <v>3231</v>
      </c>
      <c r="D2646" s="84"/>
      <c r="E2646" s="69" t="str">
        <f>HYPERLINK("https://www.google.ru/search?q=101988155&amp;newwindow=1&amp;tbm=isch","Еще фото")</f>
        <v>Еще фото</v>
      </c>
      <c r="F2646" s="13"/>
      <c r="G2646" s="23" t="s">
        <v>3224</v>
      </c>
      <c r="H2646" s="23" t="s">
        <v>151</v>
      </c>
      <c r="I2646" s="23" t="s">
        <v>152</v>
      </c>
      <c r="J2646" s="14" t="s">
        <v>29</v>
      </c>
      <c r="K2646" s="15" t="s">
        <v>55</v>
      </c>
      <c r="L2646" s="87"/>
      <c r="M2646" s="14"/>
      <c r="N2646" s="14" t="s">
        <v>32</v>
      </c>
      <c r="O2646" s="14"/>
      <c r="P2646" s="15" t="s">
        <v>3230</v>
      </c>
      <c r="Q2646" s="16">
        <v>15999</v>
      </c>
      <c r="R2646" s="17">
        <v>45</v>
      </c>
      <c r="S2646" s="18">
        <v>10119.3675</v>
      </c>
      <c r="T2646" s="19" t="s">
        <v>328</v>
      </c>
      <c r="U2646" s="20" t="s">
        <v>426</v>
      </c>
      <c r="V2646" s="21">
        <v>37</v>
      </c>
      <c r="W2646" s="21">
        <v>5</v>
      </c>
      <c r="X2646" s="22"/>
    </row>
    <row r="2647" spans="1:24" s="1" customFormat="1" ht="26.1" customHeight="1" x14ac:dyDescent="0.3">
      <c r="A2647" s="23" t="s">
        <v>3194</v>
      </c>
      <c r="B2647" s="23" t="s">
        <v>3228</v>
      </c>
      <c r="C2647" s="12" t="s">
        <v>3231</v>
      </c>
      <c r="D2647" s="85"/>
      <c r="E2647" s="69" t="str">
        <f>HYPERLINK("https://www.google.ru/search?q=101988155&amp;newwindow=1&amp;tbm=isch","Еще фото")</f>
        <v>Еще фото</v>
      </c>
      <c r="F2647" s="13"/>
      <c r="G2647" s="23" t="s">
        <v>3224</v>
      </c>
      <c r="H2647" s="23" t="s">
        <v>151</v>
      </c>
      <c r="I2647" s="23" t="s">
        <v>152</v>
      </c>
      <c r="J2647" s="14" t="s">
        <v>29</v>
      </c>
      <c r="K2647" s="15" t="s">
        <v>55</v>
      </c>
      <c r="L2647" s="88"/>
      <c r="M2647" s="14"/>
      <c r="N2647" s="14" t="s">
        <v>32</v>
      </c>
      <c r="O2647" s="14"/>
      <c r="P2647" s="15" t="s">
        <v>3230</v>
      </c>
      <c r="Q2647" s="16">
        <v>15999</v>
      </c>
      <c r="R2647" s="17">
        <v>45</v>
      </c>
      <c r="S2647" s="18">
        <v>10119.3675</v>
      </c>
      <c r="T2647" s="19" t="s">
        <v>328</v>
      </c>
      <c r="U2647" s="20" t="s">
        <v>413</v>
      </c>
      <c r="V2647" s="21">
        <v>38</v>
      </c>
      <c r="W2647" s="21">
        <v>2</v>
      </c>
      <c r="X2647" s="22"/>
    </row>
    <row r="2648" spans="1:24" s="1" customFormat="1" ht="26.1" customHeight="1" x14ac:dyDescent="0.3">
      <c r="A2648" s="11" t="s">
        <v>3194</v>
      </c>
      <c r="B2648" s="11" t="s">
        <v>3228</v>
      </c>
      <c r="C2648" s="12" t="s">
        <v>3232</v>
      </c>
      <c r="D2648" s="83"/>
      <c r="E2648" s="69" t="str">
        <f>HYPERLINK("https://www.google.ru/search?q=101988157&amp;newwindow=1&amp;tbm=isch","Еще фото")</f>
        <v>Еще фото</v>
      </c>
      <c r="F2648" s="13"/>
      <c r="G2648" s="11" t="s">
        <v>3224</v>
      </c>
      <c r="H2648" s="11" t="s">
        <v>151</v>
      </c>
      <c r="I2648" s="14" t="s">
        <v>152</v>
      </c>
      <c r="J2648" s="14" t="s">
        <v>29</v>
      </c>
      <c r="K2648" s="15" t="s">
        <v>55</v>
      </c>
      <c r="L2648" s="86"/>
      <c r="M2648" s="14"/>
      <c r="N2648" s="14" t="s">
        <v>1001</v>
      </c>
      <c r="O2648" s="14"/>
      <c r="P2648" s="15" t="s">
        <v>3230</v>
      </c>
      <c r="Q2648" s="16">
        <v>15999</v>
      </c>
      <c r="R2648" s="17">
        <v>45</v>
      </c>
      <c r="S2648" s="18">
        <v>10119.3675</v>
      </c>
      <c r="T2648" s="19" t="s">
        <v>328</v>
      </c>
      <c r="U2648" s="20" t="s">
        <v>1503</v>
      </c>
      <c r="V2648" s="21">
        <v>35</v>
      </c>
      <c r="W2648" s="21">
        <v>3</v>
      </c>
      <c r="X2648" s="22"/>
    </row>
    <row r="2649" spans="1:24" s="1" customFormat="1" ht="26.1" customHeight="1" x14ac:dyDescent="0.3">
      <c r="A2649" s="23" t="s">
        <v>3194</v>
      </c>
      <c r="B2649" s="23" t="s">
        <v>3228</v>
      </c>
      <c r="C2649" s="12" t="s">
        <v>3232</v>
      </c>
      <c r="D2649" s="84"/>
      <c r="E2649" s="69" t="str">
        <f>HYPERLINK("https://www.google.ru/search?q=101988157&amp;newwindow=1&amp;tbm=isch","Еще фото")</f>
        <v>Еще фото</v>
      </c>
      <c r="F2649" s="13"/>
      <c r="G2649" s="23" t="s">
        <v>3224</v>
      </c>
      <c r="H2649" s="23" t="s">
        <v>151</v>
      </c>
      <c r="I2649" s="23" t="s">
        <v>152</v>
      </c>
      <c r="J2649" s="14" t="s">
        <v>29</v>
      </c>
      <c r="K2649" s="15" t="s">
        <v>55</v>
      </c>
      <c r="L2649" s="87"/>
      <c r="M2649" s="14"/>
      <c r="N2649" s="14" t="s">
        <v>1001</v>
      </c>
      <c r="O2649" s="14"/>
      <c r="P2649" s="15" t="s">
        <v>3230</v>
      </c>
      <c r="Q2649" s="16">
        <v>15999</v>
      </c>
      <c r="R2649" s="17">
        <v>45</v>
      </c>
      <c r="S2649" s="18">
        <v>10119.3675</v>
      </c>
      <c r="T2649" s="19" t="s">
        <v>328</v>
      </c>
      <c r="U2649" s="20" t="s">
        <v>409</v>
      </c>
      <c r="V2649" s="21">
        <v>36</v>
      </c>
      <c r="W2649" s="21">
        <v>7</v>
      </c>
      <c r="X2649" s="22"/>
    </row>
    <row r="2650" spans="1:24" s="1" customFormat="1" ht="26.1" customHeight="1" x14ac:dyDescent="0.3">
      <c r="A2650" s="23" t="s">
        <v>3194</v>
      </c>
      <c r="B2650" s="23" t="s">
        <v>3228</v>
      </c>
      <c r="C2650" s="12" t="s">
        <v>3232</v>
      </c>
      <c r="D2650" s="84"/>
      <c r="E2650" s="69" t="str">
        <f>HYPERLINK("https://www.google.ru/search?q=101988157&amp;newwindow=1&amp;tbm=isch","Еще фото")</f>
        <v>Еще фото</v>
      </c>
      <c r="F2650" s="13"/>
      <c r="G2650" s="23" t="s">
        <v>3224</v>
      </c>
      <c r="H2650" s="23" t="s">
        <v>151</v>
      </c>
      <c r="I2650" s="23" t="s">
        <v>152</v>
      </c>
      <c r="J2650" s="14" t="s">
        <v>29</v>
      </c>
      <c r="K2650" s="15" t="s">
        <v>55</v>
      </c>
      <c r="L2650" s="87"/>
      <c r="M2650" s="14"/>
      <c r="N2650" s="14" t="s">
        <v>1001</v>
      </c>
      <c r="O2650" s="14"/>
      <c r="P2650" s="15" t="s">
        <v>3230</v>
      </c>
      <c r="Q2650" s="16">
        <v>15999</v>
      </c>
      <c r="R2650" s="17">
        <v>45</v>
      </c>
      <c r="S2650" s="18">
        <v>10119.3675</v>
      </c>
      <c r="T2650" s="19" t="s">
        <v>328</v>
      </c>
      <c r="U2650" s="20" t="s">
        <v>426</v>
      </c>
      <c r="V2650" s="21">
        <v>37</v>
      </c>
      <c r="W2650" s="21">
        <v>8</v>
      </c>
      <c r="X2650" s="22"/>
    </row>
    <row r="2651" spans="1:24" s="1" customFormat="1" ht="26.1" customHeight="1" x14ac:dyDescent="0.3">
      <c r="A2651" s="23" t="s">
        <v>3194</v>
      </c>
      <c r="B2651" s="23" t="s">
        <v>3228</v>
      </c>
      <c r="C2651" s="12" t="s">
        <v>3232</v>
      </c>
      <c r="D2651" s="85"/>
      <c r="E2651" s="69" t="str">
        <f>HYPERLINK("https://www.google.ru/search?q=101988157&amp;newwindow=1&amp;tbm=isch","Еще фото")</f>
        <v>Еще фото</v>
      </c>
      <c r="F2651" s="13"/>
      <c r="G2651" s="23" t="s">
        <v>3224</v>
      </c>
      <c r="H2651" s="23" t="s">
        <v>151</v>
      </c>
      <c r="I2651" s="23" t="s">
        <v>152</v>
      </c>
      <c r="J2651" s="14" t="s">
        <v>29</v>
      </c>
      <c r="K2651" s="15" t="s">
        <v>55</v>
      </c>
      <c r="L2651" s="88"/>
      <c r="M2651" s="14"/>
      <c r="N2651" s="14" t="s">
        <v>1001</v>
      </c>
      <c r="O2651" s="14"/>
      <c r="P2651" s="15" t="s">
        <v>3230</v>
      </c>
      <c r="Q2651" s="16">
        <v>15999</v>
      </c>
      <c r="R2651" s="17">
        <v>45</v>
      </c>
      <c r="S2651" s="18">
        <v>10119.3675</v>
      </c>
      <c r="T2651" s="19" t="s">
        <v>328</v>
      </c>
      <c r="U2651" s="20" t="s">
        <v>413</v>
      </c>
      <c r="V2651" s="21">
        <v>38</v>
      </c>
      <c r="W2651" s="21">
        <v>3</v>
      </c>
      <c r="X2651" s="22"/>
    </row>
    <row r="2652" spans="1:24" s="1" customFormat="1" ht="26.1" customHeight="1" x14ac:dyDescent="0.3">
      <c r="A2652" s="11" t="s">
        <v>3014</v>
      </c>
      <c r="B2652" s="11" t="s">
        <v>3233</v>
      </c>
      <c r="C2652" s="12" t="s">
        <v>3234</v>
      </c>
      <c r="D2652" s="83"/>
      <c r="E2652" s="69" t="str">
        <f>HYPERLINK("https://www.google.ru/search?q=7400053A-4671&amp;newwindow=1&amp;tbm=isch","Еще фото")</f>
        <v>Еще фото</v>
      </c>
      <c r="F2652" s="13"/>
      <c r="G2652" s="11" t="s">
        <v>3235</v>
      </c>
      <c r="H2652" s="11" t="s">
        <v>151</v>
      </c>
      <c r="I2652" s="14" t="s">
        <v>152</v>
      </c>
      <c r="J2652" s="14" t="s">
        <v>29</v>
      </c>
      <c r="K2652" s="15" t="s">
        <v>30</v>
      </c>
      <c r="L2652" s="86" t="s">
        <v>3236</v>
      </c>
      <c r="M2652" s="14"/>
      <c r="N2652" s="14" t="s">
        <v>275</v>
      </c>
      <c r="O2652" s="14"/>
      <c r="P2652" s="15" t="s">
        <v>1573</v>
      </c>
      <c r="Q2652" s="16">
        <v>3499</v>
      </c>
      <c r="R2652" s="17">
        <v>45</v>
      </c>
      <c r="S2652" s="18">
        <v>2213.1174999999998</v>
      </c>
      <c r="T2652" s="19" t="s">
        <v>117</v>
      </c>
      <c r="U2652" s="20" t="s">
        <v>3237</v>
      </c>
      <c r="V2652" s="21">
        <v>29</v>
      </c>
      <c r="W2652" s="21">
        <v>2</v>
      </c>
      <c r="X2652" s="22"/>
    </row>
    <row r="2653" spans="1:24" s="1" customFormat="1" ht="26.1" customHeight="1" x14ac:dyDescent="0.3">
      <c r="A2653" s="23" t="s">
        <v>3014</v>
      </c>
      <c r="B2653" s="23" t="s">
        <v>3233</v>
      </c>
      <c r="C2653" s="12" t="s">
        <v>3234</v>
      </c>
      <c r="D2653" s="84"/>
      <c r="E2653" s="69" t="str">
        <f>HYPERLINK("https://www.google.ru/search?q=7400053A-4671&amp;newwindow=1&amp;tbm=isch","Еще фото")</f>
        <v>Еще фото</v>
      </c>
      <c r="F2653" s="13"/>
      <c r="G2653" s="23" t="s">
        <v>3235</v>
      </c>
      <c r="H2653" s="23" t="s">
        <v>151</v>
      </c>
      <c r="I2653" s="23" t="s">
        <v>152</v>
      </c>
      <c r="J2653" s="14" t="s">
        <v>29</v>
      </c>
      <c r="K2653" s="15" t="s">
        <v>30</v>
      </c>
      <c r="L2653" s="87"/>
      <c r="M2653" s="14"/>
      <c r="N2653" s="14" t="s">
        <v>275</v>
      </c>
      <c r="O2653" s="14"/>
      <c r="P2653" s="15" t="s">
        <v>1573</v>
      </c>
      <c r="Q2653" s="16">
        <v>3499</v>
      </c>
      <c r="R2653" s="17">
        <v>45</v>
      </c>
      <c r="S2653" s="18">
        <v>2213.1174999999998</v>
      </c>
      <c r="T2653" s="19" t="s">
        <v>117</v>
      </c>
      <c r="U2653" s="20" t="s">
        <v>3238</v>
      </c>
      <c r="V2653" s="21">
        <v>30</v>
      </c>
      <c r="W2653" s="21">
        <v>2</v>
      </c>
      <c r="X2653" s="22"/>
    </row>
    <row r="2654" spans="1:24" s="1" customFormat="1" ht="26.1" customHeight="1" x14ac:dyDescent="0.3">
      <c r="A2654" s="23" t="s">
        <v>3014</v>
      </c>
      <c r="B2654" s="23" t="s">
        <v>3233</v>
      </c>
      <c r="C2654" s="12" t="s">
        <v>3234</v>
      </c>
      <c r="D2654" s="84"/>
      <c r="E2654" s="69" t="str">
        <f>HYPERLINK("https://www.google.ru/search?q=7400053A-4671&amp;newwindow=1&amp;tbm=isch","Еще фото")</f>
        <v>Еще фото</v>
      </c>
      <c r="F2654" s="13"/>
      <c r="G2654" s="23" t="s">
        <v>3235</v>
      </c>
      <c r="H2654" s="23" t="s">
        <v>151</v>
      </c>
      <c r="I2654" s="23" t="s">
        <v>152</v>
      </c>
      <c r="J2654" s="14" t="s">
        <v>29</v>
      </c>
      <c r="K2654" s="15" t="s">
        <v>30</v>
      </c>
      <c r="L2654" s="87"/>
      <c r="M2654" s="14"/>
      <c r="N2654" s="14" t="s">
        <v>275</v>
      </c>
      <c r="O2654" s="14"/>
      <c r="P2654" s="15" t="s">
        <v>1573</v>
      </c>
      <c r="Q2654" s="16">
        <v>3499</v>
      </c>
      <c r="R2654" s="17">
        <v>45</v>
      </c>
      <c r="S2654" s="18">
        <v>2213.1174999999998</v>
      </c>
      <c r="T2654" s="19" t="s">
        <v>117</v>
      </c>
      <c r="U2654" s="20" t="s">
        <v>3239</v>
      </c>
      <c r="V2654" s="21">
        <v>31</v>
      </c>
      <c r="W2654" s="21">
        <v>3</v>
      </c>
      <c r="X2654" s="22"/>
    </row>
    <row r="2655" spans="1:24" s="1" customFormat="1" ht="26.1" customHeight="1" x14ac:dyDescent="0.3">
      <c r="A2655" s="23" t="s">
        <v>3014</v>
      </c>
      <c r="B2655" s="23" t="s">
        <v>3233</v>
      </c>
      <c r="C2655" s="12" t="s">
        <v>3234</v>
      </c>
      <c r="D2655" s="85"/>
      <c r="E2655" s="69" t="str">
        <f>HYPERLINK("https://www.google.ru/search?q=7400053A-4671&amp;newwindow=1&amp;tbm=isch","Еще фото")</f>
        <v>Еще фото</v>
      </c>
      <c r="F2655" s="13"/>
      <c r="G2655" s="23" t="s">
        <v>3235</v>
      </c>
      <c r="H2655" s="23" t="s">
        <v>151</v>
      </c>
      <c r="I2655" s="23" t="s">
        <v>152</v>
      </c>
      <c r="J2655" s="14" t="s">
        <v>29</v>
      </c>
      <c r="K2655" s="15" t="s">
        <v>30</v>
      </c>
      <c r="L2655" s="88"/>
      <c r="M2655" s="14"/>
      <c r="N2655" s="14" t="s">
        <v>275</v>
      </c>
      <c r="O2655" s="14"/>
      <c r="P2655" s="15" t="s">
        <v>1573</v>
      </c>
      <c r="Q2655" s="16">
        <v>3499</v>
      </c>
      <c r="R2655" s="17">
        <v>45</v>
      </c>
      <c r="S2655" s="18">
        <v>2213.1174999999998</v>
      </c>
      <c r="T2655" s="19" t="s">
        <v>117</v>
      </c>
      <c r="U2655" s="20" t="s">
        <v>3240</v>
      </c>
      <c r="V2655" s="21">
        <v>32</v>
      </c>
      <c r="W2655" s="21">
        <v>2</v>
      </c>
      <c r="X2655" s="22"/>
    </row>
    <row r="2656" spans="1:24" s="1" customFormat="1" ht="35.1" customHeight="1" x14ac:dyDescent="0.3">
      <c r="A2656" s="11" t="s">
        <v>3014</v>
      </c>
      <c r="B2656" s="11" t="s">
        <v>3233</v>
      </c>
      <c r="C2656" s="12" t="s">
        <v>3241</v>
      </c>
      <c r="D2656" s="83"/>
      <c r="E2656" s="69" t="str">
        <f>HYPERLINK("https://www.google.ru/search?q=7400053A-6651&amp;newwindow=1&amp;tbm=isch","Еще фото")</f>
        <v>Еще фото</v>
      </c>
      <c r="F2656" s="13"/>
      <c r="G2656" s="11" t="s">
        <v>3235</v>
      </c>
      <c r="H2656" s="11" t="s">
        <v>151</v>
      </c>
      <c r="I2656" s="14" t="s">
        <v>152</v>
      </c>
      <c r="J2656" s="14" t="s">
        <v>29</v>
      </c>
      <c r="K2656" s="15" t="s">
        <v>30</v>
      </c>
      <c r="L2656" s="86" t="s">
        <v>3236</v>
      </c>
      <c r="M2656" s="14"/>
      <c r="N2656" s="14" t="s">
        <v>70</v>
      </c>
      <c r="O2656" s="14"/>
      <c r="P2656" s="15" t="s">
        <v>1573</v>
      </c>
      <c r="Q2656" s="16">
        <v>3499</v>
      </c>
      <c r="R2656" s="17">
        <v>45</v>
      </c>
      <c r="S2656" s="18">
        <v>2213.1174999999998</v>
      </c>
      <c r="T2656" s="19" t="s">
        <v>117</v>
      </c>
      <c r="U2656" s="20" t="s">
        <v>3237</v>
      </c>
      <c r="V2656" s="21">
        <v>29</v>
      </c>
      <c r="W2656" s="21">
        <v>4</v>
      </c>
      <c r="X2656" s="22"/>
    </row>
    <row r="2657" spans="1:24" s="1" customFormat="1" ht="35.1" customHeight="1" x14ac:dyDescent="0.3">
      <c r="A2657" s="23" t="s">
        <v>3014</v>
      </c>
      <c r="B2657" s="23" t="s">
        <v>3233</v>
      </c>
      <c r="C2657" s="12" t="s">
        <v>3241</v>
      </c>
      <c r="D2657" s="84"/>
      <c r="E2657" s="69" t="str">
        <f>HYPERLINK("https://www.google.ru/search?q=7400053A-6651&amp;newwindow=1&amp;tbm=isch","Еще фото")</f>
        <v>Еще фото</v>
      </c>
      <c r="F2657" s="13"/>
      <c r="G2657" s="23" t="s">
        <v>3235</v>
      </c>
      <c r="H2657" s="23" t="s">
        <v>151</v>
      </c>
      <c r="I2657" s="23" t="s">
        <v>152</v>
      </c>
      <c r="J2657" s="14" t="s">
        <v>29</v>
      </c>
      <c r="K2657" s="15" t="s">
        <v>30</v>
      </c>
      <c r="L2657" s="87"/>
      <c r="M2657" s="14"/>
      <c r="N2657" s="14" t="s">
        <v>70</v>
      </c>
      <c r="O2657" s="14"/>
      <c r="P2657" s="15" t="s">
        <v>1573</v>
      </c>
      <c r="Q2657" s="16">
        <v>3499</v>
      </c>
      <c r="R2657" s="17">
        <v>45</v>
      </c>
      <c r="S2657" s="18">
        <v>2213.1174999999998</v>
      </c>
      <c r="T2657" s="19" t="s">
        <v>117</v>
      </c>
      <c r="U2657" s="20" t="s">
        <v>3238</v>
      </c>
      <c r="V2657" s="21">
        <v>30</v>
      </c>
      <c r="W2657" s="21">
        <v>3</v>
      </c>
      <c r="X2657" s="22"/>
    </row>
    <row r="2658" spans="1:24" s="1" customFormat="1" ht="36.950000000000003" customHeight="1" x14ac:dyDescent="0.3">
      <c r="A2658" s="23" t="s">
        <v>3014</v>
      </c>
      <c r="B2658" s="23" t="s">
        <v>3233</v>
      </c>
      <c r="C2658" s="12" t="s">
        <v>3241</v>
      </c>
      <c r="D2658" s="85"/>
      <c r="E2658" s="69" t="str">
        <f>HYPERLINK("https://www.google.ru/search?q=7400053A-6651&amp;newwindow=1&amp;tbm=isch","Еще фото")</f>
        <v>Еще фото</v>
      </c>
      <c r="F2658" s="13"/>
      <c r="G2658" s="23" t="s">
        <v>3235</v>
      </c>
      <c r="H2658" s="23" t="s">
        <v>151</v>
      </c>
      <c r="I2658" s="23" t="s">
        <v>152</v>
      </c>
      <c r="J2658" s="14" t="s">
        <v>29</v>
      </c>
      <c r="K2658" s="15" t="s">
        <v>30</v>
      </c>
      <c r="L2658" s="88"/>
      <c r="M2658" s="14"/>
      <c r="N2658" s="14" t="s">
        <v>70</v>
      </c>
      <c r="O2658" s="14"/>
      <c r="P2658" s="15" t="s">
        <v>1573</v>
      </c>
      <c r="Q2658" s="16">
        <v>3499</v>
      </c>
      <c r="R2658" s="17">
        <v>45</v>
      </c>
      <c r="S2658" s="18">
        <v>2213.1174999999998</v>
      </c>
      <c r="T2658" s="19" t="s">
        <v>117</v>
      </c>
      <c r="U2658" s="20" t="s">
        <v>3240</v>
      </c>
      <c r="V2658" s="21">
        <v>32</v>
      </c>
      <c r="W2658" s="21">
        <v>1</v>
      </c>
      <c r="X2658" s="22"/>
    </row>
    <row r="2659" spans="1:24" s="1" customFormat="1" ht="108" customHeight="1" x14ac:dyDescent="0.3">
      <c r="A2659" s="11" t="s">
        <v>3014</v>
      </c>
      <c r="B2659" s="11" t="s">
        <v>3233</v>
      </c>
      <c r="C2659" s="12" t="s">
        <v>3242</v>
      </c>
      <c r="D2659" s="24"/>
      <c r="E2659" s="69" t="str">
        <f>HYPERLINK("https://www.google.ru/search?q=7400053A-6961&amp;newwindow=1&amp;tbm=isch","Еще фото")</f>
        <v>Еще фото</v>
      </c>
      <c r="F2659" s="13"/>
      <c r="G2659" s="11" t="s">
        <v>3235</v>
      </c>
      <c r="H2659" s="11" t="s">
        <v>151</v>
      </c>
      <c r="I2659" s="14" t="s">
        <v>152</v>
      </c>
      <c r="J2659" s="14" t="s">
        <v>29</v>
      </c>
      <c r="K2659" s="15" t="s">
        <v>30</v>
      </c>
      <c r="L2659" s="14" t="s">
        <v>3236</v>
      </c>
      <c r="M2659" s="14"/>
      <c r="N2659" s="14" t="s">
        <v>70</v>
      </c>
      <c r="O2659" s="14"/>
      <c r="P2659" s="15" t="s">
        <v>1573</v>
      </c>
      <c r="Q2659" s="16">
        <v>3699</v>
      </c>
      <c r="R2659" s="17">
        <v>45</v>
      </c>
      <c r="S2659" s="18">
        <v>2339.6174999999998</v>
      </c>
      <c r="T2659" s="19" t="s">
        <v>117</v>
      </c>
      <c r="U2659" s="20" t="s">
        <v>3237</v>
      </c>
      <c r="V2659" s="21">
        <v>29</v>
      </c>
      <c r="W2659" s="21">
        <v>1</v>
      </c>
      <c r="X2659" s="22"/>
    </row>
    <row r="2660" spans="1:24" s="1" customFormat="1" ht="35.1" customHeight="1" x14ac:dyDescent="0.3">
      <c r="A2660" s="11" t="s">
        <v>3014</v>
      </c>
      <c r="B2660" s="11" t="s">
        <v>3243</v>
      </c>
      <c r="C2660" s="12" t="s">
        <v>3244</v>
      </c>
      <c r="D2660" s="83"/>
      <c r="E2660" s="69" t="str">
        <f>HYPERLINK("https://www.google.ru/search?q=7400054A-4671&amp;newwindow=1&amp;tbm=isch","Еще фото")</f>
        <v>Еще фото</v>
      </c>
      <c r="F2660" s="13"/>
      <c r="G2660" s="11" t="s">
        <v>3235</v>
      </c>
      <c r="H2660" s="11" t="s">
        <v>151</v>
      </c>
      <c r="I2660" s="14" t="s">
        <v>152</v>
      </c>
      <c r="J2660" s="14" t="s">
        <v>29</v>
      </c>
      <c r="K2660" s="15" t="s">
        <v>30</v>
      </c>
      <c r="L2660" s="86" t="s">
        <v>3245</v>
      </c>
      <c r="M2660" s="14"/>
      <c r="N2660" s="14" t="s">
        <v>275</v>
      </c>
      <c r="O2660" s="14"/>
      <c r="P2660" s="15" t="s">
        <v>1573</v>
      </c>
      <c r="Q2660" s="16">
        <v>3299</v>
      </c>
      <c r="R2660" s="17">
        <v>45</v>
      </c>
      <c r="S2660" s="18">
        <v>2086.6174999999998</v>
      </c>
      <c r="T2660" s="19" t="s">
        <v>117</v>
      </c>
      <c r="U2660" s="20" t="s">
        <v>3246</v>
      </c>
      <c r="V2660" s="21">
        <v>28</v>
      </c>
      <c r="W2660" s="21">
        <v>3</v>
      </c>
      <c r="X2660" s="22"/>
    </row>
    <row r="2661" spans="1:24" s="1" customFormat="1" ht="35.1" customHeight="1" x14ac:dyDescent="0.3">
      <c r="A2661" s="23" t="s">
        <v>3014</v>
      </c>
      <c r="B2661" s="23" t="s">
        <v>3243</v>
      </c>
      <c r="C2661" s="12" t="s">
        <v>3244</v>
      </c>
      <c r="D2661" s="84"/>
      <c r="E2661" s="69" t="str">
        <f>HYPERLINK("https://www.google.ru/search?q=7400054A-4671&amp;newwindow=1&amp;tbm=isch","Еще фото")</f>
        <v>Еще фото</v>
      </c>
      <c r="F2661" s="13"/>
      <c r="G2661" s="23" t="s">
        <v>3235</v>
      </c>
      <c r="H2661" s="23" t="s">
        <v>151</v>
      </c>
      <c r="I2661" s="23" t="s">
        <v>152</v>
      </c>
      <c r="J2661" s="14" t="s">
        <v>29</v>
      </c>
      <c r="K2661" s="15" t="s">
        <v>30</v>
      </c>
      <c r="L2661" s="87"/>
      <c r="M2661" s="14"/>
      <c r="N2661" s="14" t="s">
        <v>275</v>
      </c>
      <c r="O2661" s="14"/>
      <c r="P2661" s="15" t="s">
        <v>1573</v>
      </c>
      <c r="Q2661" s="16">
        <v>3299</v>
      </c>
      <c r="R2661" s="17">
        <v>45</v>
      </c>
      <c r="S2661" s="18">
        <v>2086.6174999999998</v>
      </c>
      <c r="T2661" s="19" t="s">
        <v>117</v>
      </c>
      <c r="U2661" s="20" t="s">
        <v>3237</v>
      </c>
      <c r="V2661" s="21">
        <v>29</v>
      </c>
      <c r="W2661" s="21">
        <v>1</v>
      </c>
      <c r="X2661" s="22"/>
    </row>
    <row r="2662" spans="1:24" s="1" customFormat="1" ht="36.950000000000003" customHeight="1" x14ac:dyDescent="0.3">
      <c r="A2662" s="23" t="s">
        <v>3014</v>
      </c>
      <c r="B2662" s="23" t="s">
        <v>3243</v>
      </c>
      <c r="C2662" s="12" t="s">
        <v>3244</v>
      </c>
      <c r="D2662" s="85"/>
      <c r="E2662" s="69" t="str">
        <f>HYPERLINK("https://www.google.ru/search?q=7400054A-4671&amp;newwindow=1&amp;tbm=isch","Еще фото")</f>
        <v>Еще фото</v>
      </c>
      <c r="F2662" s="13"/>
      <c r="G2662" s="23" t="s">
        <v>3235</v>
      </c>
      <c r="H2662" s="23" t="s">
        <v>151</v>
      </c>
      <c r="I2662" s="23" t="s">
        <v>152</v>
      </c>
      <c r="J2662" s="14" t="s">
        <v>29</v>
      </c>
      <c r="K2662" s="15" t="s">
        <v>30</v>
      </c>
      <c r="L2662" s="88"/>
      <c r="M2662" s="14"/>
      <c r="N2662" s="14" t="s">
        <v>275</v>
      </c>
      <c r="O2662" s="14"/>
      <c r="P2662" s="15" t="s">
        <v>1573</v>
      </c>
      <c r="Q2662" s="16">
        <v>3299</v>
      </c>
      <c r="R2662" s="17">
        <v>45</v>
      </c>
      <c r="S2662" s="18">
        <v>2086.6174999999998</v>
      </c>
      <c r="T2662" s="19" t="s">
        <v>117</v>
      </c>
      <c r="U2662" s="20" t="s">
        <v>3238</v>
      </c>
      <c r="V2662" s="21">
        <v>30</v>
      </c>
      <c r="W2662" s="21">
        <v>1</v>
      </c>
      <c r="X2662" s="22"/>
    </row>
    <row r="2663" spans="1:24" s="1" customFormat="1" ht="108" customHeight="1" x14ac:dyDescent="0.3">
      <c r="A2663" s="11" t="s">
        <v>2957</v>
      </c>
      <c r="B2663" s="11" t="s">
        <v>3247</v>
      </c>
      <c r="C2663" s="12" t="s">
        <v>3248</v>
      </c>
      <c r="D2663" s="24"/>
      <c r="E2663" s="69" t="str">
        <f>HYPERLINK("https://www.google.ru/search?q=518550-4411&amp;newwindow=1&amp;tbm=isch","Еще фото")</f>
        <v>Еще фото</v>
      </c>
      <c r="F2663" s="13"/>
      <c r="G2663" s="11" t="s">
        <v>181</v>
      </c>
      <c r="H2663" s="11" t="s">
        <v>112</v>
      </c>
      <c r="I2663" s="14" t="s">
        <v>182</v>
      </c>
      <c r="J2663" s="14" t="s">
        <v>29</v>
      </c>
      <c r="K2663" s="15" t="s">
        <v>30</v>
      </c>
      <c r="L2663" s="14" t="s">
        <v>3249</v>
      </c>
      <c r="M2663" s="14"/>
      <c r="N2663" s="14" t="s">
        <v>275</v>
      </c>
      <c r="O2663" s="14"/>
      <c r="P2663" s="15" t="s">
        <v>33</v>
      </c>
      <c r="Q2663" s="16">
        <v>1699</v>
      </c>
      <c r="R2663" s="17">
        <v>75.41</v>
      </c>
      <c r="S2663" s="29">
        <v>480.43549999999993</v>
      </c>
      <c r="T2663" s="19" t="s">
        <v>117</v>
      </c>
      <c r="U2663" s="20" t="s">
        <v>3250</v>
      </c>
      <c r="V2663" s="21">
        <v>44</v>
      </c>
      <c r="W2663" s="21">
        <v>10</v>
      </c>
      <c r="X2663" s="22"/>
    </row>
    <row r="2664" spans="1:24" s="1" customFormat="1" ht="108" customHeight="1" x14ac:dyDescent="0.3">
      <c r="A2664" s="11" t="s">
        <v>2957</v>
      </c>
      <c r="B2664" s="11" t="s">
        <v>120</v>
      </c>
      <c r="C2664" s="12" t="s">
        <v>3251</v>
      </c>
      <c r="D2664" s="24"/>
      <c r="E2664" s="69" t="str">
        <f>HYPERLINK("https://www.google.ru/search?q=518550-4571&amp;newwindow=1&amp;tbm=isch","Еще фото")</f>
        <v>Еще фото</v>
      </c>
      <c r="F2664" s="13"/>
      <c r="G2664" s="11" t="s">
        <v>181</v>
      </c>
      <c r="H2664" s="11" t="s">
        <v>112</v>
      </c>
      <c r="I2664" s="14" t="s">
        <v>182</v>
      </c>
      <c r="J2664" s="14" t="s">
        <v>138</v>
      </c>
      <c r="K2664" s="15" t="s">
        <v>30</v>
      </c>
      <c r="L2664" s="14" t="s">
        <v>3252</v>
      </c>
      <c r="M2664" s="14"/>
      <c r="N2664" s="14" t="s">
        <v>275</v>
      </c>
      <c r="O2664" s="14"/>
      <c r="P2664" s="15" t="s">
        <v>3253</v>
      </c>
      <c r="Q2664" s="16">
        <v>1599</v>
      </c>
      <c r="R2664" s="17">
        <v>45</v>
      </c>
      <c r="S2664" s="29">
        <v>1011.3674999999999</v>
      </c>
      <c r="T2664" s="19" t="s">
        <v>117</v>
      </c>
      <c r="U2664" s="20" t="s">
        <v>3250</v>
      </c>
      <c r="V2664" s="21">
        <v>44</v>
      </c>
      <c r="W2664" s="21">
        <v>1</v>
      </c>
      <c r="X2664" s="22"/>
    </row>
    <row r="2665" spans="1:24" s="1" customFormat="1" ht="108" customHeight="1" x14ac:dyDescent="0.3">
      <c r="A2665" s="11" t="s">
        <v>3014</v>
      </c>
      <c r="B2665" s="11" t="s">
        <v>3254</v>
      </c>
      <c r="C2665" s="12" t="s">
        <v>3255</v>
      </c>
      <c r="D2665" s="24"/>
      <c r="E2665" s="69" t="str">
        <f>HYPERLINK("https://www.google.ru/search?q=72306312-0100&amp;newwindow=1&amp;tbm=isch","Еще фото")</f>
        <v>Еще фото</v>
      </c>
      <c r="F2665" s="13"/>
      <c r="G2665" s="11" t="s">
        <v>181</v>
      </c>
      <c r="H2665" s="11" t="s">
        <v>112</v>
      </c>
      <c r="I2665" s="14" t="s">
        <v>182</v>
      </c>
      <c r="J2665" s="14" t="s">
        <v>29</v>
      </c>
      <c r="K2665" s="15" t="s">
        <v>30</v>
      </c>
      <c r="L2665" s="14"/>
      <c r="M2665" s="14"/>
      <c r="N2665" s="14" t="s">
        <v>89</v>
      </c>
      <c r="O2665" s="14"/>
      <c r="P2665" s="15" t="s">
        <v>108</v>
      </c>
      <c r="Q2665" s="16">
        <v>1999</v>
      </c>
      <c r="R2665" s="17">
        <v>45</v>
      </c>
      <c r="S2665" s="18">
        <v>1264.3675000000001</v>
      </c>
      <c r="T2665" s="19" t="s">
        <v>117</v>
      </c>
      <c r="U2665" s="20" t="s">
        <v>3163</v>
      </c>
      <c r="V2665" s="21">
        <v>52</v>
      </c>
      <c r="W2665" s="21">
        <v>5</v>
      </c>
      <c r="X2665" s="22"/>
    </row>
    <row r="2666" spans="1:24" s="1" customFormat="1" ht="108" customHeight="1" x14ac:dyDescent="0.3">
      <c r="A2666" s="11" t="s">
        <v>3014</v>
      </c>
      <c r="B2666" s="11" t="s">
        <v>3254</v>
      </c>
      <c r="C2666" s="12" t="s">
        <v>3256</v>
      </c>
      <c r="D2666" s="24"/>
      <c r="E2666" s="69" t="str">
        <f>HYPERLINK("https://www.google.ru/search?q=72306312-9000&amp;newwindow=1&amp;tbm=isch","Еще фото")</f>
        <v>Еще фото</v>
      </c>
      <c r="F2666" s="13"/>
      <c r="G2666" s="11" t="s">
        <v>181</v>
      </c>
      <c r="H2666" s="11" t="s">
        <v>112</v>
      </c>
      <c r="I2666" s="14" t="s">
        <v>182</v>
      </c>
      <c r="J2666" s="14" t="s">
        <v>29</v>
      </c>
      <c r="K2666" s="15" t="s">
        <v>30</v>
      </c>
      <c r="L2666" s="14"/>
      <c r="M2666" s="14"/>
      <c r="N2666" s="14" t="s">
        <v>41</v>
      </c>
      <c r="O2666" s="14"/>
      <c r="P2666" s="15" t="s">
        <v>108</v>
      </c>
      <c r="Q2666" s="16">
        <v>1999</v>
      </c>
      <c r="R2666" s="17">
        <v>45</v>
      </c>
      <c r="S2666" s="18">
        <v>1264.3675000000001</v>
      </c>
      <c r="T2666" s="19" t="s">
        <v>117</v>
      </c>
      <c r="U2666" s="20" t="s">
        <v>3164</v>
      </c>
      <c r="V2666" s="21">
        <v>48</v>
      </c>
      <c r="W2666" s="21">
        <v>2</v>
      </c>
      <c r="X2666" s="22"/>
    </row>
    <row r="2667" spans="1:24" s="1" customFormat="1" ht="108" customHeight="1" x14ac:dyDescent="0.3">
      <c r="A2667" s="11" t="s">
        <v>2952</v>
      </c>
      <c r="B2667" s="11" t="s">
        <v>3257</v>
      </c>
      <c r="C2667" s="12" t="s">
        <v>3258</v>
      </c>
      <c r="D2667" s="24"/>
      <c r="E2667" s="69" t="str">
        <f>HYPERLINK("https://www.google.ru/search?q=804473-RS046&amp;newwindow=1&amp;tbm=isch","Еще фото")</f>
        <v>Еще фото</v>
      </c>
      <c r="F2667" s="13"/>
      <c r="G2667" s="11" t="s">
        <v>181</v>
      </c>
      <c r="H2667" s="11" t="s">
        <v>112</v>
      </c>
      <c r="I2667" s="14" t="s">
        <v>182</v>
      </c>
      <c r="J2667" s="14" t="s">
        <v>29</v>
      </c>
      <c r="K2667" s="15" t="s">
        <v>114</v>
      </c>
      <c r="L2667" s="14" t="s">
        <v>3259</v>
      </c>
      <c r="M2667" s="14" t="s">
        <v>73</v>
      </c>
      <c r="N2667" s="14" t="s">
        <v>116</v>
      </c>
      <c r="O2667" s="14" t="s">
        <v>940</v>
      </c>
      <c r="P2667" s="64">
        <v>100</v>
      </c>
      <c r="Q2667" s="16">
        <v>1899</v>
      </c>
      <c r="R2667" s="17">
        <v>45</v>
      </c>
      <c r="S2667" s="18">
        <v>1201.1175000000001</v>
      </c>
      <c r="T2667" s="19" t="s">
        <v>117</v>
      </c>
      <c r="U2667" s="20" t="s">
        <v>3260</v>
      </c>
      <c r="V2667" s="25" t="s">
        <v>119</v>
      </c>
      <c r="W2667" s="21">
        <v>1</v>
      </c>
      <c r="X2667" s="22"/>
    </row>
    <row r="2668" spans="1:24" s="1" customFormat="1" ht="108" customHeight="1" x14ac:dyDescent="0.3">
      <c r="A2668" s="11" t="s">
        <v>3014</v>
      </c>
      <c r="B2668" s="11" t="s">
        <v>3261</v>
      </c>
      <c r="C2668" s="12" t="s">
        <v>3262</v>
      </c>
      <c r="D2668" s="24"/>
      <c r="E2668" s="69" t="str">
        <f>HYPERLINK("https://www.google.ru/search?q=7100019B-6821&amp;newwindow=1&amp;tbm=isch","Еще фото")</f>
        <v>Еще фото</v>
      </c>
      <c r="F2668" s="13"/>
      <c r="G2668" s="11" t="s">
        <v>190</v>
      </c>
      <c r="H2668" s="11" t="s">
        <v>27</v>
      </c>
      <c r="I2668" s="14" t="s">
        <v>191</v>
      </c>
      <c r="J2668" s="14" t="s">
        <v>138</v>
      </c>
      <c r="K2668" s="15" t="s">
        <v>30</v>
      </c>
      <c r="L2668" s="14" t="s">
        <v>3263</v>
      </c>
      <c r="M2668" s="14"/>
      <c r="N2668" s="14" t="s">
        <v>576</v>
      </c>
      <c r="O2668" s="14"/>
      <c r="P2668" s="15" t="s">
        <v>3068</v>
      </c>
      <c r="Q2668" s="16">
        <v>6499</v>
      </c>
      <c r="R2668" s="17">
        <v>45</v>
      </c>
      <c r="S2668" s="18">
        <v>4110.6174999999994</v>
      </c>
      <c r="T2668" s="19" t="s">
        <v>117</v>
      </c>
      <c r="U2668" s="20" t="s">
        <v>3264</v>
      </c>
      <c r="V2668" s="21">
        <v>74</v>
      </c>
      <c r="W2668" s="21">
        <v>1</v>
      </c>
      <c r="X2668" s="22"/>
    </row>
    <row r="2669" spans="1:24" s="1" customFormat="1" ht="35.1" customHeight="1" x14ac:dyDescent="0.3">
      <c r="A2669" s="11" t="s">
        <v>3014</v>
      </c>
      <c r="B2669" s="11" t="s">
        <v>3265</v>
      </c>
      <c r="C2669" s="12" t="s">
        <v>3266</v>
      </c>
      <c r="D2669" s="83"/>
      <c r="E2669" s="69" t="str">
        <f>HYPERLINK("https://www.google.ru/search?q=7100039A-6961&amp;newwindow=1&amp;tbm=isch","Еще фото")</f>
        <v>Еще фото</v>
      </c>
      <c r="F2669" s="13"/>
      <c r="G2669" s="11" t="s">
        <v>190</v>
      </c>
      <c r="H2669" s="11" t="s">
        <v>27</v>
      </c>
      <c r="I2669" s="14" t="s">
        <v>191</v>
      </c>
      <c r="J2669" s="14" t="s">
        <v>29</v>
      </c>
      <c r="K2669" s="15" t="s">
        <v>30</v>
      </c>
      <c r="L2669" s="86" t="s">
        <v>3267</v>
      </c>
      <c r="M2669" s="14"/>
      <c r="N2669" s="14" t="s">
        <v>70</v>
      </c>
      <c r="O2669" s="14"/>
      <c r="P2669" s="15" t="s">
        <v>3018</v>
      </c>
      <c r="Q2669" s="16">
        <v>7399</v>
      </c>
      <c r="R2669" s="17">
        <v>45</v>
      </c>
      <c r="S2669" s="18">
        <v>4679.8674999999994</v>
      </c>
      <c r="T2669" s="19" t="s">
        <v>117</v>
      </c>
      <c r="U2669" s="20" t="s">
        <v>2977</v>
      </c>
      <c r="V2669" s="21">
        <v>92</v>
      </c>
      <c r="W2669" s="21">
        <v>3</v>
      </c>
      <c r="X2669" s="22"/>
    </row>
    <row r="2670" spans="1:24" s="1" customFormat="1" ht="35.1" customHeight="1" x14ac:dyDescent="0.3">
      <c r="A2670" s="23" t="s">
        <v>3014</v>
      </c>
      <c r="B2670" s="23" t="s">
        <v>3265</v>
      </c>
      <c r="C2670" s="12" t="s">
        <v>3266</v>
      </c>
      <c r="D2670" s="84"/>
      <c r="E2670" s="69" t="str">
        <f>HYPERLINK("https://www.google.ru/search?q=7100039A-6961&amp;newwindow=1&amp;tbm=isch","Еще фото")</f>
        <v>Еще фото</v>
      </c>
      <c r="F2670" s="13"/>
      <c r="G2670" s="23" t="s">
        <v>190</v>
      </c>
      <c r="H2670" s="23" t="s">
        <v>27</v>
      </c>
      <c r="I2670" s="23" t="s">
        <v>191</v>
      </c>
      <c r="J2670" s="14" t="s">
        <v>29</v>
      </c>
      <c r="K2670" s="15" t="s">
        <v>30</v>
      </c>
      <c r="L2670" s="87"/>
      <c r="M2670" s="14"/>
      <c r="N2670" s="14" t="s">
        <v>70</v>
      </c>
      <c r="O2670" s="14"/>
      <c r="P2670" s="15" t="s">
        <v>3018</v>
      </c>
      <c r="Q2670" s="16">
        <v>7399</v>
      </c>
      <c r="R2670" s="17">
        <v>45</v>
      </c>
      <c r="S2670" s="18">
        <v>4679.8674999999994</v>
      </c>
      <c r="T2670" s="19" t="s">
        <v>117</v>
      </c>
      <c r="U2670" s="20" t="s">
        <v>43</v>
      </c>
      <c r="V2670" s="21">
        <v>110</v>
      </c>
      <c r="W2670" s="21">
        <v>1</v>
      </c>
      <c r="X2670" s="22"/>
    </row>
    <row r="2671" spans="1:24" s="1" customFormat="1" ht="36.950000000000003" customHeight="1" x14ac:dyDescent="0.3">
      <c r="A2671" s="23" t="s">
        <v>3014</v>
      </c>
      <c r="B2671" s="23" t="s">
        <v>3265</v>
      </c>
      <c r="C2671" s="12" t="s">
        <v>3266</v>
      </c>
      <c r="D2671" s="85"/>
      <c r="E2671" s="69" t="str">
        <f>HYPERLINK("https://www.google.ru/search?q=7100039A-6961&amp;newwindow=1&amp;tbm=isch","Еще фото")</f>
        <v>Еще фото</v>
      </c>
      <c r="F2671" s="13"/>
      <c r="G2671" s="23" t="s">
        <v>190</v>
      </c>
      <c r="H2671" s="23" t="s">
        <v>27</v>
      </c>
      <c r="I2671" s="23" t="s">
        <v>191</v>
      </c>
      <c r="J2671" s="14" t="s">
        <v>29</v>
      </c>
      <c r="K2671" s="15" t="s">
        <v>30</v>
      </c>
      <c r="L2671" s="88"/>
      <c r="M2671" s="14"/>
      <c r="N2671" s="14" t="s">
        <v>70</v>
      </c>
      <c r="O2671" s="14"/>
      <c r="P2671" s="15" t="s">
        <v>3018</v>
      </c>
      <c r="Q2671" s="16">
        <v>7399</v>
      </c>
      <c r="R2671" s="17">
        <v>45</v>
      </c>
      <c r="S2671" s="18">
        <v>4679.8674999999994</v>
      </c>
      <c r="T2671" s="19" t="s">
        <v>117</v>
      </c>
      <c r="U2671" s="20" t="s">
        <v>36</v>
      </c>
      <c r="V2671" s="21">
        <v>122</v>
      </c>
      <c r="W2671" s="21">
        <v>1</v>
      </c>
      <c r="X2671" s="22"/>
    </row>
    <row r="2672" spans="1:24" s="1" customFormat="1" ht="26.1" customHeight="1" x14ac:dyDescent="0.3">
      <c r="A2672" s="11" t="s">
        <v>3014</v>
      </c>
      <c r="B2672" s="11" t="s">
        <v>3268</v>
      </c>
      <c r="C2672" s="12" t="s">
        <v>3269</v>
      </c>
      <c r="D2672" s="83"/>
      <c r="E2672" s="69" t="str">
        <f>HYPERLINK("https://www.google.ru/search?q=71105301-6960&amp;newwindow=1&amp;tbm=isch","Еще фото")</f>
        <v>Еще фото</v>
      </c>
      <c r="F2672" s="13"/>
      <c r="G2672" s="11" t="s">
        <v>3270</v>
      </c>
      <c r="H2672" s="11" t="s">
        <v>27</v>
      </c>
      <c r="I2672" s="14" t="s">
        <v>191</v>
      </c>
      <c r="J2672" s="14" t="s">
        <v>29</v>
      </c>
      <c r="K2672" s="15" t="s">
        <v>30</v>
      </c>
      <c r="L2672" s="86" t="s">
        <v>3271</v>
      </c>
      <c r="M2672" s="14"/>
      <c r="N2672" s="14" t="s">
        <v>70</v>
      </c>
      <c r="O2672" s="14"/>
      <c r="P2672" s="15" t="s">
        <v>3018</v>
      </c>
      <c r="Q2672" s="16">
        <v>9999</v>
      </c>
      <c r="R2672" s="17">
        <v>45</v>
      </c>
      <c r="S2672" s="18">
        <v>6324.3674999999994</v>
      </c>
      <c r="T2672" s="19" t="s">
        <v>117</v>
      </c>
      <c r="U2672" s="20" t="s">
        <v>3264</v>
      </c>
      <c r="V2672" s="21">
        <v>74</v>
      </c>
      <c r="W2672" s="21">
        <v>5</v>
      </c>
      <c r="X2672" s="22"/>
    </row>
    <row r="2673" spans="1:24" s="1" customFormat="1" ht="26.1" customHeight="1" x14ac:dyDescent="0.3">
      <c r="A2673" s="23" t="s">
        <v>3014</v>
      </c>
      <c r="B2673" s="23" t="s">
        <v>3268</v>
      </c>
      <c r="C2673" s="12" t="s">
        <v>3269</v>
      </c>
      <c r="D2673" s="84"/>
      <c r="E2673" s="69" t="str">
        <f>HYPERLINK("https://www.google.ru/search?q=71105301-6960&amp;newwindow=1&amp;tbm=isch","Еще фото")</f>
        <v>Еще фото</v>
      </c>
      <c r="F2673" s="13"/>
      <c r="G2673" s="23" t="s">
        <v>3270</v>
      </c>
      <c r="H2673" s="23" t="s">
        <v>27</v>
      </c>
      <c r="I2673" s="23" t="s">
        <v>191</v>
      </c>
      <c r="J2673" s="14" t="s">
        <v>29</v>
      </c>
      <c r="K2673" s="15" t="s">
        <v>30</v>
      </c>
      <c r="L2673" s="87"/>
      <c r="M2673" s="14"/>
      <c r="N2673" s="14" t="s">
        <v>70</v>
      </c>
      <c r="O2673" s="14"/>
      <c r="P2673" s="15" t="s">
        <v>3018</v>
      </c>
      <c r="Q2673" s="16">
        <v>9999</v>
      </c>
      <c r="R2673" s="17">
        <v>45</v>
      </c>
      <c r="S2673" s="18">
        <v>6324.3674999999994</v>
      </c>
      <c r="T2673" s="19" t="s">
        <v>117</v>
      </c>
      <c r="U2673" s="20" t="s">
        <v>744</v>
      </c>
      <c r="V2673" s="21">
        <v>80</v>
      </c>
      <c r="W2673" s="21">
        <v>6</v>
      </c>
      <c r="X2673" s="22"/>
    </row>
    <row r="2674" spans="1:24" s="1" customFormat="1" ht="26.1" customHeight="1" x14ac:dyDescent="0.3">
      <c r="A2674" s="23" t="s">
        <v>3014</v>
      </c>
      <c r="B2674" s="23" t="s">
        <v>3268</v>
      </c>
      <c r="C2674" s="12" t="s">
        <v>3269</v>
      </c>
      <c r="D2674" s="84"/>
      <c r="E2674" s="69" t="str">
        <f>HYPERLINK("https://www.google.ru/search?q=71105301-6960&amp;newwindow=1&amp;tbm=isch","Еще фото")</f>
        <v>Еще фото</v>
      </c>
      <c r="F2674" s="13"/>
      <c r="G2674" s="23" t="s">
        <v>3270</v>
      </c>
      <c r="H2674" s="23" t="s">
        <v>27</v>
      </c>
      <c r="I2674" s="23" t="s">
        <v>191</v>
      </c>
      <c r="J2674" s="14" t="s">
        <v>29</v>
      </c>
      <c r="K2674" s="15" t="s">
        <v>30</v>
      </c>
      <c r="L2674" s="87"/>
      <c r="M2674" s="14"/>
      <c r="N2674" s="14" t="s">
        <v>70</v>
      </c>
      <c r="O2674" s="14"/>
      <c r="P2674" s="15" t="s">
        <v>3018</v>
      </c>
      <c r="Q2674" s="16">
        <v>9999</v>
      </c>
      <c r="R2674" s="17">
        <v>45</v>
      </c>
      <c r="S2674" s="18">
        <v>6324.3674999999994</v>
      </c>
      <c r="T2674" s="19" t="s">
        <v>117</v>
      </c>
      <c r="U2674" s="20" t="s">
        <v>2976</v>
      </c>
      <c r="V2674" s="21">
        <v>86</v>
      </c>
      <c r="W2674" s="21">
        <v>1</v>
      </c>
      <c r="X2674" s="22"/>
    </row>
    <row r="2675" spans="1:24" s="1" customFormat="1" ht="26.1" customHeight="1" x14ac:dyDescent="0.3">
      <c r="A2675" s="23" t="s">
        <v>3014</v>
      </c>
      <c r="B2675" s="23" t="s">
        <v>3268</v>
      </c>
      <c r="C2675" s="12" t="s">
        <v>3269</v>
      </c>
      <c r="D2675" s="85"/>
      <c r="E2675" s="69" t="str">
        <f>HYPERLINK("https://www.google.ru/search?q=71105301-6960&amp;newwindow=1&amp;tbm=isch","Еще фото")</f>
        <v>Еще фото</v>
      </c>
      <c r="F2675" s="13"/>
      <c r="G2675" s="23" t="s">
        <v>3270</v>
      </c>
      <c r="H2675" s="23" t="s">
        <v>27</v>
      </c>
      <c r="I2675" s="23" t="s">
        <v>191</v>
      </c>
      <c r="J2675" s="14" t="s">
        <v>29</v>
      </c>
      <c r="K2675" s="15" t="s">
        <v>30</v>
      </c>
      <c r="L2675" s="88"/>
      <c r="M2675" s="14"/>
      <c r="N2675" s="14" t="s">
        <v>70</v>
      </c>
      <c r="O2675" s="14"/>
      <c r="P2675" s="15" t="s">
        <v>3018</v>
      </c>
      <c r="Q2675" s="16">
        <v>9999</v>
      </c>
      <c r="R2675" s="17">
        <v>45</v>
      </c>
      <c r="S2675" s="18">
        <v>6324.3674999999994</v>
      </c>
      <c r="T2675" s="19" t="s">
        <v>117</v>
      </c>
      <c r="U2675" s="20" t="s">
        <v>2977</v>
      </c>
      <c r="V2675" s="21">
        <v>92</v>
      </c>
      <c r="W2675" s="21">
        <v>1</v>
      </c>
      <c r="X2675" s="22"/>
    </row>
    <row r="2676" spans="1:24" s="1" customFormat="1" ht="108" customHeight="1" x14ac:dyDescent="0.3">
      <c r="A2676" s="11" t="s">
        <v>3014</v>
      </c>
      <c r="B2676" s="11" t="s">
        <v>3272</v>
      </c>
      <c r="C2676" s="12" t="s">
        <v>3273</v>
      </c>
      <c r="D2676" s="24"/>
      <c r="E2676" s="69" t="str">
        <f>HYPERLINK("https://www.google.ru/search?q=71204101-6910&amp;newwindow=1&amp;tbm=isch","Еще фото")</f>
        <v>Еще фото</v>
      </c>
      <c r="F2676" s="13"/>
      <c r="G2676" s="11" t="s">
        <v>190</v>
      </c>
      <c r="H2676" s="11" t="s">
        <v>27</v>
      </c>
      <c r="I2676" s="14" t="s">
        <v>191</v>
      </c>
      <c r="J2676" s="14" t="s">
        <v>29</v>
      </c>
      <c r="K2676" s="15" t="s">
        <v>30</v>
      </c>
      <c r="L2676" s="14"/>
      <c r="M2676" s="14"/>
      <c r="N2676" s="14" t="s">
        <v>70</v>
      </c>
      <c r="O2676" s="14"/>
      <c r="P2676" s="15" t="s">
        <v>3274</v>
      </c>
      <c r="Q2676" s="16">
        <v>2999</v>
      </c>
      <c r="R2676" s="17">
        <v>45</v>
      </c>
      <c r="S2676" s="18">
        <v>1896.8674999999998</v>
      </c>
      <c r="T2676" s="19" t="s">
        <v>117</v>
      </c>
      <c r="U2676" s="20" t="s">
        <v>744</v>
      </c>
      <c r="V2676" s="21">
        <v>80</v>
      </c>
      <c r="W2676" s="21">
        <v>1</v>
      </c>
      <c r="X2676" s="22"/>
    </row>
    <row r="2677" spans="1:24" s="1" customFormat="1" ht="51.95" customHeight="1" x14ac:dyDescent="0.3">
      <c r="A2677" s="11" t="s">
        <v>3014</v>
      </c>
      <c r="B2677" s="11" t="s">
        <v>3275</v>
      </c>
      <c r="C2677" s="12" t="s">
        <v>3276</v>
      </c>
      <c r="D2677" s="89"/>
      <c r="E2677" s="69" t="str">
        <f>HYPERLINK("https://www.google.ru/search?q=72105219-4590&amp;newwindow=1&amp;tbm=isch","Еще фото")</f>
        <v>Еще фото</v>
      </c>
      <c r="F2677" s="13"/>
      <c r="G2677" s="11" t="s">
        <v>3270</v>
      </c>
      <c r="H2677" s="11" t="s">
        <v>27</v>
      </c>
      <c r="I2677" s="14" t="s">
        <v>191</v>
      </c>
      <c r="J2677" s="14" t="s">
        <v>138</v>
      </c>
      <c r="K2677" s="15" t="s">
        <v>30</v>
      </c>
      <c r="L2677" s="86" t="s">
        <v>3277</v>
      </c>
      <c r="M2677" s="14"/>
      <c r="N2677" s="14" t="s">
        <v>1001</v>
      </c>
      <c r="O2677" s="14"/>
      <c r="P2677" s="15" t="s">
        <v>3018</v>
      </c>
      <c r="Q2677" s="16">
        <v>9999</v>
      </c>
      <c r="R2677" s="17">
        <v>45</v>
      </c>
      <c r="S2677" s="18">
        <v>6324.3674999999994</v>
      </c>
      <c r="T2677" s="19" t="s">
        <v>117</v>
      </c>
      <c r="U2677" s="20" t="s">
        <v>94</v>
      </c>
      <c r="V2677" s="21">
        <v>104</v>
      </c>
      <c r="W2677" s="21">
        <v>1</v>
      </c>
      <c r="X2677" s="22"/>
    </row>
    <row r="2678" spans="1:24" s="1" customFormat="1" ht="60.95" customHeight="1" x14ac:dyDescent="0.3">
      <c r="A2678" s="23" t="s">
        <v>3014</v>
      </c>
      <c r="B2678" s="23" t="s">
        <v>3275</v>
      </c>
      <c r="C2678" s="12" t="s">
        <v>3276</v>
      </c>
      <c r="D2678" s="90"/>
      <c r="E2678" s="69" t="str">
        <f>HYPERLINK("https://www.google.ru/search?q=72105219-4590&amp;newwindow=1&amp;tbm=isch","Еще фото")</f>
        <v>Еще фото</v>
      </c>
      <c r="F2678" s="13"/>
      <c r="G2678" s="23" t="s">
        <v>3270</v>
      </c>
      <c r="H2678" s="23" t="s">
        <v>27</v>
      </c>
      <c r="I2678" s="23" t="s">
        <v>191</v>
      </c>
      <c r="J2678" s="14" t="s">
        <v>138</v>
      </c>
      <c r="K2678" s="15" t="s">
        <v>30</v>
      </c>
      <c r="L2678" s="88"/>
      <c r="M2678" s="14"/>
      <c r="N2678" s="14" t="s">
        <v>1001</v>
      </c>
      <c r="O2678" s="14"/>
      <c r="P2678" s="15" t="s">
        <v>3018</v>
      </c>
      <c r="Q2678" s="16">
        <v>9999</v>
      </c>
      <c r="R2678" s="17">
        <v>45</v>
      </c>
      <c r="S2678" s="18">
        <v>6324.3674999999994</v>
      </c>
      <c r="T2678" s="19" t="s">
        <v>117</v>
      </c>
      <c r="U2678" s="20" t="s">
        <v>35</v>
      </c>
      <c r="V2678" s="21">
        <v>116</v>
      </c>
      <c r="W2678" s="21">
        <v>2</v>
      </c>
      <c r="X2678" s="22"/>
    </row>
    <row r="2679" spans="1:24" s="1" customFormat="1" ht="35.1" customHeight="1" x14ac:dyDescent="0.3">
      <c r="A2679" s="11" t="s">
        <v>3278</v>
      </c>
      <c r="B2679" s="11" t="s">
        <v>3279</v>
      </c>
      <c r="C2679" s="12" t="s">
        <v>3280</v>
      </c>
      <c r="D2679" s="83"/>
      <c r="E2679" s="69" t="str">
        <f>HYPERLINK("https://www.google.ru/search?q=SWD005&amp;newwindow=1&amp;tbm=isch","Еще фото")</f>
        <v>Еще фото</v>
      </c>
      <c r="F2679" s="13"/>
      <c r="G2679" s="11" t="s">
        <v>293</v>
      </c>
      <c r="H2679" s="11" t="s">
        <v>27</v>
      </c>
      <c r="I2679" s="14" t="s">
        <v>254</v>
      </c>
      <c r="J2679" s="14" t="s">
        <v>255</v>
      </c>
      <c r="K2679" s="15" t="s">
        <v>30</v>
      </c>
      <c r="L2679" s="86"/>
      <c r="M2679" s="14"/>
      <c r="N2679" s="14" t="s">
        <v>70</v>
      </c>
      <c r="O2679" s="14"/>
      <c r="P2679" s="15" t="s">
        <v>3281</v>
      </c>
      <c r="Q2679" s="59">
        <v>599</v>
      </c>
      <c r="R2679" s="17">
        <v>82.01</v>
      </c>
      <c r="S2679" s="29">
        <v>123.93549999999999</v>
      </c>
      <c r="T2679" s="19" t="s">
        <v>2828</v>
      </c>
      <c r="U2679" s="20" t="s">
        <v>3282</v>
      </c>
      <c r="V2679" s="21">
        <v>116</v>
      </c>
      <c r="W2679" s="21">
        <v>1</v>
      </c>
      <c r="X2679" s="22"/>
    </row>
    <row r="2680" spans="1:24" s="1" customFormat="1" ht="35.1" customHeight="1" x14ac:dyDescent="0.3">
      <c r="A2680" s="23" t="s">
        <v>3278</v>
      </c>
      <c r="B2680" s="23" t="s">
        <v>3279</v>
      </c>
      <c r="C2680" s="12" t="s">
        <v>3280</v>
      </c>
      <c r="D2680" s="84"/>
      <c r="E2680" s="69" t="str">
        <f>HYPERLINK("https://www.google.ru/search?q=SWD005&amp;newwindow=1&amp;tbm=isch","Еще фото")</f>
        <v>Еще фото</v>
      </c>
      <c r="F2680" s="13"/>
      <c r="G2680" s="23" t="s">
        <v>293</v>
      </c>
      <c r="H2680" s="23" t="s">
        <v>27</v>
      </c>
      <c r="I2680" s="23" t="s">
        <v>254</v>
      </c>
      <c r="J2680" s="14" t="s">
        <v>255</v>
      </c>
      <c r="K2680" s="15" t="s">
        <v>30</v>
      </c>
      <c r="L2680" s="87"/>
      <c r="M2680" s="14"/>
      <c r="N2680" s="14" t="s">
        <v>70</v>
      </c>
      <c r="O2680" s="14"/>
      <c r="P2680" s="15" t="s">
        <v>3281</v>
      </c>
      <c r="Q2680" s="59">
        <v>599</v>
      </c>
      <c r="R2680" s="17">
        <v>82.01</v>
      </c>
      <c r="S2680" s="29">
        <v>123.93549999999999</v>
      </c>
      <c r="T2680" s="19" t="s">
        <v>2828</v>
      </c>
      <c r="U2680" s="20" t="s">
        <v>3283</v>
      </c>
      <c r="V2680" s="21">
        <v>122</v>
      </c>
      <c r="W2680" s="21">
        <v>1</v>
      </c>
      <c r="X2680" s="22"/>
    </row>
    <row r="2681" spans="1:24" s="1" customFormat="1" ht="36.950000000000003" customHeight="1" x14ac:dyDescent="0.3">
      <c r="A2681" s="23" t="s">
        <v>3278</v>
      </c>
      <c r="B2681" s="23" t="s">
        <v>3279</v>
      </c>
      <c r="C2681" s="12" t="s">
        <v>3280</v>
      </c>
      <c r="D2681" s="85"/>
      <c r="E2681" s="69" t="str">
        <f>HYPERLINK("https://www.google.ru/search?q=SWD005&amp;newwindow=1&amp;tbm=isch","Еще фото")</f>
        <v>Еще фото</v>
      </c>
      <c r="F2681" s="13"/>
      <c r="G2681" s="23" t="s">
        <v>293</v>
      </c>
      <c r="H2681" s="23" t="s">
        <v>27</v>
      </c>
      <c r="I2681" s="23" t="s">
        <v>254</v>
      </c>
      <c r="J2681" s="14" t="s">
        <v>255</v>
      </c>
      <c r="K2681" s="15" t="s">
        <v>30</v>
      </c>
      <c r="L2681" s="88"/>
      <c r="M2681" s="14"/>
      <c r="N2681" s="14" t="s">
        <v>70</v>
      </c>
      <c r="O2681" s="14"/>
      <c r="P2681" s="15" t="s">
        <v>3281</v>
      </c>
      <c r="Q2681" s="59">
        <v>599</v>
      </c>
      <c r="R2681" s="17">
        <v>82.01</v>
      </c>
      <c r="S2681" s="29">
        <v>123.93549999999999</v>
      </c>
      <c r="T2681" s="19" t="s">
        <v>2828</v>
      </c>
      <c r="U2681" s="20" t="s">
        <v>3284</v>
      </c>
      <c r="V2681" s="21">
        <v>140</v>
      </c>
      <c r="W2681" s="21">
        <v>1</v>
      </c>
      <c r="X2681" s="22"/>
    </row>
    <row r="2682" spans="1:24" s="1" customFormat="1" ht="35.1" customHeight="1" x14ac:dyDescent="0.3">
      <c r="A2682" s="11" t="s">
        <v>2957</v>
      </c>
      <c r="B2682" s="11" t="s">
        <v>3285</v>
      </c>
      <c r="C2682" s="12" t="s">
        <v>3286</v>
      </c>
      <c r="D2682" s="83"/>
      <c r="E2682" s="69" t="str">
        <f>HYPERLINK("https://www.google.ru/search?q=526280-7503&amp;newwindow=1&amp;tbm=isch","Еще фото")</f>
        <v>Еще фото</v>
      </c>
      <c r="F2682" s="13"/>
      <c r="G2682" s="11" t="s">
        <v>264</v>
      </c>
      <c r="H2682" s="11" t="s">
        <v>27</v>
      </c>
      <c r="I2682" s="14" t="s">
        <v>254</v>
      </c>
      <c r="J2682" s="14" t="s">
        <v>255</v>
      </c>
      <c r="K2682" s="15" t="s">
        <v>30</v>
      </c>
      <c r="L2682" s="86" t="s">
        <v>3287</v>
      </c>
      <c r="M2682" s="14"/>
      <c r="N2682" s="14" t="s">
        <v>242</v>
      </c>
      <c r="O2682" s="14"/>
      <c r="P2682" s="15" t="s">
        <v>3288</v>
      </c>
      <c r="Q2682" s="16">
        <v>3199</v>
      </c>
      <c r="R2682" s="17">
        <v>78.19</v>
      </c>
      <c r="S2682" s="29">
        <v>802.43549999999993</v>
      </c>
      <c r="T2682" s="19" t="s">
        <v>117</v>
      </c>
      <c r="U2682" s="20" t="s">
        <v>2961</v>
      </c>
      <c r="V2682" s="21">
        <v>98</v>
      </c>
      <c r="W2682" s="21">
        <v>5</v>
      </c>
      <c r="X2682" s="22"/>
    </row>
    <row r="2683" spans="1:24" s="1" customFormat="1" ht="35.1" customHeight="1" x14ac:dyDescent="0.3">
      <c r="A2683" s="23" t="s">
        <v>2957</v>
      </c>
      <c r="B2683" s="23" t="s">
        <v>3285</v>
      </c>
      <c r="C2683" s="12" t="s">
        <v>3286</v>
      </c>
      <c r="D2683" s="84"/>
      <c r="E2683" s="69" t="str">
        <f>HYPERLINK("https://www.google.ru/search?q=526280-7503&amp;newwindow=1&amp;tbm=isch","Еще фото")</f>
        <v>Еще фото</v>
      </c>
      <c r="F2683" s="13"/>
      <c r="G2683" s="23" t="s">
        <v>264</v>
      </c>
      <c r="H2683" s="23" t="s">
        <v>27</v>
      </c>
      <c r="I2683" s="23" t="s">
        <v>254</v>
      </c>
      <c r="J2683" s="14" t="s">
        <v>255</v>
      </c>
      <c r="K2683" s="15" t="s">
        <v>30</v>
      </c>
      <c r="L2683" s="87"/>
      <c r="M2683" s="14"/>
      <c r="N2683" s="14" t="s">
        <v>242</v>
      </c>
      <c r="O2683" s="14"/>
      <c r="P2683" s="15" t="s">
        <v>3288</v>
      </c>
      <c r="Q2683" s="16">
        <v>3199</v>
      </c>
      <c r="R2683" s="17">
        <v>78.19</v>
      </c>
      <c r="S2683" s="29">
        <v>802.43549999999993</v>
      </c>
      <c r="T2683" s="19" t="s">
        <v>117</v>
      </c>
      <c r="U2683" s="20" t="s">
        <v>94</v>
      </c>
      <c r="V2683" s="21">
        <v>104</v>
      </c>
      <c r="W2683" s="21">
        <v>1</v>
      </c>
      <c r="X2683" s="22"/>
    </row>
    <row r="2684" spans="1:24" s="1" customFormat="1" ht="36.950000000000003" customHeight="1" x14ac:dyDescent="0.3">
      <c r="A2684" s="23" t="s">
        <v>2957</v>
      </c>
      <c r="B2684" s="23" t="s">
        <v>3285</v>
      </c>
      <c r="C2684" s="12" t="s">
        <v>3286</v>
      </c>
      <c r="D2684" s="85"/>
      <c r="E2684" s="69" t="str">
        <f>HYPERLINK("https://www.google.ru/search?q=526280-7503&amp;newwindow=1&amp;tbm=isch","Еще фото")</f>
        <v>Еще фото</v>
      </c>
      <c r="F2684" s="13"/>
      <c r="G2684" s="23" t="s">
        <v>264</v>
      </c>
      <c r="H2684" s="23" t="s">
        <v>27</v>
      </c>
      <c r="I2684" s="23" t="s">
        <v>254</v>
      </c>
      <c r="J2684" s="14" t="s">
        <v>255</v>
      </c>
      <c r="K2684" s="15" t="s">
        <v>30</v>
      </c>
      <c r="L2684" s="88"/>
      <c r="M2684" s="14"/>
      <c r="N2684" s="14" t="s">
        <v>242</v>
      </c>
      <c r="O2684" s="14"/>
      <c r="P2684" s="15" t="s">
        <v>3288</v>
      </c>
      <c r="Q2684" s="16">
        <v>3199</v>
      </c>
      <c r="R2684" s="17">
        <v>78.19</v>
      </c>
      <c r="S2684" s="29">
        <v>802.43549999999993</v>
      </c>
      <c r="T2684" s="19" t="s">
        <v>117</v>
      </c>
      <c r="U2684" s="20" t="s">
        <v>43</v>
      </c>
      <c r="V2684" s="21">
        <v>110</v>
      </c>
      <c r="W2684" s="21">
        <v>3</v>
      </c>
      <c r="X2684" s="22"/>
    </row>
    <row r="2685" spans="1:24" s="1" customFormat="1" ht="35.1" customHeight="1" x14ac:dyDescent="0.3">
      <c r="A2685" s="11" t="s">
        <v>3014</v>
      </c>
      <c r="B2685" s="11" t="s">
        <v>3289</v>
      </c>
      <c r="C2685" s="12" t="s">
        <v>3290</v>
      </c>
      <c r="D2685" s="83"/>
      <c r="E2685" s="69" t="str">
        <f>HYPERLINK("https://www.google.ru/search?q=7200062A-6961&amp;newwindow=1&amp;tbm=isch","Еще фото")</f>
        <v>Еще фото</v>
      </c>
      <c r="F2685" s="13"/>
      <c r="G2685" s="11" t="s">
        <v>264</v>
      </c>
      <c r="H2685" s="11" t="s">
        <v>27</v>
      </c>
      <c r="I2685" s="14" t="s">
        <v>254</v>
      </c>
      <c r="J2685" s="14" t="s">
        <v>255</v>
      </c>
      <c r="K2685" s="15" t="s">
        <v>30</v>
      </c>
      <c r="L2685" s="86" t="s">
        <v>3291</v>
      </c>
      <c r="M2685" s="14"/>
      <c r="N2685" s="14" t="s">
        <v>70</v>
      </c>
      <c r="O2685" s="14"/>
      <c r="P2685" s="15" t="s">
        <v>3159</v>
      </c>
      <c r="Q2685" s="16">
        <v>3199</v>
      </c>
      <c r="R2685" s="17">
        <v>48</v>
      </c>
      <c r="S2685" s="18">
        <v>1913.002</v>
      </c>
      <c r="T2685" s="19" t="s">
        <v>117</v>
      </c>
      <c r="U2685" s="20" t="s">
        <v>37</v>
      </c>
      <c r="V2685" s="21">
        <v>128</v>
      </c>
      <c r="W2685" s="21">
        <v>1</v>
      </c>
      <c r="X2685" s="22"/>
    </row>
    <row r="2686" spans="1:24" s="1" customFormat="1" ht="35.1" customHeight="1" x14ac:dyDescent="0.3">
      <c r="A2686" s="23" t="s">
        <v>3014</v>
      </c>
      <c r="B2686" s="23" t="s">
        <v>3289</v>
      </c>
      <c r="C2686" s="12" t="s">
        <v>3290</v>
      </c>
      <c r="D2686" s="84"/>
      <c r="E2686" s="69" t="str">
        <f>HYPERLINK("https://www.google.ru/search?q=7200062A-6961&amp;newwindow=1&amp;tbm=isch","Еще фото")</f>
        <v>Еще фото</v>
      </c>
      <c r="F2686" s="13"/>
      <c r="G2686" s="23" t="s">
        <v>264</v>
      </c>
      <c r="H2686" s="23" t="s">
        <v>27</v>
      </c>
      <c r="I2686" s="23" t="s">
        <v>254</v>
      </c>
      <c r="J2686" s="14" t="s">
        <v>255</v>
      </c>
      <c r="K2686" s="15" t="s">
        <v>30</v>
      </c>
      <c r="L2686" s="87"/>
      <c r="M2686" s="14"/>
      <c r="N2686" s="14" t="s">
        <v>70</v>
      </c>
      <c r="O2686" s="14"/>
      <c r="P2686" s="15" t="s">
        <v>3159</v>
      </c>
      <c r="Q2686" s="16">
        <v>3199</v>
      </c>
      <c r="R2686" s="17">
        <v>48</v>
      </c>
      <c r="S2686" s="18">
        <v>1913.002</v>
      </c>
      <c r="T2686" s="19" t="s">
        <v>117</v>
      </c>
      <c r="U2686" s="20" t="s">
        <v>2160</v>
      </c>
      <c r="V2686" s="21">
        <v>152</v>
      </c>
      <c r="W2686" s="21">
        <v>1</v>
      </c>
      <c r="X2686" s="22"/>
    </row>
    <row r="2687" spans="1:24" s="1" customFormat="1" ht="36.950000000000003" customHeight="1" x14ac:dyDescent="0.3">
      <c r="A2687" s="23" t="s">
        <v>3014</v>
      </c>
      <c r="B2687" s="23" t="s">
        <v>3289</v>
      </c>
      <c r="C2687" s="12" t="s">
        <v>3290</v>
      </c>
      <c r="D2687" s="85"/>
      <c r="E2687" s="69" t="str">
        <f>HYPERLINK("https://www.google.ru/search?q=7200062A-6961&amp;newwindow=1&amp;tbm=isch","Еще фото")</f>
        <v>Еще фото</v>
      </c>
      <c r="F2687" s="13"/>
      <c r="G2687" s="23" t="s">
        <v>264</v>
      </c>
      <c r="H2687" s="23" t="s">
        <v>27</v>
      </c>
      <c r="I2687" s="23" t="s">
        <v>254</v>
      </c>
      <c r="J2687" s="14" t="s">
        <v>255</v>
      </c>
      <c r="K2687" s="15" t="s">
        <v>30</v>
      </c>
      <c r="L2687" s="88"/>
      <c r="M2687" s="14"/>
      <c r="N2687" s="14" t="s">
        <v>70</v>
      </c>
      <c r="O2687" s="14"/>
      <c r="P2687" s="15" t="s">
        <v>3159</v>
      </c>
      <c r="Q2687" s="16">
        <v>3199</v>
      </c>
      <c r="R2687" s="17">
        <v>48</v>
      </c>
      <c r="S2687" s="18">
        <v>1913.002</v>
      </c>
      <c r="T2687" s="19" t="s">
        <v>117</v>
      </c>
      <c r="U2687" s="20" t="s">
        <v>2161</v>
      </c>
      <c r="V2687" s="21">
        <v>164</v>
      </c>
      <c r="W2687" s="21">
        <v>1</v>
      </c>
      <c r="X2687" s="22"/>
    </row>
    <row r="2688" spans="1:24" s="1" customFormat="1" ht="108" customHeight="1" x14ac:dyDescent="0.3">
      <c r="A2688" s="11" t="s">
        <v>2957</v>
      </c>
      <c r="B2688" s="11" t="s">
        <v>3292</v>
      </c>
      <c r="C2688" s="12" t="s">
        <v>3293</v>
      </c>
      <c r="D2688" s="24"/>
      <c r="E2688" s="69" t="str">
        <f>HYPERLINK("https://www.google.ru/search?q=516492B-6988&amp;newwindow=1&amp;tbm=isch","Еще фото")</f>
        <v>Еще фото</v>
      </c>
      <c r="F2688" s="13"/>
      <c r="G2688" s="11" t="s">
        <v>3294</v>
      </c>
      <c r="H2688" s="11" t="s">
        <v>27</v>
      </c>
      <c r="I2688" s="14" t="s">
        <v>254</v>
      </c>
      <c r="J2688" s="14" t="s">
        <v>255</v>
      </c>
      <c r="K2688" s="15" t="s">
        <v>30</v>
      </c>
      <c r="L2688" s="14" t="s">
        <v>3295</v>
      </c>
      <c r="M2688" s="14"/>
      <c r="N2688" s="14" t="s">
        <v>70</v>
      </c>
      <c r="O2688" s="14"/>
      <c r="P2688" s="15" t="s">
        <v>3296</v>
      </c>
      <c r="Q2688" s="16">
        <v>2199</v>
      </c>
      <c r="R2688" s="17">
        <v>45</v>
      </c>
      <c r="S2688" s="18">
        <v>1390.8674999999998</v>
      </c>
      <c r="T2688" s="19" t="s">
        <v>117</v>
      </c>
      <c r="U2688" s="20" t="s">
        <v>744</v>
      </c>
      <c r="V2688" s="21">
        <v>80</v>
      </c>
      <c r="W2688" s="21">
        <v>6</v>
      </c>
      <c r="X2688" s="22"/>
    </row>
    <row r="2689" spans="1:24" s="1" customFormat="1" ht="14.1" customHeight="1" x14ac:dyDescent="0.3">
      <c r="A2689" s="11" t="s">
        <v>3014</v>
      </c>
      <c r="B2689" s="11" t="s">
        <v>3297</v>
      </c>
      <c r="C2689" s="12" t="s">
        <v>3298</v>
      </c>
      <c r="D2689" s="83"/>
      <c r="E2689" s="69" t="str">
        <f t="shared" ref="E2689:E2695" si="104">HYPERLINK("https://www.google.ru/search?q=72206310-6140&amp;newwindow=1&amp;tbm=isch","Еще фото")</f>
        <v>Еще фото</v>
      </c>
      <c r="F2689" s="13"/>
      <c r="G2689" s="11" t="s">
        <v>264</v>
      </c>
      <c r="H2689" s="11" t="s">
        <v>27</v>
      </c>
      <c r="I2689" s="14" t="s">
        <v>254</v>
      </c>
      <c r="J2689" s="14" t="s">
        <v>29</v>
      </c>
      <c r="K2689" s="15" t="s">
        <v>30</v>
      </c>
      <c r="L2689" s="86"/>
      <c r="M2689" s="14"/>
      <c r="N2689" s="14" t="s">
        <v>70</v>
      </c>
      <c r="O2689" s="14"/>
      <c r="P2689" s="15" t="s">
        <v>3299</v>
      </c>
      <c r="Q2689" s="16">
        <v>2999</v>
      </c>
      <c r="R2689" s="17">
        <v>45</v>
      </c>
      <c r="S2689" s="18">
        <v>1896.8674999999998</v>
      </c>
      <c r="T2689" s="19" t="s">
        <v>117</v>
      </c>
      <c r="U2689" s="20" t="s">
        <v>37</v>
      </c>
      <c r="V2689" s="21">
        <v>128</v>
      </c>
      <c r="W2689" s="21">
        <v>3</v>
      </c>
      <c r="X2689" s="22"/>
    </row>
    <row r="2690" spans="1:24" s="1" customFormat="1" ht="14.1" customHeight="1" x14ac:dyDescent="0.3">
      <c r="A2690" s="23" t="s">
        <v>3014</v>
      </c>
      <c r="B2690" s="23" t="s">
        <v>3297</v>
      </c>
      <c r="C2690" s="12" t="s">
        <v>3298</v>
      </c>
      <c r="D2690" s="84"/>
      <c r="E2690" s="69" t="str">
        <f t="shared" si="104"/>
        <v>Еще фото</v>
      </c>
      <c r="F2690" s="13"/>
      <c r="G2690" s="23" t="s">
        <v>264</v>
      </c>
      <c r="H2690" s="23" t="s">
        <v>27</v>
      </c>
      <c r="I2690" s="23" t="s">
        <v>254</v>
      </c>
      <c r="J2690" s="14" t="s">
        <v>29</v>
      </c>
      <c r="K2690" s="15" t="s">
        <v>30</v>
      </c>
      <c r="L2690" s="87"/>
      <c r="M2690" s="14"/>
      <c r="N2690" s="14" t="s">
        <v>70</v>
      </c>
      <c r="O2690" s="14"/>
      <c r="P2690" s="15" t="s">
        <v>3299</v>
      </c>
      <c r="Q2690" s="16">
        <v>2999</v>
      </c>
      <c r="R2690" s="17">
        <v>45</v>
      </c>
      <c r="S2690" s="18">
        <v>1896.8674999999998</v>
      </c>
      <c r="T2690" s="19" t="s">
        <v>117</v>
      </c>
      <c r="U2690" s="20" t="s">
        <v>91</v>
      </c>
      <c r="V2690" s="21">
        <v>134</v>
      </c>
      <c r="W2690" s="21">
        <v>1</v>
      </c>
      <c r="X2690" s="22"/>
    </row>
    <row r="2691" spans="1:24" s="1" customFormat="1" ht="14.1" customHeight="1" x14ac:dyDescent="0.3">
      <c r="A2691" s="23" t="s">
        <v>3014</v>
      </c>
      <c r="B2691" s="23" t="s">
        <v>3297</v>
      </c>
      <c r="C2691" s="12" t="s">
        <v>3298</v>
      </c>
      <c r="D2691" s="84"/>
      <c r="E2691" s="69" t="str">
        <f t="shared" si="104"/>
        <v>Еще фото</v>
      </c>
      <c r="F2691" s="13"/>
      <c r="G2691" s="23" t="s">
        <v>264</v>
      </c>
      <c r="H2691" s="23" t="s">
        <v>27</v>
      </c>
      <c r="I2691" s="23" t="s">
        <v>254</v>
      </c>
      <c r="J2691" s="14" t="s">
        <v>29</v>
      </c>
      <c r="K2691" s="15" t="s">
        <v>30</v>
      </c>
      <c r="L2691" s="87"/>
      <c r="M2691" s="14"/>
      <c r="N2691" s="14" t="s">
        <v>70</v>
      </c>
      <c r="O2691" s="14"/>
      <c r="P2691" s="15" t="s">
        <v>3299</v>
      </c>
      <c r="Q2691" s="16">
        <v>2999</v>
      </c>
      <c r="R2691" s="17">
        <v>45</v>
      </c>
      <c r="S2691" s="18">
        <v>1896.8674999999998</v>
      </c>
      <c r="T2691" s="19" t="s">
        <v>117</v>
      </c>
      <c r="U2691" s="20" t="s">
        <v>43</v>
      </c>
      <c r="V2691" s="21">
        <v>110</v>
      </c>
      <c r="W2691" s="21">
        <v>1</v>
      </c>
      <c r="X2691" s="22"/>
    </row>
    <row r="2692" spans="1:24" s="1" customFormat="1" ht="14.1" customHeight="1" x14ac:dyDescent="0.3">
      <c r="A2692" s="23" t="s">
        <v>3014</v>
      </c>
      <c r="B2692" s="23" t="s">
        <v>3297</v>
      </c>
      <c r="C2692" s="12" t="s">
        <v>3298</v>
      </c>
      <c r="D2692" s="84"/>
      <c r="E2692" s="69" t="str">
        <f t="shared" si="104"/>
        <v>Еще фото</v>
      </c>
      <c r="F2692" s="13"/>
      <c r="G2692" s="23" t="s">
        <v>264</v>
      </c>
      <c r="H2692" s="23" t="s">
        <v>27</v>
      </c>
      <c r="I2692" s="23" t="s">
        <v>254</v>
      </c>
      <c r="J2692" s="14" t="s">
        <v>29</v>
      </c>
      <c r="K2692" s="15" t="s">
        <v>30</v>
      </c>
      <c r="L2692" s="87"/>
      <c r="M2692" s="14"/>
      <c r="N2692" s="14" t="s">
        <v>70</v>
      </c>
      <c r="O2692" s="14"/>
      <c r="P2692" s="15" t="s">
        <v>3299</v>
      </c>
      <c r="Q2692" s="16">
        <v>2999</v>
      </c>
      <c r="R2692" s="17">
        <v>45</v>
      </c>
      <c r="S2692" s="18">
        <v>1896.8674999999998</v>
      </c>
      <c r="T2692" s="19" t="s">
        <v>117</v>
      </c>
      <c r="U2692" s="20" t="s">
        <v>35</v>
      </c>
      <c r="V2692" s="21">
        <v>116</v>
      </c>
      <c r="W2692" s="21">
        <v>1</v>
      </c>
      <c r="X2692" s="22"/>
    </row>
    <row r="2693" spans="1:24" s="1" customFormat="1" ht="14.1" customHeight="1" x14ac:dyDescent="0.3">
      <c r="A2693" s="23" t="s">
        <v>3014</v>
      </c>
      <c r="B2693" s="23" t="s">
        <v>3297</v>
      </c>
      <c r="C2693" s="12" t="s">
        <v>3298</v>
      </c>
      <c r="D2693" s="84"/>
      <c r="E2693" s="69" t="str">
        <f t="shared" si="104"/>
        <v>Еще фото</v>
      </c>
      <c r="F2693" s="13"/>
      <c r="G2693" s="23" t="s">
        <v>264</v>
      </c>
      <c r="H2693" s="23" t="s">
        <v>27</v>
      </c>
      <c r="I2693" s="23" t="s">
        <v>254</v>
      </c>
      <c r="J2693" s="14" t="s">
        <v>29</v>
      </c>
      <c r="K2693" s="15" t="s">
        <v>30</v>
      </c>
      <c r="L2693" s="87"/>
      <c r="M2693" s="14"/>
      <c r="N2693" s="14" t="s">
        <v>70</v>
      </c>
      <c r="O2693" s="14"/>
      <c r="P2693" s="15" t="s">
        <v>3299</v>
      </c>
      <c r="Q2693" s="16">
        <v>2999</v>
      </c>
      <c r="R2693" s="17">
        <v>45</v>
      </c>
      <c r="S2693" s="18">
        <v>1896.8674999999998</v>
      </c>
      <c r="T2693" s="19" t="s">
        <v>117</v>
      </c>
      <c r="U2693" s="20" t="s">
        <v>36</v>
      </c>
      <c r="V2693" s="21">
        <v>122</v>
      </c>
      <c r="W2693" s="21">
        <v>2</v>
      </c>
      <c r="X2693" s="22"/>
    </row>
    <row r="2694" spans="1:24" s="1" customFormat="1" ht="14.1" customHeight="1" x14ac:dyDescent="0.3">
      <c r="A2694" s="23" t="s">
        <v>3014</v>
      </c>
      <c r="B2694" s="23" t="s">
        <v>3297</v>
      </c>
      <c r="C2694" s="12" t="s">
        <v>3298</v>
      </c>
      <c r="D2694" s="84"/>
      <c r="E2694" s="69" t="str">
        <f t="shared" si="104"/>
        <v>Еще фото</v>
      </c>
      <c r="F2694" s="13"/>
      <c r="G2694" s="23" t="s">
        <v>264</v>
      </c>
      <c r="H2694" s="23" t="s">
        <v>27</v>
      </c>
      <c r="I2694" s="23" t="s">
        <v>254</v>
      </c>
      <c r="J2694" s="14" t="s">
        <v>29</v>
      </c>
      <c r="K2694" s="15" t="s">
        <v>30</v>
      </c>
      <c r="L2694" s="87"/>
      <c r="M2694" s="14"/>
      <c r="N2694" s="14" t="s">
        <v>70</v>
      </c>
      <c r="O2694" s="14"/>
      <c r="P2694" s="15" t="s">
        <v>3299</v>
      </c>
      <c r="Q2694" s="16">
        <v>2999</v>
      </c>
      <c r="R2694" s="17">
        <v>45</v>
      </c>
      <c r="S2694" s="18">
        <v>1896.8674999999998</v>
      </c>
      <c r="T2694" s="19" t="s">
        <v>117</v>
      </c>
      <c r="U2694" s="20" t="s">
        <v>3088</v>
      </c>
      <c r="V2694" s="21">
        <v>158</v>
      </c>
      <c r="W2694" s="21">
        <v>4</v>
      </c>
      <c r="X2694" s="22"/>
    </row>
    <row r="2695" spans="1:24" s="1" customFormat="1" ht="17.100000000000001" customHeight="1" x14ac:dyDescent="0.3">
      <c r="A2695" s="23" t="s">
        <v>3014</v>
      </c>
      <c r="B2695" s="23" t="s">
        <v>3297</v>
      </c>
      <c r="C2695" s="12" t="s">
        <v>3298</v>
      </c>
      <c r="D2695" s="85"/>
      <c r="E2695" s="69" t="str">
        <f t="shared" si="104"/>
        <v>Еще фото</v>
      </c>
      <c r="F2695" s="13"/>
      <c r="G2695" s="23" t="s">
        <v>264</v>
      </c>
      <c r="H2695" s="23" t="s">
        <v>27</v>
      </c>
      <c r="I2695" s="23" t="s">
        <v>254</v>
      </c>
      <c r="J2695" s="14" t="s">
        <v>29</v>
      </c>
      <c r="K2695" s="15" t="s">
        <v>30</v>
      </c>
      <c r="L2695" s="88"/>
      <c r="M2695" s="14"/>
      <c r="N2695" s="14" t="s">
        <v>70</v>
      </c>
      <c r="O2695" s="14"/>
      <c r="P2695" s="15" t="s">
        <v>3299</v>
      </c>
      <c r="Q2695" s="16">
        <v>2999</v>
      </c>
      <c r="R2695" s="17">
        <v>45</v>
      </c>
      <c r="S2695" s="18">
        <v>1896.8674999999998</v>
      </c>
      <c r="T2695" s="19" t="s">
        <v>117</v>
      </c>
      <c r="U2695" s="20" t="s">
        <v>2161</v>
      </c>
      <c r="V2695" s="21">
        <v>164</v>
      </c>
      <c r="W2695" s="21">
        <v>4</v>
      </c>
      <c r="X2695" s="22"/>
    </row>
    <row r="2696" spans="1:24" s="1" customFormat="1" ht="21" customHeight="1" x14ac:dyDescent="0.3">
      <c r="A2696" s="11" t="s">
        <v>3014</v>
      </c>
      <c r="B2696" s="11" t="s">
        <v>3300</v>
      </c>
      <c r="C2696" s="27" t="s">
        <v>3301</v>
      </c>
      <c r="D2696" s="83"/>
      <c r="E2696" s="69" t="str">
        <f>HYPERLINK("https://www.google.ru/search?q=72206311-5101&amp;newwindow=1&amp;tbm=isch","Еще фото")</f>
        <v>Еще фото</v>
      </c>
      <c r="F2696" s="13"/>
      <c r="G2696" s="11" t="s">
        <v>264</v>
      </c>
      <c r="H2696" s="11" t="s">
        <v>27</v>
      </c>
      <c r="I2696" s="14" t="s">
        <v>254</v>
      </c>
      <c r="J2696" s="14" t="s">
        <v>255</v>
      </c>
      <c r="K2696" s="15" t="s">
        <v>30</v>
      </c>
      <c r="L2696" s="86"/>
      <c r="M2696" s="14"/>
      <c r="N2696" s="14" t="s">
        <v>3302</v>
      </c>
      <c r="O2696" s="14"/>
      <c r="P2696" s="15" t="s">
        <v>3299</v>
      </c>
      <c r="Q2696" s="16">
        <v>2499</v>
      </c>
      <c r="R2696" s="17">
        <v>45</v>
      </c>
      <c r="S2696" s="18">
        <v>1580.6174999999998</v>
      </c>
      <c r="T2696" s="19" t="s">
        <v>117</v>
      </c>
      <c r="U2696" s="20" t="s">
        <v>2976</v>
      </c>
      <c r="V2696" s="21">
        <v>86</v>
      </c>
      <c r="W2696" s="21">
        <v>4</v>
      </c>
      <c r="X2696" s="22"/>
    </row>
    <row r="2697" spans="1:24" s="1" customFormat="1" ht="21" customHeight="1" x14ac:dyDescent="0.3">
      <c r="A2697" s="23" t="s">
        <v>3014</v>
      </c>
      <c r="B2697" s="23" t="s">
        <v>3300</v>
      </c>
      <c r="C2697" s="28" t="s">
        <v>3301</v>
      </c>
      <c r="D2697" s="84"/>
      <c r="E2697" s="69" t="str">
        <f>HYPERLINK("https://www.google.ru/search?q=72206311-5101&amp;newwindow=1&amp;tbm=isch","Еще фото")</f>
        <v>Еще фото</v>
      </c>
      <c r="F2697" s="13"/>
      <c r="G2697" s="23" t="s">
        <v>264</v>
      </c>
      <c r="H2697" s="23" t="s">
        <v>27</v>
      </c>
      <c r="I2697" s="23" t="s">
        <v>254</v>
      </c>
      <c r="J2697" s="14" t="s">
        <v>255</v>
      </c>
      <c r="K2697" s="15" t="s">
        <v>30</v>
      </c>
      <c r="L2697" s="87"/>
      <c r="M2697" s="14"/>
      <c r="N2697" s="14" t="s">
        <v>3302</v>
      </c>
      <c r="O2697" s="14"/>
      <c r="P2697" s="15" t="s">
        <v>3299</v>
      </c>
      <c r="Q2697" s="16">
        <v>2499</v>
      </c>
      <c r="R2697" s="17">
        <v>45</v>
      </c>
      <c r="S2697" s="18">
        <v>1580.6174999999998</v>
      </c>
      <c r="T2697" s="19" t="s">
        <v>117</v>
      </c>
      <c r="U2697" s="20" t="s">
        <v>2977</v>
      </c>
      <c r="V2697" s="21">
        <v>92</v>
      </c>
      <c r="W2697" s="21">
        <v>4</v>
      </c>
      <c r="X2697" s="22"/>
    </row>
    <row r="2698" spans="1:24" s="1" customFormat="1" ht="21" customHeight="1" x14ac:dyDescent="0.3">
      <c r="A2698" s="23" t="s">
        <v>3014</v>
      </c>
      <c r="B2698" s="23" t="s">
        <v>3300</v>
      </c>
      <c r="C2698" s="28" t="s">
        <v>3301</v>
      </c>
      <c r="D2698" s="84"/>
      <c r="E2698" s="69" t="str">
        <f>HYPERLINK("https://www.google.ru/search?q=72206311-5101&amp;newwindow=1&amp;tbm=isch","Еще фото")</f>
        <v>Еще фото</v>
      </c>
      <c r="F2698" s="13"/>
      <c r="G2698" s="23" t="s">
        <v>264</v>
      </c>
      <c r="H2698" s="23" t="s">
        <v>27</v>
      </c>
      <c r="I2698" s="23" t="s">
        <v>254</v>
      </c>
      <c r="J2698" s="14" t="s">
        <v>255</v>
      </c>
      <c r="K2698" s="15" t="s">
        <v>30</v>
      </c>
      <c r="L2698" s="87"/>
      <c r="M2698" s="14"/>
      <c r="N2698" s="14" t="s">
        <v>3302</v>
      </c>
      <c r="O2698" s="14"/>
      <c r="P2698" s="15" t="s">
        <v>3299</v>
      </c>
      <c r="Q2698" s="16">
        <v>2499</v>
      </c>
      <c r="R2698" s="17">
        <v>45</v>
      </c>
      <c r="S2698" s="18">
        <v>1580.6174999999998</v>
      </c>
      <c r="T2698" s="19" t="s">
        <v>117</v>
      </c>
      <c r="U2698" s="20" t="s">
        <v>2961</v>
      </c>
      <c r="V2698" s="21">
        <v>98</v>
      </c>
      <c r="W2698" s="21">
        <v>3</v>
      </c>
      <c r="X2698" s="22"/>
    </row>
    <row r="2699" spans="1:24" s="1" customFormat="1" ht="21" customHeight="1" x14ac:dyDescent="0.3">
      <c r="A2699" s="23" t="s">
        <v>3014</v>
      </c>
      <c r="B2699" s="23" t="s">
        <v>3300</v>
      </c>
      <c r="C2699" s="28" t="s">
        <v>3301</v>
      </c>
      <c r="D2699" s="84"/>
      <c r="E2699" s="69" t="str">
        <f>HYPERLINK("https://www.google.ru/search?q=72206311-5101&amp;newwindow=1&amp;tbm=isch","Еще фото")</f>
        <v>Еще фото</v>
      </c>
      <c r="F2699" s="13"/>
      <c r="G2699" s="23" t="s">
        <v>264</v>
      </c>
      <c r="H2699" s="23" t="s">
        <v>27</v>
      </c>
      <c r="I2699" s="23" t="s">
        <v>254</v>
      </c>
      <c r="J2699" s="14" t="s">
        <v>255</v>
      </c>
      <c r="K2699" s="15" t="s">
        <v>30</v>
      </c>
      <c r="L2699" s="87"/>
      <c r="M2699" s="14"/>
      <c r="N2699" s="14" t="s">
        <v>3302</v>
      </c>
      <c r="O2699" s="14"/>
      <c r="P2699" s="15" t="s">
        <v>3299</v>
      </c>
      <c r="Q2699" s="16">
        <v>2499</v>
      </c>
      <c r="R2699" s="17">
        <v>45</v>
      </c>
      <c r="S2699" s="18">
        <v>1580.6174999999998</v>
      </c>
      <c r="T2699" s="19" t="s">
        <v>117</v>
      </c>
      <c r="U2699" s="20" t="s">
        <v>94</v>
      </c>
      <c r="V2699" s="21">
        <v>104</v>
      </c>
      <c r="W2699" s="21">
        <v>4</v>
      </c>
      <c r="X2699" s="22"/>
    </row>
    <row r="2700" spans="1:24" s="1" customFormat="1" ht="32.1" customHeight="1" x14ac:dyDescent="0.3">
      <c r="A2700" s="23" t="s">
        <v>3014</v>
      </c>
      <c r="B2700" s="23" t="s">
        <v>3300</v>
      </c>
      <c r="C2700" s="28" t="s">
        <v>3301</v>
      </c>
      <c r="D2700" s="85"/>
      <c r="E2700" s="69" t="str">
        <f>HYPERLINK("https://www.google.ru/search?q=72206311-5101&amp;newwindow=1&amp;tbm=isch","Еще фото")</f>
        <v>Еще фото</v>
      </c>
      <c r="F2700" s="13"/>
      <c r="G2700" s="23" t="s">
        <v>264</v>
      </c>
      <c r="H2700" s="23" t="s">
        <v>27</v>
      </c>
      <c r="I2700" s="23" t="s">
        <v>254</v>
      </c>
      <c r="J2700" s="14" t="s">
        <v>255</v>
      </c>
      <c r="K2700" s="15" t="s">
        <v>30</v>
      </c>
      <c r="L2700" s="88"/>
      <c r="M2700" s="14"/>
      <c r="N2700" s="14" t="s">
        <v>3302</v>
      </c>
      <c r="O2700" s="14"/>
      <c r="P2700" s="15" t="s">
        <v>3299</v>
      </c>
      <c r="Q2700" s="16">
        <v>2499</v>
      </c>
      <c r="R2700" s="17">
        <v>45</v>
      </c>
      <c r="S2700" s="18">
        <v>1580.6174999999998</v>
      </c>
      <c r="T2700" s="19" t="s">
        <v>117</v>
      </c>
      <c r="U2700" s="20" t="s">
        <v>43</v>
      </c>
      <c r="V2700" s="21">
        <v>110</v>
      </c>
      <c r="W2700" s="21">
        <v>1</v>
      </c>
      <c r="X2700" s="22"/>
    </row>
    <row r="2701" spans="1:24" s="1" customFormat="1" ht="21" customHeight="1" x14ac:dyDescent="0.3">
      <c r="A2701" s="11" t="s">
        <v>3014</v>
      </c>
      <c r="B2701" s="11" t="s">
        <v>3300</v>
      </c>
      <c r="C2701" s="27" t="s">
        <v>3303</v>
      </c>
      <c r="D2701" s="83"/>
      <c r="E2701" s="69" t="str">
        <f>HYPERLINK("https://www.google.ru/search?q=72206311-7060&amp;newwindow=1&amp;tbm=isch","Еще фото")</f>
        <v>Еще фото</v>
      </c>
      <c r="F2701" s="13"/>
      <c r="G2701" s="11" t="s">
        <v>264</v>
      </c>
      <c r="H2701" s="11" t="s">
        <v>27</v>
      </c>
      <c r="I2701" s="14" t="s">
        <v>254</v>
      </c>
      <c r="J2701" s="14" t="s">
        <v>255</v>
      </c>
      <c r="K2701" s="15" t="s">
        <v>30</v>
      </c>
      <c r="L2701" s="86"/>
      <c r="M2701" s="14"/>
      <c r="N2701" s="14" t="s">
        <v>242</v>
      </c>
      <c r="O2701" s="14"/>
      <c r="P2701" s="15" t="s">
        <v>3299</v>
      </c>
      <c r="Q2701" s="16">
        <v>2499</v>
      </c>
      <c r="R2701" s="17">
        <v>45</v>
      </c>
      <c r="S2701" s="18">
        <v>1580.6174999999998</v>
      </c>
      <c r="T2701" s="19" t="s">
        <v>117</v>
      </c>
      <c r="U2701" s="20" t="s">
        <v>2976</v>
      </c>
      <c r="V2701" s="21">
        <v>86</v>
      </c>
      <c r="W2701" s="21">
        <v>2</v>
      </c>
      <c r="X2701" s="22"/>
    </row>
    <row r="2702" spans="1:24" s="1" customFormat="1" ht="21" customHeight="1" x14ac:dyDescent="0.3">
      <c r="A2702" s="23" t="s">
        <v>3014</v>
      </c>
      <c r="B2702" s="23" t="s">
        <v>3300</v>
      </c>
      <c r="C2702" s="28" t="s">
        <v>3303</v>
      </c>
      <c r="D2702" s="84"/>
      <c r="E2702" s="69" t="str">
        <f>HYPERLINK("https://www.google.ru/search?q=72206311-7060&amp;newwindow=1&amp;tbm=isch","Еще фото")</f>
        <v>Еще фото</v>
      </c>
      <c r="F2702" s="13"/>
      <c r="G2702" s="23" t="s">
        <v>264</v>
      </c>
      <c r="H2702" s="23" t="s">
        <v>27</v>
      </c>
      <c r="I2702" s="23" t="s">
        <v>254</v>
      </c>
      <c r="J2702" s="14" t="s">
        <v>255</v>
      </c>
      <c r="K2702" s="15" t="s">
        <v>30</v>
      </c>
      <c r="L2702" s="87"/>
      <c r="M2702" s="14"/>
      <c r="N2702" s="14" t="s">
        <v>242</v>
      </c>
      <c r="O2702" s="14"/>
      <c r="P2702" s="15" t="s">
        <v>3299</v>
      </c>
      <c r="Q2702" s="16">
        <v>2499</v>
      </c>
      <c r="R2702" s="17">
        <v>45</v>
      </c>
      <c r="S2702" s="18">
        <v>1580.6174999999998</v>
      </c>
      <c r="T2702" s="19" t="s">
        <v>117</v>
      </c>
      <c r="U2702" s="20" t="s">
        <v>2977</v>
      </c>
      <c r="V2702" s="21">
        <v>92</v>
      </c>
      <c r="W2702" s="21">
        <v>3</v>
      </c>
      <c r="X2702" s="22"/>
    </row>
    <row r="2703" spans="1:24" s="1" customFormat="1" ht="21" customHeight="1" x14ac:dyDescent="0.3">
      <c r="A2703" s="23" t="s">
        <v>3014</v>
      </c>
      <c r="B2703" s="23" t="s">
        <v>3300</v>
      </c>
      <c r="C2703" s="28" t="s">
        <v>3303</v>
      </c>
      <c r="D2703" s="84"/>
      <c r="E2703" s="69" t="str">
        <f>HYPERLINK("https://www.google.ru/search?q=72206311-7060&amp;newwindow=1&amp;tbm=isch","Еще фото")</f>
        <v>Еще фото</v>
      </c>
      <c r="F2703" s="13"/>
      <c r="G2703" s="23" t="s">
        <v>264</v>
      </c>
      <c r="H2703" s="23" t="s">
        <v>27</v>
      </c>
      <c r="I2703" s="23" t="s">
        <v>254</v>
      </c>
      <c r="J2703" s="14" t="s">
        <v>255</v>
      </c>
      <c r="K2703" s="15" t="s">
        <v>30</v>
      </c>
      <c r="L2703" s="87"/>
      <c r="M2703" s="14"/>
      <c r="N2703" s="14" t="s">
        <v>242</v>
      </c>
      <c r="O2703" s="14"/>
      <c r="P2703" s="15" t="s">
        <v>3299</v>
      </c>
      <c r="Q2703" s="16">
        <v>2499</v>
      </c>
      <c r="R2703" s="17">
        <v>45</v>
      </c>
      <c r="S2703" s="18">
        <v>1580.6174999999998</v>
      </c>
      <c r="T2703" s="19" t="s">
        <v>117</v>
      </c>
      <c r="U2703" s="20" t="s">
        <v>2961</v>
      </c>
      <c r="V2703" s="21">
        <v>98</v>
      </c>
      <c r="W2703" s="21">
        <v>2</v>
      </c>
      <c r="X2703" s="22"/>
    </row>
    <row r="2704" spans="1:24" s="1" customFormat="1" ht="21" customHeight="1" x14ac:dyDescent="0.3">
      <c r="A2704" s="23" t="s">
        <v>3014</v>
      </c>
      <c r="B2704" s="23" t="s">
        <v>3300</v>
      </c>
      <c r="C2704" s="28" t="s">
        <v>3303</v>
      </c>
      <c r="D2704" s="84"/>
      <c r="E2704" s="69" t="str">
        <f>HYPERLINK("https://www.google.ru/search?q=72206311-7060&amp;newwindow=1&amp;tbm=isch","Еще фото")</f>
        <v>Еще фото</v>
      </c>
      <c r="F2704" s="13"/>
      <c r="G2704" s="23" t="s">
        <v>264</v>
      </c>
      <c r="H2704" s="23" t="s">
        <v>27</v>
      </c>
      <c r="I2704" s="23" t="s">
        <v>254</v>
      </c>
      <c r="J2704" s="14" t="s">
        <v>255</v>
      </c>
      <c r="K2704" s="15" t="s">
        <v>30</v>
      </c>
      <c r="L2704" s="87"/>
      <c r="M2704" s="14"/>
      <c r="N2704" s="14" t="s">
        <v>242</v>
      </c>
      <c r="O2704" s="14"/>
      <c r="P2704" s="15" t="s">
        <v>3299</v>
      </c>
      <c r="Q2704" s="16">
        <v>2499</v>
      </c>
      <c r="R2704" s="17">
        <v>45</v>
      </c>
      <c r="S2704" s="18">
        <v>1580.6174999999998</v>
      </c>
      <c r="T2704" s="19" t="s">
        <v>117</v>
      </c>
      <c r="U2704" s="20" t="s">
        <v>94</v>
      </c>
      <c r="V2704" s="21">
        <v>104</v>
      </c>
      <c r="W2704" s="21">
        <v>2</v>
      </c>
      <c r="X2704" s="22"/>
    </row>
    <row r="2705" spans="1:24" s="1" customFormat="1" ht="32.1" customHeight="1" x14ac:dyDescent="0.3">
      <c r="A2705" s="23" t="s">
        <v>3014</v>
      </c>
      <c r="B2705" s="23" t="s">
        <v>3300</v>
      </c>
      <c r="C2705" s="28" t="s">
        <v>3303</v>
      </c>
      <c r="D2705" s="85"/>
      <c r="E2705" s="69" t="str">
        <f>HYPERLINK("https://www.google.ru/search?q=72206311-7060&amp;newwindow=1&amp;tbm=isch","Еще фото")</f>
        <v>Еще фото</v>
      </c>
      <c r="F2705" s="13"/>
      <c r="G2705" s="23" t="s">
        <v>264</v>
      </c>
      <c r="H2705" s="23" t="s">
        <v>27</v>
      </c>
      <c r="I2705" s="23" t="s">
        <v>254</v>
      </c>
      <c r="J2705" s="14" t="s">
        <v>255</v>
      </c>
      <c r="K2705" s="15" t="s">
        <v>30</v>
      </c>
      <c r="L2705" s="88"/>
      <c r="M2705" s="14"/>
      <c r="N2705" s="14" t="s">
        <v>242</v>
      </c>
      <c r="O2705" s="14"/>
      <c r="P2705" s="15" t="s">
        <v>3299</v>
      </c>
      <c r="Q2705" s="16">
        <v>2499</v>
      </c>
      <c r="R2705" s="17">
        <v>45</v>
      </c>
      <c r="S2705" s="18">
        <v>1580.6174999999998</v>
      </c>
      <c r="T2705" s="19" t="s">
        <v>117</v>
      </c>
      <c r="U2705" s="20" t="s">
        <v>43</v>
      </c>
      <c r="V2705" s="21">
        <v>110</v>
      </c>
      <c r="W2705" s="21">
        <v>2</v>
      </c>
      <c r="X2705" s="22"/>
    </row>
    <row r="2706" spans="1:24" s="1" customFormat="1" ht="26.1" customHeight="1" x14ac:dyDescent="0.3">
      <c r="A2706" s="11" t="s">
        <v>3304</v>
      </c>
      <c r="B2706" s="11" t="s">
        <v>3305</v>
      </c>
      <c r="C2706" s="12" t="s">
        <v>3306</v>
      </c>
      <c r="D2706" s="83"/>
      <c r="E2706" s="69" t="str">
        <f>HYPERLINK("https://www.google.ru/search?q=6147YR1008-202&amp;newwindow=1&amp;tbm=isch","Еще фото")</f>
        <v>Еще фото</v>
      </c>
      <c r="F2706" s="13"/>
      <c r="G2706" s="11" t="s">
        <v>324</v>
      </c>
      <c r="H2706" s="11" t="s">
        <v>27</v>
      </c>
      <c r="I2706" s="14" t="s">
        <v>308</v>
      </c>
      <c r="J2706" s="14" t="s">
        <v>29</v>
      </c>
      <c r="K2706" s="15" t="s">
        <v>55</v>
      </c>
      <c r="L2706" s="86" t="s">
        <v>3307</v>
      </c>
      <c r="M2706" s="14"/>
      <c r="N2706" s="14" t="s">
        <v>41</v>
      </c>
      <c r="O2706" s="14"/>
      <c r="P2706" s="15" t="s">
        <v>108</v>
      </c>
      <c r="Q2706" s="16">
        <v>22499</v>
      </c>
      <c r="R2706" s="17">
        <v>86.05</v>
      </c>
      <c r="S2706" s="18">
        <v>3608.4354999999996</v>
      </c>
      <c r="T2706" s="19" t="s">
        <v>328</v>
      </c>
      <c r="U2706" s="20" t="s">
        <v>66</v>
      </c>
      <c r="V2706" s="25" t="s">
        <v>65</v>
      </c>
      <c r="W2706" s="21">
        <v>1</v>
      </c>
      <c r="X2706" s="22"/>
    </row>
    <row r="2707" spans="1:24" s="1" customFormat="1" ht="26.1" customHeight="1" x14ac:dyDescent="0.3">
      <c r="A2707" s="23" t="s">
        <v>3304</v>
      </c>
      <c r="B2707" s="23" t="s">
        <v>3305</v>
      </c>
      <c r="C2707" s="12" t="s">
        <v>3306</v>
      </c>
      <c r="D2707" s="84"/>
      <c r="E2707" s="69" t="str">
        <f>HYPERLINK("https://www.google.ru/search?q=6147YR1008-202&amp;newwindow=1&amp;tbm=isch","Еще фото")</f>
        <v>Еще фото</v>
      </c>
      <c r="F2707" s="13"/>
      <c r="G2707" s="23" t="s">
        <v>324</v>
      </c>
      <c r="H2707" s="23" t="s">
        <v>27</v>
      </c>
      <c r="I2707" s="23" t="s">
        <v>308</v>
      </c>
      <c r="J2707" s="14" t="s">
        <v>29</v>
      </c>
      <c r="K2707" s="15" t="s">
        <v>55</v>
      </c>
      <c r="L2707" s="87"/>
      <c r="M2707" s="14"/>
      <c r="N2707" s="14" t="s">
        <v>41</v>
      </c>
      <c r="O2707" s="14"/>
      <c r="P2707" s="15" t="s">
        <v>108</v>
      </c>
      <c r="Q2707" s="16">
        <v>22499</v>
      </c>
      <c r="R2707" s="17">
        <v>86.05</v>
      </c>
      <c r="S2707" s="18">
        <v>3608.4354999999996</v>
      </c>
      <c r="T2707" s="19" t="s">
        <v>328</v>
      </c>
      <c r="U2707" s="20" t="s">
        <v>58</v>
      </c>
      <c r="V2707" s="25" t="s">
        <v>67</v>
      </c>
      <c r="W2707" s="21">
        <v>5</v>
      </c>
      <c r="X2707" s="22"/>
    </row>
    <row r="2708" spans="1:24" s="1" customFormat="1" ht="26.1" customHeight="1" x14ac:dyDescent="0.3">
      <c r="A2708" s="23" t="s">
        <v>3304</v>
      </c>
      <c r="B2708" s="23" t="s">
        <v>3305</v>
      </c>
      <c r="C2708" s="12" t="s">
        <v>3306</v>
      </c>
      <c r="D2708" s="84"/>
      <c r="E2708" s="69" t="str">
        <f>HYPERLINK("https://www.google.ru/search?q=6147YR1008-202&amp;newwindow=1&amp;tbm=isch","Еще фото")</f>
        <v>Еще фото</v>
      </c>
      <c r="F2708" s="13"/>
      <c r="G2708" s="23" t="s">
        <v>324</v>
      </c>
      <c r="H2708" s="23" t="s">
        <v>27</v>
      </c>
      <c r="I2708" s="23" t="s">
        <v>308</v>
      </c>
      <c r="J2708" s="14" t="s">
        <v>29</v>
      </c>
      <c r="K2708" s="15" t="s">
        <v>55</v>
      </c>
      <c r="L2708" s="87"/>
      <c r="M2708" s="14"/>
      <c r="N2708" s="14" t="s">
        <v>41</v>
      </c>
      <c r="O2708" s="14"/>
      <c r="P2708" s="15" t="s">
        <v>108</v>
      </c>
      <c r="Q2708" s="16">
        <v>22499</v>
      </c>
      <c r="R2708" s="17">
        <v>86.05</v>
      </c>
      <c r="S2708" s="18">
        <v>3608.4354999999996</v>
      </c>
      <c r="T2708" s="19" t="s">
        <v>328</v>
      </c>
      <c r="U2708" s="20" t="s">
        <v>52</v>
      </c>
      <c r="V2708" s="25" t="s">
        <v>68</v>
      </c>
      <c r="W2708" s="21">
        <v>4</v>
      </c>
      <c r="X2708" s="22"/>
    </row>
    <row r="2709" spans="1:24" s="1" customFormat="1" ht="26.1" customHeight="1" x14ac:dyDescent="0.3">
      <c r="A2709" s="23" t="s">
        <v>3304</v>
      </c>
      <c r="B2709" s="23" t="s">
        <v>3305</v>
      </c>
      <c r="C2709" s="12" t="s">
        <v>3306</v>
      </c>
      <c r="D2709" s="85"/>
      <c r="E2709" s="69" t="str">
        <f>HYPERLINK("https://www.google.ru/search?q=6147YR1008-202&amp;newwindow=1&amp;tbm=isch","Еще фото")</f>
        <v>Еще фото</v>
      </c>
      <c r="F2709" s="13"/>
      <c r="G2709" s="23" t="s">
        <v>324</v>
      </c>
      <c r="H2709" s="23" t="s">
        <v>27</v>
      </c>
      <c r="I2709" s="23" t="s">
        <v>308</v>
      </c>
      <c r="J2709" s="14" t="s">
        <v>29</v>
      </c>
      <c r="K2709" s="15" t="s">
        <v>55</v>
      </c>
      <c r="L2709" s="88"/>
      <c r="M2709" s="14"/>
      <c r="N2709" s="14" t="s">
        <v>41</v>
      </c>
      <c r="O2709" s="14"/>
      <c r="P2709" s="15" t="s">
        <v>108</v>
      </c>
      <c r="Q2709" s="16">
        <v>22499</v>
      </c>
      <c r="R2709" s="17">
        <v>86.05</v>
      </c>
      <c r="S2709" s="18">
        <v>3608.4354999999996</v>
      </c>
      <c r="T2709" s="19" t="s">
        <v>328</v>
      </c>
      <c r="U2709" s="20" t="s">
        <v>3308</v>
      </c>
      <c r="V2709" s="25" t="s">
        <v>53</v>
      </c>
      <c r="W2709" s="21">
        <v>1</v>
      </c>
      <c r="X2709" s="22"/>
    </row>
    <row r="2710" spans="1:24" s="1" customFormat="1" ht="14.1" customHeight="1" x14ac:dyDescent="0.3">
      <c r="A2710" s="11" t="s">
        <v>2957</v>
      </c>
      <c r="B2710" s="11" t="s">
        <v>305</v>
      </c>
      <c r="C2710" s="12" t="s">
        <v>3309</v>
      </c>
      <c r="D2710" s="83"/>
      <c r="E2710" s="69" t="str">
        <f t="shared" ref="E2710:E2716" si="105">HYPERLINK("https://www.google.ru/search?q=531489-8130&amp;newwindow=1&amp;tbm=isch","Еще фото")</f>
        <v>Еще фото</v>
      </c>
      <c r="F2710" s="13"/>
      <c r="G2710" s="11" t="s">
        <v>307</v>
      </c>
      <c r="H2710" s="11" t="s">
        <v>27</v>
      </c>
      <c r="I2710" s="14" t="s">
        <v>308</v>
      </c>
      <c r="J2710" s="14" t="s">
        <v>138</v>
      </c>
      <c r="K2710" s="15" t="s">
        <v>30</v>
      </c>
      <c r="L2710" s="86" t="s">
        <v>3310</v>
      </c>
      <c r="M2710" s="14"/>
      <c r="N2710" s="14" t="s">
        <v>242</v>
      </c>
      <c r="O2710" s="14"/>
      <c r="P2710" s="15" t="s">
        <v>108</v>
      </c>
      <c r="Q2710" s="16">
        <v>5199</v>
      </c>
      <c r="R2710" s="17">
        <v>79.849999999999994</v>
      </c>
      <c r="S2710" s="18">
        <v>1204.9354999999998</v>
      </c>
      <c r="T2710" s="19" t="s">
        <v>117</v>
      </c>
      <c r="U2710" s="20" t="s">
        <v>37</v>
      </c>
      <c r="V2710" s="21">
        <v>128</v>
      </c>
      <c r="W2710" s="21">
        <v>3</v>
      </c>
      <c r="X2710" s="22"/>
    </row>
    <row r="2711" spans="1:24" s="1" customFormat="1" ht="14.1" customHeight="1" x14ac:dyDescent="0.3">
      <c r="A2711" s="23" t="s">
        <v>2957</v>
      </c>
      <c r="B2711" s="23" t="s">
        <v>305</v>
      </c>
      <c r="C2711" s="12" t="s">
        <v>3309</v>
      </c>
      <c r="D2711" s="84"/>
      <c r="E2711" s="69" t="str">
        <f t="shared" si="105"/>
        <v>Еще фото</v>
      </c>
      <c r="F2711" s="13"/>
      <c r="G2711" s="23" t="s">
        <v>307</v>
      </c>
      <c r="H2711" s="23" t="s">
        <v>27</v>
      </c>
      <c r="I2711" s="23" t="s">
        <v>308</v>
      </c>
      <c r="J2711" s="14" t="s">
        <v>138</v>
      </c>
      <c r="K2711" s="15" t="s">
        <v>30</v>
      </c>
      <c r="L2711" s="87"/>
      <c r="M2711" s="14"/>
      <c r="N2711" s="14" t="s">
        <v>242</v>
      </c>
      <c r="O2711" s="14"/>
      <c r="P2711" s="15" t="s">
        <v>108</v>
      </c>
      <c r="Q2711" s="16">
        <v>5199</v>
      </c>
      <c r="R2711" s="17">
        <v>79.849999999999994</v>
      </c>
      <c r="S2711" s="18">
        <v>1204.9354999999998</v>
      </c>
      <c r="T2711" s="19" t="s">
        <v>117</v>
      </c>
      <c r="U2711" s="20" t="s">
        <v>91</v>
      </c>
      <c r="V2711" s="21">
        <v>134</v>
      </c>
      <c r="W2711" s="21">
        <v>5</v>
      </c>
      <c r="X2711" s="22"/>
    </row>
    <row r="2712" spans="1:24" s="1" customFormat="1" ht="14.1" customHeight="1" x14ac:dyDescent="0.3">
      <c r="A2712" s="23" t="s">
        <v>2957</v>
      </c>
      <c r="B2712" s="23" t="s">
        <v>305</v>
      </c>
      <c r="C2712" s="12" t="s">
        <v>3309</v>
      </c>
      <c r="D2712" s="84"/>
      <c r="E2712" s="69" t="str">
        <f t="shared" si="105"/>
        <v>Еще фото</v>
      </c>
      <c r="F2712" s="13"/>
      <c r="G2712" s="23" t="s">
        <v>307</v>
      </c>
      <c r="H2712" s="23" t="s">
        <v>27</v>
      </c>
      <c r="I2712" s="23" t="s">
        <v>308</v>
      </c>
      <c r="J2712" s="14" t="s">
        <v>138</v>
      </c>
      <c r="K2712" s="15" t="s">
        <v>30</v>
      </c>
      <c r="L2712" s="87"/>
      <c r="M2712" s="14"/>
      <c r="N2712" s="14" t="s">
        <v>242</v>
      </c>
      <c r="O2712" s="14"/>
      <c r="P2712" s="15" t="s">
        <v>108</v>
      </c>
      <c r="Q2712" s="16">
        <v>5199</v>
      </c>
      <c r="R2712" s="17">
        <v>79.849999999999994</v>
      </c>
      <c r="S2712" s="18">
        <v>1204.9354999999998</v>
      </c>
      <c r="T2712" s="19" t="s">
        <v>117</v>
      </c>
      <c r="U2712" s="20" t="s">
        <v>290</v>
      </c>
      <c r="V2712" s="21">
        <v>140</v>
      </c>
      <c r="W2712" s="21">
        <v>12</v>
      </c>
      <c r="X2712" s="22"/>
    </row>
    <row r="2713" spans="1:24" s="1" customFormat="1" ht="14.1" customHeight="1" x14ac:dyDescent="0.3">
      <c r="A2713" s="23" t="s">
        <v>2957</v>
      </c>
      <c r="B2713" s="23" t="s">
        <v>305</v>
      </c>
      <c r="C2713" s="12" t="s">
        <v>3309</v>
      </c>
      <c r="D2713" s="84"/>
      <c r="E2713" s="69" t="str">
        <f t="shared" si="105"/>
        <v>Еще фото</v>
      </c>
      <c r="F2713" s="13"/>
      <c r="G2713" s="23" t="s">
        <v>307</v>
      </c>
      <c r="H2713" s="23" t="s">
        <v>27</v>
      </c>
      <c r="I2713" s="23" t="s">
        <v>308</v>
      </c>
      <c r="J2713" s="14" t="s">
        <v>138</v>
      </c>
      <c r="K2713" s="15" t="s">
        <v>30</v>
      </c>
      <c r="L2713" s="87"/>
      <c r="M2713" s="14"/>
      <c r="N2713" s="14" t="s">
        <v>242</v>
      </c>
      <c r="O2713" s="14"/>
      <c r="P2713" s="15" t="s">
        <v>108</v>
      </c>
      <c r="Q2713" s="16">
        <v>5199</v>
      </c>
      <c r="R2713" s="17">
        <v>79.849999999999994</v>
      </c>
      <c r="S2713" s="18">
        <v>1204.9354999999998</v>
      </c>
      <c r="T2713" s="19" t="s">
        <v>117</v>
      </c>
      <c r="U2713" s="20" t="s">
        <v>2993</v>
      </c>
      <c r="V2713" s="21">
        <v>146</v>
      </c>
      <c r="W2713" s="21">
        <v>13</v>
      </c>
      <c r="X2713" s="22"/>
    </row>
    <row r="2714" spans="1:24" s="1" customFormat="1" ht="14.1" customHeight="1" x14ac:dyDescent="0.3">
      <c r="A2714" s="23" t="s">
        <v>2957</v>
      </c>
      <c r="B2714" s="23" t="s">
        <v>305</v>
      </c>
      <c r="C2714" s="12" t="s">
        <v>3309</v>
      </c>
      <c r="D2714" s="84"/>
      <c r="E2714" s="69" t="str">
        <f t="shared" si="105"/>
        <v>Еще фото</v>
      </c>
      <c r="F2714" s="13"/>
      <c r="G2714" s="23" t="s">
        <v>307</v>
      </c>
      <c r="H2714" s="23" t="s">
        <v>27</v>
      </c>
      <c r="I2714" s="23" t="s">
        <v>308</v>
      </c>
      <c r="J2714" s="14" t="s">
        <v>138</v>
      </c>
      <c r="K2714" s="15" t="s">
        <v>30</v>
      </c>
      <c r="L2714" s="87"/>
      <c r="M2714" s="14"/>
      <c r="N2714" s="14" t="s">
        <v>242</v>
      </c>
      <c r="O2714" s="14"/>
      <c r="P2714" s="15" t="s">
        <v>108</v>
      </c>
      <c r="Q2714" s="16">
        <v>5199</v>
      </c>
      <c r="R2714" s="17">
        <v>79.849999999999994</v>
      </c>
      <c r="S2714" s="18">
        <v>1204.9354999999998</v>
      </c>
      <c r="T2714" s="19" t="s">
        <v>117</v>
      </c>
      <c r="U2714" s="20" t="s">
        <v>2160</v>
      </c>
      <c r="V2714" s="21">
        <v>152</v>
      </c>
      <c r="W2714" s="21">
        <v>16</v>
      </c>
      <c r="X2714" s="22"/>
    </row>
    <row r="2715" spans="1:24" s="1" customFormat="1" ht="14.1" customHeight="1" x14ac:dyDescent="0.3">
      <c r="A2715" s="23" t="s">
        <v>2957</v>
      </c>
      <c r="B2715" s="23" t="s">
        <v>305</v>
      </c>
      <c r="C2715" s="12" t="s">
        <v>3309</v>
      </c>
      <c r="D2715" s="84"/>
      <c r="E2715" s="69" t="str">
        <f t="shared" si="105"/>
        <v>Еще фото</v>
      </c>
      <c r="F2715" s="13"/>
      <c r="G2715" s="23" t="s">
        <v>307</v>
      </c>
      <c r="H2715" s="23" t="s">
        <v>27</v>
      </c>
      <c r="I2715" s="23" t="s">
        <v>308</v>
      </c>
      <c r="J2715" s="14" t="s">
        <v>138</v>
      </c>
      <c r="K2715" s="15" t="s">
        <v>30</v>
      </c>
      <c r="L2715" s="87"/>
      <c r="M2715" s="14"/>
      <c r="N2715" s="14" t="s">
        <v>242</v>
      </c>
      <c r="O2715" s="14"/>
      <c r="P2715" s="15" t="s">
        <v>108</v>
      </c>
      <c r="Q2715" s="16">
        <v>5199</v>
      </c>
      <c r="R2715" s="17">
        <v>79.849999999999994</v>
      </c>
      <c r="S2715" s="18">
        <v>1204.9354999999998</v>
      </c>
      <c r="T2715" s="19" t="s">
        <v>117</v>
      </c>
      <c r="U2715" s="20" t="s">
        <v>3088</v>
      </c>
      <c r="V2715" s="21">
        <v>158</v>
      </c>
      <c r="W2715" s="21">
        <v>16</v>
      </c>
      <c r="X2715" s="22"/>
    </row>
    <row r="2716" spans="1:24" s="1" customFormat="1" ht="17.100000000000001" customHeight="1" x14ac:dyDescent="0.3">
      <c r="A2716" s="23" t="s">
        <v>2957</v>
      </c>
      <c r="B2716" s="23" t="s">
        <v>305</v>
      </c>
      <c r="C2716" s="12" t="s">
        <v>3309</v>
      </c>
      <c r="D2716" s="85"/>
      <c r="E2716" s="69" t="str">
        <f t="shared" si="105"/>
        <v>Еще фото</v>
      </c>
      <c r="F2716" s="13"/>
      <c r="G2716" s="23" t="s">
        <v>307</v>
      </c>
      <c r="H2716" s="23" t="s">
        <v>27</v>
      </c>
      <c r="I2716" s="23" t="s">
        <v>308</v>
      </c>
      <c r="J2716" s="14" t="s">
        <v>138</v>
      </c>
      <c r="K2716" s="15" t="s">
        <v>30</v>
      </c>
      <c r="L2716" s="88"/>
      <c r="M2716" s="14"/>
      <c r="N2716" s="14" t="s">
        <v>242</v>
      </c>
      <c r="O2716" s="14"/>
      <c r="P2716" s="15" t="s">
        <v>108</v>
      </c>
      <c r="Q2716" s="16">
        <v>5199</v>
      </c>
      <c r="R2716" s="17">
        <v>79.849999999999994</v>
      </c>
      <c r="S2716" s="18">
        <v>1204.9354999999998</v>
      </c>
      <c r="T2716" s="19" t="s">
        <v>117</v>
      </c>
      <c r="U2716" s="20" t="s">
        <v>2161</v>
      </c>
      <c r="V2716" s="21">
        <v>164</v>
      </c>
      <c r="W2716" s="21">
        <v>4</v>
      </c>
      <c r="X2716" s="22"/>
    </row>
    <row r="2717" spans="1:24" s="1" customFormat="1" ht="14.1" customHeight="1" x14ac:dyDescent="0.3">
      <c r="A2717" s="11" t="s">
        <v>2957</v>
      </c>
      <c r="B2717" s="11" t="s">
        <v>3311</v>
      </c>
      <c r="C2717" s="12" t="s">
        <v>3312</v>
      </c>
      <c r="D2717" s="83"/>
      <c r="E2717" s="69" t="str">
        <f t="shared" ref="E2717:E2723" si="106">HYPERLINK("https://www.google.ru/search?q=531383-0104&amp;newwindow=1&amp;tbm=isch","Еще фото")</f>
        <v>Еще фото</v>
      </c>
      <c r="F2717" s="13"/>
      <c r="G2717" s="11" t="s">
        <v>307</v>
      </c>
      <c r="H2717" s="11" t="s">
        <v>27</v>
      </c>
      <c r="I2717" s="14" t="s">
        <v>308</v>
      </c>
      <c r="J2717" s="14" t="s">
        <v>29</v>
      </c>
      <c r="K2717" s="15" t="s">
        <v>30</v>
      </c>
      <c r="L2717" s="86" t="s">
        <v>3313</v>
      </c>
      <c r="M2717" s="14"/>
      <c r="N2717" s="14" t="s">
        <v>89</v>
      </c>
      <c r="O2717" s="14"/>
      <c r="P2717" s="15" t="s">
        <v>3314</v>
      </c>
      <c r="Q2717" s="16">
        <v>6099</v>
      </c>
      <c r="R2717" s="17">
        <v>79.709999999999994</v>
      </c>
      <c r="S2717" s="18">
        <v>1423.4354999999998</v>
      </c>
      <c r="T2717" s="19" t="s">
        <v>117</v>
      </c>
      <c r="U2717" s="20" t="s">
        <v>36</v>
      </c>
      <c r="V2717" s="21">
        <v>122</v>
      </c>
      <c r="W2717" s="21">
        <v>2</v>
      </c>
      <c r="X2717" s="22"/>
    </row>
    <row r="2718" spans="1:24" s="1" customFormat="1" ht="14.1" customHeight="1" x14ac:dyDescent="0.3">
      <c r="A2718" s="23" t="s">
        <v>2957</v>
      </c>
      <c r="B2718" s="23" t="s">
        <v>3311</v>
      </c>
      <c r="C2718" s="12" t="s">
        <v>3312</v>
      </c>
      <c r="D2718" s="84"/>
      <c r="E2718" s="69" t="str">
        <f t="shared" si="106"/>
        <v>Еще фото</v>
      </c>
      <c r="F2718" s="13"/>
      <c r="G2718" s="23" t="s">
        <v>307</v>
      </c>
      <c r="H2718" s="23" t="s">
        <v>27</v>
      </c>
      <c r="I2718" s="23" t="s">
        <v>308</v>
      </c>
      <c r="J2718" s="14" t="s">
        <v>29</v>
      </c>
      <c r="K2718" s="15" t="s">
        <v>30</v>
      </c>
      <c r="L2718" s="87"/>
      <c r="M2718" s="14"/>
      <c r="N2718" s="14" t="s">
        <v>89</v>
      </c>
      <c r="O2718" s="14"/>
      <c r="P2718" s="15" t="s">
        <v>3314</v>
      </c>
      <c r="Q2718" s="16">
        <v>6099</v>
      </c>
      <c r="R2718" s="17">
        <v>79.709999999999994</v>
      </c>
      <c r="S2718" s="18">
        <v>1423.4354999999998</v>
      </c>
      <c r="T2718" s="19" t="s">
        <v>117</v>
      </c>
      <c r="U2718" s="20" t="s">
        <v>37</v>
      </c>
      <c r="V2718" s="21">
        <v>128</v>
      </c>
      <c r="W2718" s="21">
        <v>4</v>
      </c>
      <c r="X2718" s="22"/>
    </row>
    <row r="2719" spans="1:24" s="1" customFormat="1" ht="14.1" customHeight="1" x14ac:dyDescent="0.3">
      <c r="A2719" s="23" t="s">
        <v>2957</v>
      </c>
      <c r="B2719" s="23" t="s">
        <v>3311</v>
      </c>
      <c r="C2719" s="12" t="s">
        <v>3312</v>
      </c>
      <c r="D2719" s="84"/>
      <c r="E2719" s="69" t="str">
        <f t="shared" si="106"/>
        <v>Еще фото</v>
      </c>
      <c r="F2719" s="13"/>
      <c r="G2719" s="23" t="s">
        <v>307</v>
      </c>
      <c r="H2719" s="23" t="s">
        <v>27</v>
      </c>
      <c r="I2719" s="23" t="s">
        <v>308</v>
      </c>
      <c r="J2719" s="14" t="s">
        <v>29</v>
      </c>
      <c r="K2719" s="15" t="s">
        <v>30</v>
      </c>
      <c r="L2719" s="87"/>
      <c r="M2719" s="14"/>
      <c r="N2719" s="14" t="s">
        <v>89</v>
      </c>
      <c r="O2719" s="14"/>
      <c r="P2719" s="15" t="s">
        <v>3314</v>
      </c>
      <c r="Q2719" s="16">
        <v>6099</v>
      </c>
      <c r="R2719" s="17">
        <v>79.709999999999994</v>
      </c>
      <c r="S2719" s="18">
        <v>1423.4354999999998</v>
      </c>
      <c r="T2719" s="19" t="s">
        <v>117</v>
      </c>
      <c r="U2719" s="20" t="s">
        <v>91</v>
      </c>
      <c r="V2719" s="21">
        <v>134</v>
      </c>
      <c r="W2719" s="21">
        <v>8</v>
      </c>
      <c r="X2719" s="22"/>
    </row>
    <row r="2720" spans="1:24" s="1" customFormat="1" ht="14.1" customHeight="1" x14ac:dyDescent="0.3">
      <c r="A2720" s="23" t="s">
        <v>2957</v>
      </c>
      <c r="B2720" s="23" t="s">
        <v>3311</v>
      </c>
      <c r="C2720" s="12" t="s">
        <v>3312</v>
      </c>
      <c r="D2720" s="84"/>
      <c r="E2720" s="69" t="str">
        <f t="shared" si="106"/>
        <v>Еще фото</v>
      </c>
      <c r="F2720" s="13"/>
      <c r="G2720" s="23" t="s">
        <v>307</v>
      </c>
      <c r="H2720" s="23" t="s">
        <v>27</v>
      </c>
      <c r="I2720" s="23" t="s">
        <v>308</v>
      </c>
      <c r="J2720" s="14" t="s">
        <v>29</v>
      </c>
      <c r="K2720" s="15" t="s">
        <v>30</v>
      </c>
      <c r="L2720" s="87"/>
      <c r="M2720" s="14"/>
      <c r="N2720" s="14" t="s">
        <v>89</v>
      </c>
      <c r="O2720" s="14"/>
      <c r="P2720" s="15" t="s">
        <v>3314</v>
      </c>
      <c r="Q2720" s="16">
        <v>6099</v>
      </c>
      <c r="R2720" s="17">
        <v>79.709999999999994</v>
      </c>
      <c r="S2720" s="18">
        <v>1423.4354999999998</v>
      </c>
      <c r="T2720" s="19" t="s">
        <v>117</v>
      </c>
      <c r="U2720" s="20" t="s">
        <v>290</v>
      </c>
      <c r="V2720" s="21">
        <v>140</v>
      </c>
      <c r="W2720" s="21">
        <v>4</v>
      </c>
      <c r="X2720" s="22"/>
    </row>
    <row r="2721" spans="1:24" s="1" customFormat="1" ht="14.1" customHeight="1" x14ac:dyDescent="0.3">
      <c r="A2721" s="23" t="s">
        <v>2957</v>
      </c>
      <c r="B2721" s="23" t="s">
        <v>3311</v>
      </c>
      <c r="C2721" s="12" t="s">
        <v>3312</v>
      </c>
      <c r="D2721" s="84"/>
      <c r="E2721" s="69" t="str">
        <f t="shared" si="106"/>
        <v>Еще фото</v>
      </c>
      <c r="F2721" s="13"/>
      <c r="G2721" s="23" t="s">
        <v>307</v>
      </c>
      <c r="H2721" s="23" t="s">
        <v>27</v>
      </c>
      <c r="I2721" s="23" t="s">
        <v>308</v>
      </c>
      <c r="J2721" s="14" t="s">
        <v>29</v>
      </c>
      <c r="K2721" s="15" t="s">
        <v>30</v>
      </c>
      <c r="L2721" s="87"/>
      <c r="M2721" s="14"/>
      <c r="N2721" s="14" t="s">
        <v>89</v>
      </c>
      <c r="O2721" s="14"/>
      <c r="P2721" s="15" t="s">
        <v>3314</v>
      </c>
      <c r="Q2721" s="16">
        <v>6099</v>
      </c>
      <c r="R2721" s="17">
        <v>79.709999999999994</v>
      </c>
      <c r="S2721" s="18">
        <v>1423.4354999999998</v>
      </c>
      <c r="T2721" s="19" t="s">
        <v>117</v>
      </c>
      <c r="U2721" s="20" t="s">
        <v>2993</v>
      </c>
      <c r="V2721" s="21">
        <v>146</v>
      </c>
      <c r="W2721" s="21">
        <v>4</v>
      </c>
      <c r="X2721" s="22"/>
    </row>
    <row r="2722" spans="1:24" s="1" customFormat="1" ht="14.1" customHeight="1" x14ac:dyDescent="0.3">
      <c r="A2722" s="23" t="s">
        <v>2957</v>
      </c>
      <c r="B2722" s="23" t="s">
        <v>3311</v>
      </c>
      <c r="C2722" s="12" t="s">
        <v>3312</v>
      </c>
      <c r="D2722" s="84"/>
      <c r="E2722" s="69" t="str">
        <f t="shared" si="106"/>
        <v>Еще фото</v>
      </c>
      <c r="F2722" s="13"/>
      <c r="G2722" s="23" t="s">
        <v>307</v>
      </c>
      <c r="H2722" s="23" t="s">
        <v>27</v>
      </c>
      <c r="I2722" s="23" t="s">
        <v>308</v>
      </c>
      <c r="J2722" s="14" t="s">
        <v>29</v>
      </c>
      <c r="K2722" s="15" t="s">
        <v>30</v>
      </c>
      <c r="L2722" s="87"/>
      <c r="M2722" s="14"/>
      <c r="N2722" s="14" t="s">
        <v>89</v>
      </c>
      <c r="O2722" s="14"/>
      <c r="P2722" s="15" t="s">
        <v>3314</v>
      </c>
      <c r="Q2722" s="16">
        <v>6099</v>
      </c>
      <c r="R2722" s="17">
        <v>79.709999999999994</v>
      </c>
      <c r="S2722" s="18">
        <v>1423.4354999999998</v>
      </c>
      <c r="T2722" s="19" t="s">
        <v>117</v>
      </c>
      <c r="U2722" s="20" t="s">
        <v>2160</v>
      </c>
      <c r="V2722" s="21">
        <v>152</v>
      </c>
      <c r="W2722" s="21">
        <v>6</v>
      </c>
      <c r="X2722" s="22"/>
    </row>
    <row r="2723" spans="1:24" s="1" customFormat="1" ht="17.100000000000001" customHeight="1" x14ac:dyDescent="0.3">
      <c r="A2723" s="23" t="s">
        <v>2957</v>
      </c>
      <c r="B2723" s="23" t="s">
        <v>3311</v>
      </c>
      <c r="C2723" s="12" t="s">
        <v>3312</v>
      </c>
      <c r="D2723" s="85"/>
      <c r="E2723" s="69" t="str">
        <f t="shared" si="106"/>
        <v>Еще фото</v>
      </c>
      <c r="F2723" s="13"/>
      <c r="G2723" s="23" t="s">
        <v>307</v>
      </c>
      <c r="H2723" s="23" t="s">
        <v>27</v>
      </c>
      <c r="I2723" s="23" t="s">
        <v>308</v>
      </c>
      <c r="J2723" s="14" t="s">
        <v>29</v>
      </c>
      <c r="K2723" s="15" t="s">
        <v>30</v>
      </c>
      <c r="L2723" s="88"/>
      <c r="M2723" s="14"/>
      <c r="N2723" s="14" t="s">
        <v>89</v>
      </c>
      <c r="O2723" s="14"/>
      <c r="P2723" s="15" t="s">
        <v>3314</v>
      </c>
      <c r="Q2723" s="16">
        <v>6099</v>
      </c>
      <c r="R2723" s="17">
        <v>79.709999999999994</v>
      </c>
      <c r="S2723" s="18">
        <v>1423.4354999999998</v>
      </c>
      <c r="T2723" s="19" t="s">
        <v>117</v>
      </c>
      <c r="U2723" s="20" t="s">
        <v>3088</v>
      </c>
      <c r="V2723" s="21">
        <v>158</v>
      </c>
      <c r="W2723" s="21">
        <v>6</v>
      </c>
      <c r="X2723" s="22"/>
    </row>
    <row r="2724" spans="1:24" s="1" customFormat="1" ht="26.1" customHeight="1" x14ac:dyDescent="0.3">
      <c r="A2724" s="11" t="s">
        <v>2957</v>
      </c>
      <c r="B2724" s="11" t="s">
        <v>3315</v>
      </c>
      <c r="C2724" s="12" t="s">
        <v>3316</v>
      </c>
      <c r="D2724" s="83"/>
      <c r="E2724" s="69" t="str">
        <f>HYPERLINK("https://www.google.ru/search?q=531394-3500&amp;newwindow=1&amp;tbm=isch","Еще фото")</f>
        <v>Еще фото</v>
      </c>
      <c r="F2724" s="13"/>
      <c r="G2724" s="11" t="s">
        <v>307</v>
      </c>
      <c r="H2724" s="11" t="s">
        <v>27</v>
      </c>
      <c r="I2724" s="14" t="s">
        <v>308</v>
      </c>
      <c r="J2724" s="14" t="s">
        <v>29</v>
      </c>
      <c r="K2724" s="15" t="s">
        <v>30</v>
      </c>
      <c r="L2724" s="86" t="s">
        <v>3317</v>
      </c>
      <c r="M2724" s="14"/>
      <c r="N2724" s="14" t="s">
        <v>116</v>
      </c>
      <c r="O2724" s="14"/>
      <c r="P2724" s="15" t="s">
        <v>3318</v>
      </c>
      <c r="Q2724" s="16">
        <v>4899</v>
      </c>
      <c r="R2724" s="17">
        <v>78.41</v>
      </c>
      <c r="S2724" s="18">
        <v>1216.4354999999998</v>
      </c>
      <c r="T2724" s="19" t="s">
        <v>117</v>
      </c>
      <c r="U2724" s="20" t="s">
        <v>37</v>
      </c>
      <c r="V2724" s="21">
        <v>128</v>
      </c>
      <c r="W2724" s="21">
        <v>3</v>
      </c>
      <c r="X2724" s="22"/>
    </row>
    <row r="2725" spans="1:24" s="1" customFormat="1" ht="26.1" customHeight="1" x14ac:dyDescent="0.3">
      <c r="A2725" s="23" t="s">
        <v>2957</v>
      </c>
      <c r="B2725" s="23" t="s">
        <v>3315</v>
      </c>
      <c r="C2725" s="12" t="s">
        <v>3316</v>
      </c>
      <c r="D2725" s="84"/>
      <c r="E2725" s="69" t="str">
        <f>HYPERLINK("https://www.google.ru/search?q=531394-3500&amp;newwindow=1&amp;tbm=isch","Еще фото")</f>
        <v>Еще фото</v>
      </c>
      <c r="F2725" s="13"/>
      <c r="G2725" s="23" t="s">
        <v>307</v>
      </c>
      <c r="H2725" s="23" t="s">
        <v>27</v>
      </c>
      <c r="I2725" s="23" t="s">
        <v>308</v>
      </c>
      <c r="J2725" s="14" t="s">
        <v>29</v>
      </c>
      <c r="K2725" s="15" t="s">
        <v>30</v>
      </c>
      <c r="L2725" s="87"/>
      <c r="M2725" s="14"/>
      <c r="N2725" s="14" t="s">
        <v>116</v>
      </c>
      <c r="O2725" s="14"/>
      <c r="P2725" s="15" t="s">
        <v>3318</v>
      </c>
      <c r="Q2725" s="16">
        <v>4899</v>
      </c>
      <c r="R2725" s="17">
        <v>78.41</v>
      </c>
      <c r="S2725" s="18">
        <v>1216.4354999999998</v>
      </c>
      <c r="T2725" s="19" t="s">
        <v>117</v>
      </c>
      <c r="U2725" s="20" t="s">
        <v>91</v>
      </c>
      <c r="V2725" s="21">
        <v>134</v>
      </c>
      <c r="W2725" s="21">
        <v>7</v>
      </c>
      <c r="X2725" s="22"/>
    </row>
    <row r="2726" spans="1:24" s="1" customFormat="1" ht="26.1" customHeight="1" x14ac:dyDescent="0.3">
      <c r="A2726" s="23" t="s">
        <v>2957</v>
      </c>
      <c r="B2726" s="23" t="s">
        <v>3315</v>
      </c>
      <c r="C2726" s="12" t="s">
        <v>3316</v>
      </c>
      <c r="D2726" s="84"/>
      <c r="E2726" s="69" t="str">
        <f>HYPERLINK("https://www.google.ru/search?q=531394-3500&amp;newwindow=1&amp;tbm=isch","Еще фото")</f>
        <v>Еще фото</v>
      </c>
      <c r="F2726" s="13"/>
      <c r="G2726" s="23" t="s">
        <v>307</v>
      </c>
      <c r="H2726" s="23" t="s">
        <v>27</v>
      </c>
      <c r="I2726" s="23" t="s">
        <v>308</v>
      </c>
      <c r="J2726" s="14" t="s">
        <v>29</v>
      </c>
      <c r="K2726" s="15" t="s">
        <v>30</v>
      </c>
      <c r="L2726" s="87"/>
      <c r="M2726" s="14"/>
      <c r="N2726" s="14" t="s">
        <v>116</v>
      </c>
      <c r="O2726" s="14"/>
      <c r="P2726" s="15" t="s">
        <v>3318</v>
      </c>
      <c r="Q2726" s="16">
        <v>4899</v>
      </c>
      <c r="R2726" s="17">
        <v>78.41</v>
      </c>
      <c r="S2726" s="18">
        <v>1216.4354999999998</v>
      </c>
      <c r="T2726" s="19" t="s">
        <v>117</v>
      </c>
      <c r="U2726" s="20" t="s">
        <v>290</v>
      </c>
      <c r="V2726" s="21">
        <v>140</v>
      </c>
      <c r="W2726" s="21">
        <v>6</v>
      </c>
      <c r="X2726" s="22"/>
    </row>
    <row r="2727" spans="1:24" s="1" customFormat="1" ht="26.1" customHeight="1" x14ac:dyDescent="0.3">
      <c r="A2727" s="23" t="s">
        <v>2957</v>
      </c>
      <c r="B2727" s="23" t="s">
        <v>3315</v>
      </c>
      <c r="C2727" s="12" t="s">
        <v>3316</v>
      </c>
      <c r="D2727" s="85"/>
      <c r="E2727" s="69" t="str">
        <f>HYPERLINK("https://www.google.ru/search?q=531394-3500&amp;newwindow=1&amp;tbm=isch","Еще фото")</f>
        <v>Еще фото</v>
      </c>
      <c r="F2727" s="13"/>
      <c r="G2727" s="23" t="s">
        <v>307</v>
      </c>
      <c r="H2727" s="23" t="s">
        <v>27</v>
      </c>
      <c r="I2727" s="23" t="s">
        <v>308</v>
      </c>
      <c r="J2727" s="14" t="s">
        <v>29</v>
      </c>
      <c r="K2727" s="15" t="s">
        <v>30</v>
      </c>
      <c r="L2727" s="88"/>
      <c r="M2727" s="14"/>
      <c r="N2727" s="14" t="s">
        <v>116</v>
      </c>
      <c r="O2727" s="14"/>
      <c r="P2727" s="15" t="s">
        <v>3318</v>
      </c>
      <c r="Q2727" s="16">
        <v>4899</v>
      </c>
      <c r="R2727" s="17">
        <v>78.41</v>
      </c>
      <c r="S2727" s="18">
        <v>1216.4354999999998</v>
      </c>
      <c r="T2727" s="19" t="s">
        <v>117</v>
      </c>
      <c r="U2727" s="20" t="s">
        <v>2993</v>
      </c>
      <c r="V2727" s="21">
        <v>146</v>
      </c>
      <c r="W2727" s="21">
        <v>3</v>
      </c>
      <c r="X2727" s="22"/>
    </row>
    <row r="2728" spans="1:24" s="1" customFormat="1" ht="21" customHeight="1" x14ac:dyDescent="0.3">
      <c r="A2728" s="11" t="s">
        <v>2957</v>
      </c>
      <c r="B2728" s="11" t="s">
        <v>3319</v>
      </c>
      <c r="C2728" s="27" t="s">
        <v>3320</v>
      </c>
      <c r="D2728" s="83"/>
      <c r="E2728" s="69" t="str">
        <f>HYPERLINK("https://www.google.ru/search?q=521675-3210&amp;newwindow=1&amp;tbm=isch","Еще фото")</f>
        <v>Еще фото</v>
      </c>
      <c r="F2728" s="13"/>
      <c r="G2728" s="11" t="s">
        <v>307</v>
      </c>
      <c r="H2728" s="11" t="s">
        <v>27</v>
      </c>
      <c r="I2728" s="14" t="s">
        <v>308</v>
      </c>
      <c r="J2728" s="14" t="s">
        <v>29</v>
      </c>
      <c r="K2728" s="15" t="s">
        <v>30</v>
      </c>
      <c r="L2728" s="86" t="s">
        <v>3321</v>
      </c>
      <c r="M2728" s="14"/>
      <c r="N2728" s="14" t="s">
        <v>3322</v>
      </c>
      <c r="O2728" s="14"/>
      <c r="P2728" s="15" t="s">
        <v>3314</v>
      </c>
      <c r="Q2728" s="16">
        <v>7399</v>
      </c>
      <c r="R2728" s="17">
        <v>78.41</v>
      </c>
      <c r="S2728" s="18">
        <v>1837.4354999999998</v>
      </c>
      <c r="T2728" s="19" t="s">
        <v>117</v>
      </c>
      <c r="U2728" s="20" t="s">
        <v>35</v>
      </c>
      <c r="V2728" s="21">
        <v>116</v>
      </c>
      <c r="W2728" s="21">
        <v>6</v>
      </c>
      <c r="X2728" s="22"/>
    </row>
    <row r="2729" spans="1:24" s="1" customFormat="1" ht="21" customHeight="1" x14ac:dyDescent="0.3">
      <c r="A2729" s="23" t="s">
        <v>2957</v>
      </c>
      <c r="B2729" s="23" t="s">
        <v>3319</v>
      </c>
      <c r="C2729" s="28" t="s">
        <v>3320</v>
      </c>
      <c r="D2729" s="84"/>
      <c r="E2729" s="69" t="str">
        <f>HYPERLINK("https://www.google.ru/search?q=521675-3210&amp;newwindow=1&amp;tbm=isch","Еще фото")</f>
        <v>Еще фото</v>
      </c>
      <c r="F2729" s="13"/>
      <c r="G2729" s="23" t="s">
        <v>307</v>
      </c>
      <c r="H2729" s="23" t="s">
        <v>27</v>
      </c>
      <c r="I2729" s="23" t="s">
        <v>308</v>
      </c>
      <c r="J2729" s="14" t="s">
        <v>29</v>
      </c>
      <c r="K2729" s="15" t="s">
        <v>30</v>
      </c>
      <c r="L2729" s="87"/>
      <c r="M2729" s="14"/>
      <c r="N2729" s="14" t="s">
        <v>3322</v>
      </c>
      <c r="O2729" s="14"/>
      <c r="P2729" s="15" t="s">
        <v>3314</v>
      </c>
      <c r="Q2729" s="16">
        <v>7399</v>
      </c>
      <c r="R2729" s="17">
        <v>78.41</v>
      </c>
      <c r="S2729" s="18">
        <v>1837.4354999999998</v>
      </c>
      <c r="T2729" s="19" t="s">
        <v>117</v>
      </c>
      <c r="U2729" s="20" t="s">
        <v>36</v>
      </c>
      <c r="V2729" s="21">
        <v>122</v>
      </c>
      <c r="W2729" s="21">
        <v>3</v>
      </c>
      <c r="X2729" s="22"/>
    </row>
    <row r="2730" spans="1:24" s="1" customFormat="1" ht="21" customHeight="1" x14ac:dyDescent="0.3">
      <c r="A2730" s="23" t="s">
        <v>2957</v>
      </c>
      <c r="B2730" s="23" t="s">
        <v>3319</v>
      </c>
      <c r="C2730" s="28" t="s">
        <v>3320</v>
      </c>
      <c r="D2730" s="84"/>
      <c r="E2730" s="69" t="str">
        <f>HYPERLINK("https://www.google.ru/search?q=521675-3210&amp;newwindow=1&amp;tbm=isch","Еще фото")</f>
        <v>Еще фото</v>
      </c>
      <c r="F2730" s="13"/>
      <c r="G2730" s="23" t="s">
        <v>307</v>
      </c>
      <c r="H2730" s="23" t="s">
        <v>27</v>
      </c>
      <c r="I2730" s="23" t="s">
        <v>308</v>
      </c>
      <c r="J2730" s="14" t="s">
        <v>29</v>
      </c>
      <c r="K2730" s="15" t="s">
        <v>30</v>
      </c>
      <c r="L2730" s="87"/>
      <c r="M2730" s="14"/>
      <c r="N2730" s="14" t="s">
        <v>3322</v>
      </c>
      <c r="O2730" s="14"/>
      <c r="P2730" s="15" t="s">
        <v>3314</v>
      </c>
      <c r="Q2730" s="16">
        <v>7399</v>
      </c>
      <c r="R2730" s="17">
        <v>78.41</v>
      </c>
      <c r="S2730" s="18">
        <v>1837.4354999999998</v>
      </c>
      <c r="T2730" s="19" t="s">
        <v>117</v>
      </c>
      <c r="U2730" s="20" t="s">
        <v>37</v>
      </c>
      <c r="V2730" s="21">
        <v>128</v>
      </c>
      <c r="W2730" s="21">
        <v>6</v>
      </c>
      <c r="X2730" s="22"/>
    </row>
    <row r="2731" spans="1:24" s="1" customFormat="1" ht="21" customHeight="1" x14ac:dyDescent="0.3">
      <c r="A2731" s="23" t="s">
        <v>2957</v>
      </c>
      <c r="B2731" s="23" t="s">
        <v>3319</v>
      </c>
      <c r="C2731" s="28" t="s">
        <v>3320</v>
      </c>
      <c r="D2731" s="84"/>
      <c r="E2731" s="69" t="str">
        <f>HYPERLINK("https://www.google.ru/search?q=521675-3210&amp;newwindow=1&amp;tbm=isch","Еще фото")</f>
        <v>Еще фото</v>
      </c>
      <c r="F2731" s="13"/>
      <c r="G2731" s="23" t="s">
        <v>307</v>
      </c>
      <c r="H2731" s="23" t="s">
        <v>27</v>
      </c>
      <c r="I2731" s="23" t="s">
        <v>308</v>
      </c>
      <c r="J2731" s="14" t="s">
        <v>29</v>
      </c>
      <c r="K2731" s="15" t="s">
        <v>30</v>
      </c>
      <c r="L2731" s="87"/>
      <c r="M2731" s="14"/>
      <c r="N2731" s="14" t="s">
        <v>3322</v>
      </c>
      <c r="O2731" s="14"/>
      <c r="P2731" s="15" t="s">
        <v>3314</v>
      </c>
      <c r="Q2731" s="16">
        <v>7399</v>
      </c>
      <c r="R2731" s="17">
        <v>78.41</v>
      </c>
      <c r="S2731" s="18">
        <v>1837.4354999999998</v>
      </c>
      <c r="T2731" s="19" t="s">
        <v>117</v>
      </c>
      <c r="U2731" s="20" t="s">
        <v>91</v>
      </c>
      <c r="V2731" s="21">
        <v>134</v>
      </c>
      <c r="W2731" s="21">
        <v>5</v>
      </c>
      <c r="X2731" s="22"/>
    </row>
    <row r="2732" spans="1:24" s="1" customFormat="1" ht="32.1" customHeight="1" x14ac:dyDescent="0.3">
      <c r="A2732" s="23" t="s">
        <v>2957</v>
      </c>
      <c r="B2732" s="23" t="s">
        <v>3319</v>
      </c>
      <c r="C2732" s="28" t="s">
        <v>3320</v>
      </c>
      <c r="D2732" s="85"/>
      <c r="E2732" s="69" t="str">
        <f>HYPERLINK("https://www.google.ru/search?q=521675-3210&amp;newwindow=1&amp;tbm=isch","Еще фото")</f>
        <v>Еще фото</v>
      </c>
      <c r="F2732" s="13"/>
      <c r="G2732" s="23" t="s">
        <v>307</v>
      </c>
      <c r="H2732" s="23" t="s">
        <v>27</v>
      </c>
      <c r="I2732" s="23" t="s">
        <v>308</v>
      </c>
      <c r="J2732" s="14" t="s">
        <v>29</v>
      </c>
      <c r="K2732" s="15" t="s">
        <v>30</v>
      </c>
      <c r="L2732" s="88"/>
      <c r="M2732" s="14"/>
      <c r="N2732" s="14" t="s">
        <v>3322</v>
      </c>
      <c r="O2732" s="14"/>
      <c r="P2732" s="15" t="s">
        <v>3314</v>
      </c>
      <c r="Q2732" s="16">
        <v>7399</v>
      </c>
      <c r="R2732" s="17">
        <v>78.41</v>
      </c>
      <c r="S2732" s="18">
        <v>1837.4354999999998</v>
      </c>
      <c r="T2732" s="19" t="s">
        <v>117</v>
      </c>
      <c r="U2732" s="20" t="s">
        <v>290</v>
      </c>
      <c r="V2732" s="21">
        <v>140</v>
      </c>
      <c r="W2732" s="21">
        <v>8</v>
      </c>
      <c r="X2732" s="22"/>
    </row>
    <row r="2733" spans="1:24" s="1" customFormat="1" ht="51.95" customHeight="1" x14ac:dyDescent="0.3">
      <c r="A2733" s="11" t="s">
        <v>3304</v>
      </c>
      <c r="B2733" s="11" t="s">
        <v>3305</v>
      </c>
      <c r="C2733" s="12" t="s">
        <v>3323</v>
      </c>
      <c r="D2733" s="89"/>
      <c r="E2733" s="69" t="str">
        <f>HYPERLINK("https://www.google.ru/search?q=6147YR2014-000&amp;newwindow=1&amp;tbm=isch","Еще фото")</f>
        <v>Еще фото</v>
      </c>
      <c r="F2733" s="13"/>
      <c r="G2733" s="11" t="s">
        <v>324</v>
      </c>
      <c r="H2733" s="11" t="s">
        <v>27</v>
      </c>
      <c r="I2733" s="14" t="s">
        <v>308</v>
      </c>
      <c r="J2733" s="14" t="s">
        <v>29</v>
      </c>
      <c r="K2733" s="15" t="s">
        <v>47</v>
      </c>
      <c r="L2733" s="86" t="s">
        <v>3324</v>
      </c>
      <c r="M2733" s="14"/>
      <c r="N2733" s="14" t="s">
        <v>49</v>
      </c>
      <c r="O2733" s="14"/>
      <c r="P2733" s="15" t="s">
        <v>108</v>
      </c>
      <c r="Q2733" s="16">
        <v>17999</v>
      </c>
      <c r="R2733" s="17">
        <v>76.900000000000006</v>
      </c>
      <c r="S2733" s="18">
        <v>4781.4355000000005</v>
      </c>
      <c r="T2733" s="19" t="s">
        <v>328</v>
      </c>
      <c r="U2733" s="20" t="s">
        <v>66</v>
      </c>
      <c r="V2733" s="25" t="s">
        <v>65</v>
      </c>
      <c r="W2733" s="21">
        <v>1</v>
      </c>
      <c r="X2733" s="22"/>
    </row>
    <row r="2734" spans="1:24" s="1" customFormat="1" ht="60.95" customHeight="1" x14ac:dyDescent="0.3">
      <c r="A2734" s="23" t="s">
        <v>3304</v>
      </c>
      <c r="B2734" s="23" t="s">
        <v>3305</v>
      </c>
      <c r="C2734" s="12" t="s">
        <v>3323</v>
      </c>
      <c r="D2734" s="90"/>
      <c r="E2734" s="69" t="str">
        <f>HYPERLINK("https://www.google.ru/search?q=6147YR2014-000&amp;newwindow=1&amp;tbm=isch","Еще фото")</f>
        <v>Еще фото</v>
      </c>
      <c r="F2734" s="13"/>
      <c r="G2734" s="23" t="s">
        <v>324</v>
      </c>
      <c r="H2734" s="23" t="s">
        <v>27</v>
      </c>
      <c r="I2734" s="23" t="s">
        <v>308</v>
      </c>
      <c r="J2734" s="14" t="s">
        <v>29</v>
      </c>
      <c r="K2734" s="15" t="s">
        <v>47</v>
      </c>
      <c r="L2734" s="88"/>
      <c r="M2734" s="14"/>
      <c r="N2734" s="14" t="s">
        <v>49</v>
      </c>
      <c r="O2734" s="14"/>
      <c r="P2734" s="15" t="s">
        <v>108</v>
      </c>
      <c r="Q2734" s="16">
        <v>17999</v>
      </c>
      <c r="R2734" s="17">
        <v>76.900000000000006</v>
      </c>
      <c r="S2734" s="18">
        <v>4781.4355000000005</v>
      </c>
      <c r="T2734" s="19" t="s">
        <v>328</v>
      </c>
      <c r="U2734" s="20" t="s">
        <v>58</v>
      </c>
      <c r="V2734" s="25" t="s">
        <v>67</v>
      </c>
      <c r="W2734" s="21">
        <v>1</v>
      </c>
      <c r="X2734" s="22"/>
    </row>
    <row r="2735" spans="1:24" s="1" customFormat="1" ht="17.100000000000001" customHeight="1" x14ac:dyDescent="0.3">
      <c r="A2735" s="11" t="s">
        <v>2957</v>
      </c>
      <c r="B2735" s="11" t="s">
        <v>305</v>
      </c>
      <c r="C2735" s="12" t="s">
        <v>3325</v>
      </c>
      <c r="D2735" s="83"/>
      <c r="E2735" s="69" t="str">
        <f t="shared" ref="E2735:E2740" si="107">HYPERLINK("https://www.google.ru/search?q=531578-3210&amp;newwindow=1&amp;tbm=isch","Еще фото")</f>
        <v>Еще фото</v>
      </c>
      <c r="F2735" s="13"/>
      <c r="G2735" s="11" t="s">
        <v>307</v>
      </c>
      <c r="H2735" s="11" t="s">
        <v>27</v>
      </c>
      <c r="I2735" s="14" t="s">
        <v>308</v>
      </c>
      <c r="J2735" s="14" t="s">
        <v>138</v>
      </c>
      <c r="K2735" s="15" t="s">
        <v>30</v>
      </c>
      <c r="L2735" s="86" t="s">
        <v>3326</v>
      </c>
      <c r="M2735" s="14"/>
      <c r="N2735" s="14" t="s">
        <v>3322</v>
      </c>
      <c r="O2735" s="14"/>
      <c r="P2735" s="15" t="s">
        <v>108</v>
      </c>
      <c r="Q2735" s="16">
        <v>4899</v>
      </c>
      <c r="R2735" s="17">
        <v>74.73</v>
      </c>
      <c r="S2735" s="18">
        <v>1423.4354999999998</v>
      </c>
      <c r="T2735" s="19" t="s">
        <v>117</v>
      </c>
      <c r="U2735" s="20" t="s">
        <v>36</v>
      </c>
      <c r="V2735" s="21">
        <v>122</v>
      </c>
      <c r="W2735" s="21">
        <v>4</v>
      </c>
      <c r="X2735" s="22"/>
    </row>
    <row r="2736" spans="1:24" s="1" customFormat="1" ht="17.100000000000001" customHeight="1" x14ac:dyDescent="0.3">
      <c r="A2736" s="23" t="s">
        <v>2957</v>
      </c>
      <c r="B2736" s="23" t="s">
        <v>305</v>
      </c>
      <c r="C2736" s="12" t="s">
        <v>3325</v>
      </c>
      <c r="D2736" s="84"/>
      <c r="E2736" s="69" t="str">
        <f t="shared" si="107"/>
        <v>Еще фото</v>
      </c>
      <c r="F2736" s="13"/>
      <c r="G2736" s="23" t="s">
        <v>307</v>
      </c>
      <c r="H2736" s="23" t="s">
        <v>27</v>
      </c>
      <c r="I2736" s="23" t="s">
        <v>308</v>
      </c>
      <c r="J2736" s="14" t="s">
        <v>138</v>
      </c>
      <c r="K2736" s="15" t="s">
        <v>30</v>
      </c>
      <c r="L2736" s="87"/>
      <c r="M2736" s="14"/>
      <c r="N2736" s="14" t="s">
        <v>3322</v>
      </c>
      <c r="O2736" s="14"/>
      <c r="P2736" s="15" t="s">
        <v>108</v>
      </c>
      <c r="Q2736" s="16">
        <v>4899</v>
      </c>
      <c r="R2736" s="17">
        <v>74.73</v>
      </c>
      <c r="S2736" s="18">
        <v>1423.4354999999998</v>
      </c>
      <c r="T2736" s="19" t="s">
        <v>117</v>
      </c>
      <c r="U2736" s="20" t="s">
        <v>37</v>
      </c>
      <c r="V2736" s="21">
        <v>128</v>
      </c>
      <c r="W2736" s="21">
        <v>4</v>
      </c>
      <c r="X2736" s="22"/>
    </row>
    <row r="2737" spans="1:24" s="1" customFormat="1" ht="17.100000000000001" customHeight="1" x14ac:dyDescent="0.3">
      <c r="A2737" s="23" t="s">
        <v>2957</v>
      </c>
      <c r="B2737" s="23" t="s">
        <v>305</v>
      </c>
      <c r="C2737" s="12" t="s">
        <v>3325</v>
      </c>
      <c r="D2737" s="84"/>
      <c r="E2737" s="69" t="str">
        <f t="shared" si="107"/>
        <v>Еще фото</v>
      </c>
      <c r="F2737" s="13"/>
      <c r="G2737" s="23" t="s">
        <v>307</v>
      </c>
      <c r="H2737" s="23" t="s">
        <v>27</v>
      </c>
      <c r="I2737" s="23" t="s">
        <v>308</v>
      </c>
      <c r="J2737" s="14" t="s">
        <v>138</v>
      </c>
      <c r="K2737" s="15" t="s">
        <v>30</v>
      </c>
      <c r="L2737" s="87"/>
      <c r="M2737" s="14"/>
      <c r="N2737" s="14" t="s">
        <v>3322</v>
      </c>
      <c r="O2737" s="14"/>
      <c r="P2737" s="15" t="s">
        <v>108</v>
      </c>
      <c r="Q2737" s="16">
        <v>4899</v>
      </c>
      <c r="R2737" s="17">
        <v>74.73</v>
      </c>
      <c r="S2737" s="18">
        <v>1423.4354999999998</v>
      </c>
      <c r="T2737" s="19" t="s">
        <v>117</v>
      </c>
      <c r="U2737" s="20" t="s">
        <v>91</v>
      </c>
      <c r="V2737" s="21">
        <v>134</v>
      </c>
      <c r="W2737" s="21">
        <v>4</v>
      </c>
      <c r="X2737" s="22"/>
    </row>
    <row r="2738" spans="1:24" s="1" customFormat="1" ht="17.100000000000001" customHeight="1" x14ac:dyDescent="0.3">
      <c r="A2738" s="23" t="s">
        <v>2957</v>
      </c>
      <c r="B2738" s="23" t="s">
        <v>305</v>
      </c>
      <c r="C2738" s="12" t="s">
        <v>3325</v>
      </c>
      <c r="D2738" s="84"/>
      <c r="E2738" s="69" t="str">
        <f t="shared" si="107"/>
        <v>Еще фото</v>
      </c>
      <c r="F2738" s="13"/>
      <c r="G2738" s="23" t="s">
        <v>307</v>
      </c>
      <c r="H2738" s="23" t="s">
        <v>27</v>
      </c>
      <c r="I2738" s="23" t="s">
        <v>308</v>
      </c>
      <c r="J2738" s="14" t="s">
        <v>138</v>
      </c>
      <c r="K2738" s="15" t="s">
        <v>30</v>
      </c>
      <c r="L2738" s="87"/>
      <c r="M2738" s="14"/>
      <c r="N2738" s="14" t="s">
        <v>3322</v>
      </c>
      <c r="O2738" s="14"/>
      <c r="P2738" s="15" t="s">
        <v>108</v>
      </c>
      <c r="Q2738" s="16">
        <v>4899</v>
      </c>
      <c r="R2738" s="17">
        <v>74.73</v>
      </c>
      <c r="S2738" s="18">
        <v>1423.4354999999998</v>
      </c>
      <c r="T2738" s="19" t="s">
        <v>117</v>
      </c>
      <c r="U2738" s="20" t="s">
        <v>290</v>
      </c>
      <c r="V2738" s="21">
        <v>140</v>
      </c>
      <c r="W2738" s="21">
        <v>5</v>
      </c>
      <c r="X2738" s="22"/>
    </row>
    <row r="2739" spans="1:24" s="1" customFormat="1" ht="17.100000000000001" customHeight="1" x14ac:dyDescent="0.3">
      <c r="A2739" s="23" t="s">
        <v>2957</v>
      </c>
      <c r="B2739" s="23" t="s">
        <v>305</v>
      </c>
      <c r="C2739" s="12" t="s">
        <v>3325</v>
      </c>
      <c r="D2739" s="84"/>
      <c r="E2739" s="69" t="str">
        <f t="shared" si="107"/>
        <v>Еще фото</v>
      </c>
      <c r="F2739" s="13"/>
      <c r="G2739" s="23" t="s">
        <v>307</v>
      </c>
      <c r="H2739" s="23" t="s">
        <v>27</v>
      </c>
      <c r="I2739" s="23" t="s">
        <v>308</v>
      </c>
      <c r="J2739" s="14" t="s">
        <v>138</v>
      </c>
      <c r="K2739" s="15" t="s">
        <v>30</v>
      </c>
      <c r="L2739" s="87"/>
      <c r="M2739" s="14"/>
      <c r="N2739" s="14" t="s">
        <v>3322</v>
      </c>
      <c r="O2739" s="14"/>
      <c r="P2739" s="15" t="s">
        <v>108</v>
      </c>
      <c r="Q2739" s="16">
        <v>4899</v>
      </c>
      <c r="R2739" s="17">
        <v>74.73</v>
      </c>
      <c r="S2739" s="18">
        <v>1423.4354999999998</v>
      </c>
      <c r="T2739" s="19" t="s">
        <v>117</v>
      </c>
      <c r="U2739" s="20" t="s">
        <v>2993</v>
      </c>
      <c r="V2739" s="21">
        <v>146</v>
      </c>
      <c r="W2739" s="21">
        <v>4</v>
      </c>
      <c r="X2739" s="22"/>
    </row>
    <row r="2740" spans="1:24" s="1" customFormat="1" ht="21.95" customHeight="1" x14ac:dyDescent="0.3">
      <c r="A2740" s="23" t="s">
        <v>2957</v>
      </c>
      <c r="B2740" s="23" t="s">
        <v>305</v>
      </c>
      <c r="C2740" s="12" t="s">
        <v>3325</v>
      </c>
      <c r="D2740" s="85"/>
      <c r="E2740" s="69" t="str">
        <f t="shared" si="107"/>
        <v>Еще фото</v>
      </c>
      <c r="F2740" s="13"/>
      <c r="G2740" s="23" t="s">
        <v>307</v>
      </c>
      <c r="H2740" s="23" t="s">
        <v>27</v>
      </c>
      <c r="I2740" s="23" t="s">
        <v>308</v>
      </c>
      <c r="J2740" s="14" t="s">
        <v>138</v>
      </c>
      <c r="K2740" s="15" t="s">
        <v>30</v>
      </c>
      <c r="L2740" s="88"/>
      <c r="M2740" s="14"/>
      <c r="N2740" s="14" t="s">
        <v>3322</v>
      </c>
      <c r="O2740" s="14"/>
      <c r="P2740" s="15" t="s">
        <v>108</v>
      </c>
      <c r="Q2740" s="16">
        <v>4899</v>
      </c>
      <c r="R2740" s="17">
        <v>74.73</v>
      </c>
      <c r="S2740" s="18">
        <v>1423.4354999999998</v>
      </c>
      <c r="T2740" s="19" t="s">
        <v>117</v>
      </c>
      <c r="U2740" s="20" t="s">
        <v>3088</v>
      </c>
      <c r="V2740" s="21">
        <v>158</v>
      </c>
      <c r="W2740" s="21">
        <v>2</v>
      </c>
      <c r="X2740" s="22"/>
    </row>
    <row r="2741" spans="1:24" s="1" customFormat="1" ht="51.95" customHeight="1" x14ac:dyDescent="0.3">
      <c r="A2741" s="11" t="s">
        <v>3304</v>
      </c>
      <c r="B2741" s="11" t="s">
        <v>3327</v>
      </c>
      <c r="C2741" s="12" t="s">
        <v>3328</v>
      </c>
      <c r="D2741" s="89"/>
      <c r="E2741" s="69" t="str">
        <f>HYPERLINK("https://www.google.ru/search?q=6147YR1020-000&amp;newwindow=1&amp;tbm=isch","Еще фото")</f>
        <v>Еще фото</v>
      </c>
      <c r="F2741" s="13"/>
      <c r="G2741" s="11" t="s">
        <v>324</v>
      </c>
      <c r="H2741" s="11" t="s">
        <v>27</v>
      </c>
      <c r="I2741" s="14" t="s">
        <v>308</v>
      </c>
      <c r="J2741" s="14" t="s">
        <v>29</v>
      </c>
      <c r="K2741" s="15" t="s">
        <v>55</v>
      </c>
      <c r="L2741" s="86" t="s">
        <v>3329</v>
      </c>
      <c r="M2741" s="14"/>
      <c r="N2741" s="14" t="s">
        <v>49</v>
      </c>
      <c r="O2741" s="14"/>
      <c r="P2741" s="15" t="s">
        <v>108</v>
      </c>
      <c r="Q2741" s="16">
        <v>20899</v>
      </c>
      <c r="R2741" s="17">
        <v>73.5</v>
      </c>
      <c r="S2741" s="18">
        <v>6368.4354999999996</v>
      </c>
      <c r="T2741" s="19" t="s">
        <v>328</v>
      </c>
      <c r="U2741" s="20" t="s">
        <v>52</v>
      </c>
      <c r="V2741" s="25" t="s">
        <v>68</v>
      </c>
      <c r="W2741" s="21">
        <v>3</v>
      </c>
      <c r="X2741" s="22"/>
    </row>
    <row r="2742" spans="1:24" s="1" customFormat="1" ht="60.95" customHeight="1" x14ac:dyDescent="0.3">
      <c r="A2742" s="23" t="s">
        <v>3304</v>
      </c>
      <c r="B2742" s="23" t="s">
        <v>3327</v>
      </c>
      <c r="C2742" s="12" t="s">
        <v>3328</v>
      </c>
      <c r="D2742" s="90"/>
      <c r="E2742" s="69" t="str">
        <f>HYPERLINK("https://www.google.ru/search?q=6147YR1020-000&amp;newwindow=1&amp;tbm=isch","Еще фото")</f>
        <v>Еще фото</v>
      </c>
      <c r="F2742" s="13"/>
      <c r="G2742" s="23" t="s">
        <v>324</v>
      </c>
      <c r="H2742" s="23" t="s">
        <v>27</v>
      </c>
      <c r="I2742" s="23" t="s">
        <v>308</v>
      </c>
      <c r="J2742" s="14" t="s">
        <v>29</v>
      </c>
      <c r="K2742" s="15" t="s">
        <v>55</v>
      </c>
      <c r="L2742" s="88"/>
      <c r="M2742" s="14"/>
      <c r="N2742" s="14" t="s">
        <v>49</v>
      </c>
      <c r="O2742" s="14"/>
      <c r="P2742" s="15" t="s">
        <v>108</v>
      </c>
      <c r="Q2742" s="16">
        <v>20899</v>
      </c>
      <c r="R2742" s="17">
        <v>73.5</v>
      </c>
      <c r="S2742" s="18">
        <v>6368.4354999999996</v>
      </c>
      <c r="T2742" s="19" t="s">
        <v>328</v>
      </c>
      <c r="U2742" s="20" t="s">
        <v>595</v>
      </c>
      <c r="V2742" s="25" t="s">
        <v>59</v>
      </c>
      <c r="W2742" s="21">
        <v>1</v>
      </c>
      <c r="X2742" s="22"/>
    </row>
    <row r="2743" spans="1:24" s="1" customFormat="1" ht="35.1" customHeight="1" x14ac:dyDescent="0.3">
      <c r="A2743" s="11" t="s">
        <v>3304</v>
      </c>
      <c r="B2743" s="11" t="s">
        <v>3330</v>
      </c>
      <c r="C2743" s="12" t="s">
        <v>3331</v>
      </c>
      <c r="D2743" s="83"/>
      <c r="E2743" s="69" t="str">
        <f>HYPERLINK("https://www.google.ru/search?q=6147YR1028-000&amp;newwindow=1&amp;tbm=isch","Еще фото")</f>
        <v>Еще фото</v>
      </c>
      <c r="F2743" s="13"/>
      <c r="G2743" s="11" t="s">
        <v>324</v>
      </c>
      <c r="H2743" s="11" t="s">
        <v>27</v>
      </c>
      <c r="I2743" s="14" t="s">
        <v>308</v>
      </c>
      <c r="J2743" s="14" t="s">
        <v>29</v>
      </c>
      <c r="K2743" s="15" t="s">
        <v>55</v>
      </c>
      <c r="L2743" s="86" t="s">
        <v>3332</v>
      </c>
      <c r="M2743" s="14"/>
      <c r="N2743" s="14" t="s">
        <v>49</v>
      </c>
      <c r="O2743" s="14"/>
      <c r="P2743" s="15" t="s">
        <v>1553</v>
      </c>
      <c r="Q2743" s="16">
        <v>20999</v>
      </c>
      <c r="R2743" s="17">
        <v>73.44</v>
      </c>
      <c r="S2743" s="18">
        <v>6414.4354999999996</v>
      </c>
      <c r="T2743" s="19" t="s">
        <v>328</v>
      </c>
      <c r="U2743" s="20" t="s">
        <v>52</v>
      </c>
      <c r="V2743" s="25" t="s">
        <v>68</v>
      </c>
      <c r="W2743" s="21">
        <v>4</v>
      </c>
      <c r="X2743" s="22"/>
    </row>
    <row r="2744" spans="1:24" s="1" customFormat="1" ht="35.1" customHeight="1" x14ac:dyDescent="0.3">
      <c r="A2744" s="23" t="s">
        <v>3304</v>
      </c>
      <c r="B2744" s="23" t="s">
        <v>3330</v>
      </c>
      <c r="C2744" s="12" t="s">
        <v>3331</v>
      </c>
      <c r="D2744" s="84"/>
      <c r="E2744" s="69" t="str">
        <f>HYPERLINK("https://www.google.ru/search?q=6147YR1028-000&amp;newwindow=1&amp;tbm=isch","Еще фото")</f>
        <v>Еще фото</v>
      </c>
      <c r="F2744" s="13"/>
      <c r="G2744" s="23" t="s">
        <v>324</v>
      </c>
      <c r="H2744" s="23" t="s">
        <v>27</v>
      </c>
      <c r="I2744" s="23" t="s">
        <v>308</v>
      </c>
      <c r="J2744" s="14" t="s">
        <v>29</v>
      </c>
      <c r="K2744" s="15" t="s">
        <v>55</v>
      </c>
      <c r="L2744" s="87"/>
      <c r="M2744" s="14"/>
      <c r="N2744" s="14" t="s">
        <v>49</v>
      </c>
      <c r="O2744" s="14"/>
      <c r="P2744" s="15" t="s">
        <v>1553</v>
      </c>
      <c r="Q2744" s="16">
        <v>20999</v>
      </c>
      <c r="R2744" s="17">
        <v>73.44</v>
      </c>
      <c r="S2744" s="18">
        <v>6414.4354999999996</v>
      </c>
      <c r="T2744" s="19" t="s">
        <v>328</v>
      </c>
      <c r="U2744" s="20" t="s">
        <v>3308</v>
      </c>
      <c r="V2744" s="25" t="s">
        <v>53</v>
      </c>
      <c r="W2744" s="21">
        <v>1</v>
      </c>
      <c r="X2744" s="22"/>
    </row>
    <row r="2745" spans="1:24" s="1" customFormat="1" ht="36.950000000000003" customHeight="1" x14ac:dyDescent="0.3">
      <c r="A2745" s="23" t="s">
        <v>3304</v>
      </c>
      <c r="B2745" s="23" t="s">
        <v>3330</v>
      </c>
      <c r="C2745" s="12" t="s">
        <v>3331</v>
      </c>
      <c r="D2745" s="85"/>
      <c r="E2745" s="69" t="str">
        <f>HYPERLINK("https://www.google.ru/search?q=6147YR1028-000&amp;newwindow=1&amp;tbm=isch","Еще фото")</f>
        <v>Еще фото</v>
      </c>
      <c r="F2745" s="13"/>
      <c r="G2745" s="23" t="s">
        <v>324</v>
      </c>
      <c r="H2745" s="23" t="s">
        <v>27</v>
      </c>
      <c r="I2745" s="23" t="s">
        <v>308</v>
      </c>
      <c r="J2745" s="14" t="s">
        <v>29</v>
      </c>
      <c r="K2745" s="15" t="s">
        <v>55</v>
      </c>
      <c r="L2745" s="88"/>
      <c r="M2745" s="14"/>
      <c r="N2745" s="14" t="s">
        <v>49</v>
      </c>
      <c r="O2745" s="14"/>
      <c r="P2745" s="15" t="s">
        <v>1553</v>
      </c>
      <c r="Q2745" s="16">
        <v>20999</v>
      </c>
      <c r="R2745" s="17">
        <v>73.44</v>
      </c>
      <c r="S2745" s="18">
        <v>6414.4354999999996</v>
      </c>
      <c r="T2745" s="19" t="s">
        <v>328</v>
      </c>
      <c r="U2745" s="20" t="s">
        <v>595</v>
      </c>
      <c r="V2745" s="25" t="s">
        <v>59</v>
      </c>
      <c r="W2745" s="21">
        <v>1</v>
      </c>
      <c r="X2745" s="22"/>
    </row>
    <row r="2746" spans="1:24" s="1" customFormat="1" ht="108" customHeight="1" x14ac:dyDescent="0.3">
      <c r="A2746" s="11" t="s">
        <v>3304</v>
      </c>
      <c r="B2746" s="11" t="s">
        <v>3327</v>
      </c>
      <c r="C2746" s="12" t="s">
        <v>3333</v>
      </c>
      <c r="D2746" s="24"/>
      <c r="E2746" s="69" t="str">
        <f>HYPERLINK("https://www.google.ru/search?q=6147YR1019-716&amp;newwindow=1&amp;tbm=isch","Еще фото")</f>
        <v>Еще фото</v>
      </c>
      <c r="F2746" s="13"/>
      <c r="G2746" s="11" t="s">
        <v>324</v>
      </c>
      <c r="H2746" s="11" t="s">
        <v>27</v>
      </c>
      <c r="I2746" s="14" t="s">
        <v>308</v>
      </c>
      <c r="J2746" s="14" t="s">
        <v>29</v>
      </c>
      <c r="K2746" s="15" t="s">
        <v>55</v>
      </c>
      <c r="L2746" s="14" t="s">
        <v>3334</v>
      </c>
      <c r="M2746" s="14"/>
      <c r="N2746" s="14" t="s">
        <v>313</v>
      </c>
      <c r="O2746" s="14"/>
      <c r="P2746" s="15" t="s">
        <v>108</v>
      </c>
      <c r="Q2746" s="16">
        <v>27499</v>
      </c>
      <c r="R2746" s="17">
        <v>73.28</v>
      </c>
      <c r="S2746" s="18">
        <v>8449.9354999999996</v>
      </c>
      <c r="T2746" s="19" t="s">
        <v>328</v>
      </c>
      <c r="U2746" s="20" t="s">
        <v>3308</v>
      </c>
      <c r="V2746" s="25" t="s">
        <v>53</v>
      </c>
      <c r="W2746" s="21">
        <v>1</v>
      </c>
      <c r="X2746" s="22"/>
    </row>
    <row r="2747" spans="1:24" s="1" customFormat="1" ht="51.95" customHeight="1" x14ac:dyDescent="0.3">
      <c r="A2747" s="11" t="s">
        <v>3304</v>
      </c>
      <c r="B2747" s="11" t="s">
        <v>3330</v>
      </c>
      <c r="C2747" s="12" t="s">
        <v>3335</v>
      </c>
      <c r="D2747" s="89"/>
      <c r="E2747" s="69" t="str">
        <f>HYPERLINK("https://www.google.ru/search?q=6147YR1008-000&amp;newwindow=1&amp;tbm=isch","Еще фото")</f>
        <v>Еще фото</v>
      </c>
      <c r="F2747" s="13"/>
      <c r="G2747" s="11" t="s">
        <v>324</v>
      </c>
      <c r="H2747" s="11" t="s">
        <v>27</v>
      </c>
      <c r="I2747" s="14" t="s">
        <v>308</v>
      </c>
      <c r="J2747" s="14" t="s">
        <v>29</v>
      </c>
      <c r="K2747" s="15" t="s">
        <v>55</v>
      </c>
      <c r="L2747" s="86" t="s">
        <v>3307</v>
      </c>
      <c r="M2747" s="14"/>
      <c r="N2747" s="14" t="s">
        <v>49</v>
      </c>
      <c r="O2747" s="14"/>
      <c r="P2747" s="15" t="s">
        <v>3336</v>
      </c>
      <c r="Q2747" s="16">
        <v>22499</v>
      </c>
      <c r="R2747" s="17">
        <v>64.59</v>
      </c>
      <c r="S2747" s="18">
        <v>9162.9354999999996</v>
      </c>
      <c r="T2747" s="19" t="s">
        <v>328</v>
      </c>
      <c r="U2747" s="20" t="s">
        <v>66</v>
      </c>
      <c r="V2747" s="25" t="s">
        <v>65</v>
      </c>
      <c r="W2747" s="21">
        <v>1</v>
      </c>
      <c r="X2747" s="22"/>
    </row>
    <row r="2748" spans="1:24" s="1" customFormat="1" ht="60.95" customHeight="1" x14ac:dyDescent="0.3">
      <c r="A2748" s="23" t="s">
        <v>3304</v>
      </c>
      <c r="B2748" s="23" t="s">
        <v>3330</v>
      </c>
      <c r="C2748" s="12" t="s">
        <v>3335</v>
      </c>
      <c r="D2748" s="90"/>
      <c r="E2748" s="69" t="str">
        <f>HYPERLINK("https://www.google.ru/search?q=6147YR1008-000&amp;newwindow=1&amp;tbm=isch","Еще фото")</f>
        <v>Еще фото</v>
      </c>
      <c r="F2748" s="13"/>
      <c r="G2748" s="23" t="s">
        <v>324</v>
      </c>
      <c r="H2748" s="23" t="s">
        <v>27</v>
      </c>
      <c r="I2748" s="23" t="s">
        <v>308</v>
      </c>
      <c r="J2748" s="14" t="s">
        <v>29</v>
      </c>
      <c r="K2748" s="15" t="s">
        <v>55</v>
      </c>
      <c r="L2748" s="88"/>
      <c r="M2748" s="14"/>
      <c r="N2748" s="14" t="s">
        <v>49</v>
      </c>
      <c r="O2748" s="14"/>
      <c r="P2748" s="15" t="s">
        <v>3336</v>
      </c>
      <c r="Q2748" s="16">
        <v>22499</v>
      </c>
      <c r="R2748" s="17">
        <v>64.59</v>
      </c>
      <c r="S2748" s="18">
        <v>9162.9354999999996</v>
      </c>
      <c r="T2748" s="19" t="s">
        <v>328</v>
      </c>
      <c r="U2748" s="20" t="s">
        <v>52</v>
      </c>
      <c r="V2748" s="25" t="s">
        <v>68</v>
      </c>
      <c r="W2748" s="21">
        <v>1</v>
      </c>
      <c r="X2748" s="22"/>
    </row>
    <row r="2749" spans="1:24" s="1" customFormat="1" ht="51.95" customHeight="1" x14ac:dyDescent="0.3">
      <c r="A2749" s="11" t="s">
        <v>3014</v>
      </c>
      <c r="B2749" s="11" t="s">
        <v>3337</v>
      </c>
      <c r="C2749" s="12" t="s">
        <v>3338</v>
      </c>
      <c r="D2749" s="89"/>
      <c r="E2749" s="69" t="str">
        <f>HYPERLINK("https://www.google.ru/search?q=7100045A-4380&amp;newwindow=1&amp;tbm=isch","Еще фото")</f>
        <v>Еще фото</v>
      </c>
      <c r="F2749" s="13"/>
      <c r="G2749" s="11" t="s">
        <v>307</v>
      </c>
      <c r="H2749" s="11" t="s">
        <v>27</v>
      </c>
      <c r="I2749" s="14" t="s">
        <v>308</v>
      </c>
      <c r="J2749" s="14" t="s">
        <v>29</v>
      </c>
      <c r="K2749" s="15" t="s">
        <v>30</v>
      </c>
      <c r="L2749" s="86" t="s">
        <v>3339</v>
      </c>
      <c r="M2749" s="14"/>
      <c r="N2749" s="14" t="s">
        <v>275</v>
      </c>
      <c r="O2749" s="14"/>
      <c r="P2749" s="15" t="s">
        <v>3018</v>
      </c>
      <c r="Q2749" s="16">
        <v>5799</v>
      </c>
      <c r="R2749" s="17">
        <v>48</v>
      </c>
      <c r="S2749" s="18">
        <v>3467.8019999999997</v>
      </c>
      <c r="T2749" s="19" t="s">
        <v>117</v>
      </c>
      <c r="U2749" s="20" t="s">
        <v>2961</v>
      </c>
      <c r="V2749" s="21">
        <v>98</v>
      </c>
      <c r="W2749" s="21">
        <v>1</v>
      </c>
      <c r="X2749" s="22"/>
    </row>
    <row r="2750" spans="1:24" s="1" customFormat="1" ht="60.95" customHeight="1" x14ac:dyDescent="0.3">
      <c r="A2750" s="23" t="s">
        <v>3014</v>
      </c>
      <c r="B2750" s="23" t="s">
        <v>3337</v>
      </c>
      <c r="C2750" s="12" t="s">
        <v>3338</v>
      </c>
      <c r="D2750" s="90"/>
      <c r="E2750" s="69" t="str">
        <f>HYPERLINK("https://www.google.ru/search?q=7100045A-4380&amp;newwindow=1&amp;tbm=isch","Еще фото")</f>
        <v>Еще фото</v>
      </c>
      <c r="F2750" s="13"/>
      <c r="G2750" s="23" t="s">
        <v>307</v>
      </c>
      <c r="H2750" s="23" t="s">
        <v>27</v>
      </c>
      <c r="I2750" s="23" t="s">
        <v>308</v>
      </c>
      <c r="J2750" s="14" t="s">
        <v>29</v>
      </c>
      <c r="K2750" s="15" t="s">
        <v>30</v>
      </c>
      <c r="L2750" s="88"/>
      <c r="M2750" s="14"/>
      <c r="N2750" s="14" t="s">
        <v>275</v>
      </c>
      <c r="O2750" s="14"/>
      <c r="P2750" s="15" t="s">
        <v>3018</v>
      </c>
      <c r="Q2750" s="16">
        <v>5799</v>
      </c>
      <c r="R2750" s="17">
        <v>48</v>
      </c>
      <c r="S2750" s="18">
        <v>3467.8019999999997</v>
      </c>
      <c r="T2750" s="19" t="s">
        <v>117</v>
      </c>
      <c r="U2750" s="20" t="s">
        <v>94</v>
      </c>
      <c r="V2750" s="21">
        <v>104</v>
      </c>
      <c r="W2750" s="21">
        <v>1</v>
      </c>
      <c r="X2750" s="22"/>
    </row>
    <row r="2751" spans="1:24" s="1" customFormat="1" ht="108" customHeight="1" x14ac:dyDescent="0.3">
      <c r="A2751" s="11" t="s">
        <v>3014</v>
      </c>
      <c r="B2751" s="11" t="s">
        <v>3337</v>
      </c>
      <c r="C2751" s="12" t="s">
        <v>3340</v>
      </c>
      <c r="D2751" s="24"/>
      <c r="E2751" s="69" t="str">
        <f>HYPERLINK("https://www.google.ru/search?q=7100045A-6920&amp;newwindow=1&amp;tbm=isch","Еще фото")</f>
        <v>Еще фото</v>
      </c>
      <c r="F2751" s="13"/>
      <c r="G2751" s="11" t="s">
        <v>307</v>
      </c>
      <c r="H2751" s="11" t="s">
        <v>27</v>
      </c>
      <c r="I2751" s="14" t="s">
        <v>308</v>
      </c>
      <c r="J2751" s="14" t="s">
        <v>29</v>
      </c>
      <c r="K2751" s="15" t="s">
        <v>30</v>
      </c>
      <c r="L2751" s="14" t="s">
        <v>3339</v>
      </c>
      <c r="M2751" s="14"/>
      <c r="N2751" s="14" t="s">
        <v>70</v>
      </c>
      <c r="O2751" s="14"/>
      <c r="P2751" s="15" t="s">
        <v>3018</v>
      </c>
      <c r="Q2751" s="16">
        <v>5799</v>
      </c>
      <c r="R2751" s="17">
        <v>48</v>
      </c>
      <c r="S2751" s="18">
        <v>3467.8019999999997</v>
      </c>
      <c r="T2751" s="19" t="s">
        <v>117</v>
      </c>
      <c r="U2751" s="20" t="s">
        <v>2961</v>
      </c>
      <c r="V2751" s="21">
        <v>98</v>
      </c>
      <c r="W2751" s="21">
        <v>1</v>
      </c>
      <c r="X2751" s="22"/>
    </row>
    <row r="2752" spans="1:24" s="1" customFormat="1" ht="35.1" customHeight="1" x14ac:dyDescent="0.3">
      <c r="A2752" s="11" t="s">
        <v>3014</v>
      </c>
      <c r="B2752" s="11" t="s">
        <v>3341</v>
      </c>
      <c r="C2752" s="12" t="s">
        <v>3342</v>
      </c>
      <c r="D2752" s="83"/>
      <c r="E2752" s="69" t="str">
        <f>HYPERLINK("https://www.google.ru/search?q=7100050A-6961&amp;newwindow=1&amp;tbm=isch","Еще фото")</f>
        <v>Еще фото</v>
      </c>
      <c r="F2752" s="13"/>
      <c r="G2752" s="11" t="s">
        <v>307</v>
      </c>
      <c r="H2752" s="11" t="s">
        <v>27</v>
      </c>
      <c r="I2752" s="14" t="s">
        <v>308</v>
      </c>
      <c r="J2752" s="14" t="s">
        <v>29</v>
      </c>
      <c r="K2752" s="15" t="s">
        <v>30</v>
      </c>
      <c r="L2752" s="86" t="s">
        <v>3343</v>
      </c>
      <c r="M2752" s="14"/>
      <c r="N2752" s="14" t="s">
        <v>70</v>
      </c>
      <c r="O2752" s="14"/>
      <c r="P2752" s="15" t="s">
        <v>3018</v>
      </c>
      <c r="Q2752" s="16">
        <v>5299</v>
      </c>
      <c r="R2752" s="17">
        <v>48</v>
      </c>
      <c r="S2752" s="18">
        <v>3168.8019999999997</v>
      </c>
      <c r="T2752" s="19" t="s">
        <v>117</v>
      </c>
      <c r="U2752" s="20" t="s">
        <v>2961</v>
      </c>
      <c r="V2752" s="21">
        <v>98</v>
      </c>
      <c r="W2752" s="21">
        <v>1</v>
      </c>
      <c r="X2752" s="22"/>
    </row>
    <row r="2753" spans="1:24" s="1" customFormat="1" ht="35.1" customHeight="1" x14ac:dyDescent="0.3">
      <c r="A2753" s="23" t="s">
        <v>3014</v>
      </c>
      <c r="B2753" s="23" t="s">
        <v>3341</v>
      </c>
      <c r="C2753" s="12" t="s">
        <v>3342</v>
      </c>
      <c r="D2753" s="84"/>
      <c r="E2753" s="69" t="str">
        <f>HYPERLINK("https://www.google.ru/search?q=7100050A-6961&amp;newwindow=1&amp;tbm=isch","Еще фото")</f>
        <v>Еще фото</v>
      </c>
      <c r="F2753" s="13"/>
      <c r="G2753" s="23" t="s">
        <v>307</v>
      </c>
      <c r="H2753" s="23" t="s">
        <v>27</v>
      </c>
      <c r="I2753" s="23" t="s">
        <v>308</v>
      </c>
      <c r="J2753" s="14" t="s">
        <v>29</v>
      </c>
      <c r="K2753" s="15" t="s">
        <v>30</v>
      </c>
      <c r="L2753" s="87"/>
      <c r="M2753" s="14"/>
      <c r="N2753" s="14" t="s">
        <v>70</v>
      </c>
      <c r="O2753" s="14"/>
      <c r="P2753" s="15" t="s">
        <v>3018</v>
      </c>
      <c r="Q2753" s="16">
        <v>5299</v>
      </c>
      <c r="R2753" s="17">
        <v>48</v>
      </c>
      <c r="S2753" s="18">
        <v>3168.8019999999997</v>
      </c>
      <c r="T2753" s="19" t="s">
        <v>117</v>
      </c>
      <c r="U2753" s="20" t="s">
        <v>94</v>
      </c>
      <c r="V2753" s="21">
        <v>104</v>
      </c>
      <c r="W2753" s="21">
        <v>2</v>
      </c>
      <c r="X2753" s="22"/>
    </row>
    <row r="2754" spans="1:24" s="1" customFormat="1" ht="36.950000000000003" customHeight="1" x14ac:dyDescent="0.3">
      <c r="A2754" s="23" t="s">
        <v>3014</v>
      </c>
      <c r="B2754" s="23" t="s">
        <v>3341</v>
      </c>
      <c r="C2754" s="12" t="s">
        <v>3342</v>
      </c>
      <c r="D2754" s="85"/>
      <c r="E2754" s="69" t="str">
        <f>HYPERLINK("https://www.google.ru/search?q=7100050A-6961&amp;newwindow=1&amp;tbm=isch","Еще фото")</f>
        <v>Еще фото</v>
      </c>
      <c r="F2754" s="13"/>
      <c r="G2754" s="23" t="s">
        <v>307</v>
      </c>
      <c r="H2754" s="23" t="s">
        <v>27</v>
      </c>
      <c r="I2754" s="23" t="s">
        <v>308</v>
      </c>
      <c r="J2754" s="14" t="s">
        <v>29</v>
      </c>
      <c r="K2754" s="15" t="s">
        <v>30</v>
      </c>
      <c r="L2754" s="88"/>
      <c r="M2754" s="14"/>
      <c r="N2754" s="14" t="s">
        <v>70</v>
      </c>
      <c r="O2754" s="14"/>
      <c r="P2754" s="15" t="s">
        <v>3018</v>
      </c>
      <c r="Q2754" s="16">
        <v>5299</v>
      </c>
      <c r="R2754" s="17">
        <v>48</v>
      </c>
      <c r="S2754" s="18">
        <v>3168.8019999999997</v>
      </c>
      <c r="T2754" s="19" t="s">
        <v>117</v>
      </c>
      <c r="U2754" s="20" t="s">
        <v>43</v>
      </c>
      <c r="V2754" s="21">
        <v>110</v>
      </c>
      <c r="W2754" s="21">
        <v>1</v>
      </c>
      <c r="X2754" s="22"/>
    </row>
    <row r="2755" spans="1:24" s="1" customFormat="1" ht="35.1" customHeight="1" x14ac:dyDescent="0.3">
      <c r="A2755" s="11" t="s">
        <v>3014</v>
      </c>
      <c r="B2755" s="11" t="s">
        <v>3344</v>
      </c>
      <c r="C2755" s="12" t="s">
        <v>3345</v>
      </c>
      <c r="D2755" s="83"/>
      <c r="E2755" s="69" t="str">
        <f>HYPERLINK("https://www.google.ru/search?q=7100055A-6961&amp;newwindow=1&amp;tbm=isch","Еще фото")</f>
        <v>Еще фото</v>
      </c>
      <c r="F2755" s="13"/>
      <c r="G2755" s="11" t="s">
        <v>307</v>
      </c>
      <c r="H2755" s="11" t="s">
        <v>27</v>
      </c>
      <c r="I2755" s="14" t="s">
        <v>308</v>
      </c>
      <c r="J2755" s="14" t="s">
        <v>29</v>
      </c>
      <c r="K2755" s="15" t="s">
        <v>30</v>
      </c>
      <c r="L2755" s="86" t="s">
        <v>3346</v>
      </c>
      <c r="M2755" s="14"/>
      <c r="N2755" s="14" t="s">
        <v>70</v>
      </c>
      <c r="O2755" s="14"/>
      <c r="P2755" s="15" t="s">
        <v>3018</v>
      </c>
      <c r="Q2755" s="16">
        <v>5299</v>
      </c>
      <c r="R2755" s="17">
        <v>48</v>
      </c>
      <c r="S2755" s="18">
        <v>3168.8019999999997</v>
      </c>
      <c r="T2755" s="19" t="s">
        <v>117</v>
      </c>
      <c r="U2755" s="20" t="s">
        <v>2961</v>
      </c>
      <c r="V2755" s="21">
        <v>98</v>
      </c>
      <c r="W2755" s="21">
        <v>2</v>
      </c>
      <c r="X2755" s="22"/>
    </row>
    <row r="2756" spans="1:24" s="1" customFormat="1" ht="35.1" customHeight="1" x14ac:dyDescent="0.3">
      <c r="A2756" s="23" t="s">
        <v>3014</v>
      </c>
      <c r="B2756" s="23" t="s">
        <v>3344</v>
      </c>
      <c r="C2756" s="12" t="s">
        <v>3345</v>
      </c>
      <c r="D2756" s="84"/>
      <c r="E2756" s="69" t="str">
        <f>HYPERLINK("https://www.google.ru/search?q=7100055A-6961&amp;newwindow=1&amp;tbm=isch","Еще фото")</f>
        <v>Еще фото</v>
      </c>
      <c r="F2756" s="13"/>
      <c r="G2756" s="23" t="s">
        <v>307</v>
      </c>
      <c r="H2756" s="23" t="s">
        <v>27</v>
      </c>
      <c r="I2756" s="23" t="s">
        <v>308</v>
      </c>
      <c r="J2756" s="14" t="s">
        <v>29</v>
      </c>
      <c r="K2756" s="15" t="s">
        <v>30</v>
      </c>
      <c r="L2756" s="87"/>
      <c r="M2756" s="14"/>
      <c r="N2756" s="14" t="s">
        <v>70</v>
      </c>
      <c r="O2756" s="14"/>
      <c r="P2756" s="15" t="s">
        <v>3018</v>
      </c>
      <c r="Q2756" s="16">
        <v>5299</v>
      </c>
      <c r="R2756" s="17">
        <v>48</v>
      </c>
      <c r="S2756" s="18">
        <v>3168.8019999999997</v>
      </c>
      <c r="T2756" s="19" t="s">
        <v>117</v>
      </c>
      <c r="U2756" s="20" t="s">
        <v>94</v>
      </c>
      <c r="V2756" s="21">
        <v>104</v>
      </c>
      <c r="W2756" s="21">
        <v>2</v>
      </c>
      <c r="X2756" s="22"/>
    </row>
    <row r="2757" spans="1:24" s="1" customFormat="1" ht="36.950000000000003" customHeight="1" x14ac:dyDescent="0.3">
      <c r="A2757" s="23" t="s">
        <v>3014</v>
      </c>
      <c r="B2757" s="23" t="s">
        <v>3344</v>
      </c>
      <c r="C2757" s="12" t="s">
        <v>3345</v>
      </c>
      <c r="D2757" s="85"/>
      <c r="E2757" s="69" t="str">
        <f>HYPERLINK("https://www.google.ru/search?q=7100055A-6961&amp;newwindow=1&amp;tbm=isch","Еще фото")</f>
        <v>Еще фото</v>
      </c>
      <c r="F2757" s="13"/>
      <c r="G2757" s="23" t="s">
        <v>307</v>
      </c>
      <c r="H2757" s="23" t="s">
        <v>27</v>
      </c>
      <c r="I2757" s="23" t="s">
        <v>308</v>
      </c>
      <c r="J2757" s="14" t="s">
        <v>29</v>
      </c>
      <c r="K2757" s="15" t="s">
        <v>30</v>
      </c>
      <c r="L2757" s="88"/>
      <c r="M2757" s="14"/>
      <c r="N2757" s="14" t="s">
        <v>70</v>
      </c>
      <c r="O2757" s="14"/>
      <c r="P2757" s="15" t="s">
        <v>3018</v>
      </c>
      <c r="Q2757" s="16">
        <v>5299</v>
      </c>
      <c r="R2757" s="17">
        <v>48</v>
      </c>
      <c r="S2757" s="18">
        <v>3168.8019999999997</v>
      </c>
      <c r="T2757" s="19" t="s">
        <v>117</v>
      </c>
      <c r="U2757" s="20" t="s">
        <v>35</v>
      </c>
      <c r="V2757" s="21">
        <v>116</v>
      </c>
      <c r="W2757" s="21">
        <v>2</v>
      </c>
      <c r="X2757" s="22"/>
    </row>
    <row r="2758" spans="1:24" s="1" customFormat="1" ht="108" customHeight="1" x14ac:dyDescent="0.3">
      <c r="A2758" s="11" t="s">
        <v>3014</v>
      </c>
      <c r="B2758" s="11" t="s">
        <v>3344</v>
      </c>
      <c r="C2758" s="12" t="s">
        <v>3347</v>
      </c>
      <c r="D2758" s="24"/>
      <c r="E2758" s="69" t="str">
        <f>HYPERLINK("https://www.google.ru/search?q=7100055A-9991&amp;newwindow=1&amp;tbm=isch","Еще фото")</f>
        <v>Еще фото</v>
      </c>
      <c r="F2758" s="13"/>
      <c r="G2758" s="11" t="s">
        <v>307</v>
      </c>
      <c r="H2758" s="11" t="s">
        <v>27</v>
      </c>
      <c r="I2758" s="14" t="s">
        <v>308</v>
      </c>
      <c r="J2758" s="14" t="s">
        <v>29</v>
      </c>
      <c r="K2758" s="15" t="s">
        <v>30</v>
      </c>
      <c r="L2758" s="14" t="s">
        <v>3346</v>
      </c>
      <c r="M2758" s="14"/>
      <c r="N2758" s="14" t="s">
        <v>49</v>
      </c>
      <c r="O2758" s="14"/>
      <c r="P2758" s="15" t="s">
        <v>3018</v>
      </c>
      <c r="Q2758" s="16">
        <v>5299</v>
      </c>
      <c r="R2758" s="17">
        <v>48</v>
      </c>
      <c r="S2758" s="18">
        <v>3168.8019999999997</v>
      </c>
      <c r="T2758" s="19" t="s">
        <v>117</v>
      </c>
      <c r="U2758" s="20" t="s">
        <v>2961</v>
      </c>
      <c r="V2758" s="21">
        <v>98</v>
      </c>
      <c r="W2758" s="21">
        <v>1</v>
      </c>
      <c r="X2758" s="22"/>
    </row>
    <row r="2759" spans="1:24" s="1" customFormat="1" ht="17.100000000000001" customHeight="1" x14ac:dyDescent="0.3">
      <c r="A2759" s="11" t="s">
        <v>3014</v>
      </c>
      <c r="B2759" s="11" t="s">
        <v>3348</v>
      </c>
      <c r="C2759" s="12" t="s">
        <v>3349</v>
      </c>
      <c r="D2759" s="83"/>
      <c r="E2759" s="69" t="str">
        <f t="shared" ref="E2759:E2764" si="108">HYPERLINK("https://www.google.ru/search?q=7100056A-6961&amp;newwindow=1&amp;tbm=isch","Еще фото")</f>
        <v>Еще фото</v>
      </c>
      <c r="F2759" s="13"/>
      <c r="G2759" s="11" t="s">
        <v>307</v>
      </c>
      <c r="H2759" s="11" t="s">
        <v>27</v>
      </c>
      <c r="I2759" s="14" t="s">
        <v>308</v>
      </c>
      <c r="J2759" s="14" t="s">
        <v>29</v>
      </c>
      <c r="K2759" s="15" t="s">
        <v>30</v>
      </c>
      <c r="L2759" s="86" t="s">
        <v>3350</v>
      </c>
      <c r="M2759" s="14"/>
      <c r="N2759" s="14" t="s">
        <v>70</v>
      </c>
      <c r="O2759" s="14"/>
      <c r="P2759" s="15" t="s">
        <v>3018</v>
      </c>
      <c r="Q2759" s="16">
        <v>5299</v>
      </c>
      <c r="R2759" s="17">
        <v>48</v>
      </c>
      <c r="S2759" s="18">
        <v>3168.8019999999997</v>
      </c>
      <c r="T2759" s="19" t="s">
        <v>117</v>
      </c>
      <c r="U2759" s="20" t="s">
        <v>2961</v>
      </c>
      <c r="V2759" s="21">
        <v>98</v>
      </c>
      <c r="W2759" s="21">
        <v>1</v>
      </c>
      <c r="X2759" s="22"/>
    </row>
    <row r="2760" spans="1:24" s="1" customFormat="1" ht="17.100000000000001" customHeight="1" x14ac:dyDescent="0.3">
      <c r="A2760" s="23" t="s">
        <v>3014</v>
      </c>
      <c r="B2760" s="23" t="s">
        <v>3348</v>
      </c>
      <c r="C2760" s="12" t="s">
        <v>3349</v>
      </c>
      <c r="D2760" s="84"/>
      <c r="E2760" s="69" t="str">
        <f t="shared" si="108"/>
        <v>Еще фото</v>
      </c>
      <c r="F2760" s="13"/>
      <c r="G2760" s="23" t="s">
        <v>307</v>
      </c>
      <c r="H2760" s="23" t="s">
        <v>27</v>
      </c>
      <c r="I2760" s="23" t="s">
        <v>308</v>
      </c>
      <c r="J2760" s="14" t="s">
        <v>29</v>
      </c>
      <c r="K2760" s="15" t="s">
        <v>30</v>
      </c>
      <c r="L2760" s="87"/>
      <c r="M2760" s="14"/>
      <c r="N2760" s="14" t="s">
        <v>70</v>
      </c>
      <c r="O2760" s="14"/>
      <c r="P2760" s="15" t="s">
        <v>3018</v>
      </c>
      <c r="Q2760" s="16">
        <v>5299</v>
      </c>
      <c r="R2760" s="17">
        <v>48</v>
      </c>
      <c r="S2760" s="18">
        <v>3168.8019999999997</v>
      </c>
      <c r="T2760" s="19" t="s">
        <v>117</v>
      </c>
      <c r="U2760" s="20" t="s">
        <v>94</v>
      </c>
      <c r="V2760" s="21">
        <v>104</v>
      </c>
      <c r="W2760" s="21">
        <v>1</v>
      </c>
      <c r="X2760" s="22"/>
    </row>
    <row r="2761" spans="1:24" s="1" customFormat="1" ht="17.100000000000001" customHeight="1" x14ac:dyDescent="0.3">
      <c r="A2761" s="23" t="s">
        <v>3014</v>
      </c>
      <c r="B2761" s="23" t="s">
        <v>3348</v>
      </c>
      <c r="C2761" s="12" t="s">
        <v>3349</v>
      </c>
      <c r="D2761" s="84"/>
      <c r="E2761" s="69" t="str">
        <f t="shared" si="108"/>
        <v>Еще фото</v>
      </c>
      <c r="F2761" s="13"/>
      <c r="G2761" s="23" t="s">
        <v>307</v>
      </c>
      <c r="H2761" s="23" t="s">
        <v>27</v>
      </c>
      <c r="I2761" s="23" t="s">
        <v>308</v>
      </c>
      <c r="J2761" s="14" t="s">
        <v>29</v>
      </c>
      <c r="K2761" s="15" t="s">
        <v>30</v>
      </c>
      <c r="L2761" s="87"/>
      <c r="M2761" s="14"/>
      <c r="N2761" s="14" t="s">
        <v>70</v>
      </c>
      <c r="O2761" s="14"/>
      <c r="P2761" s="15" t="s">
        <v>3018</v>
      </c>
      <c r="Q2761" s="16">
        <v>5299</v>
      </c>
      <c r="R2761" s="17">
        <v>48</v>
      </c>
      <c r="S2761" s="18">
        <v>3168.8019999999997</v>
      </c>
      <c r="T2761" s="19" t="s">
        <v>117</v>
      </c>
      <c r="U2761" s="20" t="s">
        <v>43</v>
      </c>
      <c r="V2761" s="21">
        <v>110</v>
      </c>
      <c r="W2761" s="21">
        <v>1</v>
      </c>
      <c r="X2761" s="22"/>
    </row>
    <row r="2762" spans="1:24" s="1" customFormat="1" ht="17.100000000000001" customHeight="1" x14ac:dyDescent="0.3">
      <c r="A2762" s="23" t="s">
        <v>3014</v>
      </c>
      <c r="B2762" s="23" t="s">
        <v>3348</v>
      </c>
      <c r="C2762" s="12" t="s">
        <v>3349</v>
      </c>
      <c r="D2762" s="84"/>
      <c r="E2762" s="69" t="str">
        <f t="shared" si="108"/>
        <v>Еще фото</v>
      </c>
      <c r="F2762" s="13"/>
      <c r="G2762" s="23" t="s">
        <v>307</v>
      </c>
      <c r="H2762" s="23" t="s">
        <v>27</v>
      </c>
      <c r="I2762" s="23" t="s">
        <v>308</v>
      </c>
      <c r="J2762" s="14" t="s">
        <v>29</v>
      </c>
      <c r="K2762" s="15" t="s">
        <v>30</v>
      </c>
      <c r="L2762" s="87"/>
      <c r="M2762" s="14"/>
      <c r="N2762" s="14" t="s">
        <v>70</v>
      </c>
      <c r="O2762" s="14"/>
      <c r="P2762" s="15" t="s">
        <v>3018</v>
      </c>
      <c r="Q2762" s="16">
        <v>5299</v>
      </c>
      <c r="R2762" s="17">
        <v>48</v>
      </c>
      <c r="S2762" s="18">
        <v>3168.8019999999997</v>
      </c>
      <c r="T2762" s="19" t="s">
        <v>117</v>
      </c>
      <c r="U2762" s="20" t="s">
        <v>35</v>
      </c>
      <c r="V2762" s="21">
        <v>116</v>
      </c>
      <c r="W2762" s="21">
        <v>1</v>
      </c>
      <c r="X2762" s="22"/>
    </row>
    <row r="2763" spans="1:24" s="1" customFormat="1" ht="17.100000000000001" customHeight="1" x14ac:dyDescent="0.3">
      <c r="A2763" s="23" t="s">
        <v>3014</v>
      </c>
      <c r="B2763" s="23" t="s">
        <v>3348</v>
      </c>
      <c r="C2763" s="12" t="s">
        <v>3349</v>
      </c>
      <c r="D2763" s="84"/>
      <c r="E2763" s="69" t="str">
        <f t="shared" si="108"/>
        <v>Еще фото</v>
      </c>
      <c r="F2763" s="13"/>
      <c r="G2763" s="23" t="s">
        <v>307</v>
      </c>
      <c r="H2763" s="23" t="s">
        <v>27</v>
      </c>
      <c r="I2763" s="23" t="s">
        <v>308</v>
      </c>
      <c r="J2763" s="14" t="s">
        <v>29</v>
      </c>
      <c r="K2763" s="15" t="s">
        <v>30</v>
      </c>
      <c r="L2763" s="87"/>
      <c r="M2763" s="14"/>
      <c r="N2763" s="14" t="s">
        <v>70</v>
      </c>
      <c r="O2763" s="14"/>
      <c r="P2763" s="15" t="s">
        <v>3018</v>
      </c>
      <c r="Q2763" s="16">
        <v>5299</v>
      </c>
      <c r="R2763" s="17">
        <v>48</v>
      </c>
      <c r="S2763" s="18">
        <v>3168.8019999999997</v>
      </c>
      <c r="T2763" s="19" t="s">
        <v>117</v>
      </c>
      <c r="U2763" s="20" t="s">
        <v>36</v>
      </c>
      <c r="V2763" s="21">
        <v>122</v>
      </c>
      <c r="W2763" s="21">
        <v>1</v>
      </c>
      <c r="X2763" s="22"/>
    </row>
    <row r="2764" spans="1:24" s="1" customFormat="1" ht="21.95" customHeight="1" x14ac:dyDescent="0.3">
      <c r="A2764" s="23" t="s">
        <v>3014</v>
      </c>
      <c r="B2764" s="23" t="s">
        <v>3348</v>
      </c>
      <c r="C2764" s="12" t="s">
        <v>3349</v>
      </c>
      <c r="D2764" s="85"/>
      <c r="E2764" s="69" t="str">
        <f t="shared" si="108"/>
        <v>Еще фото</v>
      </c>
      <c r="F2764" s="13"/>
      <c r="G2764" s="23" t="s">
        <v>307</v>
      </c>
      <c r="H2764" s="23" t="s">
        <v>27</v>
      </c>
      <c r="I2764" s="23" t="s">
        <v>308</v>
      </c>
      <c r="J2764" s="14" t="s">
        <v>29</v>
      </c>
      <c r="K2764" s="15" t="s">
        <v>30</v>
      </c>
      <c r="L2764" s="88"/>
      <c r="M2764" s="14"/>
      <c r="N2764" s="14" t="s">
        <v>70</v>
      </c>
      <c r="O2764" s="14"/>
      <c r="P2764" s="15" t="s">
        <v>3018</v>
      </c>
      <c r="Q2764" s="16">
        <v>5299</v>
      </c>
      <c r="R2764" s="17">
        <v>48</v>
      </c>
      <c r="S2764" s="18">
        <v>3168.8019999999997</v>
      </c>
      <c r="T2764" s="19" t="s">
        <v>117</v>
      </c>
      <c r="U2764" s="20" t="s">
        <v>37</v>
      </c>
      <c r="V2764" s="21">
        <v>128</v>
      </c>
      <c r="W2764" s="21">
        <v>1</v>
      </c>
      <c r="X2764" s="22"/>
    </row>
    <row r="2765" spans="1:24" s="1" customFormat="1" ht="26.1" customHeight="1" x14ac:dyDescent="0.3">
      <c r="A2765" s="11" t="s">
        <v>3014</v>
      </c>
      <c r="B2765" s="11" t="s">
        <v>3348</v>
      </c>
      <c r="C2765" s="12" t="s">
        <v>3351</v>
      </c>
      <c r="D2765" s="83"/>
      <c r="E2765" s="69" t="str">
        <f>HYPERLINK("https://www.google.ru/search?q=7100056A-8961&amp;newwindow=1&amp;tbm=isch","Еще фото")</f>
        <v>Еще фото</v>
      </c>
      <c r="F2765" s="13"/>
      <c r="G2765" s="11" t="s">
        <v>307</v>
      </c>
      <c r="H2765" s="11" t="s">
        <v>27</v>
      </c>
      <c r="I2765" s="14" t="s">
        <v>308</v>
      </c>
      <c r="J2765" s="14" t="s">
        <v>29</v>
      </c>
      <c r="K2765" s="15" t="s">
        <v>30</v>
      </c>
      <c r="L2765" s="86" t="s">
        <v>3350</v>
      </c>
      <c r="M2765" s="14"/>
      <c r="N2765" s="14" t="s">
        <v>242</v>
      </c>
      <c r="O2765" s="14"/>
      <c r="P2765" s="15" t="s">
        <v>3018</v>
      </c>
      <c r="Q2765" s="16">
        <v>5299</v>
      </c>
      <c r="R2765" s="17">
        <v>48</v>
      </c>
      <c r="S2765" s="18">
        <v>3168.8019999999997</v>
      </c>
      <c r="T2765" s="19" t="s">
        <v>117</v>
      </c>
      <c r="U2765" s="20" t="s">
        <v>2977</v>
      </c>
      <c r="V2765" s="21">
        <v>92</v>
      </c>
      <c r="W2765" s="21">
        <v>1</v>
      </c>
      <c r="X2765" s="22"/>
    </row>
    <row r="2766" spans="1:24" s="1" customFormat="1" ht="26.1" customHeight="1" x14ac:dyDescent="0.3">
      <c r="A2766" s="23" t="s">
        <v>3014</v>
      </c>
      <c r="B2766" s="23" t="s">
        <v>3348</v>
      </c>
      <c r="C2766" s="12" t="s">
        <v>3351</v>
      </c>
      <c r="D2766" s="84"/>
      <c r="E2766" s="69" t="str">
        <f>HYPERLINK("https://www.google.ru/search?q=7100056A-8961&amp;newwindow=1&amp;tbm=isch","Еще фото")</f>
        <v>Еще фото</v>
      </c>
      <c r="F2766" s="13"/>
      <c r="G2766" s="23" t="s">
        <v>307</v>
      </c>
      <c r="H2766" s="23" t="s">
        <v>27</v>
      </c>
      <c r="I2766" s="23" t="s">
        <v>308</v>
      </c>
      <c r="J2766" s="14" t="s">
        <v>29</v>
      </c>
      <c r="K2766" s="15" t="s">
        <v>30</v>
      </c>
      <c r="L2766" s="87"/>
      <c r="M2766" s="14"/>
      <c r="N2766" s="14" t="s">
        <v>242</v>
      </c>
      <c r="O2766" s="14"/>
      <c r="P2766" s="15" t="s">
        <v>3018</v>
      </c>
      <c r="Q2766" s="16">
        <v>5299</v>
      </c>
      <c r="R2766" s="17">
        <v>48</v>
      </c>
      <c r="S2766" s="18">
        <v>3168.8019999999997</v>
      </c>
      <c r="T2766" s="19" t="s">
        <v>117</v>
      </c>
      <c r="U2766" s="20" t="s">
        <v>2961</v>
      </c>
      <c r="V2766" s="21">
        <v>98</v>
      </c>
      <c r="W2766" s="21">
        <v>2</v>
      </c>
      <c r="X2766" s="22"/>
    </row>
    <row r="2767" spans="1:24" s="1" customFormat="1" ht="26.1" customHeight="1" x14ac:dyDescent="0.3">
      <c r="A2767" s="23" t="s">
        <v>3014</v>
      </c>
      <c r="B2767" s="23" t="s">
        <v>3348</v>
      </c>
      <c r="C2767" s="12" t="s">
        <v>3351</v>
      </c>
      <c r="D2767" s="84"/>
      <c r="E2767" s="69" t="str">
        <f>HYPERLINK("https://www.google.ru/search?q=7100056A-8961&amp;newwindow=1&amp;tbm=isch","Еще фото")</f>
        <v>Еще фото</v>
      </c>
      <c r="F2767" s="13"/>
      <c r="G2767" s="23" t="s">
        <v>307</v>
      </c>
      <c r="H2767" s="23" t="s">
        <v>27</v>
      </c>
      <c r="I2767" s="23" t="s">
        <v>308</v>
      </c>
      <c r="J2767" s="14" t="s">
        <v>29</v>
      </c>
      <c r="K2767" s="15" t="s">
        <v>30</v>
      </c>
      <c r="L2767" s="87"/>
      <c r="M2767" s="14"/>
      <c r="N2767" s="14" t="s">
        <v>242</v>
      </c>
      <c r="O2767" s="14"/>
      <c r="P2767" s="15" t="s">
        <v>3018</v>
      </c>
      <c r="Q2767" s="16">
        <v>5299</v>
      </c>
      <c r="R2767" s="17">
        <v>48</v>
      </c>
      <c r="S2767" s="18">
        <v>3168.8019999999997</v>
      </c>
      <c r="T2767" s="19" t="s">
        <v>117</v>
      </c>
      <c r="U2767" s="20" t="s">
        <v>94</v>
      </c>
      <c r="V2767" s="21">
        <v>104</v>
      </c>
      <c r="W2767" s="21">
        <v>2</v>
      </c>
      <c r="X2767" s="22"/>
    </row>
    <row r="2768" spans="1:24" s="1" customFormat="1" ht="26.1" customHeight="1" x14ac:dyDescent="0.3">
      <c r="A2768" s="23" t="s">
        <v>3014</v>
      </c>
      <c r="B2768" s="23" t="s">
        <v>3348</v>
      </c>
      <c r="C2768" s="12" t="s">
        <v>3351</v>
      </c>
      <c r="D2768" s="85"/>
      <c r="E2768" s="69" t="str">
        <f>HYPERLINK("https://www.google.ru/search?q=7100056A-8961&amp;newwindow=1&amp;tbm=isch","Еще фото")</f>
        <v>Еще фото</v>
      </c>
      <c r="F2768" s="13"/>
      <c r="G2768" s="23" t="s">
        <v>307</v>
      </c>
      <c r="H2768" s="23" t="s">
        <v>27</v>
      </c>
      <c r="I2768" s="23" t="s">
        <v>308</v>
      </c>
      <c r="J2768" s="14" t="s">
        <v>29</v>
      </c>
      <c r="K2768" s="15" t="s">
        <v>30</v>
      </c>
      <c r="L2768" s="88"/>
      <c r="M2768" s="14"/>
      <c r="N2768" s="14" t="s">
        <v>242</v>
      </c>
      <c r="O2768" s="14"/>
      <c r="P2768" s="15" t="s">
        <v>3018</v>
      </c>
      <c r="Q2768" s="16">
        <v>5299</v>
      </c>
      <c r="R2768" s="17">
        <v>48</v>
      </c>
      <c r="S2768" s="18">
        <v>3168.8019999999997</v>
      </c>
      <c r="T2768" s="19" t="s">
        <v>117</v>
      </c>
      <c r="U2768" s="20" t="s">
        <v>35</v>
      </c>
      <c r="V2768" s="21">
        <v>116</v>
      </c>
      <c r="W2768" s="21">
        <v>2</v>
      </c>
      <c r="X2768" s="22"/>
    </row>
    <row r="2769" spans="1:24" s="1" customFormat="1" ht="108" customHeight="1" x14ac:dyDescent="0.3">
      <c r="A2769" s="11" t="s">
        <v>3194</v>
      </c>
      <c r="B2769" s="11" t="s">
        <v>3352</v>
      </c>
      <c r="C2769" s="12" t="s">
        <v>3353</v>
      </c>
      <c r="D2769" s="24"/>
      <c r="E2769" s="69" t="str">
        <f>HYPERLINK("https://www.google.ru/search?q=101510945&amp;newwindow=1&amp;tbm=isch","Еще фото")</f>
        <v>Еще фото</v>
      </c>
      <c r="F2769" s="13"/>
      <c r="G2769" s="11" t="s">
        <v>307</v>
      </c>
      <c r="H2769" s="11" t="s">
        <v>27</v>
      </c>
      <c r="I2769" s="14" t="s">
        <v>308</v>
      </c>
      <c r="J2769" s="14" t="s">
        <v>29</v>
      </c>
      <c r="K2769" s="15" t="s">
        <v>55</v>
      </c>
      <c r="L2769" s="14"/>
      <c r="M2769" s="14"/>
      <c r="N2769" s="14" t="s">
        <v>49</v>
      </c>
      <c r="O2769" s="14"/>
      <c r="P2769" s="15" t="s">
        <v>3354</v>
      </c>
      <c r="Q2769" s="16">
        <v>22999</v>
      </c>
      <c r="R2769" s="17">
        <v>45</v>
      </c>
      <c r="S2769" s="18">
        <v>14546.8675</v>
      </c>
      <c r="T2769" s="19" t="s">
        <v>328</v>
      </c>
      <c r="U2769" s="20" t="s">
        <v>3153</v>
      </c>
      <c r="V2769" s="25" t="s">
        <v>60</v>
      </c>
      <c r="W2769" s="21">
        <v>1</v>
      </c>
      <c r="X2769" s="22"/>
    </row>
    <row r="2770" spans="1:24" s="1" customFormat="1" ht="35.1" customHeight="1" x14ac:dyDescent="0.3">
      <c r="A2770" s="11" t="s">
        <v>3194</v>
      </c>
      <c r="B2770" s="11" t="s">
        <v>3352</v>
      </c>
      <c r="C2770" s="12" t="s">
        <v>3355</v>
      </c>
      <c r="D2770" s="83"/>
      <c r="E2770" s="69" t="str">
        <f>HYPERLINK("https://www.google.ru/search?q=101510983&amp;newwindow=1&amp;tbm=isch","Еще фото")</f>
        <v>Еще фото</v>
      </c>
      <c r="F2770" s="13"/>
      <c r="G2770" s="11" t="s">
        <v>307</v>
      </c>
      <c r="H2770" s="11" t="s">
        <v>27</v>
      </c>
      <c r="I2770" s="14" t="s">
        <v>308</v>
      </c>
      <c r="J2770" s="14" t="s">
        <v>29</v>
      </c>
      <c r="K2770" s="15" t="s">
        <v>47</v>
      </c>
      <c r="L2770" s="86"/>
      <c r="M2770" s="14"/>
      <c r="N2770" s="14" t="s">
        <v>49</v>
      </c>
      <c r="O2770" s="14"/>
      <c r="P2770" s="15" t="s">
        <v>3354</v>
      </c>
      <c r="Q2770" s="16">
        <v>20999</v>
      </c>
      <c r="R2770" s="17">
        <v>45</v>
      </c>
      <c r="S2770" s="18">
        <v>13281.8675</v>
      </c>
      <c r="T2770" s="19" t="s">
        <v>328</v>
      </c>
      <c r="U2770" s="20" t="s">
        <v>457</v>
      </c>
      <c r="V2770" s="25" t="s">
        <v>65</v>
      </c>
      <c r="W2770" s="21">
        <v>3</v>
      </c>
      <c r="X2770" s="22"/>
    </row>
    <row r="2771" spans="1:24" s="1" customFormat="1" ht="35.1" customHeight="1" x14ac:dyDescent="0.3">
      <c r="A2771" s="23" t="s">
        <v>3194</v>
      </c>
      <c r="B2771" s="23" t="s">
        <v>3352</v>
      </c>
      <c r="C2771" s="12" t="s">
        <v>3355</v>
      </c>
      <c r="D2771" s="84"/>
      <c r="E2771" s="69" t="str">
        <f>HYPERLINK("https://www.google.ru/search?q=101510983&amp;newwindow=1&amp;tbm=isch","Еще фото")</f>
        <v>Еще фото</v>
      </c>
      <c r="F2771" s="13"/>
      <c r="G2771" s="23" t="s">
        <v>307</v>
      </c>
      <c r="H2771" s="23" t="s">
        <v>27</v>
      </c>
      <c r="I2771" s="23" t="s">
        <v>308</v>
      </c>
      <c r="J2771" s="14" t="s">
        <v>29</v>
      </c>
      <c r="K2771" s="15" t="s">
        <v>47</v>
      </c>
      <c r="L2771" s="87"/>
      <c r="M2771" s="14"/>
      <c r="N2771" s="14" t="s">
        <v>49</v>
      </c>
      <c r="O2771" s="14"/>
      <c r="P2771" s="15" t="s">
        <v>3354</v>
      </c>
      <c r="Q2771" s="16">
        <v>20999</v>
      </c>
      <c r="R2771" s="17">
        <v>45</v>
      </c>
      <c r="S2771" s="18">
        <v>13281.8675</v>
      </c>
      <c r="T2771" s="19" t="s">
        <v>328</v>
      </c>
      <c r="U2771" s="20" t="s">
        <v>402</v>
      </c>
      <c r="V2771" s="25" t="s">
        <v>68</v>
      </c>
      <c r="W2771" s="21">
        <v>3</v>
      </c>
      <c r="X2771" s="22"/>
    </row>
    <row r="2772" spans="1:24" s="1" customFormat="1" ht="36.950000000000003" customHeight="1" x14ac:dyDescent="0.3">
      <c r="A2772" s="23" t="s">
        <v>3194</v>
      </c>
      <c r="B2772" s="23" t="s">
        <v>3352</v>
      </c>
      <c r="C2772" s="12" t="s">
        <v>3355</v>
      </c>
      <c r="D2772" s="85"/>
      <c r="E2772" s="69" t="str">
        <f>HYPERLINK("https://www.google.ru/search?q=101510983&amp;newwindow=1&amp;tbm=isch","Еще фото")</f>
        <v>Еще фото</v>
      </c>
      <c r="F2772" s="13"/>
      <c r="G2772" s="23" t="s">
        <v>307</v>
      </c>
      <c r="H2772" s="23" t="s">
        <v>27</v>
      </c>
      <c r="I2772" s="23" t="s">
        <v>308</v>
      </c>
      <c r="J2772" s="14" t="s">
        <v>29</v>
      </c>
      <c r="K2772" s="15" t="s">
        <v>47</v>
      </c>
      <c r="L2772" s="88"/>
      <c r="M2772" s="14"/>
      <c r="N2772" s="14" t="s">
        <v>49</v>
      </c>
      <c r="O2772" s="14"/>
      <c r="P2772" s="15" t="s">
        <v>3354</v>
      </c>
      <c r="Q2772" s="16">
        <v>20999</v>
      </c>
      <c r="R2772" s="17">
        <v>45</v>
      </c>
      <c r="S2772" s="18">
        <v>13281.8675</v>
      </c>
      <c r="T2772" s="19" t="s">
        <v>328</v>
      </c>
      <c r="U2772" s="20" t="s">
        <v>1257</v>
      </c>
      <c r="V2772" s="25" t="s">
        <v>59</v>
      </c>
      <c r="W2772" s="21">
        <v>1</v>
      </c>
      <c r="X2772" s="22"/>
    </row>
    <row r="2773" spans="1:24" s="1" customFormat="1" ht="51.95" customHeight="1" x14ac:dyDescent="0.3">
      <c r="A2773" s="11" t="s">
        <v>3194</v>
      </c>
      <c r="B2773" s="11" t="s">
        <v>3356</v>
      </c>
      <c r="C2773" s="12" t="s">
        <v>3357</v>
      </c>
      <c r="D2773" s="89"/>
      <c r="E2773" s="69" t="str">
        <f>HYPERLINK("https://www.google.ru/search?q=101990053&amp;newwindow=1&amp;tbm=isch","Еще фото")</f>
        <v>Еще фото</v>
      </c>
      <c r="F2773" s="13"/>
      <c r="G2773" s="11" t="s">
        <v>307</v>
      </c>
      <c r="H2773" s="11" t="s">
        <v>27</v>
      </c>
      <c r="I2773" s="14" t="s">
        <v>308</v>
      </c>
      <c r="J2773" s="14" t="s">
        <v>29</v>
      </c>
      <c r="K2773" s="15" t="s">
        <v>47</v>
      </c>
      <c r="L2773" s="86"/>
      <c r="M2773" s="14"/>
      <c r="N2773" s="14" t="s">
        <v>70</v>
      </c>
      <c r="O2773" s="14"/>
      <c r="P2773" s="15" t="s">
        <v>3358</v>
      </c>
      <c r="Q2773" s="16">
        <v>17999</v>
      </c>
      <c r="R2773" s="17">
        <v>45</v>
      </c>
      <c r="S2773" s="18">
        <v>11384.3675</v>
      </c>
      <c r="T2773" s="19" t="s">
        <v>328</v>
      </c>
      <c r="U2773" s="20" t="s">
        <v>457</v>
      </c>
      <c r="V2773" s="25" t="s">
        <v>65</v>
      </c>
      <c r="W2773" s="21">
        <v>2</v>
      </c>
      <c r="X2773" s="22"/>
    </row>
    <row r="2774" spans="1:24" s="1" customFormat="1" ht="60.95" customHeight="1" x14ac:dyDescent="0.3">
      <c r="A2774" s="23" t="s">
        <v>3194</v>
      </c>
      <c r="B2774" s="23" t="s">
        <v>3356</v>
      </c>
      <c r="C2774" s="12" t="s">
        <v>3357</v>
      </c>
      <c r="D2774" s="90"/>
      <c r="E2774" s="69" t="str">
        <f>HYPERLINK("https://www.google.ru/search?q=101990053&amp;newwindow=1&amp;tbm=isch","Еще фото")</f>
        <v>Еще фото</v>
      </c>
      <c r="F2774" s="13"/>
      <c r="G2774" s="23" t="s">
        <v>307</v>
      </c>
      <c r="H2774" s="23" t="s">
        <v>27</v>
      </c>
      <c r="I2774" s="23" t="s">
        <v>308</v>
      </c>
      <c r="J2774" s="14" t="s">
        <v>29</v>
      </c>
      <c r="K2774" s="15" t="s">
        <v>47</v>
      </c>
      <c r="L2774" s="88"/>
      <c r="M2774" s="14"/>
      <c r="N2774" s="14" t="s">
        <v>70</v>
      </c>
      <c r="O2774" s="14"/>
      <c r="P2774" s="15" t="s">
        <v>3358</v>
      </c>
      <c r="Q2774" s="16">
        <v>17999</v>
      </c>
      <c r="R2774" s="17">
        <v>45</v>
      </c>
      <c r="S2774" s="18">
        <v>11384.3675</v>
      </c>
      <c r="T2774" s="19" t="s">
        <v>328</v>
      </c>
      <c r="U2774" s="20" t="s">
        <v>1253</v>
      </c>
      <c r="V2774" s="25" t="s">
        <v>53</v>
      </c>
      <c r="W2774" s="21">
        <v>2</v>
      </c>
      <c r="X2774" s="22"/>
    </row>
    <row r="2775" spans="1:24" s="1" customFormat="1" ht="108" customHeight="1" x14ac:dyDescent="0.3">
      <c r="A2775" s="11" t="s">
        <v>3194</v>
      </c>
      <c r="B2775" s="11" t="s">
        <v>3359</v>
      </c>
      <c r="C2775" s="12" t="s">
        <v>3360</v>
      </c>
      <c r="D2775" s="24"/>
      <c r="E2775" s="69" t="str">
        <f>HYPERLINK("https://www.google.ru/search?q=101990057&amp;newwindow=1&amp;tbm=isch","Еще фото")</f>
        <v>Еще фото</v>
      </c>
      <c r="F2775" s="13"/>
      <c r="G2775" s="11" t="s">
        <v>307</v>
      </c>
      <c r="H2775" s="11" t="s">
        <v>27</v>
      </c>
      <c r="I2775" s="14" t="s">
        <v>308</v>
      </c>
      <c r="J2775" s="14" t="s">
        <v>29</v>
      </c>
      <c r="K2775" s="15" t="s">
        <v>47</v>
      </c>
      <c r="L2775" s="14"/>
      <c r="M2775" s="14"/>
      <c r="N2775" s="14" t="s">
        <v>154</v>
      </c>
      <c r="O2775" s="14"/>
      <c r="P2775" s="15" t="s">
        <v>3361</v>
      </c>
      <c r="Q2775" s="16">
        <v>12999</v>
      </c>
      <c r="R2775" s="17">
        <v>45</v>
      </c>
      <c r="S2775" s="18">
        <v>8221.8674999999985</v>
      </c>
      <c r="T2775" s="19" t="s">
        <v>328</v>
      </c>
      <c r="U2775" s="20" t="s">
        <v>1257</v>
      </c>
      <c r="V2775" s="25" t="s">
        <v>59</v>
      </c>
      <c r="W2775" s="21">
        <v>2</v>
      </c>
      <c r="X2775" s="22"/>
    </row>
    <row r="2776" spans="1:24" s="1" customFormat="1" ht="35.1" customHeight="1" x14ac:dyDescent="0.3">
      <c r="A2776" s="11" t="s">
        <v>3194</v>
      </c>
      <c r="B2776" s="11" t="s">
        <v>3359</v>
      </c>
      <c r="C2776" s="12" t="s">
        <v>3362</v>
      </c>
      <c r="D2776" s="83"/>
      <c r="E2776" s="69" t="str">
        <f>HYPERLINK("https://www.google.ru/search?q=101990058&amp;newwindow=1&amp;tbm=isch","Еще фото")</f>
        <v>Еще фото</v>
      </c>
      <c r="F2776" s="13"/>
      <c r="G2776" s="11" t="s">
        <v>307</v>
      </c>
      <c r="H2776" s="11" t="s">
        <v>27</v>
      </c>
      <c r="I2776" s="14" t="s">
        <v>308</v>
      </c>
      <c r="J2776" s="14" t="s">
        <v>29</v>
      </c>
      <c r="K2776" s="15" t="s">
        <v>47</v>
      </c>
      <c r="L2776" s="86"/>
      <c r="M2776" s="14"/>
      <c r="N2776" s="14" t="s">
        <v>70</v>
      </c>
      <c r="O2776" s="14"/>
      <c r="P2776" s="15" t="s">
        <v>3361</v>
      </c>
      <c r="Q2776" s="16">
        <v>12999</v>
      </c>
      <c r="R2776" s="17">
        <v>45</v>
      </c>
      <c r="S2776" s="18">
        <v>8221.8674999999985</v>
      </c>
      <c r="T2776" s="19" t="s">
        <v>328</v>
      </c>
      <c r="U2776" s="20" t="s">
        <v>402</v>
      </c>
      <c r="V2776" s="25" t="s">
        <v>68</v>
      </c>
      <c r="W2776" s="21">
        <v>1</v>
      </c>
      <c r="X2776" s="22"/>
    </row>
    <row r="2777" spans="1:24" s="1" customFormat="1" ht="35.1" customHeight="1" x14ac:dyDescent="0.3">
      <c r="A2777" s="23" t="s">
        <v>3194</v>
      </c>
      <c r="B2777" s="23" t="s">
        <v>3359</v>
      </c>
      <c r="C2777" s="12" t="s">
        <v>3362</v>
      </c>
      <c r="D2777" s="84"/>
      <c r="E2777" s="69" t="str">
        <f>HYPERLINK("https://www.google.ru/search?q=101990058&amp;newwindow=1&amp;tbm=isch","Еще фото")</f>
        <v>Еще фото</v>
      </c>
      <c r="F2777" s="13"/>
      <c r="G2777" s="23" t="s">
        <v>307</v>
      </c>
      <c r="H2777" s="23" t="s">
        <v>27</v>
      </c>
      <c r="I2777" s="23" t="s">
        <v>308</v>
      </c>
      <c r="J2777" s="14" t="s">
        <v>29</v>
      </c>
      <c r="K2777" s="15" t="s">
        <v>47</v>
      </c>
      <c r="L2777" s="87"/>
      <c r="M2777" s="14"/>
      <c r="N2777" s="14" t="s">
        <v>70</v>
      </c>
      <c r="O2777" s="14"/>
      <c r="P2777" s="15" t="s">
        <v>3361</v>
      </c>
      <c r="Q2777" s="16">
        <v>12999</v>
      </c>
      <c r="R2777" s="17">
        <v>45</v>
      </c>
      <c r="S2777" s="18">
        <v>8221.8674999999985</v>
      </c>
      <c r="T2777" s="19" t="s">
        <v>328</v>
      </c>
      <c r="U2777" s="20" t="s">
        <v>1253</v>
      </c>
      <c r="V2777" s="25" t="s">
        <v>53</v>
      </c>
      <c r="W2777" s="21">
        <v>2</v>
      </c>
      <c r="X2777" s="22"/>
    </row>
    <row r="2778" spans="1:24" s="1" customFormat="1" ht="36.950000000000003" customHeight="1" x14ac:dyDescent="0.3">
      <c r="A2778" s="23" t="s">
        <v>3194</v>
      </c>
      <c r="B2778" s="23" t="s">
        <v>3359</v>
      </c>
      <c r="C2778" s="12" t="s">
        <v>3362</v>
      </c>
      <c r="D2778" s="85"/>
      <c r="E2778" s="69" t="str">
        <f>HYPERLINK("https://www.google.ru/search?q=101990058&amp;newwindow=1&amp;tbm=isch","Еще фото")</f>
        <v>Еще фото</v>
      </c>
      <c r="F2778" s="13"/>
      <c r="G2778" s="23" t="s">
        <v>307</v>
      </c>
      <c r="H2778" s="23" t="s">
        <v>27</v>
      </c>
      <c r="I2778" s="23" t="s">
        <v>308</v>
      </c>
      <c r="J2778" s="14" t="s">
        <v>29</v>
      </c>
      <c r="K2778" s="15" t="s">
        <v>47</v>
      </c>
      <c r="L2778" s="88"/>
      <c r="M2778" s="14"/>
      <c r="N2778" s="14" t="s">
        <v>70</v>
      </c>
      <c r="O2778" s="14"/>
      <c r="P2778" s="15" t="s">
        <v>3361</v>
      </c>
      <c r="Q2778" s="16">
        <v>12999</v>
      </c>
      <c r="R2778" s="17">
        <v>45</v>
      </c>
      <c r="S2778" s="18">
        <v>8221.8674999999985</v>
      </c>
      <c r="T2778" s="19" t="s">
        <v>328</v>
      </c>
      <c r="U2778" s="20" t="s">
        <v>1257</v>
      </c>
      <c r="V2778" s="25" t="s">
        <v>59</v>
      </c>
      <c r="W2778" s="21">
        <v>1</v>
      </c>
      <c r="X2778" s="22"/>
    </row>
    <row r="2779" spans="1:24" s="1" customFormat="1" ht="35.1" customHeight="1" x14ac:dyDescent="0.3">
      <c r="A2779" s="11" t="s">
        <v>3194</v>
      </c>
      <c r="B2779" s="11" t="s">
        <v>3363</v>
      </c>
      <c r="C2779" s="12" t="s">
        <v>3364</v>
      </c>
      <c r="D2779" s="83"/>
      <c r="E2779" s="69" t="str">
        <f>HYPERLINK("https://www.google.ru/search?q=101990062&amp;newwindow=1&amp;tbm=isch","Еще фото")</f>
        <v>Еще фото</v>
      </c>
      <c r="F2779" s="13"/>
      <c r="G2779" s="11" t="s">
        <v>307</v>
      </c>
      <c r="H2779" s="11" t="s">
        <v>27</v>
      </c>
      <c r="I2779" s="14" t="s">
        <v>308</v>
      </c>
      <c r="J2779" s="14" t="s">
        <v>29</v>
      </c>
      <c r="K2779" s="15" t="s">
        <v>47</v>
      </c>
      <c r="L2779" s="86"/>
      <c r="M2779" s="14"/>
      <c r="N2779" s="14" t="s">
        <v>49</v>
      </c>
      <c r="O2779" s="14"/>
      <c r="P2779" s="15" t="s">
        <v>3361</v>
      </c>
      <c r="Q2779" s="16">
        <v>13999</v>
      </c>
      <c r="R2779" s="17">
        <v>45</v>
      </c>
      <c r="S2779" s="18">
        <v>8854.3674999999985</v>
      </c>
      <c r="T2779" s="19" t="s">
        <v>328</v>
      </c>
      <c r="U2779" s="20" t="s">
        <v>402</v>
      </c>
      <c r="V2779" s="25" t="s">
        <v>68</v>
      </c>
      <c r="W2779" s="21">
        <v>1</v>
      </c>
      <c r="X2779" s="22"/>
    </row>
    <row r="2780" spans="1:24" s="1" customFormat="1" ht="35.1" customHeight="1" x14ac:dyDescent="0.3">
      <c r="A2780" s="23" t="s">
        <v>3194</v>
      </c>
      <c r="B2780" s="23" t="s">
        <v>3363</v>
      </c>
      <c r="C2780" s="12" t="s">
        <v>3364</v>
      </c>
      <c r="D2780" s="84"/>
      <c r="E2780" s="69" t="str">
        <f>HYPERLINK("https://www.google.ru/search?q=101990062&amp;newwindow=1&amp;tbm=isch","Еще фото")</f>
        <v>Еще фото</v>
      </c>
      <c r="F2780" s="13"/>
      <c r="G2780" s="23" t="s">
        <v>307</v>
      </c>
      <c r="H2780" s="23" t="s">
        <v>27</v>
      </c>
      <c r="I2780" s="23" t="s">
        <v>308</v>
      </c>
      <c r="J2780" s="14" t="s">
        <v>29</v>
      </c>
      <c r="K2780" s="15" t="s">
        <v>47</v>
      </c>
      <c r="L2780" s="87"/>
      <c r="M2780" s="14"/>
      <c r="N2780" s="14" t="s">
        <v>49</v>
      </c>
      <c r="O2780" s="14"/>
      <c r="P2780" s="15" t="s">
        <v>3361</v>
      </c>
      <c r="Q2780" s="16">
        <v>13999</v>
      </c>
      <c r="R2780" s="17">
        <v>45</v>
      </c>
      <c r="S2780" s="18">
        <v>8854.3674999999985</v>
      </c>
      <c r="T2780" s="19" t="s">
        <v>328</v>
      </c>
      <c r="U2780" s="20" t="s">
        <v>1253</v>
      </c>
      <c r="V2780" s="25" t="s">
        <v>53</v>
      </c>
      <c r="W2780" s="21">
        <v>1</v>
      </c>
      <c r="X2780" s="22"/>
    </row>
    <row r="2781" spans="1:24" s="1" customFormat="1" ht="36.950000000000003" customHeight="1" x14ac:dyDescent="0.3">
      <c r="A2781" s="23" t="s">
        <v>3194</v>
      </c>
      <c r="B2781" s="23" t="s">
        <v>3363</v>
      </c>
      <c r="C2781" s="12" t="s">
        <v>3364</v>
      </c>
      <c r="D2781" s="85"/>
      <c r="E2781" s="69" t="str">
        <f>HYPERLINK("https://www.google.ru/search?q=101990062&amp;newwindow=1&amp;tbm=isch","Еще фото")</f>
        <v>Еще фото</v>
      </c>
      <c r="F2781" s="13"/>
      <c r="G2781" s="23" t="s">
        <v>307</v>
      </c>
      <c r="H2781" s="23" t="s">
        <v>27</v>
      </c>
      <c r="I2781" s="23" t="s">
        <v>308</v>
      </c>
      <c r="J2781" s="14" t="s">
        <v>29</v>
      </c>
      <c r="K2781" s="15" t="s">
        <v>47</v>
      </c>
      <c r="L2781" s="88"/>
      <c r="M2781" s="14"/>
      <c r="N2781" s="14" t="s">
        <v>49</v>
      </c>
      <c r="O2781" s="14"/>
      <c r="P2781" s="15" t="s">
        <v>3361</v>
      </c>
      <c r="Q2781" s="16">
        <v>13999</v>
      </c>
      <c r="R2781" s="17">
        <v>45</v>
      </c>
      <c r="S2781" s="18">
        <v>8854.3674999999985</v>
      </c>
      <c r="T2781" s="19" t="s">
        <v>328</v>
      </c>
      <c r="U2781" s="20" t="s">
        <v>1257</v>
      </c>
      <c r="V2781" s="25" t="s">
        <v>59</v>
      </c>
      <c r="W2781" s="21">
        <v>1</v>
      </c>
      <c r="X2781" s="22"/>
    </row>
    <row r="2782" spans="1:24" s="1" customFormat="1" ht="108" customHeight="1" x14ac:dyDescent="0.3">
      <c r="A2782" s="11" t="s">
        <v>3194</v>
      </c>
      <c r="B2782" s="11" t="s">
        <v>3363</v>
      </c>
      <c r="C2782" s="12" t="s">
        <v>3365</v>
      </c>
      <c r="D2782" s="24"/>
      <c r="E2782" s="69" t="str">
        <f>HYPERLINK("https://www.google.ru/search?q=101990064&amp;newwindow=1&amp;tbm=isch","Еще фото")</f>
        <v>Еще фото</v>
      </c>
      <c r="F2782" s="13"/>
      <c r="G2782" s="11" t="s">
        <v>307</v>
      </c>
      <c r="H2782" s="11" t="s">
        <v>27</v>
      </c>
      <c r="I2782" s="14" t="s">
        <v>308</v>
      </c>
      <c r="J2782" s="14" t="s">
        <v>29</v>
      </c>
      <c r="K2782" s="15" t="s">
        <v>47</v>
      </c>
      <c r="L2782" s="14"/>
      <c r="M2782" s="14"/>
      <c r="N2782" s="14" t="s">
        <v>154</v>
      </c>
      <c r="O2782" s="14"/>
      <c r="P2782" s="15" t="s">
        <v>3361</v>
      </c>
      <c r="Q2782" s="16">
        <v>13999</v>
      </c>
      <c r="R2782" s="17">
        <v>45</v>
      </c>
      <c r="S2782" s="18">
        <v>8854.3674999999985</v>
      </c>
      <c r="T2782" s="19" t="s">
        <v>328</v>
      </c>
      <c r="U2782" s="20" t="s">
        <v>402</v>
      </c>
      <c r="V2782" s="25" t="s">
        <v>68</v>
      </c>
      <c r="W2782" s="21">
        <v>1</v>
      </c>
      <c r="X2782" s="22"/>
    </row>
    <row r="2783" spans="1:24" s="1" customFormat="1" ht="35.1" customHeight="1" x14ac:dyDescent="0.3">
      <c r="A2783" s="11" t="s">
        <v>3194</v>
      </c>
      <c r="B2783" s="11" t="s">
        <v>3363</v>
      </c>
      <c r="C2783" s="12" t="s">
        <v>3366</v>
      </c>
      <c r="D2783" s="83"/>
      <c r="E2783" s="69" t="str">
        <f>HYPERLINK("https://www.google.ru/search?q=101990065&amp;newwindow=1&amp;tbm=isch","Еще фото")</f>
        <v>Еще фото</v>
      </c>
      <c r="F2783" s="13"/>
      <c r="G2783" s="11" t="s">
        <v>307</v>
      </c>
      <c r="H2783" s="11" t="s">
        <v>27</v>
      </c>
      <c r="I2783" s="14" t="s">
        <v>308</v>
      </c>
      <c r="J2783" s="14" t="s">
        <v>29</v>
      </c>
      <c r="K2783" s="15" t="s">
        <v>47</v>
      </c>
      <c r="L2783" s="86"/>
      <c r="M2783" s="14"/>
      <c r="N2783" s="14" t="s">
        <v>70</v>
      </c>
      <c r="O2783" s="14"/>
      <c r="P2783" s="15" t="s">
        <v>3361</v>
      </c>
      <c r="Q2783" s="16">
        <v>13999</v>
      </c>
      <c r="R2783" s="17">
        <v>45</v>
      </c>
      <c r="S2783" s="18">
        <v>8854.3674999999985</v>
      </c>
      <c r="T2783" s="19" t="s">
        <v>328</v>
      </c>
      <c r="U2783" s="20" t="s">
        <v>457</v>
      </c>
      <c r="V2783" s="25" t="s">
        <v>65</v>
      </c>
      <c r="W2783" s="21">
        <v>2</v>
      </c>
      <c r="X2783" s="22"/>
    </row>
    <row r="2784" spans="1:24" s="1" customFormat="1" ht="35.1" customHeight="1" x14ac:dyDescent="0.3">
      <c r="A2784" s="23" t="s">
        <v>3194</v>
      </c>
      <c r="B2784" s="23" t="s">
        <v>3363</v>
      </c>
      <c r="C2784" s="12" t="s">
        <v>3366</v>
      </c>
      <c r="D2784" s="84"/>
      <c r="E2784" s="69" t="str">
        <f>HYPERLINK("https://www.google.ru/search?q=101990065&amp;newwindow=1&amp;tbm=isch","Еще фото")</f>
        <v>Еще фото</v>
      </c>
      <c r="F2784" s="13"/>
      <c r="G2784" s="23" t="s">
        <v>307</v>
      </c>
      <c r="H2784" s="23" t="s">
        <v>27</v>
      </c>
      <c r="I2784" s="23" t="s">
        <v>308</v>
      </c>
      <c r="J2784" s="14" t="s">
        <v>29</v>
      </c>
      <c r="K2784" s="15" t="s">
        <v>47</v>
      </c>
      <c r="L2784" s="87"/>
      <c r="M2784" s="14"/>
      <c r="N2784" s="14" t="s">
        <v>70</v>
      </c>
      <c r="O2784" s="14"/>
      <c r="P2784" s="15" t="s">
        <v>3361</v>
      </c>
      <c r="Q2784" s="16">
        <v>13999</v>
      </c>
      <c r="R2784" s="17">
        <v>45</v>
      </c>
      <c r="S2784" s="18">
        <v>8854.3674999999985</v>
      </c>
      <c r="T2784" s="19" t="s">
        <v>328</v>
      </c>
      <c r="U2784" s="20" t="s">
        <v>1253</v>
      </c>
      <c r="V2784" s="25" t="s">
        <v>53</v>
      </c>
      <c r="W2784" s="21">
        <v>1</v>
      </c>
      <c r="X2784" s="22"/>
    </row>
    <row r="2785" spans="1:24" s="1" customFormat="1" ht="36.950000000000003" customHeight="1" x14ac:dyDescent="0.3">
      <c r="A2785" s="23" t="s">
        <v>3194</v>
      </c>
      <c r="B2785" s="23" t="s">
        <v>3363</v>
      </c>
      <c r="C2785" s="12" t="s">
        <v>3366</v>
      </c>
      <c r="D2785" s="85"/>
      <c r="E2785" s="69" t="str">
        <f>HYPERLINK("https://www.google.ru/search?q=101990065&amp;newwindow=1&amp;tbm=isch","Еще фото")</f>
        <v>Еще фото</v>
      </c>
      <c r="F2785" s="13"/>
      <c r="G2785" s="23" t="s">
        <v>307</v>
      </c>
      <c r="H2785" s="23" t="s">
        <v>27</v>
      </c>
      <c r="I2785" s="23" t="s">
        <v>308</v>
      </c>
      <c r="J2785" s="14" t="s">
        <v>29</v>
      </c>
      <c r="K2785" s="15" t="s">
        <v>47</v>
      </c>
      <c r="L2785" s="88"/>
      <c r="M2785" s="14"/>
      <c r="N2785" s="14" t="s">
        <v>70</v>
      </c>
      <c r="O2785" s="14"/>
      <c r="P2785" s="15" t="s">
        <v>3361</v>
      </c>
      <c r="Q2785" s="16">
        <v>13999</v>
      </c>
      <c r="R2785" s="17">
        <v>45</v>
      </c>
      <c r="S2785" s="18">
        <v>8854.3674999999985</v>
      </c>
      <c r="T2785" s="19" t="s">
        <v>328</v>
      </c>
      <c r="U2785" s="20" t="s">
        <v>1257</v>
      </c>
      <c r="V2785" s="25" t="s">
        <v>59</v>
      </c>
      <c r="W2785" s="21">
        <v>1</v>
      </c>
      <c r="X2785" s="22"/>
    </row>
    <row r="2786" spans="1:24" s="1" customFormat="1" ht="12.95" customHeight="1" x14ac:dyDescent="0.3">
      <c r="A2786" s="11" t="s">
        <v>3029</v>
      </c>
      <c r="B2786" s="11" t="s">
        <v>305</v>
      </c>
      <c r="C2786" s="12" t="s">
        <v>3367</v>
      </c>
      <c r="D2786" s="83"/>
      <c r="E2786" s="69" t="str">
        <f t="shared" ref="E2786:E2793" si="109">HYPERLINK("https://www.google.ru/search?q=162200-7899&amp;newwindow=1&amp;tbm=isch","Еще фото")</f>
        <v>Еще фото</v>
      </c>
      <c r="F2786" s="13"/>
      <c r="G2786" s="11" t="s">
        <v>307</v>
      </c>
      <c r="H2786" s="11" t="s">
        <v>27</v>
      </c>
      <c r="I2786" s="14" t="s">
        <v>308</v>
      </c>
      <c r="J2786" s="14" t="s">
        <v>29</v>
      </c>
      <c r="K2786" s="15" t="s">
        <v>30</v>
      </c>
      <c r="L2786" s="86" t="s">
        <v>3368</v>
      </c>
      <c r="M2786" s="14"/>
      <c r="N2786" s="14" t="s">
        <v>70</v>
      </c>
      <c r="O2786" s="14"/>
      <c r="P2786" s="15" t="s">
        <v>3369</v>
      </c>
      <c r="Q2786" s="16">
        <v>6199</v>
      </c>
      <c r="R2786" s="17">
        <v>45</v>
      </c>
      <c r="S2786" s="18">
        <v>3920.8674999999994</v>
      </c>
      <c r="T2786" s="19" t="s">
        <v>117</v>
      </c>
      <c r="U2786" s="26" t="s">
        <v>94</v>
      </c>
      <c r="V2786" s="21">
        <v>104</v>
      </c>
      <c r="W2786" s="21">
        <v>2</v>
      </c>
      <c r="X2786" s="22"/>
    </row>
    <row r="2787" spans="1:24" s="1" customFormat="1" ht="12.95" customHeight="1" x14ac:dyDescent="0.3">
      <c r="A2787" s="23" t="s">
        <v>3029</v>
      </c>
      <c r="B2787" s="23" t="s">
        <v>305</v>
      </c>
      <c r="C2787" s="12" t="s">
        <v>3367</v>
      </c>
      <c r="D2787" s="84"/>
      <c r="E2787" s="69" t="str">
        <f t="shared" si="109"/>
        <v>Еще фото</v>
      </c>
      <c r="F2787" s="13"/>
      <c r="G2787" s="23" t="s">
        <v>307</v>
      </c>
      <c r="H2787" s="23" t="s">
        <v>27</v>
      </c>
      <c r="I2787" s="23" t="s">
        <v>308</v>
      </c>
      <c r="J2787" s="14" t="s">
        <v>29</v>
      </c>
      <c r="K2787" s="15" t="s">
        <v>30</v>
      </c>
      <c r="L2787" s="87"/>
      <c r="M2787" s="14"/>
      <c r="N2787" s="14" t="s">
        <v>70</v>
      </c>
      <c r="O2787" s="14"/>
      <c r="P2787" s="15" t="s">
        <v>3369</v>
      </c>
      <c r="Q2787" s="16">
        <v>6199</v>
      </c>
      <c r="R2787" s="17">
        <v>45</v>
      </c>
      <c r="S2787" s="18">
        <v>3920.8674999999994</v>
      </c>
      <c r="T2787" s="19" t="s">
        <v>117</v>
      </c>
      <c r="U2787" s="20" t="s">
        <v>43</v>
      </c>
      <c r="V2787" s="21">
        <v>110</v>
      </c>
      <c r="W2787" s="21">
        <v>2</v>
      </c>
      <c r="X2787" s="22"/>
    </row>
    <row r="2788" spans="1:24" s="1" customFormat="1" ht="12.95" customHeight="1" x14ac:dyDescent="0.3">
      <c r="A2788" s="23" t="s">
        <v>3029</v>
      </c>
      <c r="B2788" s="23" t="s">
        <v>305</v>
      </c>
      <c r="C2788" s="12" t="s">
        <v>3367</v>
      </c>
      <c r="D2788" s="84"/>
      <c r="E2788" s="69" t="str">
        <f t="shared" si="109"/>
        <v>Еще фото</v>
      </c>
      <c r="F2788" s="13"/>
      <c r="G2788" s="23" t="s">
        <v>307</v>
      </c>
      <c r="H2788" s="23" t="s">
        <v>27</v>
      </c>
      <c r="I2788" s="23" t="s">
        <v>308</v>
      </c>
      <c r="J2788" s="14" t="s">
        <v>29</v>
      </c>
      <c r="K2788" s="15" t="s">
        <v>30</v>
      </c>
      <c r="L2788" s="87"/>
      <c r="M2788" s="14"/>
      <c r="N2788" s="14" t="s">
        <v>70</v>
      </c>
      <c r="O2788" s="14"/>
      <c r="P2788" s="15" t="s">
        <v>3369</v>
      </c>
      <c r="Q2788" s="16">
        <v>6199</v>
      </c>
      <c r="R2788" s="17">
        <v>45</v>
      </c>
      <c r="S2788" s="18">
        <v>3920.8674999999994</v>
      </c>
      <c r="T2788" s="19" t="s">
        <v>117</v>
      </c>
      <c r="U2788" s="20" t="s">
        <v>35</v>
      </c>
      <c r="V2788" s="21">
        <v>116</v>
      </c>
      <c r="W2788" s="21">
        <v>1</v>
      </c>
      <c r="X2788" s="22"/>
    </row>
    <row r="2789" spans="1:24" s="1" customFormat="1" ht="12.95" customHeight="1" x14ac:dyDescent="0.3">
      <c r="A2789" s="23" t="s">
        <v>3029</v>
      </c>
      <c r="B2789" s="23" t="s">
        <v>305</v>
      </c>
      <c r="C2789" s="12" t="s">
        <v>3367</v>
      </c>
      <c r="D2789" s="84"/>
      <c r="E2789" s="69" t="str">
        <f t="shared" si="109"/>
        <v>Еще фото</v>
      </c>
      <c r="F2789" s="13"/>
      <c r="G2789" s="23" t="s">
        <v>307</v>
      </c>
      <c r="H2789" s="23" t="s">
        <v>27</v>
      </c>
      <c r="I2789" s="23" t="s">
        <v>308</v>
      </c>
      <c r="J2789" s="14" t="s">
        <v>29</v>
      </c>
      <c r="K2789" s="15" t="s">
        <v>30</v>
      </c>
      <c r="L2789" s="87"/>
      <c r="M2789" s="14"/>
      <c r="N2789" s="14" t="s">
        <v>70</v>
      </c>
      <c r="O2789" s="14"/>
      <c r="P2789" s="15" t="s">
        <v>3369</v>
      </c>
      <c r="Q2789" s="16">
        <v>6199</v>
      </c>
      <c r="R2789" s="17">
        <v>45</v>
      </c>
      <c r="S2789" s="18">
        <v>3920.8674999999994</v>
      </c>
      <c r="T2789" s="19" t="s">
        <v>117</v>
      </c>
      <c r="U2789" s="20" t="s">
        <v>36</v>
      </c>
      <c r="V2789" s="21">
        <v>122</v>
      </c>
      <c r="W2789" s="21">
        <v>4</v>
      </c>
      <c r="X2789" s="22"/>
    </row>
    <row r="2790" spans="1:24" s="1" customFormat="1" ht="12.95" customHeight="1" x14ac:dyDescent="0.3">
      <c r="A2790" s="23" t="s">
        <v>3029</v>
      </c>
      <c r="B2790" s="23" t="s">
        <v>305</v>
      </c>
      <c r="C2790" s="12" t="s">
        <v>3367</v>
      </c>
      <c r="D2790" s="84"/>
      <c r="E2790" s="69" t="str">
        <f t="shared" si="109"/>
        <v>Еще фото</v>
      </c>
      <c r="F2790" s="13"/>
      <c r="G2790" s="23" t="s">
        <v>307</v>
      </c>
      <c r="H2790" s="23" t="s">
        <v>27</v>
      </c>
      <c r="I2790" s="23" t="s">
        <v>308</v>
      </c>
      <c r="J2790" s="14" t="s">
        <v>29</v>
      </c>
      <c r="K2790" s="15" t="s">
        <v>30</v>
      </c>
      <c r="L2790" s="87"/>
      <c r="M2790" s="14"/>
      <c r="N2790" s="14" t="s">
        <v>70</v>
      </c>
      <c r="O2790" s="14"/>
      <c r="P2790" s="15" t="s">
        <v>3369</v>
      </c>
      <c r="Q2790" s="16">
        <v>6199</v>
      </c>
      <c r="R2790" s="17">
        <v>45</v>
      </c>
      <c r="S2790" s="18">
        <v>3920.8674999999994</v>
      </c>
      <c r="T2790" s="19" t="s">
        <v>117</v>
      </c>
      <c r="U2790" s="20" t="s">
        <v>37</v>
      </c>
      <c r="V2790" s="21">
        <v>128</v>
      </c>
      <c r="W2790" s="21">
        <v>3</v>
      </c>
      <c r="X2790" s="22"/>
    </row>
    <row r="2791" spans="1:24" s="1" customFormat="1" ht="12.95" customHeight="1" x14ac:dyDescent="0.3">
      <c r="A2791" s="23" t="s">
        <v>3029</v>
      </c>
      <c r="B2791" s="23" t="s">
        <v>305</v>
      </c>
      <c r="C2791" s="12" t="s">
        <v>3367</v>
      </c>
      <c r="D2791" s="84"/>
      <c r="E2791" s="69" t="str">
        <f t="shared" si="109"/>
        <v>Еще фото</v>
      </c>
      <c r="F2791" s="13"/>
      <c r="G2791" s="23" t="s">
        <v>307</v>
      </c>
      <c r="H2791" s="23" t="s">
        <v>27</v>
      </c>
      <c r="I2791" s="23" t="s">
        <v>308</v>
      </c>
      <c r="J2791" s="14" t="s">
        <v>29</v>
      </c>
      <c r="K2791" s="15" t="s">
        <v>30</v>
      </c>
      <c r="L2791" s="87"/>
      <c r="M2791" s="14"/>
      <c r="N2791" s="14" t="s">
        <v>70</v>
      </c>
      <c r="O2791" s="14"/>
      <c r="P2791" s="15" t="s">
        <v>3369</v>
      </c>
      <c r="Q2791" s="16">
        <v>6199</v>
      </c>
      <c r="R2791" s="17">
        <v>45</v>
      </c>
      <c r="S2791" s="18">
        <v>3920.8674999999994</v>
      </c>
      <c r="T2791" s="19" t="s">
        <v>117</v>
      </c>
      <c r="U2791" s="20" t="s">
        <v>91</v>
      </c>
      <c r="V2791" s="21">
        <v>134</v>
      </c>
      <c r="W2791" s="21">
        <v>4</v>
      </c>
      <c r="X2791" s="22"/>
    </row>
    <row r="2792" spans="1:24" s="1" customFormat="1" ht="12.95" customHeight="1" x14ac:dyDescent="0.3">
      <c r="A2792" s="23" t="s">
        <v>3029</v>
      </c>
      <c r="B2792" s="23" t="s">
        <v>305</v>
      </c>
      <c r="C2792" s="12" t="s">
        <v>3367</v>
      </c>
      <c r="D2792" s="84"/>
      <c r="E2792" s="69" t="str">
        <f t="shared" si="109"/>
        <v>Еще фото</v>
      </c>
      <c r="F2792" s="13"/>
      <c r="G2792" s="23" t="s">
        <v>307</v>
      </c>
      <c r="H2792" s="23" t="s">
        <v>27</v>
      </c>
      <c r="I2792" s="23" t="s">
        <v>308</v>
      </c>
      <c r="J2792" s="14" t="s">
        <v>29</v>
      </c>
      <c r="K2792" s="15" t="s">
        <v>30</v>
      </c>
      <c r="L2792" s="87"/>
      <c r="M2792" s="14"/>
      <c r="N2792" s="14" t="s">
        <v>70</v>
      </c>
      <c r="O2792" s="14"/>
      <c r="P2792" s="15" t="s">
        <v>3369</v>
      </c>
      <c r="Q2792" s="16">
        <v>6199</v>
      </c>
      <c r="R2792" s="17">
        <v>45</v>
      </c>
      <c r="S2792" s="18">
        <v>3920.8674999999994</v>
      </c>
      <c r="T2792" s="19" t="s">
        <v>117</v>
      </c>
      <c r="U2792" s="20" t="s">
        <v>290</v>
      </c>
      <c r="V2792" s="21">
        <v>140</v>
      </c>
      <c r="W2792" s="21">
        <v>2</v>
      </c>
      <c r="X2792" s="22"/>
    </row>
    <row r="2793" spans="1:24" s="1" customFormat="1" ht="18" customHeight="1" x14ac:dyDescent="0.3">
      <c r="A2793" s="23" t="s">
        <v>3029</v>
      </c>
      <c r="B2793" s="23" t="s">
        <v>305</v>
      </c>
      <c r="C2793" s="12" t="s">
        <v>3367</v>
      </c>
      <c r="D2793" s="85"/>
      <c r="E2793" s="69" t="str">
        <f t="shared" si="109"/>
        <v>Еще фото</v>
      </c>
      <c r="F2793" s="13"/>
      <c r="G2793" s="23" t="s">
        <v>307</v>
      </c>
      <c r="H2793" s="23" t="s">
        <v>27</v>
      </c>
      <c r="I2793" s="23" t="s">
        <v>308</v>
      </c>
      <c r="J2793" s="14" t="s">
        <v>29</v>
      </c>
      <c r="K2793" s="15" t="s">
        <v>30</v>
      </c>
      <c r="L2793" s="88"/>
      <c r="M2793" s="14"/>
      <c r="N2793" s="14" t="s">
        <v>70</v>
      </c>
      <c r="O2793" s="14"/>
      <c r="P2793" s="15" t="s">
        <v>3369</v>
      </c>
      <c r="Q2793" s="16">
        <v>6199</v>
      </c>
      <c r="R2793" s="17">
        <v>45</v>
      </c>
      <c r="S2793" s="18">
        <v>3920.8674999999994</v>
      </c>
      <c r="T2793" s="19" t="s">
        <v>117</v>
      </c>
      <c r="U2793" s="20" t="s">
        <v>2160</v>
      </c>
      <c r="V2793" s="21">
        <v>152</v>
      </c>
      <c r="W2793" s="21">
        <v>4</v>
      </c>
      <c r="X2793" s="22"/>
    </row>
    <row r="2794" spans="1:24" s="1" customFormat="1" ht="14.1" customHeight="1" x14ac:dyDescent="0.3">
      <c r="A2794" s="11" t="s">
        <v>3029</v>
      </c>
      <c r="B2794" s="11" t="s">
        <v>305</v>
      </c>
      <c r="C2794" s="12" t="s">
        <v>3370</v>
      </c>
      <c r="D2794" s="83"/>
      <c r="E2794" s="69" t="str">
        <f t="shared" ref="E2794:E2800" si="110">HYPERLINK("https://www.google.ru/search?q=162201-7899&amp;newwindow=1&amp;tbm=isch","Еще фото")</f>
        <v>Еще фото</v>
      </c>
      <c r="F2794" s="13"/>
      <c r="G2794" s="11" t="s">
        <v>307</v>
      </c>
      <c r="H2794" s="11" t="s">
        <v>27</v>
      </c>
      <c r="I2794" s="14" t="s">
        <v>308</v>
      </c>
      <c r="J2794" s="14" t="s">
        <v>29</v>
      </c>
      <c r="K2794" s="15" t="s">
        <v>30</v>
      </c>
      <c r="L2794" s="86" t="s">
        <v>3371</v>
      </c>
      <c r="M2794" s="14" t="s">
        <v>2945</v>
      </c>
      <c r="N2794" s="14" t="s">
        <v>70</v>
      </c>
      <c r="O2794" s="14"/>
      <c r="P2794" s="15" t="s">
        <v>3369</v>
      </c>
      <c r="Q2794" s="16">
        <v>6199</v>
      </c>
      <c r="R2794" s="17">
        <v>45</v>
      </c>
      <c r="S2794" s="18">
        <v>3920.8674999999994</v>
      </c>
      <c r="T2794" s="19" t="s">
        <v>117</v>
      </c>
      <c r="U2794" s="20" t="s">
        <v>78</v>
      </c>
      <c r="V2794" s="21">
        <v>98</v>
      </c>
      <c r="W2794" s="21">
        <v>1</v>
      </c>
      <c r="X2794" s="22"/>
    </row>
    <row r="2795" spans="1:24" s="1" customFormat="1" ht="14.1" customHeight="1" x14ac:dyDescent="0.3">
      <c r="A2795" s="23" t="s">
        <v>3029</v>
      </c>
      <c r="B2795" s="23" t="s">
        <v>305</v>
      </c>
      <c r="C2795" s="12" t="s">
        <v>3370</v>
      </c>
      <c r="D2795" s="84"/>
      <c r="E2795" s="69" t="str">
        <f t="shared" si="110"/>
        <v>Еще фото</v>
      </c>
      <c r="F2795" s="13"/>
      <c r="G2795" s="23" t="s">
        <v>307</v>
      </c>
      <c r="H2795" s="23" t="s">
        <v>27</v>
      </c>
      <c r="I2795" s="23" t="s">
        <v>308</v>
      </c>
      <c r="J2795" s="14" t="s">
        <v>29</v>
      </c>
      <c r="K2795" s="15" t="s">
        <v>30</v>
      </c>
      <c r="L2795" s="87"/>
      <c r="M2795" s="14" t="s">
        <v>2945</v>
      </c>
      <c r="N2795" s="14" t="s">
        <v>70</v>
      </c>
      <c r="O2795" s="14"/>
      <c r="P2795" s="15" t="s">
        <v>3369</v>
      </c>
      <c r="Q2795" s="16">
        <v>6199</v>
      </c>
      <c r="R2795" s="17">
        <v>45</v>
      </c>
      <c r="S2795" s="18">
        <v>3920.8674999999994</v>
      </c>
      <c r="T2795" s="19" t="s">
        <v>117</v>
      </c>
      <c r="U2795" s="20" t="s">
        <v>94</v>
      </c>
      <c r="V2795" s="21">
        <v>104</v>
      </c>
      <c r="W2795" s="21">
        <v>1</v>
      </c>
      <c r="X2795" s="22"/>
    </row>
    <row r="2796" spans="1:24" s="1" customFormat="1" ht="14.1" customHeight="1" x14ac:dyDescent="0.3">
      <c r="A2796" s="23" t="s">
        <v>3029</v>
      </c>
      <c r="B2796" s="23" t="s">
        <v>305</v>
      </c>
      <c r="C2796" s="12" t="s">
        <v>3370</v>
      </c>
      <c r="D2796" s="84"/>
      <c r="E2796" s="69" t="str">
        <f t="shared" si="110"/>
        <v>Еще фото</v>
      </c>
      <c r="F2796" s="13"/>
      <c r="G2796" s="23" t="s">
        <v>307</v>
      </c>
      <c r="H2796" s="23" t="s">
        <v>27</v>
      </c>
      <c r="I2796" s="23" t="s">
        <v>308</v>
      </c>
      <c r="J2796" s="14" t="s">
        <v>29</v>
      </c>
      <c r="K2796" s="15" t="s">
        <v>30</v>
      </c>
      <c r="L2796" s="87"/>
      <c r="M2796" s="14" t="s">
        <v>2945</v>
      </c>
      <c r="N2796" s="14" t="s">
        <v>70</v>
      </c>
      <c r="O2796" s="14"/>
      <c r="P2796" s="15" t="s">
        <v>3369</v>
      </c>
      <c r="Q2796" s="16">
        <v>6199</v>
      </c>
      <c r="R2796" s="17">
        <v>45</v>
      </c>
      <c r="S2796" s="18">
        <v>3920.8674999999994</v>
      </c>
      <c r="T2796" s="19" t="s">
        <v>117</v>
      </c>
      <c r="U2796" s="20" t="s">
        <v>43</v>
      </c>
      <c r="V2796" s="21">
        <v>110</v>
      </c>
      <c r="W2796" s="21">
        <v>1</v>
      </c>
      <c r="X2796" s="22"/>
    </row>
    <row r="2797" spans="1:24" s="1" customFormat="1" ht="14.1" customHeight="1" x14ac:dyDescent="0.3">
      <c r="A2797" s="23" t="s">
        <v>3029</v>
      </c>
      <c r="B2797" s="23" t="s">
        <v>305</v>
      </c>
      <c r="C2797" s="12" t="s">
        <v>3370</v>
      </c>
      <c r="D2797" s="84"/>
      <c r="E2797" s="69" t="str">
        <f t="shared" si="110"/>
        <v>Еще фото</v>
      </c>
      <c r="F2797" s="13"/>
      <c r="G2797" s="23" t="s">
        <v>307</v>
      </c>
      <c r="H2797" s="23" t="s">
        <v>27</v>
      </c>
      <c r="I2797" s="23" t="s">
        <v>308</v>
      </c>
      <c r="J2797" s="14" t="s">
        <v>29</v>
      </c>
      <c r="K2797" s="15" t="s">
        <v>30</v>
      </c>
      <c r="L2797" s="87"/>
      <c r="M2797" s="14" t="s">
        <v>2945</v>
      </c>
      <c r="N2797" s="14" t="s">
        <v>70</v>
      </c>
      <c r="O2797" s="14"/>
      <c r="P2797" s="15" t="s">
        <v>3369</v>
      </c>
      <c r="Q2797" s="16">
        <v>6199</v>
      </c>
      <c r="R2797" s="17">
        <v>45</v>
      </c>
      <c r="S2797" s="18">
        <v>3920.8674999999994</v>
      </c>
      <c r="T2797" s="19" t="s">
        <v>117</v>
      </c>
      <c r="U2797" s="20" t="s">
        <v>36</v>
      </c>
      <c r="V2797" s="21">
        <v>122</v>
      </c>
      <c r="W2797" s="21">
        <v>2</v>
      </c>
      <c r="X2797" s="22"/>
    </row>
    <row r="2798" spans="1:24" s="1" customFormat="1" ht="14.1" customHeight="1" x14ac:dyDescent="0.3">
      <c r="A2798" s="23" t="s">
        <v>3029</v>
      </c>
      <c r="B2798" s="23" t="s">
        <v>305</v>
      </c>
      <c r="C2798" s="12" t="s">
        <v>3370</v>
      </c>
      <c r="D2798" s="84"/>
      <c r="E2798" s="69" t="str">
        <f t="shared" si="110"/>
        <v>Еще фото</v>
      </c>
      <c r="F2798" s="13"/>
      <c r="G2798" s="23" t="s">
        <v>307</v>
      </c>
      <c r="H2798" s="23" t="s">
        <v>27</v>
      </c>
      <c r="I2798" s="23" t="s">
        <v>308</v>
      </c>
      <c r="J2798" s="14" t="s">
        <v>29</v>
      </c>
      <c r="K2798" s="15" t="s">
        <v>30</v>
      </c>
      <c r="L2798" s="87"/>
      <c r="M2798" s="14" t="s">
        <v>2945</v>
      </c>
      <c r="N2798" s="14" t="s">
        <v>70</v>
      </c>
      <c r="O2798" s="14"/>
      <c r="P2798" s="15" t="s">
        <v>3369</v>
      </c>
      <c r="Q2798" s="16">
        <v>6199</v>
      </c>
      <c r="R2798" s="17">
        <v>45</v>
      </c>
      <c r="S2798" s="18">
        <v>3920.8674999999994</v>
      </c>
      <c r="T2798" s="19" t="s">
        <v>117</v>
      </c>
      <c r="U2798" s="20" t="s">
        <v>37</v>
      </c>
      <c r="V2798" s="21">
        <v>128</v>
      </c>
      <c r="W2798" s="21">
        <v>4</v>
      </c>
      <c r="X2798" s="22"/>
    </row>
    <row r="2799" spans="1:24" s="1" customFormat="1" ht="14.1" customHeight="1" x14ac:dyDescent="0.3">
      <c r="A2799" s="23" t="s">
        <v>3029</v>
      </c>
      <c r="B2799" s="23" t="s">
        <v>305</v>
      </c>
      <c r="C2799" s="12" t="s">
        <v>3370</v>
      </c>
      <c r="D2799" s="84"/>
      <c r="E2799" s="69" t="str">
        <f t="shared" si="110"/>
        <v>Еще фото</v>
      </c>
      <c r="F2799" s="13"/>
      <c r="G2799" s="23" t="s">
        <v>307</v>
      </c>
      <c r="H2799" s="23" t="s">
        <v>27</v>
      </c>
      <c r="I2799" s="23" t="s">
        <v>308</v>
      </c>
      <c r="J2799" s="14" t="s">
        <v>29</v>
      </c>
      <c r="K2799" s="15" t="s">
        <v>30</v>
      </c>
      <c r="L2799" s="87"/>
      <c r="M2799" s="14" t="s">
        <v>2945</v>
      </c>
      <c r="N2799" s="14" t="s">
        <v>70</v>
      </c>
      <c r="O2799" s="14"/>
      <c r="P2799" s="15" t="s">
        <v>3369</v>
      </c>
      <c r="Q2799" s="16">
        <v>6199</v>
      </c>
      <c r="R2799" s="17">
        <v>45</v>
      </c>
      <c r="S2799" s="18">
        <v>3920.8674999999994</v>
      </c>
      <c r="T2799" s="19" t="s">
        <v>117</v>
      </c>
      <c r="U2799" s="20" t="s">
        <v>91</v>
      </c>
      <c r="V2799" s="21">
        <v>134</v>
      </c>
      <c r="W2799" s="21">
        <v>2</v>
      </c>
      <c r="X2799" s="22"/>
    </row>
    <row r="2800" spans="1:24" s="1" customFormat="1" ht="17.100000000000001" customHeight="1" x14ac:dyDescent="0.3">
      <c r="A2800" s="23" t="s">
        <v>3029</v>
      </c>
      <c r="B2800" s="23" t="s">
        <v>305</v>
      </c>
      <c r="C2800" s="12" t="s">
        <v>3370</v>
      </c>
      <c r="D2800" s="85"/>
      <c r="E2800" s="69" t="str">
        <f t="shared" si="110"/>
        <v>Еще фото</v>
      </c>
      <c r="F2800" s="13"/>
      <c r="G2800" s="23" t="s">
        <v>307</v>
      </c>
      <c r="H2800" s="23" t="s">
        <v>27</v>
      </c>
      <c r="I2800" s="23" t="s">
        <v>308</v>
      </c>
      <c r="J2800" s="14" t="s">
        <v>29</v>
      </c>
      <c r="K2800" s="15" t="s">
        <v>30</v>
      </c>
      <c r="L2800" s="88"/>
      <c r="M2800" s="14" t="s">
        <v>2945</v>
      </c>
      <c r="N2800" s="14" t="s">
        <v>70</v>
      </c>
      <c r="O2800" s="14"/>
      <c r="P2800" s="15" t="s">
        <v>3369</v>
      </c>
      <c r="Q2800" s="16">
        <v>6199</v>
      </c>
      <c r="R2800" s="17">
        <v>45</v>
      </c>
      <c r="S2800" s="18">
        <v>3920.8674999999994</v>
      </c>
      <c r="T2800" s="19" t="s">
        <v>117</v>
      </c>
      <c r="U2800" s="20" t="s">
        <v>290</v>
      </c>
      <c r="V2800" s="21">
        <v>140</v>
      </c>
      <c r="W2800" s="21">
        <v>2</v>
      </c>
      <c r="X2800" s="22"/>
    </row>
    <row r="2801" spans="1:24" s="1" customFormat="1" ht="21" customHeight="1" x14ac:dyDescent="0.3">
      <c r="A2801" s="11" t="s">
        <v>3029</v>
      </c>
      <c r="B2801" s="11" t="s">
        <v>305</v>
      </c>
      <c r="C2801" s="27" t="s">
        <v>3372</v>
      </c>
      <c r="D2801" s="83"/>
      <c r="E2801" s="69" t="str">
        <f>HYPERLINK("https://www.google.ru/search?q=162203-7899&amp;newwindow=1&amp;tbm=isch","Еще фото")</f>
        <v>Еще фото</v>
      </c>
      <c r="F2801" s="13"/>
      <c r="G2801" s="11" t="s">
        <v>307</v>
      </c>
      <c r="H2801" s="11" t="s">
        <v>27</v>
      </c>
      <c r="I2801" s="14" t="s">
        <v>308</v>
      </c>
      <c r="J2801" s="14" t="s">
        <v>29</v>
      </c>
      <c r="K2801" s="15" t="s">
        <v>30</v>
      </c>
      <c r="L2801" s="86" t="s">
        <v>3373</v>
      </c>
      <c r="M2801" s="14" t="s">
        <v>2945</v>
      </c>
      <c r="N2801" s="14" t="s">
        <v>70</v>
      </c>
      <c r="O2801" s="14"/>
      <c r="P2801" s="15" t="s">
        <v>3369</v>
      </c>
      <c r="Q2801" s="16">
        <v>6799</v>
      </c>
      <c r="R2801" s="17">
        <v>45</v>
      </c>
      <c r="S2801" s="18">
        <v>4300.3674999999994</v>
      </c>
      <c r="T2801" s="19" t="s">
        <v>117</v>
      </c>
      <c r="U2801" s="20" t="s">
        <v>78</v>
      </c>
      <c r="V2801" s="21">
        <v>98</v>
      </c>
      <c r="W2801" s="21">
        <v>1</v>
      </c>
      <c r="X2801" s="22"/>
    </row>
    <row r="2802" spans="1:24" s="1" customFormat="1" ht="21" customHeight="1" x14ac:dyDescent="0.3">
      <c r="A2802" s="23" t="s">
        <v>3029</v>
      </c>
      <c r="B2802" s="23" t="s">
        <v>305</v>
      </c>
      <c r="C2802" s="28" t="s">
        <v>3372</v>
      </c>
      <c r="D2802" s="84"/>
      <c r="E2802" s="69" t="str">
        <f>HYPERLINK("https://www.google.ru/search?q=162203-7899&amp;newwindow=1&amp;tbm=isch","Еще фото")</f>
        <v>Еще фото</v>
      </c>
      <c r="F2802" s="13"/>
      <c r="G2802" s="23" t="s">
        <v>307</v>
      </c>
      <c r="H2802" s="23" t="s">
        <v>27</v>
      </c>
      <c r="I2802" s="23" t="s">
        <v>308</v>
      </c>
      <c r="J2802" s="14" t="s">
        <v>29</v>
      </c>
      <c r="K2802" s="15" t="s">
        <v>30</v>
      </c>
      <c r="L2802" s="87"/>
      <c r="M2802" s="14" t="s">
        <v>2945</v>
      </c>
      <c r="N2802" s="14" t="s">
        <v>70</v>
      </c>
      <c r="O2802" s="14"/>
      <c r="P2802" s="15" t="s">
        <v>3369</v>
      </c>
      <c r="Q2802" s="16">
        <v>6799</v>
      </c>
      <c r="R2802" s="17">
        <v>45</v>
      </c>
      <c r="S2802" s="18">
        <v>4300.3674999999994</v>
      </c>
      <c r="T2802" s="19" t="s">
        <v>117</v>
      </c>
      <c r="U2802" s="20" t="s">
        <v>94</v>
      </c>
      <c r="V2802" s="21">
        <v>104</v>
      </c>
      <c r="W2802" s="21">
        <v>2</v>
      </c>
      <c r="X2802" s="22"/>
    </row>
    <row r="2803" spans="1:24" s="1" customFormat="1" ht="21" customHeight="1" x14ac:dyDescent="0.3">
      <c r="A2803" s="23" t="s">
        <v>3029</v>
      </c>
      <c r="B2803" s="23" t="s">
        <v>305</v>
      </c>
      <c r="C2803" s="28" t="s">
        <v>3372</v>
      </c>
      <c r="D2803" s="84"/>
      <c r="E2803" s="69" t="str">
        <f>HYPERLINK("https://www.google.ru/search?q=162203-7899&amp;newwindow=1&amp;tbm=isch","Еще фото")</f>
        <v>Еще фото</v>
      </c>
      <c r="F2803" s="13"/>
      <c r="G2803" s="23" t="s">
        <v>307</v>
      </c>
      <c r="H2803" s="23" t="s">
        <v>27</v>
      </c>
      <c r="I2803" s="23" t="s">
        <v>308</v>
      </c>
      <c r="J2803" s="14" t="s">
        <v>29</v>
      </c>
      <c r="K2803" s="15" t="s">
        <v>30</v>
      </c>
      <c r="L2803" s="87"/>
      <c r="M2803" s="14" t="s">
        <v>2945</v>
      </c>
      <c r="N2803" s="14" t="s">
        <v>70</v>
      </c>
      <c r="O2803" s="14"/>
      <c r="P2803" s="15" t="s">
        <v>3369</v>
      </c>
      <c r="Q2803" s="16">
        <v>6799</v>
      </c>
      <c r="R2803" s="17">
        <v>45</v>
      </c>
      <c r="S2803" s="18">
        <v>4300.3674999999994</v>
      </c>
      <c r="T2803" s="19" t="s">
        <v>117</v>
      </c>
      <c r="U2803" s="20" t="s">
        <v>43</v>
      </c>
      <c r="V2803" s="21">
        <v>110</v>
      </c>
      <c r="W2803" s="21">
        <v>1</v>
      </c>
      <c r="X2803" s="22"/>
    </row>
    <row r="2804" spans="1:24" s="1" customFormat="1" ht="21" customHeight="1" x14ac:dyDescent="0.3">
      <c r="A2804" s="23" t="s">
        <v>3029</v>
      </c>
      <c r="B2804" s="23" t="s">
        <v>305</v>
      </c>
      <c r="C2804" s="28" t="s">
        <v>3372</v>
      </c>
      <c r="D2804" s="84"/>
      <c r="E2804" s="69" t="str">
        <f>HYPERLINK("https://www.google.ru/search?q=162203-7899&amp;newwindow=1&amp;tbm=isch","Еще фото")</f>
        <v>Еще фото</v>
      </c>
      <c r="F2804" s="13"/>
      <c r="G2804" s="23" t="s">
        <v>307</v>
      </c>
      <c r="H2804" s="23" t="s">
        <v>27</v>
      </c>
      <c r="I2804" s="23" t="s">
        <v>308</v>
      </c>
      <c r="J2804" s="14" t="s">
        <v>29</v>
      </c>
      <c r="K2804" s="15" t="s">
        <v>30</v>
      </c>
      <c r="L2804" s="87"/>
      <c r="M2804" s="14" t="s">
        <v>2945</v>
      </c>
      <c r="N2804" s="14" t="s">
        <v>70</v>
      </c>
      <c r="O2804" s="14"/>
      <c r="P2804" s="15" t="s">
        <v>3369</v>
      </c>
      <c r="Q2804" s="16">
        <v>6799</v>
      </c>
      <c r="R2804" s="17">
        <v>45</v>
      </c>
      <c r="S2804" s="18">
        <v>4300.3674999999994</v>
      </c>
      <c r="T2804" s="19" t="s">
        <v>117</v>
      </c>
      <c r="U2804" s="20" t="s">
        <v>37</v>
      </c>
      <c r="V2804" s="21">
        <v>128</v>
      </c>
      <c r="W2804" s="21">
        <v>1</v>
      </c>
      <c r="X2804" s="22"/>
    </row>
    <row r="2805" spans="1:24" s="1" customFormat="1" ht="32.1" customHeight="1" x14ac:dyDescent="0.3">
      <c r="A2805" s="23" t="s">
        <v>3029</v>
      </c>
      <c r="B2805" s="23" t="s">
        <v>305</v>
      </c>
      <c r="C2805" s="28" t="s">
        <v>3372</v>
      </c>
      <c r="D2805" s="85"/>
      <c r="E2805" s="69" t="str">
        <f>HYPERLINK("https://www.google.ru/search?q=162203-7899&amp;newwindow=1&amp;tbm=isch","Еще фото")</f>
        <v>Еще фото</v>
      </c>
      <c r="F2805" s="13"/>
      <c r="G2805" s="23" t="s">
        <v>307</v>
      </c>
      <c r="H2805" s="23" t="s">
        <v>27</v>
      </c>
      <c r="I2805" s="23" t="s">
        <v>308</v>
      </c>
      <c r="J2805" s="14" t="s">
        <v>29</v>
      </c>
      <c r="K2805" s="15" t="s">
        <v>30</v>
      </c>
      <c r="L2805" s="88"/>
      <c r="M2805" s="14" t="s">
        <v>2945</v>
      </c>
      <c r="N2805" s="14" t="s">
        <v>70</v>
      </c>
      <c r="O2805" s="14"/>
      <c r="P2805" s="15" t="s">
        <v>3369</v>
      </c>
      <c r="Q2805" s="16">
        <v>6799</v>
      </c>
      <c r="R2805" s="17">
        <v>45</v>
      </c>
      <c r="S2805" s="18">
        <v>4300.3674999999994</v>
      </c>
      <c r="T2805" s="19" t="s">
        <v>117</v>
      </c>
      <c r="U2805" s="20" t="s">
        <v>2160</v>
      </c>
      <c r="V2805" s="21">
        <v>152</v>
      </c>
      <c r="W2805" s="21">
        <v>1</v>
      </c>
      <c r="X2805" s="22"/>
    </row>
    <row r="2806" spans="1:24" s="1" customFormat="1" ht="108" customHeight="1" x14ac:dyDescent="0.3">
      <c r="A2806" s="11" t="s">
        <v>3029</v>
      </c>
      <c r="B2806" s="11" t="s">
        <v>305</v>
      </c>
      <c r="C2806" s="12" t="s">
        <v>3374</v>
      </c>
      <c r="D2806" s="24"/>
      <c r="E2806" s="69" t="str">
        <f>HYPERLINK("https://www.google.ru/search?q=162213-5416&amp;newwindow=1&amp;tbm=isch","Еще фото")</f>
        <v>Еще фото</v>
      </c>
      <c r="F2806" s="13"/>
      <c r="G2806" s="11" t="s">
        <v>307</v>
      </c>
      <c r="H2806" s="11" t="s">
        <v>27</v>
      </c>
      <c r="I2806" s="14" t="s">
        <v>308</v>
      </c>
      <c r="J2806" s="14" t="s">
        <v>29</v>
      </c>
      <c r="K2806" s="15" t="s">
        <v>30</v>
      </c>
      <c r="L2806" s="14" t="s">
        <v>3375</v>
      </c>
      <c r="M2806" s="14"/>
      <c r="N2806" s="14" t="s">
        <v>275</v>
      </c>
      <c r="O2806" s="14"/>
      <c r="P2806" s="15" t="s">
        <v>3369</v>
      </c>
      <c r="Q2806" s="16">
        <v>4699</v>
      </c>
      <c r="R2806" s="17">
        <v>45</v>
      </c>
      <c r="S2806" s="18">
        <v>2972.1174999999994</v>
      </c>
      <c r="T2806" s="19" t="s">
        <v>117</v>
      </c>
      <c r="U2806" s="20" t="s">
        <v>78</v>
      </c>
      <c r="V2806" s="21">
        <v>98</v>
      </c>
      <c r="W2806" s="21">
        <v>1</v>
      </c>
      <c r="X2806" s="22"/>
    </row>
    <row r="2807" spans="1:24" s="1" customFormat="1" ht="11.1" customHeight="1" x14ac:dyDescent="0.3">
      <c r="A2807" s="11" t="s">
        <v>3014</v>
      </c>
      <c r="B2807" s="11" t="s">
        <v>305</v>
      </c>
      <c r="C2807" s="12" t="s">
        <v>3376</v>
      </c>
      <c r="D2807" s="83"/>
      <c r="E2807" s="69" t="str">
        <f t="shared" ref="E2807:E2815" si="111">HYPERLINK("https://www.google.ru/search?q=7100010A-6961&amp;newwindow=1&amp;tbm=isch","Еще фото")</f>
        <v>Еще фото</v>
      </c>
      <c r="F2807" s="13"/>
      <c r="G2807" s="11" t="s">
        <v>307</v>
      </c>
      <c r="H2807" s="11" t="s">
        <v>27</v>
      </c>
      <c r="I2807" s="14" t="s">
        <v>308</v>
      </c>
      <c r="J2807" s="14" t="s">
        <v>29</v>
      </c>
      <c r="K2807" s="15" t="s">
        <v>30</v>
      </c>
      <c r="L2807" s="86" t="s">
        <v>3377</v>
      </c>
      <c r="M2807" s="14"/>
      <c r="N2807" s="14" t="s">
        <v>70</v>
      </c>
      <c r="O2807" s="14"/>
      <c r="P2807" s="15" t="s">
        <v>3068</v>
      </c>
      <c r="Q2807" s="16">
        <v>6699</v>
      </c>
      <c r="R2807" s="17">
        <v>45</v>
      </c>
      <c r="S2807" s="18">
        <v>4237.1174999999994</v>
      </c>
      <c r="T2807" s="19" t="s">
        <v>117</v>
      </c>
      <c r="U2807" s="20" t="s">
        <v>2977</v>
      </c>
      <c r="V2807" s="21">
        <v>92</v>
      </c>
      <c r="W2807" s="21">
        <v>3</v>
      </c>
      <c r="X2807" s="22"/>
    </row>
    <row r="2808" spans="1:24" s="1" customFormat="1" ht="11.1" customHeight="1" x14ac:dyDescent="0.3">
      <c r="A2808" s="23" t="s">
        <v>3014</v>
      </c>
      <c r="B2808" s="23" t="s">
        <v>305</v>
      </c>
      <c r="C2808" s="12" t="s">
        <v>3376</v>
      </c>
      <c r="D2808" s="84"/>
      <c r="E2808" s="69" t="str">
        <f t="shared" si="111"/>
        <v>Еще фото</v>
      </c>
      <c r="F2808" s="13"/>
      <c r="G2808" s="23" t="s">
        <v>307</v>
      </c>
      <c r="H2808" s="23" t="s">
        <v>27</v>
      </c>
      <c r="I2808" s="23" t="s">
        <v>308</v>
      </c>
      <c r="J2808" s="14" t="s">
        <v>29</v>
      </c>
      <c r="K2808" s="15" t="s">
        <v>30</v>
      </c>
      <c r="L2808" s="87"/>
      <c r="M2808" s="14"/>
      <c r="N2808" s="14" t="s">
        <v>70</v>
      </c>
      <c r="O2808" s="14"/>
      <c r="P2808" s="15" t="s">
        <v>3068</v>
      </c>
      <c r="Q2808" s="16">
        <v>6699</v>
      </c>
      <c r="R2808" s="17">
        <v>45</v>
      </c>
      <c r="S2808" s="18">
        <v>4237.1174999999994</v>
      </c>
      <c r="T2808" s="19" t="s">
        <v>117</v>
      </c>
      <c r="U2808" s="20" t="s">
        <v>2961</v>
      </c>
      <c r="V2808" s="21">
        <v>98</v>
      </c>
      <c r="W2808" s="21">
        <v>3</v>
      </c>
      <c r="X2808" s="22"/>
    </row>
    <row r="2809" spans="1:24" s="1" customFormat="1" ht="11.1" customHeight="1" x14ac:dyDescent="0.3">
      <c r="A2809" s="23" t="s">
        <v>3014</v>
      </c>
      <c r="B2809" s="23" t="s">
        <v>305</v>
      </c>
      <c r="C2809" s="12" t="s">
        <v>3376</v>
      </c>
      <c r="D2809" s="84"/>
      <c r="E2809" s="69" t="str">
        <f t="shared" si="111"/>
        <v>Еще фото</v>
      </c>
      <c r="F2809" s="13"/>
      <c r="G2809" s="23" t="s">
        <v>307</v>
      </c>
      <c r="H2809" s="23" t="s">
        <v>27</v>
      </c>
      <c r="I2809" s="23" t="s">
        <v>308</v>
      </c>
      <c r="J2809" s="14" t="s">
        <v>29</v>
      </c>
      <c r="K2809" s="15" t="s">
        <v>30</v>
      </c>
      <c r="L2809" s="87"/>
      <c r="M2809" s="14"/>
      <c r="N2809" s="14" t="s">
        <v>70</v>
      </c>
      <c r="O2809" s="14"/>
      <c r="P2809" s="15" t="s">
        <v>3068</v>
      </c>
      <c r="Q2809" s="16">
        <v>6699</v>
      </c>
      <c r="R2809" s="17">
        <v>45</v>
      </c>
      <c r="S2809" s="18">
        <v>4237.1174999999994</v>
      </c>
      <c r="T2809" s="19" t="s">
        <v>117</v>
      </c>
      <c r="U2809" s="20" t="s">
        <v>94</v>
      </c>
      <c r="V2809" s="21">
        <v>104</v>
      </c>
      <c r="W2809" s="21">
        <v>3</v>
      </c>
      <c r="X2809" s="22"/>
    </row>
    <row r="2810" spans="1:24" s="1" customFormat="1" ht="11.1" customHeight="1" x14ac:dyDescent="0.3">
      <c r="A2810" s="23" t="s">
        <v>3014</v>
      </c>
      <c r="B2810" s="23" t="s">
        <v>305</v>
      </c>
      <c r="C2810" s="12" t="s">
        <v>3376</v>
      </c>
      <c r="D2810" s="84"/>
      <c r="E2810" s="69" t="str">
        <f t="shared" si="111"/>
        <v>Еще фото</v>
      </c>
      <c r="F2810" s="13"/>
      <c r="G2810" s="23" t="s">
        <v>307</v>
      </c>
      <c r="H2810" s="23" t="s">
        <v>27</v>
      </c>
      <c r="I2810" s="23" t="s">
        <v>308</v>
      </c>
      <c r="J2810" s="14" t="s">
        <v>29</v>
      </c>
      <c r="K2810" s="15" t="s">
        <v>30</v>
      </c>
      <c r="L2810" s="87"/>
      <c r="M2810" s="14"/>
      <c r="N2810" s="14" t="s">
        <v>70</v>
      </c>
      <c r="O2810" s="14"/>
      <c r="P2810" s="15" t="s">
        <v>3068</v>
      </c>
      <c r="Q2810" s="16">
        <v>6699</v>
      </c>
      <c r="R2810" s="17">
        <v>45</v>
      </c>
      <c r="S2810" s="18">
        <v>4237.1174999999994</v>
      </c>
      <c r="T2810" s="19" t="s">
        <v>117</v>
      </c>
      <c r="U2810" s="20" t="s">
        <v>43</v>
      </c>
      <c r="V2810" s="21">
        <v>110</v>
      </c>
      <c r="W2810" s="21">
        <v>3</v>
      </c>
      <c r="X2810" s="22"/>
    </row>
    <row r="2811" spans="1:24" s="1" customFormat="1" ht="11.1" customHeight="1" x14ac:dyDescent="0.3">
      <c r="A2811" s="23" t="s">
        <v>3014</v>
      </c>
      <c r="B2811" s="23" t="s">
        <v>305</v>
      </c>
      <c r="C2811" s="12" t="s">
        <v>3376</v>
      </c>
      <c r="D2811" s="84"/>
      <c r="E2811" s="69" t="str">
        <f t="shared" si="111"/>
        <v>Еще фото</v>
      </c>
      <c r="F2811" s="13"/>
      <c r="G2811" s="23" t="s">
        <v>307</v>
      </c>
      <c r="H2811" s="23" t="s">
        <v>27</v>
      </c>
      <c r="I2811" s="23" t="s">
        <v>308</v>
      </c>
      <c r="J2811" s="14" t="s">
        <v>29</v>
      </c>
      <c r="K2811" s="15" t="s">
        <v>30</v>
      </c>
      <c r="L2811" s="87"/>
      <c r="M2811" s="14"/>
      <c r="N2811" s="14" t="s">
        <v>70</v>
      </c>
      <c r="O2811" s="14"/>
      <c r="P2811" s="15" t="s">
        <v>3068</v>
      </c>
      <c r="Q2811" s="16">
        <v>6699</v>
      </c>
      <c r="R2811" s="17">
        <v>45</v>
      </c>
      <c r="S2811" s="18">
        <v>4237.1174999999994</v>
      </c>
      <c r="T2811" s="19" t="s">
        <v>117</v>
      </c>
      <c r="U2811" s="20" t="s">
        <v>35</v>
      </c>
      <c r="V2811" s="21">
        <v>116</v>
      </c>
      <c r="W2811" s="21">
        <v>5</v>
      </c>
      <c r="X2811" s="22"/>
    </row>
    <row r="2812" spans="1:24" s="1" customFormat="1" ht="11.1" customHeight="1" x14ac:dyDescent="0.3">
      <c r="A2812" s="23" t="s">
        <v>3014</v>
      </c>
      <c r="B2812" s="23" t="s">
        <v>305</v>
      </c>
      <c r="C2812" s="12" t="s">
        <v>3376</v>
      </c>
      <c r="D2812" s="84"/>
      <c r="E2812" s="69" t="str">
        <f t="shared" si="111"/>
        <v>Еще фото</v>
      </c>
      <c r="F2812" s="13"/>
      <c r="G2812" s="23" t="s">
        <v>307</v>
      </c>
      <c r="H2812" s="23" t="s">
        <v>27</v>
      </c>
      <c r="I2812" s="23" t="s">
        <v>308</v>
      </c>
      <c r="J2812" s="14" t="s">
        <v>29</v>
      </c>
      <c r="K2812" s="15" t="s">
        <v>30</v>
      </c>
      <c r="L2812" s="87"/>
      <c r="M2812" s="14"/>
      <c r="N2812" s="14" t="s">
        <v>70</v>
      </c>
      <c r="O2812" s="14"/>
      <c r="P2812" s="15" t="s">
        <v>3068</v>
      </c>
      <c r="Q2812" s="16">
        <v>6699</v>
      </c>
      <c r="R2812" s="17">
        <v>45</v>
      </c>
      <c r="S2812" s="18">
        <v>4237.1174999999994</v>
      </c>
      <c r="T2812" s="19" t="s">
        <v>117</v>
      </c>
      <c r="U2812" s="20" t="s">
        <v>36</v>
      </c>
      <c r="V2812" s="21">
        <v>122</v>
      </c>
      <c r="W2812" s="21">
        <v>2</v>
      </c>
      <c r="X2812" s="22"/>
    </row>
    <row r="2813" spans="1:24" s="1" customFormat="1" ht="11.1" customHeight="1" x14ac:dyDescent="0.3">
      <c r="A2813" s="23" t="s">
        <v>3014</v>
      </c>
      <c r="B2813" s="23" t="s">
        <v>305</v>
      </c>
      <c r="C2813" s="12" t="s">
        <v>3376</v>
      </c>
      <c r="D2813" s="84"/>
      <c r="E2813" s="69" t="str">
        <f t="shared" si="111"/>
        <v>Еще фото</v>
      </c>
      <c r="F2813" s="13"/>
      <c r="G2813" s="23" t="s">
        <v>307</v>
      </c>
      <c r="H2813" s="23" t="s">
        <v>27</v>
      </c>
      <c r="I2813" s="23" t="s">
        <v>308</v>
      </c>
      <c r="J2813" s="14" t="s">
        <v>29</v>
      </c>
      <c r="K2813" s="15" t="s">
        <v>30</v>
      </c>
      <c r="L2813" s="87"/>
      <c r="M2813" s="14"/>
      <c r="N2813" s="14" t="s">
        <v>70</v>
      </c>
      <c r="O2813" s="14"/>
      <c r="P2813" s="15" t="s">
        <v>3068</v>
      </c>
      <c r="Q2813" s="16">
        <v>6699</v>
      </c>
      <c r="R2813" s="17">
        <v>45</v>
      </c>
      <c r="S2813" s="18">
        <v>4237.1174999999994</v>
      </c>
      <c r="T2813" s="19" t="s">
        <v>117</v>
      </c>
      <c r="U2813" s="20" t="s">
        <v>37</v>
      </c>
      <c r="V2813" s="21">
        <v>128</v>
      </c>
      <c r="W2813" s="21">
        <v>3</v>
      </c>
      <c r="X2813" s="22"/>
    </row>
    <row r="2814" spans="1:24" s="1" customFormat="1" ht="11.1" customHeight="1" x14ac:dyDescent="0.3">
      <c r="A2814" s="23" t="s">
        <v>3014</v>
      </c>
      <c r="B2814" s="23" t="s">
        <v>305</v>
      </c>
      <c r="C2814" s="12" t="s">
        <v>3376</v>
      </c>
      <c r="D2814" s="84"/>
      <c r="E2814" s="69" t="str">
        <f t="shared" si="111"/>
        <v>Еще фото</v>
      </c>
      <c r="F2814" s="13"/>
      <c r="G2814" s="23" t="s">
        <v>307</v>
      </c>
      <c r="H2814" s="23" t="s">
        <v>27</v>
      </c>
      <c r="I2814" s="23" t="s">
        <v>308</v>
      </c>
      <c r="J2814" s="14" t="s">
        <v>29</v>
      </c>
      <c r="K2814" s="15" t="s">
        <v>30</v>
      </c>
      <c r="L2814" s="87"/>
      <c r="M2814" s="14"/>
      <c r="N2814" s="14" t="s">
        <v>70</v>
      </c>
      <c r="O2814" s="14"/>
      <c r="P2814" s="15" t="s">
        <v>3068</v>
      </c>
      <c r="Q2814" s="16">
        <v>6699</v>
      </c>
      <c r="R2814" s="17">
        <v>45</v>
      </c>
      <c r="S2814" s="18">
        <v>4237.1174999999994</v>
      </c>
      <c r="T2814" s="19" t="s">
        <v>117</v>
      </c>
      <c r="U2814" s="20" t="s">
        <v>91</v>
      </c>
      <c r="V2814" s="21">
        <v>134</v>
      </c>
      <c r="W2814" s="21">
        <v>3</v>
      </c>
      <c r="X2814" s="22"/>
    </row>
    <row r="2815" spans="1:24" s="1" customFormat="1" ht="11.1" customHeight="1" x14ac:dyDescent="0.3">
      <c r="A2815" s="23" t="s">
        <v>3014</v>
      </c>
      <c r="B2815" s="23" t="s">
        <v>305</v>
      </c>
      <c r="C2815" s="12" t="s">
        <v>3376</v>
      </c>
      <c r="D2815" s="85"/>
      <c r="E2815" s="69" t="str">
        <f t="shared" si="111"/>
        <v>Еще фото</v>
      </c>
      <c r="F2815" s="13"/>
      <c r="G2815" s="23" t="s">
        <v>307</v>
      </c>
      <c r="H2815" s="23" t="s">
        <v>27</v>
      </c>
      <c r="I2815" s="23" t="s">
        <v>308</v>
      </c>
      <c r="J2815" s="14" t="s">
        <v>29</v>
      </c>
      <c r="K2815" s="15" t="s">
        <v>30</v>
      </c>
      <c r="L2815" s="88"/>
      <c r="M2815" s="14"/>
      <c r="N2815" s="14" t="s">
        <v>70</v>
      </c>
      <c r="O2815" s="14"/>
      <c r="P2815" s="15" t="s">
        <v>3068</v>
      </c>
      <c r="Q2815" s="16">
        <v>6699</v>
      </c>
      <c r="R2815" s="17">
        <v>45</v>
      </c>
      <c r="S2815" s="18">
        <v>4237.1174999999994</v>
      </c>
      <c r="T2815" s="19" t="s">
        <v>117</v>
      </c>
      <c r="U2815" s="20" t="s">
        <v>290</v>
      </c>
      <c r="V2815" s="21">
        <v>140</v>
      </c>
      <c r="W2815" s="21">
        <v>3</v>
      </c>
      <c r="X2815" s="22"/>
    </row>
    <row r="2816" spans="1:24" s="1" customFormat="1" ht="21" customHeight="1" x14ac:dyDescent="0.3">
      <c r="A2816" s="11" t="s">
        <v>3014</v>
      </c>
      <c r="B2816" s="11" t="s">
        <v>305</v>
      </c>
      <c r="C2816" s="27" t="s">
        <v>3378</v>
      </c>
      <c r="D2816" s="83"/>
      <c r="E2816" s="69" t="str">
        <f>HYPERLINK("https://www.google.ru/search?q=7100010A-9991&amp;newwindow=1&amp;tbm=isch","Еще фото")</f>
        <v>Еще фото</v>
      </c>
      <c r="F2816" s="13"/>
      <c r="G2816" s="11" t="s">
        <v>307</v>
      </c>
      <c r="H2816" s="11" t="s">
        <v>27</v>
      </c>
      <c r="I2816" s="14" t="s">
        <v>308</v>
      </c>
      <c r="J2816" s="14" t="s">
        <v>138</v>
      </c>
      <c r="K2816" s="15" t="s">
        <v>30</v>
      </c>
      <c r="L2816" s="86" t="s">
        <v>3379</v>
      </c>
      <c r="M2816" s="14"/>
      <c r="N2816" s="14" t="s">
        <v>1743</v>
      </c>
      <c r="O2816" s="14"/>
      <c r="P2816" s="15" t="s">
        <v>3068</v>
      </c>
      <c r="Q2816" s="16">
        <v>6699</v>
      </c>
      <c r="R2816" s="17">
        <v>45</v>
      </c>
      <c r="S2816" s="18">
        <v>4237.1174999999994</v>
      </c>
      <c r="T2816" s="19" t="s">
        <v>117</v>
      </c>
      <c r="U2816" s="20" t="s">
        <v>2977</v>
      </c>
      <c r="V2816" s="21">
        <v>92</v>
      </c>
      <c r="W2816" s="21">
        <v>3</v>
      </c>
      <c r="X2816" s="22"/>
    </row>
    <row r="2817" spans="1:24" s="1" customFormat="1" ht="21" customHeight="1" x14ac:dyDescent="0.3">
      <c r="A2817" s="23" t="s">
        <v>3014</v>
      </c>
      <c r="B2817" s="23" t="s">
        <v>305</v>
      </c>
      <c r="C2817" s="28" t="s">
        <v>3378</v>
      </c>
      <c r="D2817" s="84"/>
      <c r="E2817" s="69" t="str">
        <f>HYPERLINK("https://www.google.ru/search?q=7100010A-9991&amp;newwindow=1&amp;tbm=isch","Еще фото")</f>
        <v>Еще фото</v>
      </c>
      <c r="F2817" s="13"/>
      <c r="G2817" s="23" t="s">
        <v>307</v>
      </c>
      <c r="H2817" s="23" t="s">
        <v>27</v>
      </c>
      <c r="I2817" s="23" t="s">
        <v>308</v>
      </c>
      <c r="J2817" s="14" t="s">
        <v>138</v>
      </c>
      <c r="K2817" s="15" t="s">
        <v>30</v>
      </c>
      <c r="L2817" s="87"/>
      <c r="M2817" s="14"/>
      <c r="N2817" s="14" t="s">
        <v>1743</v>
      </c>
      <c r="O2817" s="14"/>
      <c r="P2817" s="15" t="s">
        <v>3068</v>
      </c>
      <c r="Q2817" s="16">
        <v>6699</v>
      </c>
      <c r="R2817" s="17">
        <v>45</v>
      </c>
      <c r="S2817" s="18">
        <v>4237.1174999999994</v>
      </c>
      <c r="T2817" s="19" t="s">
        <v>117</v>
      </c>
      <c r="U2817" s="20" t="s">
        <v>2961</v>
      </c>
      <c r="V2817" s="21">
        <v>98</v>
      </c>
      <c r="W2817" s="21">
        <v>1</v>
      </c>
      <c r="X2817" s="22"/>
    </row>
    <row r="2818" spans="1:24" s="1" customFormat="1" ht="21" customHeight="1" x14ac:dyDescent="0.3">
      <c r="A2818" s="23" t="s">
        <v>3014</v>
      </c>
      <c r="B2818" s="23" t="s">
        <v>305</v>
      </c>
      <c r="C2818" s="28" t="s">
        <v>3378</v>
      </c>
      <c r="D2818" s="84"/>
      <c r="E2818" s="69" t="str">
        <f>HYPERLINK("https://www.google.ru/search?q=7100010A-9991&amp;newwindow=1&amp;tbm=isch","Еще фото")</f>
        <v>Еще фото</v>
      </c>
      <c r="F2818" s="13"/>
      <c r="G2818" s="23" t="s">
        <v>307</v>
      </c>
      <c r="H2818" s="23" t="s">
        <v>27</v>
      </c>
      <c r="I2818" s="23" t="s">
        <v>308</v>
      </c>
      <c r="J2818" s="14" t="s">
        <v>138</v>
      </c>
      <c r="K2818" s="15" t="s">
        <v>30</v>
      </c>
      <c r="L2818" s="87"/>
      <c r="M2818" s="14"/>
      <c r="N2818" s="14" t="s">
        <v>1743</v>
      </c>
      <c r="O2818" s="14"/>
      <c r="P2818" s="15" t="s">
        <v>3068</v>
      </c>
      <c r="Q2818" s="16">
        <v>6699</v>
      </c>
      <c r="R2818" s="17">
        <v>45</v>
      </c>
      <c r="S2818" s="18">
        <v>4237.1174999999994</v>
      </c>
      <c r="T2818" s="19" t="s">
        <v>117</v>
      </c>
      <c r="U2818" s="20" t="s">
        <v>94</v>
      </c>
      <c r="V2818" s="21">
        <v>104</v>
      </c>
      <c r="W2818" s="21">
        <v>2</v>
      </c>
      <c r="X2818" s="22"/>
    </row>
    <row r="2819" spans="1:24" s="1" customFormat="1" ht="21" customHeight="1" x14ac:dyDescent="0.3">
      <c r="A2819" s="23" t="s">
        <v>3014</v>
      </c>
      <c r="B2819" s="23" t="s">
        <v>305</v>
      </c>
      <c r="C2819" s="28" t="s">
        <v>3378</v>
      </c>
      <c r="D2819" s="84"/>
      <c r="E2819" s="69" t="str">
        <f>HYPERLINK("https://www.google.ru/search?q=7100010A-9991&amp;newwindow=1&amp;tbm=isch","Еще фото")</f>
        <v>Еще фото</v>
      </c>
      <c r="F2819" s="13"/>
      <c r="G2819" s="23" t="s">
        <v>307</v>
      </c>
      <c r="H2819" s="23" t="s">
        <v>27</v>
      </c>
      <c r="I2819" s="23" t="s">
        <v>308</v>
      </c>
      <c r="J2819" s="14" t="s">
        <v>138</v>
      </c>
      <c r="K2819" s="15" t="s">
        <v>30</v>
      </c>
      <c r="L2819" s="87"/>
      <c r="M2819" s="14"/>
      <c r="N2819" s="14" t="s">
        <v>1743</v>
      </c>
      <c r="O2819" s="14"/>
      <c r="P2819" s="15" t="s">
        <v>3068</v>
      </c>
      <c r="Q2819" s="16">
        <v>6699</v>
      </c>
      <c r="R2819" s="17">
        <v>45</v>
      </c>
      <c r="S2819" s="18">
        <v>4237.1174999999994</v>
      </c>
      <c r="T2819" s="19" t="s">
        <v>117</v>
      </c>
      <c r="U2819" s="20" t="s">
        <v>43</v>
      </c>
      <c r="V2819" s="21">
        <v>110</v>
      </c>
      <c r="W2819" s="21">
        <v>4</v>
      </c>
      <c r="X2819" s="22"/>
    </row>
    <row r="2820" spans="1:24" s="1" customFormat="1" ht="32.1" customHeight="1" x14ac:dyDescent="0.3">
      <c r="A2820" s="23" t="s">
        <v>3014</v>
      </c>
      <c r="B2820" s="23" t="s">
        <v>305</v>
      </c>
      <c r="C2820" s="28" t="s">
        <v>3378</v>
      </c>
      <c r="D2820" s="85"/>
      <c r="E2820" s="69" t="str">
        <f>HYPERLINK("https://www.google.ru/search?q=7100010A-9991&amp;newwindow=1&amp;tbm=isch","Еще фото")</f>
        <v>Еще фото</v>
      </c>
      <c r="F2820" s="13"/>
      <c r="G2820" s="23" t="s">
        <v>307</v>
      </c>
      <c r="H2820" s="23" t="s">
        <v>27</v>
      </c>
      <c r="I2820" s="23" t="s">
        <v>308</v>
      </c>
      <c r="J2820" s="14" t="s">
        <v>138</v>
      </c>
      <c r="K2820" s="15" t="s">
        <v>30</v>
      </c>
      <c r="L2820" s="88"/>
      <c r="M2820" s="14"/>
      <c r="N2820" s="14" t="s">
        <v>1743</v>
      </c>
      <c r="O2820" s="14"/>
      <c r="P2820" s="15" t="s">
        <v>3068</v>
      </c>
      <c r="Q2820" s="16">
        <v>6699</v>
      </c>
      <c r="R2820" s="17">
        <v>45</v>
      </c>
      <c r="S2820" s="18">
        <v>4237.1174999999994</v>
      </c>
      <c r="T2820" s="19" t="s">
        <v>117</v>
      </c>
      <c r="U2820" s="20" t="s">
        <v>35</v>
      </c>
      <c r="V2820" s="21">
        <v>116</v>
      </c>
      <c r="W2820" s="21">
        <v>2</v>
      </c>
      <c r="X2820" s="22"/>
    </row>
    <row r="2821" spans="1:24" s="1" customFormat="1" ht="21" customHeight="1" x14ac:dyDescent="0.3">
      <c r="A2821" s="11" t="s">
        <v>3014</v>
      </c>
      <c r="B2821" s="11" t="s">
        <v>3380</v>
      </c>
      <c r="C2821" s="27" t="s">
        <v>3381</v>
      </c>
      <c r="D2821" s="83"/>
      <c r="E2821" s="69" t="str">
        <f>HYPERLINK("https://www.google.ru/search?q=7100042A-4671&amp;newwindow=1&amp;tbm=isch","Еще фото")</f>
        <v>Еще фото</v>
      </c>
      <c r="F2821" s="13"/>
      <c r="G2821" s="11" t="s">
        <v>3382</v>
      </c>
      <c r="H2821" s="11" t="s">
        <v>27</v>
      </c>
      <c r="I2821" s="14" t="s">
        <v>308</v>
      </c>
      <c r="J2821" s="14" t="s">
        <v>29</v>
      </c>
      <c r="K2821" s="15" t="s">
        <v>30</v>
      </c>
      <c r="L2821" s="86" t="s">
        <v>3383</v>
      </c>
      <c r="M2821" s="14"/>
      <c r="N2821" s="14" t="s">
        <v>275</v>
      </c>
      <c r="O2821" s="14"/>
      <c r="P2821" s="15" t="s">
        <v>3018</v>
      </c>
      <c r="Q2821" s="16">
        <v>7999</v>
      </c>
      <c r="R2821" s="17">
        <v>45</v>
      </c>
      <c r="S2821" s="18">
        <v>5059.3674999999994</v>
      </c>
      <c r="T2821" s="19" t="s">
        <v>117</v>
      </c>
      <c r="U2821" s="20" t="s">
        <v>2977</v>
      </c>
      <c r="V2821" s="21">
        <v>92</v>
      </c>
      <c r="W2821" s="21">
        <v>1</v>
      </c>
      <c r="X2821" s="22"/>
    </row>
    <row r="2822" spans="1:24" s="1" customFormat="1" ht="21" customHeight="1" x14ac:dyDescent="0.3">
      <c r="A2822" s="23" t="s">
        <v>3014</v>
      </c>
      <c r="B2822" s="23" t="s">
        <v>3380</v>
      </c>
      <c r="C2822" s="28" t="s">
        <v>3381</v>
      </c>
      <c r="D2822" s="84"/>
      <c r="E2822" s="69" t="str">
        <f>HYPERLINK("https://www.google.ru/search?q=7100042A-4671&amp;newwindow=1&amp;tbm=isch","Еще фото")</f>
        <v>Еще фото</v>
      </c>
      <c r="F2822" s="13"/>
      <c r="G2822" s="23" t="s">
        <v>3382</v>
      </c>
      <c r="H2822" s="23" t="s">
        <v>27</v>
      </c>
      <c r="I2822" s="23" t="s">
        <v>308</v>
      </c>
      <c r="J2822" s="14" t="s">
        <v>29</v>
      </c>
      <c r="K2822" s="15" t="s">
        <v>30</v>
      </c>
      <c r="L2822" s="87"/>
      <c r="M2822" s="14"/>
      <c r="N2822" s="14" t="s">
        <v>275</v>
      </c>
      <c r="O2822" s="14"/>
      <c r="P2822" s="15" t="s">
        <v>3018</v>
      </c>
      <c r="Q2822" s="16">
        <v>7999</v>
      </c>
      <c r="R2822" s="17">
        <v>45</v>
      </c>
      <c r="S2822" s="18">
        <v>5059.3674999999994</v>
      </c>
      <c r="T2822" s="19" t="s">
        <v>117</v>
      </c>
      <c r="U2822" s="20" t="s">
        <v>2961</v>
      </c>
      <c r="V2822" s="21">
        <v>98</v>
      </c>
      <c r="W2822" s="21">
        <v>2</v>
      </c>
      <c r="X2822" s="22"/>
    </row>
    <row r="2823" spans="1:24" s="1" customFormat="1" ht="21" customHeight="1" x14ac:dyDescent="0.3">
      <c r="A2823" s="23" t="s">
        <v>3014</v>
      </c>
      <c r="B2823" s="23" t="s">
        <v>3380</v>
      </c>
      <c r="C2823" s="28" t="s">
        <v>3381</v>
      </c>
      <c r="D2823" s="84"/>
      <c r="E2823" s="69" t="str">
        <f>HYPERLINK("https://www.google.ru/search?q=7100042A-4671&amp;newwindow=1&amp;tbm=isch","Еще фото")</f>
        <v>Еще фото</v>
      </c>
      <c r="F2823" s="13"/>
      <c r="G2823" s="23" t="s">
        <v>3382</v>
      </c>
      <c r="H2823" s="23" t="s">
        <v>27</v>
      </c>
      <c r="I2823" s="23" t="s">
        <v>308</v>
      </c>
      <c r="J2823" s="14" t="s">
        <v>29</v>
      </c>
      <c r="K2823" s="15" t="s">
        <v>30</v>
      </c>
      <c r="L2823" s="87"/>
      <c r="M2823" s="14"/>
      <c r="N2823" s="14" t="s">
        <v>275</v>
      </c>
      <c r="O2823" s="14"/>
      <c r="P2823" s="15" t="s">
        <v>3018</v>
      </c>
      <c r="Q2823" s="16">
        <v>7999</v>
      </c>
      <c r="R2823" s="17">
        <v>45</v>
      </c>
      <c r="S2823" s="18">
        <v>5059.3674999999994</v>
      </c>
      <c r="T2823" s="19" t="s">
        <v>117</v>
      </c>
      <c r="U2823" s="20" t="s">
        <v>94</v>
      </c>
      <c r="V2823" s="21">
        <v>104</v>
      </c>
      <c r="W2823" s="21">
        <v>2</v>
      </c>
      <c r="X2823" s="22"/>
    </row>
    <row r="2824" spans="1:24" s="1" customFormat="1" ht="21" customHeight="1" x14ac:dyDescent="0.3">
      <c r="A2824" s="23" t="s">
        <v>3014</v>
      </c>
      <c r="B2824" s="23" t="s">
        <v>3380</v>
      </c>
      <c r="C2824" s="28" t="s">
        <v>3381</v>
      </c>
      <c r="D2824" s="84"/>
      <c r="E2824" s="69" t="str">
        <f>HYPERLINK("https://www.google.ru/search?q=7100042A-4671&amp;newwindow=1&amp;tbm=isch","Еще фото")</f>
        <v>Еще фото</v>
      </c>
      <c r="F2824" s="13"/>
      <c r="G2824" s="23" t="s">
        <v>3382</v>
      </c>
      <c r="H2824" s="23" t="s">
        <v>27</v>
      </c>
      <c r="I2824" s="23" t="s">
        <v>308</v>
      </c>
      <c r="J2824" s="14" t="s">
        <v>29</v>
      </c>
      <c r="K2824" s="15" t="s">
        <v>30</v>
      </c>
      <c r="L2824" s="87"/>
      <c r="M2824" s="14"/>
      <c r="N2824" s="14" t="s">
        <v>275</v>
      </c>
      <c r="O2824" s="14"/>
      <c r="P2824" s="15" t="s">
        <v>3018</v>
      </c>
      <c r="Q2824" s="16">
        <v>7999</v>
      </c>
      <c r="R2824" s="17">
        <v>45</v>
      </c>
      <c r="S2824" s="18">
        <v>5059.3674999999994</v>
      </c>
      <c r="T2824" s="19" t="s">
        <v>117</v>
      </c>
      <c r="U2824" s="20" t="s">
        <v>43</v>
      </c>
      <c r="V2824" s="21">
        <v>110</v>
      </c>
      <c r="W2824" s="21">
        <v>2</v>
      </c>
      <c r="X2824" s="22"/>
    </row>
    <row r="2825" spans="1:24" s="1" customFormat="1" ht="32.1" customHeight="1" x14ac:dyDescent="0.3">
      <c r="A2825" s="23" t="s">
        <v>3014</v>
      </c>
      <c r="B2825" s="23" t="s">
        <v>3380</v>
      </c>
      <c r="C2825" s="28" t="s">
        <v>3381</v>
      </c>
      <c r="D2825" s="85"/>
      <c r="E2825" s="69" t="str">
        <f>HYPERLINK("https://www.google.ru/search?q=7100042A-4671&amp;newwindow=1&amp;tbm=isch","Еще фото")</f>
        <v>Еще фото</v>
      </c>
      <c r="F2825" s="13"/>
      <c r="G2825" s="23" t="s">
        <v>3382</v>
      </c>
      <c r="H2825" s="23" t="s">
        <v>27</v>
      </c>
      <c r="I2825" s="23" t="s">
        <v>308</v>
      </c>
      <c r="J2825" s="14" t="s">
        <v>29</v>
      </c>
      <c r="K2825" s="15" t="s">
        <v>30</v>
      </c>
      <c r="L2825" s="88"/>
      <c r="M2825" s="14"/>
      <c r="N2825" s="14" t="s">
        <v>275</v>
      </c>
      <c r="O2825" s="14"/>
      <c r="P2825" s="15" t="s">
        <v>3018</v>
      </c>
      <c r="Q2825" s="16">
        <v>7999</v>
      </c>
      <c r="R2825" s="17">
        <v>45</v>
      </c>
      <c r="S2825" s="18">
        <v>5059.3674999999994</v>
      </c>
      <c r="T2825" s="19" t="s">
        <v>117</v>
      </c>
      <c r="U2825" s="20" t="s">
        <v>36</v>
      </c>
      <c r="V2825" s="21">
        <v>122</v>
      </c>
      <c r="W2825" s="21">
        <v>1</v>
      </c>
      <c r="X2825" s="22"/>
    </row>
    <row r="2826" spans="1:24" s="1" customFormat="1" ht="26.1" customHeight="1" x14ac:dyDescent="0.3">
      <c r="A2826" s="11" t="s">
        <v>3014</v>
      </c>
      <c r="B2826" s="11" t="s">
        <v>3384</v>
      </c>
      <c r="C2826" s="12" t="s">
        <v>3385</v>
      </c>
      <c r="D2826" s="83"/>
      <c r="E2826" s="69" t="str">
        <f>HYPERLINK("https://www.google.ru/search?q=7100044A-6961&amp;newwindow=1&amp;tbm=isch","Еще фото")</f>
        <v>Еще фото</v>
      </c>
      <c r="F2826" s="13"/>
      <c r="G2826" s="11" t="s">
        <v>307</v>
      </c>
      <c r="H2826" s="11" t="s">
        <v>27</v>
      </c>
      <c r="I2826" s="14" t="s">
        <v>308</v>
      </c>
      <c r="J2826" s="14" t="s">
        <v>29</v>
      </c>
      <c r="K2826" s="15" t="s">
        <v>30</v>
      </c>
      <c r="L2826" s="86" t="s">
        <v>3386</v>
      </c>
      <c r="M2826" s="14"/>
      <c r="N2826" s="14" t="s">
        <v>70</v>
      </c>
      <c r="O2826" s="14"/>
      <c r="P2826" s="15" t="s">
        <v>3018</v>
      </c>
      <c r="Q2826" s="16">
        <v>5499</v>
      </c>
      <c r="R2826" s="17">
        <v>45</v>
      </c>
      <c r="S2826" s="18">
        <v>3478.1174999999994</v>
      </c>
      <c r="T2826" s="19" t="s">
        <v>117</v>
      </c>
      <c r="U2826" s="20" t="s">
        <v>2977</v>
      </c>
      <c r="V2826" s="21">
        <v>92</v>
      </c>
      <c r="W2826" s="21">
        <v>1</v>
      </c>
      <c r="X2826" s="22"/>
    </row>
    <row r="2827" spans="1:24" s="1" customFormat="1" ht="26.1" customHeight="1" x14ac:dyDescent="0.3">
      <c r="A2827" s="23" t="s">
        <v>3014</v>
      </c>
      <c r="B2827" s="23" t="s">
        <v>3384</v>
      </c>
      <c r="C2827" s="12" t="s">
        <v>3385</v>
      </c>
      <c r="D2827" s="84"/>
      <c r="E2827" s="69" t="str">
        <f>HYPERLINK("https://www.google.ru/search?q=7100044A-6961&amp;newwindow=1&amp;tbm=isch","Еще фото")</f>
        <v>Еще фото</v>
      </c>
      <c r="F2827" s="13"/>
      <c r="G2827" s="23" t="s">
        <v>307</v>
      </c>
      <c r="H2827" s="23" t="s">
        <v>27</v>
      </c>
      <c r="I2827" s="23" t="s">
        <v>308</v>
      </c>
      <c r="J2827" s="14" t="s">
        <v>29</v>
      </c>
      <c r="K2827" s="15" t="s">
        <v>30</v>
      </c>
      <c r="L2827" s="87"/>
      <c r="M2827" s="14"/>
      <c r="N2827" s="14" t="s">
        <v>70</v>
      </c>
      <c r="O2827" s="14"/>
      <c r="P2827" s="15" t="s">
        <v>3018</v>
      </c>
      <c r="Q2827" s="16">
        <v>5499</v>
      </c>
      <c r="R2827" s="17">
        <v>45</v>
      </c>
      <c r="S2827" s="18">
        <v>3478.1174999999994</v>
      </c>
      <c r="T2827" s="19" t="s">
        <v>117</v>
      </c>
      <c r="U2827" s="20" t="s">
        <v>2961</v>
      </c>
      <c r="V2827" s="21">
        <v>98</v>
      </c>
      <c r="W2827" s="21">
        <v>2</v>
      </c>
      <c r="X2827" s="22"/>
    </row>
    <row r="2828" spans="1:24" s="1" customFormat="1" ht="26.1" customHeight="1" x14ac:dyDescent="0.3">
      <c r="A2828" s="23" t="s">
        <v>3014</v>
      </c>
      <c r="B2828" s="23" t="s">
        <v>3384</v>
      </c>
      <c r="C2828" s="12" t="s">
        <v>3385</v>
      </c>
      <c r="D2828" s="84"/>
      <c r="E2828" s="69" t="str">
        <f>HYPERLINK("https://www.google.ru/search?q=7100044A-6961&amp;newwindow=1&amp;tbm=isch","Еще фото")</f>
        <v>Еще фото</v>
      </c>
      <c r="F2828" s="13"/>
      <c r="G2828" s="23" t="s">
        <v>307</v>
      </c>
      <c r="H2828" s="23" t="s">
        <v>27</v>
      </c>
      <c r="I2828" s="23" t="s">
        <v>308</v>
      </c>
      <c r="J2828" s="14" t="s">
        <v>29</v>
      </c>
      <c r="K2828" s="15" t="s">
        <v>30</v>
      </c>
      <c r="L2828" s="87"/>
      <c r="M2828" s="14"/>
      <c r="N2828" s="14" t="s">
        <v>70</v>
      </c>
      <c r="O2828" s="14"/>
      <c r="P2828" s="15" t="s">
        <v>3018</v>
      </c>
      <c r="Q2828" s="16">
        <v>5499</v>
      </c>
      <c r="R2828" s="17">
        <v>45</v>
      </c>
      <c r="S2828" s="18">
        <v>3478.1174999999994</v>
      </c>
      <c r="T2828" s="19" t="s">
        <v>117</v>
      </c>
      <c r="U2828" s="20" t="s">
        <v>94</v>
      </c>
      <c r="V2828" s="21">
        <v>104</v>
      </c>
      <c r="W2828" s="21">
        <v>2</v>
      </c>
      <c r="X2828" s="22"/>
    </row>
    <row r="2829" spans="1:24" s="1" customFormat="1" ht="26.1" customHeight="1" x14ac:dyDescent="0.3">
      <c r="A2829" s="23" t="s">
        <v>3014</v>
      </c>
      <c r="B2829" s="23" t="s">
        <v>3384</v>
      </c>
      <c r="C2829" s="12" t="s">
        <v>3385</v>
      </c>
      <c r="D2829" s="85"/>
      <c r="E2829" s="69" t="str">
        <f>HYPERLINK("https://www.google.ru/search?q=7100044A-6961&amp;newwindow=1&amp;tbm=isch","Еще фото")</f>
        <v>Еще фото</v>
      </c>
      <c r="F2829" s="13"/>
      <c r="G2829" s="23" t="s">
        <v>307</v>
      </c>
      <c r="H2829" s="23" t="s">
        <v>27</v>
      </c>
      <c r="I2829" s="23" t="s">
        <v>308</v>
      </c>
      <c r="J2829" s="14" t="s">
        <v>29</v>
      </c>
      <c r="K2829" s="15" t="s">
        <v>30</v>
      </c>
      <c r="L2829" s="88"/>
      <c r="M2829" s="14"/>
      <c r="N2829" s="14" t="s">
        <v>70</v>
      </c>
      <c r="O2829" s="14"/>
      <c r="P2829" s="15" t="s">
        <v>3018</v>
      </c>
      <c r="Q2829" s="16">
        <v>5499</v>
      </c>
      <c r="R2829" s="17">
        <v>45</v>
      </c>
      <c r="S2829" s="18">
        <v>3478.1174999999994</v>
      </c>
      <c r="T2829" s="19" t="s">
        <v>117</v>
      </c>
      <c r="U2829" s="20" t="s">
        <v>43</v>
      </c>
      <c r="V2829" s="21">
        <v>110</v>
      </c>
      <c r="W2829" s="21">
        <v>3</v>
      </c>
      <c r="X2829" s="22"/>
    </row>
    <row r="2830" spans="1:24" s="1" customFormat="1" ht="26.1" customHeight="1" x14ac:dyDescent="0.3">
      <c r="A2830" s="11" t="s">
        <v>3014</v>
      </c>
      <c r="B2830" s="11" t="s">
        <v>3384</v>
      </c>
      <c r="C2830" s="12" t="s">
        <v>3387</v>
      </c>
      <c r="D2830" s="83"/>
      <c r="E2830" s="69" t="str">
        <f>HYPERLINK("https://www.google.ru/search?q=7100044A-9991&amp;newwindow=1&amp;tbm=isch","Еще фото")</f>
        <v>Еще фото</v>
      </c>
      <c r="F2830" s="13"/>
      <c r="G2830" s="11" t="s">
        <v>307</v>
      </c>
      <c r="H2830" s="11" t="s">
        <v>27</v>
      </c>
      <c r="I2830" s="14" t="s">
        <v>308</v>
      </c>
      <c r="J2830" s="14" t="s">
        <v>29</v>
      </c>
      <c r="K2830" s="15" t="s">
        <v>30</v>
      </c>
      <c r="L2830" s="86" t="s">
        <v>3386</v>
      </c>
      <c r="M2830" s="14"/>
      <c r="N2830" s="14" t="s">
        <v>49</v>
      </c>
      <c r="O2830" s="14"/>
      <c r="P2830" s="15" t="s">
        <v>3018</v>
      </c>
      <c r="Q2830" s="16">
        <v>5499</v>
      </c>
      <c r="R2830" s="17">
        <v>45</v>
      </c>
      <c r="S2830" s="18">
        <v>3478.1174999999994</v>
      </c>
      <c r="T2830" s="19" t="s">
        <v>117</v>
      </c>
      <c r="U2830" s="20" t="s">
        <v>2977</v>
      </c>
      <c r="V2830" s="21">
        <v>92</v>
      </c>
      <c r="W2830" s="21">
        <v>2</v>
      </c>
      <c r="X2830" s="22"/>
    </row>
    <row r="2831" spans="1:24" s="1" customFormat="1" ht="26.1" customHeight="1" x14ac:dyDescent="0.3">
      <c r="A2831" s="23" t="s">
        <v>3014</v>
      </c>
      <c r="B2831" s="23" t="s">
        <v>3384</v>
      </c>
      <c r="C2831" s="12" t="s">
        <v>3387</v>
      </c>
      <c r="D2831" s="84"/>
      <c r="E2831" s="69" t="str">
        <f>HYPERLINK("https://www.google.ru/search?q=7100044A-9991&amp;newwindow=1&amp;tbm=isch","Еще фото")</f>
        <v>Еще фото</v>
      </c>
      <c r="F2831" s="13"/>
      <c r="G2831" s="23" t="s">
        <v>307</v>
      </c>
      <c r="H2831" s="23" t="s">
        <v>27</v>
      </c>
      <c r="I2831" s="23" t="s">
        <v>308</v>
      </c>
      <c r="J2831" s="14" t="s">
        <v>29</v>
      </c>
      <c r="K2831" s="15" t="s">
        <v>30</v>
      </c>
      <c r="L2831" s="87"/>
      <c r="M2831" s="14"/>
      <c r="N2831" s="14" t="s">
        <v>49</v>
      </c>
      <c r="O2831" s="14"/>
      <c r="P2831" s="15" t="s">
        <v>3018</v>
      </c>
      <c r="Q2831" s="16">
        <v>5499</v>
      </c>
      <c r="R2831" s="17">
        <v>45</v>
      </c>
      <c r="S2831" s="18">
        <v>3478.1174999999994</v>
      </c>
      <c r="T2831" s="19" t="s">
        <v>117</v>
      </c>
      <c r="U2831" s="20" t="s">
        <v>2961</v>
      </c>
      <c r="V2831" s="21">
        <v>98</v>
      </c>
      <c r="W2831" s="21">
        <v>2</v>
      </c>
      <c r="X2831" s="22"/>
    </row>
    <row r="2832" spans="1:24" s="1" customFormat="1" ht="26.1" customHeight="1" x14ac:dyDescent="0.3">
      <c r="A2832" s="23" t="s">
        <v>3014</v>
      </c>
      <c r="B2832" s="23" t="s">
        <v>3384</v>
      </c>
      <c r="C2832" s="12" t="s">
        <v>3387</v>
      </c>
      <c r="D2832" s="84"/>
      <c r="E2832" s="69" t="str">
        <f>HYPERLINK("https://www.google.ru/search?q=7100044A-9991&amp;newwindow=1&amp;tbm=isch","Еще фото")</f>
        <v>Еще фото</v>
      </c>
      <c r="F2832" s="13"/>
      <c r="G2832" s="23" t="s">
        <v>307</v>
      </c>
      <c r="H2832" s="23" t="s">
        <v>27</v>
      </c>
      <c r="I2832" s="23" t="s">
        <v>308</v>
      </c>
      <c r="J2832" s="14" t="s">
        <v>29</v>
      </c>
      <c r="K2832" s="15" t="s">
        <v>30</v>
      </c>
      <c r="L2832" s="87"/>
      <c r="M2832" s="14"/>
      <c r="N2832" s="14" t="s">
        <v>49</v>
      </c>
      <c r="O2832" s="14"/>
      <c r="P2832" s="15" t="s">
        <v>3018</v>
      </c>
      <c r="Q2832" s="16">
        <v>5499</v>
      </c>
      <c r="R2832" s="17">
        <v>45</v>
      </c>
      <c r="S2832" s="18">
        <v>3478.1174999999994</v>
      </c>
      <c r="T2832" s="19" t="s">
        <v>117</v>
      </c>
      <c r="U2832" s="20" t="s">
        <v>94</v>
      </c>
      <c r="V2832" s="21">
        <v>104</v>
      </c>
      <c r="W2832" s="21">
        <v>1</v>
      </c>
      <c r="X2832" s="22"/>
    </row>
    <row r="2833" spans="1:24" s="1" customFormat="1" ht="26.1" customHeight="1" x14ac:dyDescent="0.3">
      <c r="A2833" s="23" t="s">
        <v>3014</v>
      </c>
      <c r="B2833" s="23" t="s">
        <v>3384</v>
      </c>
      <c r="C2833" s="12" t="s">
        <v>3387</v>
      </c>
      <c r="D2833" s="85"/>
      <c r="E2833" s="69" t="str">
        <f>HYPERLINK("https://www.google.ru/search?q=7100044A-9991&amp;newwindow=1&amp;tbm=isch","Еще фото")</f>
        <v>Еще фото</v>
      </c>
      <c r="F2833" s="13"/>
      <c r="G2833" s="23" t="s">
        <v>307</v>
      </c>
      <c r="H2833" s="23" t="s">
        <v>27</v>
      </c>
      <c r="I2833" s="23" t="s">
        <v>308</v>
      </c>
      <c r="J2833" s="14" t="s">
        <v>29</v>
      </c>
      <c r="K2833" s="15" t="s">
        <v>30</v>
      </c>
      <c r="L2833" s="88"/>
      <c r="M2833" s="14"/>
      <c r="N2833" s="14" t="s">
        <v>49</v>
      </c>
      <c r="O2833" s="14"/>
      <c r="P2833" s="15" t="s">
        <v>3018</v>
      </c>
      <c r="Q2833" s="16">
        <v>5499</v>
      </c>
      <c r="R2833" s="17">
        <v>45</v>
      </c>
      <c r="S2833" s="18">
        <v>3478.1174999999994</v>
      </c>
      <c r="T2833" s="19" t="s">
        <v>117</v>
      </c>
      <c r="U2833" s="20" t="s">
        <v>43</v>
      </c>
      <c r="V2833" s="21">
        <v>110</v>
      </c>
      <c r="W2833" s="21">
        <v>1</v>
      </c>
      <c r="X2833" s="22"/>
    </row>
    <row r="2834" spans="1:24" s="1" customFormat="1" ht="26.1" customHeight="1" x14ac:dyDescent="0.3">
      <c r="A2834" s="11" t="s">
        <v>3014</v>
      </c>
      <c r="B2834" s="11" t="s">
        <v>3388</v>
      </c>
      <c r="C2834" s="12" t="s">
        <v>3389</v>
      </c>
      <c r="D2834" s="83"/>
      <c r="E2834" s="69" t="str">
        <f>HYPERLINK("https://www.google.ru/search?q=7100046A-4740&amp;newwindow=1&amp;tbm=isch","Еще фото")</f>
        <v>Еще фото</v>
      </c>
      <c r="F2834" s="13"/>
      <c r="G2834" s="11" t="s">
        <v>307</v>
      </c>
      <c r="H2834" s="11" t="s">
        <v>27</v>
      </c>
      <c r="I2834" s="14" t="s">
        <v>308</v>
      </c>
      <c r="J2834" s="14" t="s">
        <v>29</v>
      </c>
      <c r="K2834" s="15" t="s">
        <v>30</v>
      </c>
      <c r="L2834" s="86" t="s">
        <v>3390</v>
      </c>
      <c r="M2834" s="14"/>
      <c r="N2834" s="14" t="s">
        <v>275</v>
      </c>
      <c r="O2834" s="14"/>
      <c r="P2834" s="15" t="s">
        <v>3018</v>
      </c>
      <c r="Q2834" s="16">
        <v>6299</v>
      </c>
      <c r="R2834" s="17">
        <v>45</v>
      </c>
      <c r="S2834" s="18">
        <v>3984.1174999999994</v>
      </c>
      <c r="T2834" s="19" t="s">
        <v>117</v>
      </c>
      <c r="U2834" s="20" t="s">
        <v>2977</v>
      </c>
      <c r="V2834" s="21">
        <v>92</v>
      </c>
      <c r="W2834" s="21">
        <v>1</v>
      </c>
      <c r="X2834" s="22"/>
    </row>
    <row r="2835" spans="1:24" s="1" customFormat="1" ht="26.1" customHeight="1" x14ac:dyDescent="0.3">
      <c r="A2835" s="23" t="s">
        <v>3014</v>
      </c>
      <c r="B2835" s="23" t="s">
        <v>3388</v>
      </c>
      <c r="C2835" s="12" t="s">
        <v>3389</v>
      </c>
      <c r="D2835" s="84"/>
      <c r="E2835" s="69" t="str">
        <f>HYPERLINK("https://www.google.ru/search?q=7100046A-4740&amp;newwindow=1&amp;tbm=isch","Еще фото")</f>
        <v>Еще фото</v>
      </c>
      <c r="F2835" s="13"/>
      <c r="G2835" s="23" t="s">
        <v>307</v>
      </c>
      <c r="H2835" s="23" t="s">
        <v>27</v>
      </c>
      <c r="I2835" s="23" t="s">
        <v>308</v>
      </c>
      <c r="J2835" s="14" t="s">
        <v>29</v>
      </c>
      <c r="K2835" s="15" t="s">
        <v>30</v>
      </c>
      <c r="L2835" s="87"/>
      <c r="M2835" s="14"/>
      <c r="N2835" s="14" t="s">
        <v>275</v>
      </c>
      <c r="O2835" s="14"/>
      <c r="P2835" s="15" t="s">
        <v>3018</v>
      </c>
      <c r="Q2835" s="16">
        <v>6299</v>
      </c>
      <c r="R2835" s="17">
        <v>45</v>
      </c>
      <c r="S2835" s="18">
        <v>3984.1174999999994</v>
      </c>
      <c r="T2835" s="19" t="s">
        <v>117</v>
      </c>
      <c r="U2835" s="20" t="s">
        <v>2961</v>
      </c>
      <c r="V2835" s="21">
        <v>98</v>
      </c>
      <c r="W2835" s="21">
        <v>1</v>
      </c>
      <c r="X2835" s="22"/>
    </row>
    <row r="2836" spans="1:24" s="1" customFormat="1" ht="26.1" customHeight="1" x14ac:dyDescent="0.3">
      <c r="A2836" s="23" t="s">
        <v>3014</v>
      </c>
      <c r="B2836" s="23" t="s">
        <v>3388</v>
      </c>
      <c r="C2836" s="12" t="s">
        <v>3389</v>
      </c>
      <c r="D2836" s="84"/>
      <c r="E2836" s="69" t="str">
        <f>HYPERLINK("https://www.google.ru/search?q=7100046A-4740&amp;newwindow=1&amp;tbm=isch","Еще фото")</f>
        <v>Еще фото</v>
      </c>
      <c r="F2836" s="13"/>
      <c r="G2836" s="23" t="s">
        <v>307</v>
      </c>
      <c r="H2836" s="23" t="s">
        <v>27</v>
      </c>
      <c r="I2836" s="23" t="s">
        <v>308</v>
      </c>
      <c r="J2836" s="14" t="s">
        <v>29</v>
      </c>
      <c r="K2836" s="15" t="s">
        <v>30</v>
      </c>
      <c r="L2836" s="87"/>
      <c r="M2836" s="14"/>
      <c r="N2836" s="14" t="s">
        <v>275</v>
      </c>
      <c r="O2836" s="14"/>
      <c r="P2836" s="15" t="s">
        <v>3018</v>
      </c>
      <c r="Q2836" s="16">
        <v>6299</v>
      </c>
      <c r="R2836" s="17">
        <v>45</v>
      </c>
      <c r="S2836" s="18">
        <v>3984.1174999999994</v>
      </c>
      <c r="T2836" s="19" t="s">
        <v>117</v>
      </c>
      <c r="U2836" s="20" t="s">
        <v>43</v>
      </c>
      <c r="V2836" s="21">
        <v>110</v>
      </c>
      <c r="W2836" s="21">
        <v>2</v>
      </c>
      <c r="X2836" s="22"/>
    </row>
    <row r="2837" spans="1:24" s="1" customFormat="1" ht="26.1" customHeight="1" x14ac:dyDescent="0.3">
      <c r="A2837" s="23" t="s">
        <v>3014</v>
      </c>
      <c r="B2837" s="23" t="s">
        <v>3388</v>
      </c>
      <c r="C2837" s="12" t="s">
        <v>3389</v>
      </c>
      <c r="D2837" s="85"/>
      <c r="E2837" s="69" t="str">
        <f>HYPERLINK("https://www.google.ru/search?q=7100046A-4740&amp;newwindow=1&amp;tbm=isch","Еще фото")</f>
        <v>Еще фото</v>
      </c>
      <c r="F2837" s="13"/>
      <c r="G2837" s="23" t="s">
        <v>307</v>
      </c>
      <c r="H2837" s="23" t="s">
        <v>27</v>
      </c>
      <c r="I2837" s="23" t="s">
        <v>308</v>
      </c>
      <c r="J2837" s="14" t="s">
        <v>29</v>
      </c>
      <c r="K2837" s="15" t="s">
        <v>30</v>
      </c>
      <c r="L2837" s="88"/>
      <c r="M2837" s="14"/>
      <c r="N2837" s="14" t="s">
        <v>275</v>
      </c>
      <c r="O2837" s="14"/>
      <c r="P2837" s="15" t="s">
        <v>3018</v>
      </c>
      <c r="Q2837" s="16">
        <v>6299</v>
      </c>
      <c r="R2837" s="17">
        <v>45</v>
      </c>
      <c r="S2837" s="18">
        <v>3984.1174999999994</v>
      </c>
      <c r="T2837" s="19" t="s">
        <v>117</v>
      </c>
      <c r="U2837" s="20" t="s">
        <v>35</v>
      </c>
      <c r="V2837" s="21">
        <v>116</v>
      </c>
      <c r="W2837" s="21">
        <v>1</v>
      </c>
      <c r="X2837" s="22"/>
    </row>
    <row r="2838" spans="1:24" s="1" customFormat="1" ht="21" customHeight="1" x14ac:dyDescent="0.3">
      <c r="A2838" s="11" t="s">
        <v>3014</v>
      </c>
      <c r="B2838" s="11" t="s">
        <v>3388</v>
      </c>
      <c r="C2838" s="27" t="s">
        <v>3391</v>
      </c>
      <c r="D2838" s="83"/>
      <c r="E2838" s="69" t="str">
        <f>HYPERLINK("https://www.google.ru/search?q=7100046A-9090&amp;newwindow=1&amp;tbm=isch","Еще фото")</f>
        <v>Еще фото</v>
      </c>
      <c r="F2838" s="13"/>
      <c r="G2838" s="11" t="s">
        <v>307</v>
      </c>
      <c r="H2838" s="11" t="s">
        <v>27</v>
      </c>
      <c r="I2838" s="14" t="s">
        <v>308</v>
      </c>
      <c r="J2838" s="14" t="s">
        <v>29</v>
      </c>
      <c r="K2838" s="15" t="s">
        <v>30</v>
      </c>
      <c r="L2838" s="86" t="s">
        <v>3390</v>
      </c>
      <c r="M2838" s="14"/>
      <c r="N2838" s="14" t="s">
        <v>41</v>
      </c>
      <c r="O2838" s="14"/>
      <c r="P2838" s="15" t="s">
        <v>3018</v>
      </c>
      <c r="Q2838" s="16">
        <v>5999</v>
      </c>
      <c r="R2838" s="17">
        <v>45</v>
      </c>
      <c r="S2838" s="18">
        <v>3794.3674999999994</v>
      </c>
      <c r="T2838" s="19" t="s">
        <v>117</v>
      </c>
      <c r="U2838" s="20" t="s">
        <v>2977</v>
      </c>
      <c r="V2838" s="21">
        <v>92</v>
      </c>
      <c r="W2838" s="21">
        <v>1</v>
      </c>
      <c r="X2838" s="22"/>
    </row>
    <row r="2839" spans="1:24" s="1" customFormat="1" ht="21" customHeight="1" x14ac:dyDescent="0.3">
      <c r="A2839" s="23" t="s">
        <v>3014</v>
      </c>
      <c r="B2839" s="23" t="s">
        <v>3388</v>
      </c>
      <c r="C2839" s="28" t="s">
        <v>3391</v>
      </c>
      <c r="D2839" s="84"/>
      <c r="E2839" s="69" t="str">
        <f>HYPERLINK("https://www.google.ru/search?q=7100046A-9090&amp;newwindow=1&amp;tbm=isch","Еще фото")</f>
        <v>Еще фото</v>
      </c>
      <c r="F2839" s="13"/>
      <c r="G2839" s="23" t="s">
        <v>307</v>
      </c>
      <c r="H2839" s="23" t="s">
        <v>27</v>
      </c>
      <c r="I2839" s="23" t="s">
        <v>308</v>
      </c>
      <c r="J2839" s="14" t="s">
        <v>29</v>
      </c>
      <c r="K2839" s="15" t="s">
        <v>30</v>
      </c>
      <c r="L2839" s="87"/>
      <c r="M2839" s="14"/>
      <c r="N2839" s="14" t="s">
        <v>41</v>
      </c>
      <c r="O2839" s="14"/>
      <c r="P2839" s="15" t="s">
        <v>3018</v>
      </c>
      <c r="Q2839" s="16">
        <v>5999</v>
      </c>
      <c r="R2839" s="17">
        <v>45</v>
      </c>
      <c r="S2839" s="18">
        <v>3794.3674999999994</v>
      </c>
      <c r="T2839" s="19" t="s">
        <v>117</v>
      </c>
      <c r="U2839" s="20" t="s">
        <v>2961</v>
      </c>
      <c r="V2839" s="21">
        <v>98</v>
      </c>
      <c r="W2839" s="21">
        <v>2</v>
      </c>
      <c r="X2839" s="22"/>
    </row>
    <row r="2840" spans="1:24" s="1" customFormat="1" ht="21" customHeight="1" x14ac:dyDescent="0.3">
      <c r="A2840" s="23" t="s">
        <v>3014</v>
      </c>
      <c r="B2840" s="23" t="s">
        <v>3388</v>
      </c>
      <c r="C2840" s="28" t="s">
        <v>3391</v>
      </c>
      <c r="D2840" s="84"/>
      <c r="E2840" s="69" t="str">
        <f>HYPERLINK("https://www.google.ru/search?q=7100046A-9090&amp;newwindow=1&amp;tbm=isch","Еще фото")</f>
        <v>Еще фото</v>
      </c>
      <c r="F2840" s="13"/>
      <c r="G2840" s="23" t="s">
        <v>307</v>
      </c>
      <c r="H2840" s="23" t="s">
        <v>27</v>
      </c>
      <c r="I2840" s="23" t="s">
        <v>308</v>
      </c>
      <c r="J2840" s="14" t="s">
        <v>29</v>
      </c>
      <c r="K2840" s="15" t="s">
        <v>30</v>
      </c>
      <c r="L2840" s="87"/>
      <c r="M2840" s="14"/>
      <c r="N2840" s="14" t="s">
        <v>41</v>
      </c>
      <c r="O2840" s="14"/>
      <c r="P2840" s="15" t="s">
        <v>3018</v>
      </c>
      <c r="Q2840" s="16">
        <v>5999</v>
      </c>
      <c r="R2840" s="17">
        <v>45</v>
      </c>
      <c r="S2840" s="18">
        <v>3794.3674999999994</v>
      </c>
      <c r="T2840" s="19" t="s">
        <v>117</v>
      </c>
      <c r="U2840" s="20" t="s">
        <v>94</v>
      </c>
      <c r="V2840" s="21">
        <v>104</v>
      </c>
      <c r="W2840" s="21">
        <v>1</v>
      </c>
      <c r="X2840" s="22"/>
    </row>
    <row r="2841" spans="1:24" s="1" customFormat="1" ht="21" customHeight="1" x14ac:dyDescent="0.3">
      <c r="A2841" s="23" t="s">
        <v>3014</v>
      </c>
      <c r="B2841" s="23" t="s">
        <v>3388</v>
      </c>
      <c r="C2841" s="28" t="s">
        <v>3391</v>
      </c>
      <c r="D2841" s="84"/>
      <c r="E2841" s="69" t="str">
        <f>HYPERLINK("https://www.google.ru/search?q=7100046A-9090&amp;newwindow=1&amp;tbm=isch","Еще фото")</f>
        <v>Еще фото</v>
      </c>
      <c r="F2841" s="13"/>
      <c r="G2841" s="23" t="s">
        <v>307</v>
      </c>
      <c r="H2841" s="23" t="s">
        <v>27</v>
      </c>
      <c r="I2841" s="23" t="s">
        <v>308</v>
      </c>
      <c r="J2841" s="14" t="s">
        <v>29</v>
      </c>
      <c r="K2841" s="15" t="s">
        <v>30</v>
      </c>
      <c r="L2841" s="87"/>
      <c r="M2841" s="14"/>
      <c r="N2841" s="14" t="s">
        <v>41</v>
      </c>
      <c r="O2841" s="14"/>
      <c r="P2841" s="15" t="s">
        <v>3018</v>
      </c>
      <c r="Q2841" s="16">
        <v>5999</v>
      </c>
      <c r="R2841" s="17">
        <v>45</v>
      </c>
      <c r="S2841" s="18">
        <v>3794.3674999999994</v>
      </c>
      <c r="T2841" s="19" t="s">
        <v>117</v>
      </c>
      <c r="U2841" s="20" t="s">
        <v>43</v>
      </c>
      <c r="V2841" s="21">
        <v>110</v>
      </c>
      <c r="W2841" s="21">
        <v>4</v>
      </c>
      <c r="X2841" s="22"/>
    </row>
    <row r="2842" spans="1:24" s="1" customFormat="1" ht="32.1" customHeight="1" x14ac:dyDescent="0.3">
      <c r="A2842" s="23" t="s">
        <v>3014</v>
      </c>
      <c r="B2842" s="23" t="s">
        <v>3388</v>
      </c>
      <c r="C2842" s="28" t="s">
        <v>3391</v>
      </c>
      <c r="D2842" s="85"/>
      <c r="E2842" s="69" t="str">
        <f>HYPERLINK("https://www.google.ru/search?q=7100046A-9090&amp;newwindow=1&amp;tbm=isch","Еще фото")</f>
        <v>Еще фото</v>
      </c>
      <c r="F2842" s="13"/>
      <c r="G2842" s="23" t="s">
        <v>307</v>
      </c>
      <c r="H2842" s="23" t="s">
        <v>27</v>
      </c>
      <c r="I2842" s="23" t="s">
        <v>308</v>
      </c>
      <c r="J2842" s="14" t="s">
        <v>29</v>
      </c>
      <c r="K2842" s="15" t="s">
        <v>30</v>
      </c>
      <c r="L2842" s="88"/>
      <c r="M2842" s="14"/>
      <c r="N2842" s="14" t="s">
        <v>41</v>
      </c>
      <c r="O2842" s="14"/>
      <c r="P2842" s="15" t="s">
        <v>3018</v>
      </c>
      <c r="Q2842" s="16">
        <v>5999</v>
      </c>
      <c r="R2842" s="17">
        <v>45</v>
      </c>
      <c r="S2842" s="18">
        <v>3794.3674999999994</v>
      </c>
      <c r="T2842" s="19" t="s">
        <v>117</v>
      </c>
      <c r="U2842" s="20" t="s">
        <v>35</v>
      </c>
      <c r="V2842" s="21">
        <v>116</v>
      </c>
      <c r="W2842" s="21">
        <v>5</v>
      </c>
      <c r="X2842" s="22"/>
    </row>
    <row r="2843" spans="1:24" s="1" customFormat="1" ht="14.1" customHeight="1" x14ac:dyDescent="0.3">
      <c r="A2843" s="11" t="s">
        <v>3014</v>
      </c>
      <c r="B2843" s="11" t="s">
        <v>305</v>
      </c>
      <c r="C2843" s="12" t="s">
        <v>3392</v>
      </c>
      <c r="D2843" s="83"/>
      <c r="E2843" s="69" t="str">
        <f t="shared" ref="E2843:E2849" si="112">HYPERLINK("https://www.google.ru/search?q=7100081A-9990&amp;newwindow=1&amp;tbm=isch","Еще фото")</f>
        <v>Еще фото</v>
      </c>
      <c r="F2843" s="13"/>
      <c r="G2843" s="11" t="s">
        <v>307</v>
      </c>
      <c r="H2843" s="11" t="s">
        <v>27</v>
      </c>
      <c r="I2843" s="14" t="s">
        <v>308</v>
      </c>
      <c r="J2843" s="14" t="s">
        <v>138</v>
      </c>
      <c r="K2843" s="15" t="s">
        <v>30</v>
      </c>
      <c r="L2843" s="86" t="s">
        <v>3393</v>
      </c>
      <c r="M2843" s="14"/>
      <c r="N2843" s="14" t="s">
        <v>49</v>
      </c>
      <c r="O2843" s="14"/>
      <c r="P2843" s="15" t="s">
        <v>3068</v>
      </c>
      <c r="Q2843" s="16">
        <v>6699</v>
      </c>
      <c r="R2843" s="17">
        <v>45</v>
      </c>
      <c r="S2843" s="18">
        <v>4237.1174999999994</v>
      </c>
      <c r="T2843" s="19" t="s">
        <v>117</v>
      </c>
      <c r="U2843" s="20" t="s">
        <v>94</v>
      </c>
      <c r="V2843" s="21">
        <v>104</v>
      </c>
      <c r="W2843" s="21">
        <v>2</v>
      </c>
      <c r="X2843" s="22"/>
    </row>
    <row r="2844" spans="1:24" s="1" customFormat="1" ht="14.1" customHeight="1" x14ac:dyDescent="0.3">
      <c r="A2844" s="23" t="s">
        <v>3014</v>
      </c>
      <c r="B2844" s="23" t="s">
        <v>305</v>
      </c>
      <c r="C2844" s="12" t="s">
        <v>3392</v>
      </c>
      <c r="D2844" s="84"/>
      <c r="E2844" s="69" t="str">
        <f t="shared" si="112"/>
        <v>Еще фото</v>
      </c>
      <c r="F2844" s="13"/>
      <c r="G2844" s="23" t="s">
        <v>307</v>
      </c>
      <c r="H2844" s="23" t="s">
        <v>27</v>
      </c>
      <c r="I2844" s="23" t="s">
        <v>308</v>
      </c>
      <c r="J2844" s="14" t="s">
        <v>138</v>
      </c>
      <c r="K2844" s="15" t="s">
        <v>30</v>
      </c>
      <c r="L2844" s="87"/>
      <c r="M2844" s="14"/>
      <c r="N2844" s="14" t="s">
        <v>49</v>
      </c>
      <c r="O2844" s="14"/>
      <c r="P2844" s="15" t="s">
        <v>3068</v>
      </c>
      <c r="Q2844" s="16">
        <v>6699</v>
      </c>
      <c r="R2844" s="17">
        <v>45</v>
      </c>
      <c r="S2844" s="18">
        <v>4237.1174999999994</v>
      </c>
      <c r="T2844" s="19" t="s">
        <v>117</v>
      </c>
      <c r="U2844" s="20" t="s">
        <v>43</v>
      </c>
      <c r="V2844" s="21">
        <v>110</v>
      </c>
      <c r="W2844" s="21">
        <v>2</v>
      </c>
      <c r="X2844" s="22"/>
    </row>
    <row r="2845" spans="1:24" s="1" customFormat="1" ht="14.1" customHeight="1" x14ac:dyDescent="0.3">
      <c r="A2845" s="23" t="s">
        <v>3014</v>
      </c>
      <c r="B2845" s="23" t="s">
        <v>305</v>
      </c>
      <c r="C2845" s="12" t="s">
        <v>3392</v>
      </c>
      <c r="D2845" s="84"/>
      <c r="E2845" s="69" t="str">
        <f t="shared" si="112"/>
        <v>Еще фото</v>
      </c>
      <c r="F2845" s="13"/>
      <c r="G2845" s="23" t="s">
        <v>307</v>
      </c>
      <c r="H2845" s="23" t="s">
        <v>27</v>
      </c>
      <c r="I2845" s="23" t="s">
        <v>308</v>
      </c>
      <c r="J2845" s="14" t="s">
        <v>138</v>
      </c>
      <c r="K2845" s="15" t="s">
        <v>30</v>
      </c>
      <c r="L2845" s="87"/>
      <c r="M2845" s="14"/>
      <c r="N2845" s="14" t="s">
        <v>49</v>
      </c>
      <c r="O2845" s="14"/>
      <c r="P2845" s="15" t="s">
        <v>3068</v>
      </c>
      <c r="Q2845" s="16">
        <v>6699</v>
      </c>
      <c r="R2845" s="17">
        <v>45</v>
      </c>
      <c r="S2845" s="18">
        <v>4237.1174999999994</v>
      </c>
      <c r="T2845" s="19" t="s">
        <v>117</v>
      </c>
      <c r="U2845" s="20" t="s">
        <v>35</v>
      </c>
      <c r="V2845" s="21">
        <v>116</v>
      </c>
      <c r="W2845" s="21">
        <v>2</v>
      </c>
      <c r="X2845" s="22"/>
    </row>
    <row r="2846" spans="1:24" s="1" customFormat="1" ht="14.1" customHeight="1" x14ac:dyDescent="0.3">
      <c r="A2846" s="23" t="s">
        <v>3014</v>
      </c>
      <c r="B2846" s="23" t="s">
        <v>305</v>
      </c>
      <c r="C2846" s="12" t="s">
        <v>3392</v>
      </c>
      <c r="D2846" s="84"/>
      <c r="E2846" s="69" t="str">
        <f t="shared" si="112"/>
        <v>Еще фото</v>
      </c>
      <c r="F2846" s="13"/>
      <c r="G2846" s="23" t="s">
        <v>307</v>
      </c>
      <c r="H2846" s="23" t="s">
        <v>27</v>
      </c>
      <c r="I2846" s="23" t="s">
        <v>308</v>
      </c>
      <c r="J2846" s="14" t="s">
        <v>138</v>
      </c>
      <c r="K2846" s="15" t="s">
        <v>30</v>
      </c>
      <c r="L2846" s="87"/>
      <c r="M2846" s="14"/>
      <c r="N2846" s="14" t="s">
        <v>49</v>
      </c>
      <c r="O2846" s="14"/>
      <c r="P2846" s="15" t="s">
        <v>3068</v>
      </c>
      <c r="Q2846" s="16">
        <v>6699</v>
      </c>
      <c r="R2846" s="17">
        <v>45</v>
      </c>
      <c r="S2846" s="18">
        <v>4237.1174999999994</v>
      </c>
      <c r="T2846" s="19" t="s">
        <v>117</v>
      </c>
      <c r="U2846" s="20" t="s">
        <v>91</v>
      </c>
      <c r="V2846" s="21">
        <v>134</v>
      </c>
      <c r="W2846" s="21">
        <v>1</v>
      </c>
      <c r="X2846" s="22"/>
    </row>
    <row r="2847" spans="1:24" s="1" customFormat="1" ht="14.1" customHeight="1" x14ac:dyDescent="0.3">
      <c r="A2847" s="23" t="s">
        <v>3014</v>
      </c>
      <c r="B2847" s="23" t="s">
        <v>305</v>
      </c>
      <c r="C2847" s="12" t="s">
        <v>3392</v>
      </c>
      <c r="D2847" s="84"/>
      <c r="E2847" s="69" t="str">
        <f t="shared" si="112"/>
        <v>Еще фото</v>
      </c>
      <c r="F2847" s="13"/>
      <c r="G2847" s="23" t="s">
        <v>307</v>
      </c>
      <c r="H2847" s="23" t="s">
        <v>27</v>
      </c>
      <c r="I2847" s="23" t="s">
        <v>308</v>
      </c>
      <c r="J2847" s="14" t="s">
        <v>138</v>
      </c>
      <c r="K2847" s="15" t="s">
        <v>30</v>
      </c>
      <c r="L2847" s="87"/>
      <c r="M2847" s="14"/>
      <c r="N2847" s="14" t="s">
        <v>49</v>
      </c>
      <c r="O2847" s="14"/>
      <c r="P2847" s="15" t="s">
        <v>3068</v>
      </c>
      <c r="Q2847" s="16">
        <v>6699</v>
      </c>
      <c r="R2847" s="17">
        <v>45</v>
      </c>
      <c r="S2847" s="18">
        <v>4237.1174999999994</v>
      </c>
      <c r="T2847" s="19" t="s">
        <v>117</v>
      </c>
      <c r="U2847" s="20" t="s">
        <v>290</v>
      </c>
      <c r="V2847" s="21">
        <v>140</v>
      </c>
      <c r="W2847" s="21">
        <v>1</v>
      </c>
      <c r="X2847" s="22"/>
    </row>
    <row r="2848" spans="1:24" s="1" customFormat="1" ht="14.1" customHeight="1" x14ac:dyDescent="0.3">
      <c r="A2848" s="23" t="s">
        <v>3014</v>
      </c>
      <c r="B2848" s="23" t="s">
        <v>305</v>
      </c>
      <c r="C2848" s="12" t="s">
        <v>3392</v>
      </c>
      <c r="D2848" s="84"/>
      <c r="E2848" s="69" t="str">
        <f t="shared" si="112"/>
        <v>Еще фото</v>
      </c>
      <c r="F2848" s="13"/>
      <c r="G2848" s="23" t="s">
        <v>307</v>
      </c>
      <c r="H2848" s="23" t="s">
        <v>27</v>
      </c>
      <c r="I2848" s="23" t="s">
        <v>308</v>
      </c>
      <c r="J2848" s="14" t="s">
        <v>138</v>
      </c>
      <c r="K2848" s="15" t="s">
        <v>30</v>
      </c>
      <c r="L2848" s="87"/>
      <c r="M2848" s="14"/>
      <c r="N2848" s="14" t="s">
        <v>49</v>
      </c>
      <c r="O2848" s="14"/>
      <c r="P2848" s="15" t="s">
        <v>3068</v>
      </c>
      <c r="Q2848" s="16">
        <v>6699</v>
      </c>
      <c r="R2848" s="17">
        <v>45</v>
      </c>
      <c r="S2848" s="18">
        <v>4237.1174999999994</v>
      </c>
      <c r="T2848" s="19" t="s">
        <v>117</v>
      </c>
      <c r="U2848" s="20" t="s">
        <v>2993</v>
      </c>
      <c r="V2848" s="21">
        <v>146</v>
      </c>
      <c r="W2848" s="21">
        <v>2</v>
      </c>
      <c r="X2848" s="22"/>
    </row>
    <row r="2849" spans="1:24" s="1" customFormat="1" ht="17.100000000000001" customHeight="1" x14ac:dyDescent="0.3">
      <c r="A2849" s="23" t="s">
        <v>3014</v>
      </c>
      <c r="B2849" s="23" t="s">
        <v>305</v>
      </c>
      <c r="C2849" s="12" t="s">
        <v>3392</v>
      </c>
      <c r="D2849" s="85"/>
      <c r="E2849" s="69" t="str">
        <f t="shared" si="112"/>
        <v>Еще фото</v>
      </c>
      <c r="F2849" s="13"/>
      <c r="G2849" s="23" t="s">
        <v>307</v>
      </c>
      <c r="H2849" s="23" t="s">
        <v>27</v>
      </c>
      <c r="I2849" s="23" t="s">
        <v>308</v>
      </c>
      <c r="J2849" s="14" t="s">
        <v>138</v>
      </c>
      <c r="K2849" s="15" t="s">
        <v>30</v>
      </c>
      <c r="L2849" s="88"/>
      <c r="M2849" s="14"/>
      <c r="N2849" s="14" t="s">
        <v>49</v>
      </c>
      <c r="O2849" s="14"/>
      <c r="P2849" s="15" t="s">
        <v>3068</v>
      </c>
      <c r="Q2849" s="16">
        <v>6699</v>
      </c>
      <c r="R2849" s="17">
        <v>45</v>
      </c>
      <c r="S2849" s="18">
        <v>4237.1174999999994</v>
      </c>
      <c r="T2849" s="19" t="s">
        <v>117</v>
      </c>
      <c r="U2849" s="20" t="s">
        <v>2160</v>
      </c>
      <c r="V2849" s="21">
        <v>152</v>
      </c>
      <c r="W2849" s="21">
        <v>2</v>
      </c>
      <c r="X2849" s="22"/>
    </row>
    <row r="2850" spans="1:24" s="1" customFormat="1" ht="21" customHeight="1" x14ac:dyDescent="0.3">
      <c r="A2850" s="11" t="s">
        <v>3014</v>
      </c>
      <c r="B2850" s="11" t="s">
        <v>305</v>
      </c>
      <c r="C2850" s="27" t="s">
        <v>3394</v>
      </c>
      <c r="D2850" s="83"/>
      <c r="E2850" s="69" t="str">
        <f>HYPERLINK("https://www.google.ru/search?q=7100093A-1510&amp;newwindow=1&amp;tbm=isch","Еще фото")</f>
        <v>Еще фото</v>
      </c>
      <c r="F2850" s="13"/>
      <c r="G2850" s="11" t="s">
        <v>307</v>
      </c>
      <c r="H2850" s="11" t="s">
        <v>27</v>
      </c>
      <c r="I2850" s="14" t="s">
        <v>308</v>
      </c>
      <c r="J2850" s="14" t="s">
        <v>138</v>
      </c>
      <c r="K2850" s="15" t="s">
        <v>30</v>
      </c>
      <c r="L2850" s="86" t="s">
        <v>3395</v>
      </c>
      <c r="M2850" s="14"/>
      <c r="N2850" s="14" t="s">
        <v>313</v>
      </c>
      <c r="O2850" s="14"/>
      <c r="P2850" s="15" t="s">
        <v>3068</v>
      </c>
      <c r="Q2850" s="16">
        <v>6699</v>
      </c>
      <c r="R2850" s="17">
        <v>45</v>
      </c>
      <c r="S2850" s="18">
        <v>4237.1174999999994</v>
      </c>
      <c r="T2850" s="19" t="s">
        <v>117</v>
      </c>
      <c r="U2850" s="20" t="s">
        <v>94</v>
      </c>
      <c r="V2850" s="21">
        <v>104</v>
      </c>
      <c r="W2850" s="21">
        <v>1</v>
      </c>
      <c r="X2850" s="22"/>
    </row>
    <row r="2851" spans="1:24" s="1" customFormat="1" ht="21" customHeight="1" x14ac:dyDescent="0.3">
      <c r="A2851" s="23" t="s">
        <v>3014</v>
      </c>
      <c r="B2851" s="23" t="s">
        <v>305</v>
      </c>
      <c r="C2851" s="28" t="s">
        <v>3394</v>
      </c>
      <c r="D2851" s="84"/>
      <c r="E2851" s="69" t="str">
        <f>HYPERLINK("https://www.google.ru/search?q=7100093A-1510&amp;newwindow=1&amp;tbm=isch","Еще фото")</f>
        <v>Еще фото</v>
      </c>
      <c r="F2851" s="13"/>
      <c r="G2851" s="23" t="s">
        <v>307</v>
      </c>
      <c r="H2851" s="23" t="s">
        <v>27</v>
      </c>
      <c r="I2851" s="23" t="s">
        <v>308</v>
      </c>
      <c r="J2851" s="14" t="s">
        <v>138</v>
      </c>
      <c r="K2851" s="15" t="s">
        <v>30</v>
      </c>
      <c r="L2851" s="87"/>
      <c r="M2851" s="14"/>
      <c r="N2851" s="14" t="s">
        <v>313</v>
      </c>
      <c r="O2851" s="14"/>
      <c r="P2851" s="15" t="s">
        <v>3068</v>
      </c>
      <c r="Q2851" s="16">
        <v>6699</v>
      </c>
      <c r="R2851" s="17">
        <v>45</v>
      </c>
      <c r="S2851" s="18">
        <v>4237.1174999999994</v>
      </c>
      <c r="T2851" s="19" t="s">
        <v>117</v>
      </c>
      <c r="U2851" s="20" t="s">
        <v>43</v>
      </c>
      <c r="V2851" s="21">
        <v>110</v>
      </c>
      <c r="W2851" s="21">
        <v>3</v>
      </c>
      <c r="X2851" s="22"/>
    </row>
    <row r="2852" spans="1:24" s="1" customFormat="1" ht="21" customHeight="1" x14ac:dyDescent="0.3">
      <c r="A2852" s="23" t="s">
        <v>3014</v>
      </c>
      <c r="B2852" s="23" t="s">
        <v>305</v>
      </c>
      <c r="C2852" s="28" t="s">
        <v>3394</v>
      </c>
      <c r="D2852" s="84"/>
      <c r="E2852" s="69" t="str">
        <f>HYPERLINK("https://www.google.ru/search?q=7100093A-1510&amp;newwindow=1&amp;tbm=isch","Еще фото")</f>
        <v>Еще фото</v>
      </c>
      <c r="F2852" s="13"/>
      <c r="G2852" s="23" t="s">
        <v>307</v>
      </c>
      <c r="H2852" s="23" t="s">
        <v>27</v>
      </c>
      <c r="I2852" s="23" t="s">
        <v>308</v>
      </c>
      <c r="J2852" s="14" t="s">
        <v>138</v>
      </c>
      <c r="K2852" s="15" t="s">
        <v>30</v>
      </c>
      <c r="L2852" s="87"/>
      <c r="M2852" s="14"/>
      <c r="N2852" s="14" t="s">
        <v>313</v>
      </c>
      <c r="O2852" s="14"/>
      <c r="P2852" s="15" t="s">
        <v>3068</v>
      </c>
      <c r="Q2852" s="16">
        <v>6699</v>
      </c>
      <c r="R2852" s="17">
        <v>45</v>
      </c>
      <c r="S2852" s="18">
        <v>4237.1174999999994</v>
      </c>
      <c r="T2852" s="19" t="s">
        <v>117</v>
      </c>
      <c r="U2852" s="20" t="s">
        <v>35</v>
      </c>
      <c r="V2852" s="21">
        <v>116</v>
      </c>
      <c r="W2852" s="21">
        <v>1</v>
      </c>
      <c r="X2852" s="22"/>
    </row>
    <row r="2853" spans="1:24" s="1" customFormat="1" ht="21" customHeight="1" x14ac:dyDescent="0.3">
      <c r="A2853" s="23" t="s">
        <v>3014</v>
      </c>
      <c r="B2853" s="23" t="s">
        <v>305</v>
      </c>
      <c r="C2853" s="28" t="s">
        <v>3394</v>
      </c>
      <c r="D2853" s="84"/>
      <c r="E2853" s="69" t="str">
        <f>HYPERLINK("https://www.google.ru/search?q=7100093A-1510&amp;newwindow=1&amp;tbm=isch","Еще фото")</f>
        <v>Еще фото</v>
      </c>
      <c r="F2853" s="13"/>
      <c r="G2853" s="23" t="s">
        <v>307</v>
      </c>
      <c r="H2853" s="23" t="s">
        <v>27</v>
      </c>
      <c r="I2853" s="23" t="s">
        <v>308</v>
      </c>
      <c r="J2853" s="14" t="s">
        <v>138</v>
      </c>
      <c r="K2853" s="15" t="s">
        <v>30</v>
      </c>
      <c r="L2853" s="87"/>
      <c r="M2853" s="14"/>
      <c r="N2853" s="14" t="s">
        <v>313</v>
      </c>
      <c r="O2853" s="14"/>
      <c r="P2853" s="15" t="s">
        <v>3068</v>
      </c>
      <c r="Q2853" s="16">
        <v>6699</v>
      </c>
      <c r="R2853" s="17">
        <v>45</v>
      </c>
      <c r="S2853" s="18">
        <v>4237.1174999999994</v>
      </c>
      <c r="T2853" s="19" t="s">
        <v>117</v>
      </c>
      <c r="U2853" s="20" t="s">
        <v>37</v>
      </c>
      <c r="V2853" s="21">
        <v>128</v>
      </c>
      <c r="W2853" s="21">
        <v>1</v>
      </c>
      <c r="X2853" s="22"/>
    </row>
    <row r="2854" spans="1:24" s="1" customFormat="1" ht="32.1" customHeight="1" x14ac:dyDescent="0.3">
      <c r="A2854" s="23" t="s">
        <v>3014</v>
      </c>
      <c r="B2854" s="23" t="s">
        <v>305</v>
      </c>
      <c r="C2854" s="28" t="s">
        <v>3394</v>
      </c>
      <c r="D2854" s="85"/>
      <c r="E2854" s="69" t="str">
        <f>HYPERLINK("https://www.google.ru/search?q=7100093A-1510&amp;newwindow=1&amp;tbm=isch","Еще фото")</f>
        <v>Еще фото</v>
      </c>
      <c r="F2854" s="13"/>
      <c r="G2854" s="23" t="s">
        <v>307</v>
      </c>
      <c r="H2854" s="23" t="s">
        <v>27</v>
      </c>
      <c r="I2854" s="23" t="s">
        <v>308</v>
      </c>
      <c r="J2854" s="14" t="s">
        <v>138</v>
      </c>
      <c r="K2854" s="15" t="s">
        <v>30</v>
      </c>
      <c r="L2854" s="88"/>
      <c r="M2854" s="14"/>
      <c r="N2854" s="14" t="s">
        <v>313</v>
      </c>
      <c r="O2854" s="14"/>
      <c r="P2854" s="15" t="s">
        <v>3068</v>
      </c>
      <c r="Q2854" s="16">
        <v>6699</v>
      </c>
      <c r="R2854" s="17">
        <v>45</v>
      </c>
      <c r="S2854" s="18">
        <v>4237.1174999999994</v>
      </c>
      <c r="T2854" s="19" t="s">
        <v>117</v>
      </c>
      <c r="U2854" s="20" t="s">
        <v>2993</v>
      </c>
      <c r="V2854" s="21">
        <v>146</v>
      </c>
      <c r="W2854" s="21">
        <v>1</v>
      </c>
      <c r="X2854" s="22"/>
    </row>
    <row r="2855" spans="1:24" s="1" customFormat="1" ht="17.100000000000001" customHeight="1" x14ac:dyDescent="0.3">
      <c r="A2855" s="11" t="s">
        <v>3014</v>
      </c>
      <c r="B2855" s="11" t="s">
        <v>3396</v>
      </c>
      <c r="C2855" s="12" t="s">
        <v>3397</v>
      </c>
      <c r="D2855" s="83"/>
      <c r="E2855" s="69" t="str">
        <f t="shared" ref="E2855:E2860" si="113">HYPERLINK("https://www.google.ru/search?q=7100096A-2151&amp;newwindow=1&amp;tbm=isch","Еще фото")</f>
        <v>Еще фото</v>
      </c>
      <c r="F2855" s="13"/>
      <c r="G2855" s="11" t="s">
        <v>307</v>
      </c>
      <c r="H2855" s="11" t="s">
        <v>27</v>
      </c>
      <c r="I2855" s="14" t="s">
        <v>308</v>
      </c>
      <c r="J2855" s="14" t="s">
        <v>29</v>
      </c>
      <c r="K2855" s="15" t="s">
        <v>30</v>
      </c>
      <c r="L2855" s="86" t="s">
        <v>3398</v>
      </c>
      <c r="M2855" s="14"/>
      <c r="N2855" s="14" t="s">
        <v>313</v>
      </c>
      <c r="O2855" s="14"/>
      <c r="P2855" s="15" t="s">
        <v>3018</v>
      </c>
      <c r="Q2855" s="16">
        <v>8499</v>
      </c>
      <c r="R2855" s="17">
        <v>45</v>
      </c>
      <c r="S2855" s="18">
        <v>5375.6174999999994</v>
      </c>
      <c r="T2855" s="19" t="s">
        <v>117</v>
      </c>
      <c r="U2855" s="20" t="s">
        <v>744</v>
      </c>
      <c r="V2855" s="21">
        <v>80</v>
      </c>
      <c r="W2855" s="21">
        <v>2</v>
      </c>
      <c r="X2855" s="22"/>
    </row>
    <row r="2856" spans="1:24" s="1" customFormat="1" ht="17.100000000000001" customHeight="1" x14ac:dyDescent="0.3">
      <c r="A2856" s="23" t="s">
        <v>3014</v>
      </c>
      <c r="B2856" s="23" t="s">
        <v>3396</v>
      </c>
      <c r="C2856" s="12" t="s">
        <v>3397</v>
      </c>
      <c r="D2856" s="84"/>
      <c r="E2856" s="69" t="str">
        <f t="shared" si="113"/>
        <v>Еще фото</v>
      </c>
      <c r="F2856" s="13"/>
      <c r="G2856" s="23" t="s">
        <v>307</v>
      </c>
      <c r="H2856" s="23" t="s">
        <v>27</v>
      </c>
      <c r="I2856" s="23" t="s">
        <v>308</v>
      </c>
      <c r="J2856" s="14" t="s">
        <v>29</v>
      </c>
      <c r="K2856" s="15" t="s">
        <v>30</v>
      </c>
      <c r="L2856" s="87"/>
      <c r="M2856" s="14"/>
      <c r="N2856" s="14" t="s">
        <v>313</v>
      </c>
      <c r="O2856" s="14"/>
      <c r="P2856" s="15" t="s">
        <v>3018</v>
      </c>
      <c r="Q2856" s="16">
        <v>8499</v>
      </c>
      <c r="R2856" s="17">
        <v>45</v>
      </c>
      <c r="S2856" s="18">
        <v>5375.6174999999994</v>
      </c>
      <c r="T2856" s="19" t="s">
        <v>117</v>
      </c>
      <c r="U2856" s="20" t="s">
        <v>2976</v>
      </c>
      <c r="V2856" s="21">
        <v>86</v>
      </c>
      <c r="W2856" s="21">
        <v>2</v>
      </c>
      <c r="X2856" s="22"/>
    </row>
    <row r="2857" spans="1:24" s="1" customFormat="1" ht="17.100000000000001" customHeight="1" x14ac:dyDescent="0.3">
      <c r="A2857" s="23" t="s">
        <v>3014</v>
      </c>
      <c r="B2857" s="23" t="s">
        <v>3396</v>
      </c>
      <c r="C2857" s="12" t="s">
        <v>3397</v>
      </c>
      <c r="D2857" s="84"/>
      <c r="E2857" s="69" t="str">
        <f t="shared" si="113"/>
        <v>Еще фото</v>
      </c>
      <c r="F2857" s="13"/>
      <c r="G2857" s="23" t="s">
        <v>307</v>
      </c>
      <c r="H2857" s="23" t="s">
        <v>27</v>
      </c>
      <c r="I2857" s="23" t="s">
        <v>308</v>
      </c>
      <c r="J2857" s="14" t="s">
        <v>29</v>
      </c>
      <c r="K2857" s="15" t="s">
        <v>30</v>
      </c>
      <c r="L2857" s="87"/>
      <c r="M2857" s="14"/>
      <c r="N2857" s="14" t="s">
        <v>313</v>
      </c>
      <c r="O2857" s="14"/>
      <c r="P2857" s="15" t="s">
        <v>3018</v>
      </c>
      <c r="Q2857" s="16">
        <v>8499</v>
      </c>
      <c r="R2857" s="17">
        <v>45</v>
      </c>
      <c r="S2857" s="18">
        <v>5375.6174999999994</v>
      </c>
      <c r="T2857" s="19" t="s">
        <v>117</v>
      </c>
      <c r="U2857" s="20" t="s">
        <v>2977</v>
      </c>
      <c r="V2857" s="21">
        <v>92</v>
      </c>
      <c r="W2857" s="21">
        <v>1</v>
      </c>
      <c r="X2857" s="22"/>
    </row>
    <row r="2858" spans="1:24" s="1" customFormat="1" ht="17.100000000000001" customHeight="1" x14ac:dyDescent="0.3">
      <c r="A2858" s="23" t="s">
        <v>3014</v>
      </c>
      <c r="B2858" s="23" t="s">
        <v>3396</v>
      </c>
      <c r="C2858" s="12" t="s">
        <v>3397</v>
      </c>
      <c r="D2858" s="84"/>
      <c r="E2858" s="69" t="str">
        <f t="shared" si="113"/>
        <v>Еще фото</v>
      </c>
      <c r="F2858" s="13"/>
      <c r="G2858" s="23" t="s">
        <v>307</v>
      </c>
      <c r="H2858" s="23" t="s">
        <v>27</v>
      </c>
      <c r="I2858" s="23" t="s">
        <v>308</v>
      </c>
      <c r="J2858" s="14" t="s">
        <v>29</v>
      </c>
      <c r="K2858" s="15" t="s">
        <v>30</v>
      </c>
      <c r="L2858" s="87"/>
      <c r="M2858" s="14"/>
      <c r="N2858" s="14" t="s">
        <v>313</v>
      </c>
      <c r="O2858" s="14"/>
      <c r="P2858" s="15" t="s">
        <v>3018</v>
      </c>
      <c r="Q2858" s="16">
        <v>8499</v>
      </c>
      <c r="R2858" s="17">
        <v>45</v>
      </c>
      <c r="S2858" s="18">
        <v>5375.6174999999994</v>
      </c>
      <c r="T2858" s="19" t="s">
        <v>117</v>
      </c>
      <c r="U2858" s="20" t="s">
        <v>2961</v>
      </c>
      <c r="V2858" s="21">
        <v>98</v>
      </c>
      <c r="W2858" s="21">
        <v>2</v>
      </c>
      <c r="X2858" s="22"/>
    </row>
    <row r="2859" spans="1:24" s="1" customFormat="1" ht="17.100000000000001" customHeight="1" x14ac:dyDescent="0.3">
      <c r="A2859" s="23" t="s">
        <v>3014</v>
      </c>
      <c r="B2859" s="23" t="s">
        <v>3396</v>
      </c>
      <c r="C2859" s="12" t="s">
        <v>3397</v>
      </c>
      <c r="D2859" s="84"/>
      <c r="E2859" s="69" t="str">
        <f t="shared" si="113"/>
        <v>Еще фото</v>
      </c>
      <c r="F2859" s="13"/>
      <c r="G2859" s="23" t="s">
        <v>307</v>
      </c>
      <c r="H2859" s="23" t="s">
        <v>27</v>
      </c>
      <c r="I2859" s="23" t="s">
        <v>308</v>
      </c>
      <c r="J2859" s="14" t="s">
        <v>29</v>
      </c>
      <c r="K2859" s="15" t="s">
        <v>30</v>
      </c>
      <c r="L2859" s="87"/>
      <c r="M2859" s="14"/>
      <c r="N2859" s="14" t="s">
        <v>313</v>
      </c>
      <c r="O2859" s="14"/>
      <c r="P2859" s="15" t="s">
        <v>3018</v>
      </c>
      <c r="Q2859" s="16">
        <v>8499</v>
      </c>
      <c r="R2859" s="17">
        <v>45</v>
      </c>
      <c r="S2859" s="18">
        <v>5375.6174999999994</v>
      </c>
      <c r="T2859" s="19" t="s">
        <v>117</v>
      </c>
      <c r="U2859" s="20" t="s">
        <v>94</v>
      </c>
      <c r="V2859" s="21">
        <v>104</v>
      </c>
      <c r="W2859" s="21">
        <v>2</v>
      </c>
      <c r="X2859" s="22"/>
    </row>
    <row r="2860" spans="1:24" s="1" customFormat="1" ht="21.95" customHeight="1" x14ac:dyDescent="0.3">
      <c r="A2860" s="23" t="s">
        <v>3014</v>
      </c>
      <c r="B2860" s="23" t="s">
        <v>3396</v>
      </c>
      <c r="C2860" s="12" t="s">
        <v>3397</v>
      </c>
      <c r="D2860" s="85"/>
      <c r="E2860" s="69" t="str">
        <f t="shared" si="113"/>
        <v>Еще фото</v>
      </c>
      <c r="F2860" s="13"/>
      <c r="G2860" s="23" t="s">
        <v>307</v>
      </c>
      <c r="H2860" s="23" t="s">
        <v>27</v>
      </c>
      <c r="I2860" s="23" t="s">
        <v>308</v>
      </c>
      <c r="J2860" s="14" t="s">
        <v>29</v>
      </c>
      <c r="K2860" s="15" t="s">
        <v>30</v>
      </c>
      <c r="L2860" s="88"/>
      <c r="M2860" s="14"/>
      <c r="N2860" s="14" t="s">
        <v>313</v>
      </c>
      <c r="O2860" s="14"/>
      <c r="P2860" s="15" t="s">
        <v>3018</v>
      </c>
      <c r="Q2860" s="16">
        <v>8499</v>
      </c>
      <c r="R2860" s="17">
        <v>45</v>
      </c>
      <c r="S2860" s="18">
        <v>5375.6174999999994</v>
      </c>
      <c r="T2860" s="19" t="s">
        <v>117</v>
      </c>
      <c r="U2860" s="20" t="s">
        <v>43</v>
      </c>
      <c r="V2860" s="21">
        <v>110</v>
      </c>
      <c r="W2860" s="21">
        <v>1</v>
      </c>
      <c r="X2860" s="22"/>
    </row>
    <row r="2861" spans="1:24" s="1" customFormat="1" ht="26.1" customHeight="1" x14ac:dyDescent="0.3">
      <c r="A2861" s="11" t="s">
        <v>3014</v>
      </c>
      <c r="B2861" s="11" t="s">
        <v>3396</v>
      </c>
      <c r="C2861" s="12" t="s">
        <v>3399</v>
      </c>
      <c r="D2861" s="83"/>
      <c r="E2861" s="69" t="str">
        <f>HYPERLINK("https://www.google.ru/search?q=7100096A-4671&amp;newwindow=1&amp;tbm=isch","Еще фото")</f>
        <v>Еще фото</v>
      </c>
      <c r="F2861" s="13"/>
      <c r="G2861" s="11" t="s">
        <v>307</v>
      </c>
      <c r="H2861" s="11" t="s">
        <v>27</v>
      </c>
      <c r="I2861" s="14" t="s">
        <v>308</v>
      </c>
      <c r="J2861" s="14" t="s">
        <v>29</v>
      </c>
      <c r="K2861" s="15" t="s">
        <v>30</v>
      </c>
      <c r="L2861" s="86" t="s">
        <v>3398</v>
      </c>
      <c r="M2861" s="14"/>
      <c r="N2861" s="14" t="s">
        <v>275</v>
      </c>
      <c r="O2861" s="14"/>
      <c r="P2861" s="15" t="s">
        <v>3018</v>
      </c>
      <c r="Q2861" s="16">
        <v>8499</v>
      </c>
      <c r="R2861" s="17">
        <v>45</v>
      </c>
      <c r="S2861" s="18">
        <v>5375.6174999999994</v>
      </c>
      <c r="T2861" s="19" t="s">
        <v>117</v>
      </c>
      <c r="U2861" s="20" t="s">
        <v>744</v>
      </c>
      <c r="V2861" s="21">
        <v>80</v>
      </c>
      <c r="W2861" s="21">
        <v>1</v>
      </c>
      <c r="X2861" s="22"/>
    </row>
    <row r="2862" spans="1:24" s="1" customFormat="1" ht="26.1" customHeight="1" x14ac:dyDescent="0.3">
      <c r="A2862" s="23" t="s">
        <v>3014</v>
      </c>
      <c r="B2862" s="23" t="s">
        <v>3396</v>
      </c>
      <c r="C2862" s="12" t="s">
        <v>3399</v>
      </c>
      <c r="D2862" s="84"/>
      <c r="E2862" s="69" t="str">
        <f>HYPERLINK("https://www.google.ru/search?q=7100096A-4671&amp;newwindow=1&amp;tbm=isch","Еще фото")</f>
        <v>Еще фото</v>
      </c>
      <c r="F2862" s="13"/>
      <c r="G2862" s="23" t="s">
        <v>307</v>
      </c>
      <c r="H2862" s="23" t="s">
        <v>27</v>
      </c>
      <c r="I2862" s="23" t="s">
        <v>308</v>
      </c>
      <c r="J2862" s="14" t="s">
        <v>29</v>
      </c>
      <c r="K2862" s="15" t="s">
        <v>30</v>
      </c>
      <c r="L2862" s="87"/>
      <c r="M2862" s="14"/>
      <c r="N2862" s="14" t="s">
        <v>275</v>
      </c>
      <c r="O2862" s="14"/>
      <c r="P2862" s="15" t="s">
        <v>3018</v>
      </c>
      <c r="Q2862" s="16">
        <v>8499</v>
      </c>
      <c r="R2862" s="17">
        <v>45</v>
      </c>
      <c r="S2862" s="18">
        <v>5375.6174999999994</v>
      </c>
      <c r="T2862" s="19" t="s">
        <v>117</v>
      </c>
      <c r="U2862" s="20" t="s">
        <v>2977</v>
      </c>
      <c r="V2862" s="21">
        <v>92</v>
      </c>
      <c r="W2862" s="21">
        <v>1</v>
      </c>
      <c r="X2862" s="22"/>
    </row>
    <row r="2863" spans="1:24" s="1" customFormat="1" ht="26.1" customHeight="1" x14ac:dyDescent="0.3">
      <c r="A2863" s="23" t="s">
        <v>3014</v>
      </c>
      <c r="B2863" s="23" t="s">
        <v>3396</v>
      </c>
      <c r="C2863" s="12" t="s">
        <v>3399</v>
      </c>
      <c r="D2863" s="84"/>
      <c r="E2863" s="69" t="str">
        <f>HYPERLINK("https://www.google.ru/search?q=7100096A-4671&amp;newwindow=1&amp;tbm=isch","Еще фото")</f>
        <v>Еще фото</v>
      </c>
      <c r="F2863" s="13"/>
      <c r="G2863" s="23" t="s">
        <v>307</v>
      </c>
      <c r="H2863" s="23" t="s">
        <v>27</v>
      </c>
      <c r="I2863" s="23" t="s">
        <v>308</v>
      </c>
      <c r="J2863" s="14" t="s">
        <v>29</v>
      </c>
      <c r="K2863" s="15" t="s">
        <v>30</v>
      </c>
      <c r="L2863" s="87"/>
      <c r="M2863" s="14"/>
      <c r="N2863" s="14" t="s">
        <v>275</v>
      </c>
      <c r="O2863" s="14"/>
      <c r="P2863" s="15" t="s">
        <v>3018</v>
      </c>
      <c r="Q2863" s="16">
        <v>8499</v>
      </c>
      <c r="R2863" s="17">
        <v>45</v>
      </c>
      <c r="S2863" s="18">
        <v>5375.6174999999994</v>
      </c>
      <c r="T2863" s="19" t="s">
        <v>117</v>
      </c>
      <c r="U2863" s="20" t="s">
        <v>2961</v>
      </c>
      <c r="V2863" s="21">
        <v>98</v>
      </c>
      <c r="W2863" s="21">
        <v>2</v>
      </c>
      <c r="X2863" s="22"/>
    </row>
    <row r="2864" spans="1:24" s="1" customFormat="1" ht="26.1" customHeight="1" x14ac:dyDescent="0.3">
      <c r="A2864" s="23" t="s">
        <v>3014</v>
      </c>
      <c r="B2864" s="23" t="s">
        <v>3396</v>
      </c>
      <c r="C2864" s="12" t="s">
        <v>3399</v>
      </c>
      <c r="D2864" s="85"/>
      <c r="E2864" s="69" t="str">
        <f>HYPERLINK("https://www.google.ru/search?q=7100096A-4671&amp;newwindow=1&amp;tbm=isch","Еще фото")</f>
        <v>Еще фото</v>
      </c>
      <c r="F2864" s="13"/>
      <c r="G2864" s="23" t="s">
        <v>307</v>
      </c>
      <c r="H2864" s="23" t="s">
        <v>27</v>
      </c>
      <c r="I2864" s="23" t="s">
        <v>308</v>
      </c>
      <c r="J2864" s="14" t="s">
        <v>29</v>
      </c>
      <c r="K2864" s="15" t="s">
        <v>30</v>
      </c>
      <c r="L2864" s="88"/>
      <c r="M2864" s="14"/>
      <c r="N2864" s="14" t="s">
        <v>275</v>
      </c>
      <c r="O2864" s="14"/>
      <c r="P2864" s="15" t="s">
        <v>3018</v>
      </c>
      <c r="Q2864" s="16">
        <v>8499</v>
      </c>
      <c r="R2864" s="17">
        <v>45</v>
      </c>
      <c r="S2864" s="18">
        <v>5375.6174999999994</v>
      </c>
      <c r="T2864" s="19" t="s">
        <v>117</v>
      </c>
      <c r="U2864" s="20" t="s">
        <v>43</v>
      </c>
      <c r="V2864" s="21">
        <v>110</v>
      </c>
      <c r="W2864" s="21">
        <v>1</v>
      </c>
      <c r="X2864" s="22"/>
    </row>
    <row r="2865" spans="1:24" s="1" customFormat="1" ht="108" customHeight="1" x14ac:dyDescent="0.3">
      <c r="A2865" s="11" t="s">
        <v>3014</v>
      </c>
      <c r="B2865" s="11" t="s">
        <v>3400</v>
      </c>
      <c r="C2865" s="12" t="s">
        <v>3401</v>
      </c>
      <c r="D2865" s="24"/>
      <c r="E2865" s="69" t="str">
        <f>HYPERLINK("https://www.google.ru/search?q=7100111A-6960&amp;newwindow=1&amp;tbm=isch","Еще фото")</f>
        <v>Еще фото</v>
      </c>
      <c r="F2865" s="13"/>
      <c r="G2865" s="11" t="s">
        <v>3382</v>
      </c>
      <c r="H2865" s="11" t="s">
        <v>27</v>
      </c>
      <c r="I2865" s="14" t="s">
        <v>308</v>
      </c>
      <c r="J2865" s="14" t="s">
        <v>29</v>
      </c>
      <c r="K2865" s="15" t="s">
        <v>30</v>
      </c>
      <c r="L2865" s="14" t="s">
        <v>3402</v>
      </c>
      <c r="M2865" s="14"/>
      <c r="N2865" s="14" t="s">
        <v>70</v>
      </c>
      <c r="O2865" s="14"/>
      <c r="P2865" s="15" t="s">
        <v>3018</v>
      </c>
      <c r="Q2865" s="16">
        <v>5999</v>
      </c>
      <c r="R2865" s="17">
        <v>45</v>
      </c>
      <c r="S2865" s="18">
        <v>3794.3674999999994</v>
      </c>
      <c r="T2865" s="19" t="s">
        <v>117</v>
      </c>
      <c r="U2865" s="20" t="s">
        <v>3264</v>
      </c>
      <c r="V2865" s="21">
        <v>74</v>
      </c>
      <c r="W2865" s="21">
        <v>2</v>
      </c>
      <c r="X2865" s="22"/>
    </row>
    <row r="2866" spans="1:24" s="1" customFormat="1" ht="51.95" customHeight="1" x14ac:dyDescent="0.3">
      <c r="A2866" s="11" t="s">
        <v>3014</v>
      </c>
      <c r="B2866" s="11" t="s">
        <v>3403</v>
      </c>
      <c r="C2866" s="12" t="s">
        <v>3404</v>
      </c>
      <c r="D2866" s="89"/>
      <c r="E2866" s="69" t="str">
        <f>HYPERLINK("https://www.google.ru/search?q=7100112A-2150&amp;newwindow=1&amp;tbm=isch","Еще фото")</f>
        <v>Еще фото</v>
      </c>
      <c r="F2866" s="13"/>
      <c r="G2866" s="11" t="s">
        <v>307</v>
      </c>
      <c r="H2866" s="11" t="s">
        <v>27</v>
      </c>
      <c r="I2866" s="14" t="s">
        <v>308</v>
      </c>
      <c r="J2866" s="14" t="s">
        <v>29</v>
      </c>
      <c r="K2866" s="15" t="s">
        <v>30</v>
      </c>
      <c r="L2866" s="86" t="s">
        <v>3405</v>
      </c>
      <c r="M2866" s="14"/>
      <c r="N2866" s="14" t="s">
        <v>313</v>
      </c>
      <c r="O2866" s="14"/>
      <c r="P2866" s="15" t="s">
        <v>3018</v>
      </c>
      <c r="Q2866" s="16">
        <v>4599</v>
      </c>
      <c r="R2866" s="17">
        <v>45</v>
      </c>
      <c r="S2866" s="18">
        <v>2908.8674999999994</v>
      </c>
      <c r="T2866" s="19" t="s">
        <v>117</v>
      </c>
      <c r="U2866" s="20" t="s">
        <v>94</v>
      </c>
      <c r="V2866" s="21">
        <v>104</v>
      </c>
      <c r="W2866" s="21">
        <v>3</v>
      </c>
      <c r="X2866" s="22"/>
    </row>
    <row r="2867" spans="1:24" s="1" customFormat="1" ht="60.95" customHeight="1" x14ac:dyDescent="0.3">
      <c r="A2867" s="23" t="s">
        <v>3014</v>
      </c>
      <c r="B2867" s="23" t="s">
        <v>3403</v>
      </c>
      <c r="C2867" s="12" t="s">
        <v>3404</v>
      </c>
      <c r="D2867" s="90"/>
      <c r="E2867" s="69" t="str">
        <f>HYPERLINK("https://www.google.ru/search?q=7100112A-2150&amp;newwindow=1&amp;tbm=isch","Еще фото")</f>
        <v>Еще фото</v>
      </c>
      <c r="F2867" s="13"/>
      <c r="G2867" s="23" t="s">
        <v>307</v>
      </c>
      <c r="H2867" s="23" t="s">
        <v>27</v>
      </c>
      <c r="I2867" s="23" t="s">
        <v>308</v>
      </c>
      <c r="J2867" s="14" t="s">
        <v>29</v>
      </c>
      <c r="K2867" s="15" t="s">
        <v>30</v>
      </c>
      <c r="L2867" s="88"/>
      <c r="M2867" s="14"/>
      <c r="N2867" s="14" t="s">
        <v>313</v>
      </c>
      <c r="O2867" s="14"/>
      <c r="P2867" s="15" t="s">
        <v>3018</v>
      </c>
      <c r="Q2867" s="16">
        <v>4599</v>
      </c>
      <c r="R2867" s="17">
        <v>45</v>
      </c>
      <c r="S2867" s="18">
        <v>2908.8674999999994</v>
      </c>
      <c r="T2867" s="19" t="s">
        <v>117</v>
      </c>
      <c r="U2867" s="20" t="s">
        <v>35</v>
      </c>
      <c r="V2867" s="21">
        <v>116</v>
      </c>
      <c r="W2867" s="21">
        <v>2</v>
      </c>
      <c r="X2867" s="22"/>
    </row>
    <row r="2868" spans="1:24" s="1" customFormat="1" ht="12.95" customHeight="1" x14ac:dyDescent="0.3">
      <c r="A2868" s="11" t="s">
        <v>3014</v>
      </c>
      <c r="B2868" s="11" t="s">
        <v>3403</v>
      </c>
      <c r="C2868" s="12" t="s">
        <v>3406</v>
      </c>
      <c r="D2868" s="83"/>
      <c r="E2868" s="69" t="str">
        <f t="shared" ref="E2868:E2875" si="114">HYPERLINK("https://www.google.ru/search?q=7100112A-4670&amp;newwindow=1&amp;tbm=isch","Еще фото")</f>
        <v>Еще фото</v>
      </c>
      <c r="F2868" s="13"/>
      <c r="G2868" s="11" t="s">
        <v>307</v>
      </c>
      <c r="H2868" s="11" t="s">
        <v>27</v>
      </c>
      <c r="I2868" s="14" t="s">
        <v>308</v>
      </c>
      <c r="J2868" s="14" t="s">
        <v>29</v>
      </c>
      <c r="K2868" s="15" t="s">
        <v>30</v>
      </c>
      <c r="L2868" s="86" t="s">
        <v>3405</v>
      </c>
      <c r="M2868" s="14"/>
      <c r="N2868" s="14" t="s">
        <v>275</v>
      </c>
      <c r="O2868" s="14"/>
      <c r="P2868" s="15" t="s">
        <v>3018</v>
      </c>
      <c r="Q2868" s="16">
        <v>4299</v>
      </c>
      <c r="R2868" s="17">
        <v>45</v>
      </c>
      <c r="S2868" s="18">
        <v>2719.1174999999994</v>
      </c>
      <c r="T2868" s="19" t="s">
        <v>117</v>
      </c>
      <c r="U2868" s="26" t="s">
        <v>2976</v>
      </c>
      <c r="V2868" s="21">
        <v>86</v>
      </c>
      <c r="W2868" s="21">
        <v>2</v>
      </c>
      <c r="X2868" s="22"/>
    </row>
    <row r="2869" spans="1:24" s="1" customFormat="1" ht="12.95" customHeight="1" x14ac:dyDescent="0.3">
      <c r="A2869" s="23" t="s">
        <v>3014</v>
      </c>
      <c r="B2869" s="23" t="s">
        <v>3403</v>
      </c>
      <c r="C2869" s="12" t="s">
        <v>3406</v>
      </c>
      <c r="D2869" s="84"/>
      <c r="E2869" s="69" t="str">
        <f t="shared" si="114"/>
        <v>Еще фото</v>
      </c>
      <c r="F2869" s="13"/>
      <c r="G2869" s="23" t="s">
        <v>307</v>
      </c>
      <c r="H2869" s="23" t="s">
        <v>27</v>
      </c>
      <c r="I2869" s="23" t="s">
        <v>308</v>
      </c>
      <c r="J2869" s="14" t="s">
        <v>29</v>
      </c>
      <c r="K2869" s="15" t="s">
        <v>30</v>
      </c>
      <c r="L2869" s="87"/>
      <c r="M2869" s="14"/>
      <c r="N2869" s="14" t="s">
        <v>275</v>
      </c>
      <c r="O2869" s="14"/>
      <c r="P2869" s="15" t="s">
        <v>3018</v>
      </c>
      <c r="Q2869" s="16">
        <v>4299</v>
      </c>
      <c r="R2869" s="17">
        <v>45</v>
      </c>
      <c r="S2869" s="18">
        <v>2719.1174999999994</v>
      </c>
      <c r="T2869" s="19" t="s">
        <v>117</v>
      </c>
      <c r="U2869" s="20" t="s">
        <v>94</v>
      </c>
      <c r="V2869" s="21">
        <v>104</v>
      </c>
      <c r="W2869" s="21">
        <v>1</v>
      </c>
      <c r="X2869" s="22"/>
    </row>
    <row r="2870" spans="1:24" s="1" customFormat="1" ht="12.95" customHeight="1" x14ac:dyDescent="0.3">
      <c r="A2870" s="23" t="s">
        <v>3014</v>
      </c>
      <c r="B2870" s="23" t="s">
        <v>3403</v>
      </c>
      <c r="C2870" s="12" t="s">
        <v>3406</v>
      </c>
      <c r="D2870" s="84"/>
      <c r="E2870" s="69" t="str">
        <f t="shared" si="114"/>
        <v>Еще фото</v>
      </c>
      <c r="F2870" s="13"/>
      <c r="G2870" s="23" t="s">
        <v>307</v>
      </c>
      <c r="H2870" s="23" t="s">
        <v>27</v>
      </c>
      <c r="I2870" s="23" t="s">
        <v>308</v>
      </c>
      <c r="J2870" s="14" t="s">
        <v>29</v>
      </c>
      <c r="K2870" s="15" t="s">
        <v>30</v>
      </c>
      <c r="L2870" s="87"/>
      <c r="M2870" s="14"/>
      <c r="N2870" s="14" t="s">
        <v>275</v>
      </c>
      <c r="O2870" s="14"/>
      <c r="P2870" s="15" t="s">
        <v>3018</v>
      </c>
      <c r="Q2870" s="16">
        <v>4299</v>
      </c>
      <c r="R2870" s="17">
        <v>45</v>
      </c>
      <c r="S2870" s="18">
        <v>2719.1174999999994</v>
      </c>
      <c r="T2870" s="19" t="s">
        <v>117</v>
      </c>
      <c r="U2870" s="20" t="s">
        <v>43</v>
      </c>
      <c r="V2870" s="21">
        <v>110</v>
      </c>
      <c r="W2870" s="21">
        <v>2</v>
      </c>
      <c r="X2870" s="22"/>
    </row>
    <row r="2871" spans="1:24" s="1" customFormat="1" ht="12.95" customHeight="1" x14ac:dyDescent="0.3">
      <c r="A2871" s="23" t="s">
        <v>3014</v>
      </c>
      <c r="B2871" s="23" t="s">
        <v>3403</v>
      </c>
      <c r="C2871" s="12" t="s">
        <v>3406</v>
      </c>
      <c r="D2871" s="84"/>
      <c r="E2871" s="69" t="str">
        <f t="shared" si="114"/>
        <v>Еще фото</v>
      </c>
      <c r="F2871" s="13"/>
      <c r="G2871" s="23" t="s">
        <v>307</v>
      </c>
      <c r="H2871" s="23" t="s">
        <v>27</v>
      </c>
      <c r="I2871" s="23" t="s">
        <v>308</v>
      </c>
      <c r="J2871" s="14" t="s">
        <v>29</v>
      </c>
      <c r="K2871" s="15" t="s">
        <v>30</v>
      </c>
      <c r="L2871" s="87"/>
      <c r="M2871" s="14"/>
      <c r="N2871" s="14" t="s">
        <v>275</v>
      </c>
      <c r="O2871" s="14"/>
      <c r="P2871" s="15" t="s">
        <v>3018</v>
      </c>
      <c r="Q2871" s="16">
        <v>4299</v>
      </c>
      <c r="R2871" s="17">
        <v>45</v>
      </c>
      <c r="S2871" s="18">
        <v>2719.1174999999994</v>
      </c>
      <c r="T2871" s="19" t="s">
        <v>117</v>
      </c>
      <c r="U2871" s="20" t="s">
        <v>35</v>
      </c>
      <c r="V2871" s="21">
        <v>116</v>
      </c>
      <c r="W2871" s="21">
        <v>5</v>
      </c>
      <c r="X2871" s="22"/>
    </row>
    <row r="2872" spans="1:24" s="1" customFormat="1" ht="12.95" customHeight="1" x14ac:dyDescent="0.3">
      <c r="A2872" s="23" t="s">
        <v>3014</v>
      </c>
      <c r="B2872" s="23" t="s">
        <v>3403</v>
      </c>
      <c r="C2872" s="12" t="s">
        <v>3406</v>
      </c>
      <c r="D2872" s="84"/>
      <c r="E2872" s="69" t="str">
        <f t="shared" si="114"/>
        <v>Еще фото</v>
      </c>
      <c r="F2872" s="13"/>
      <c r="G2872" s="23" t="s">
        <v>307</v>
      </c>
      <c r="H2872" s="23" t="s">
        <v>27</v>
      </c>
      <c r="I2872" s="23" t="s">
        <v>308</v>
      </c>
      <c r="J2872" s="14" t="s">
        <v>29</v>
      </c>
      <c r="K2872" s="15" t="s">
        <v>30</v>
      </c>
      <c r="L2872" s="87"/>
      <c r="M2872" s="14"/>
      <c r="N2872" s="14" t="s">
        <v>275</v>
      </c>
      <c r="O2872" s="14"/>
      <c r="P2872" s="15" t="s">
        <v>3018</v>
      </c>
      <c r="Q2872" s="16">
        <v>4299</v>
      </c>
      <c r="R2872" s="17">
        <v>45</v>
      </c>
      <c r="S2872" s="18">
        <v>2719.1174999999994</v>
      </c>
      <c r="T2872" s="19" t="s">
        <v>117</v>
      </c>
      <c r="U2872" s="20" t="s">
        <v>36</v>
      </c>
      <c r="V2872" s="21">
        <v>122</v>
      </c>
      <c r="W2872" s="21">
        <v>1</v>
      </c>
      <c r="X2872" s="22"/>
    </row>
    <row r="2873" spans="1:24" s="1" customFormat="1" ht="12.95" customHeight="1" x14ac:dyDescent="0.3">
      <c r="A2873" s="23" t="s">
        <v>3014</v>
      </c>
      <c r="B2873" s="23" t="s">
        <v>3403</v>
      </c>
      <c r="C2873" s="12" t="s">
        <v>3406</v>
      </c>
      <c r="D2873" s="84"/>
      <c r="E2873" s="69" t="str">
        <f t="shared" si="114"/>
        <v>Еще фото</v>
      </c>
      <c r="F2873" s="13"/>
      <c r="G2873" s="23" t="s">
        <v>307</v>
      </c>
      <c r="H2873" s="23" t="s">
        <v>27</v>
      </c>
      <c r="I2873" s="23" t="s">
        <v>308</v>
      </c>
      <c r="J2873" s="14" t="s">
        <v>29</v>
      </c>
      <c r="K2873" s="15" t="s">
        <v>30</v>
      </c>
      <c r="L2873" s="87"/>
      <c r="M2873" s="14"/>
      <c r="N2873" s="14" t="s">
        <v>275</v>
      </c>
      <c r="O2873" s="14"/>
      <c r="P2873" s="15" t="s">
        <v>3018</v>
      </c>
      <c r="Q2873" s="16">
        <v>4299</v>
      </c>
      <c r="R2873" s="17">
        <v>45</v>
      </c>
      <c r="S2873" s="18">
        <v>2719.1174999999994</v>
      </c>
      <c r="T2873" s="19" t="s">
        <v>117</v>
      </c>
      <c r="U2873" s="20" t="s">
        <v>37</v>
      </c>
      <c r="V2873" s="21">
        <v>128</v>
      </c>
      <c r="W2873" s="21">
        <v>6</v>
      </c>
      <c r="X2873" s="22"/>
    </row>
    <row r="2874" spans="1:24" s="1" customFormat="1" ht="12.95" customHeight="1" x14ac:dyDescent="0.3">
      <c r="A2874" s="23" t="s">
        <v>3014</v>
      </c>
      <c r="B2874" s="23" t="s">
        <v>3403</v>
      </c>
      <c r="C2874" s="12" t="s">
        <v>3406</v>
      </c>
      <c r="D2874" s="84"/>
      <c r="E2874" s="69" t="str">
        <f t="shared" si="114"/>
        <v>Еще фото</v>
      </c>
      <c r="F2874" s="13"/>
      <c r="G2874" s="23" t="s">
        <v>307</v>
      </c>
      <c r="H2874" s="23" t="s">
        <v>27</v>
      </c>
      <c r="I2874" s="23" t="s">
        <v>308</v>
      </c>
      <c r="J2874" s="14" t="s">
        <v>29</v>
      </c>
      <c r="K2874" s="15" t="s">
        <v>30</v>
      </c>
      <c r="L2874" s="87"/>
      <c r="M2874" s="14"/>
      <c r="N2874" s="14" t="s">
        <v>275</v>
      </c>
      <c r="O2874" s="14"/>
      <c r="P2874" s="15" t="s">
        <v>3018</v>
      </c>
      <c r="Q2874" s="16">
        <v>4299</v>
      </c>
      <c r="R2874" s="17">
        <v>45</v>
      </c>
      <c r="S2874" s="18">
        <v>2719.1174999999994</v>
      </c>
      <c r="T2874" s="19" t="s">
        <v>117</v>
      </c>
      <c r="U2874" s="20" t="s">
        <v>91</v>
      </c>
      <c r="V2874" s="21">
        <v>134</v>
      </c>
      <c r="W2874" s="21">
        <v>6</v>
      </c>
      <c r="X2874" s="22"/>
    </row>
    <row r="2875" spans="1:24" s="1" customFormat="1" ht="18" customHeight="1" x14ac:dyDescent="0.3">
      <c r="A2875" s="23" t="s">
        <v>3014</v>
      </c>
      <c r="B2875" s="23" t="s">
        <v>3403</v>
      </c>
      <c r="C2875" s="12" t="s">
        <v>3406</v>
      </c>
      <c r="D2875" s="85"/>
      <c r="E2875" s="69" t="str">
        <f t="shared" si="114"/>
        <v>Еще фото</v>
      </c>
      <c r="F2875" s="13"/>
      <c r="G2875" s="23" t="s">
        <v>307</v>
      </c>
      <c r="H2875" s="23" t="s">
        <v>27</v>
      </c>
      <c r="I2875" s="23" t="s">
        <v>308</v>
      </c>
      <c r="J2875" s="14" t="s">
        <v>29</v>
      </c>
      <c r="K2875" s="15" t="s">
        <v>30</v>
      </c>
      <c r="L2875" s="88"/>
      <c r="M2875" s="14"/>
      <c r="N2875" s="14" t="s">
        <v>275</v>
      </c>
      <c r="O2875" s="14"/>
      <c r="P2875" s="15" t="s">
        <v>3018</v>
      </c>
      <c r="Q2875" s="16">
        <v>4299</v>
      </c>
      <c r="R2875" s="17">
        <v>45</v>
      </c>
      <c r="S2875" s="18">
        <v>2719.1174999999994</v>
      </c>
      <c r="T2875" s="19" t="s">
        <v>117</v>
      </c>
      <c r="U2875" s="20" t="s">
        <v>290</v>
      </c>
      <c r="V2875" s="21">
        <v>140</v>
      </c>
      <c r="W2875" s="21">
        <v>1</v>
      </c>
      <c r="X2875" s="22"/>
    </row>
    <row r="2876" spans="1:24" s="1" customFormat="1" ht="21" customHeight="1" x14ac:dyDescent="0.3">
      <c r="A2876" s="11" t="s">
        <v>3014</v>
      </c>
      <c r="B2876" s="11" t="s">
        <v>3403</v>
      </c>
      <c r="C2876" s="27" t="s">
        <v>3407</v>
      </c>
      <c r="D2876" s="83"/>
      <c r="E2876" s="69" t="str">
        <f>HYPERLINK("https://www.google.ru/search?q=7100112A-6960&amp;newwindow=1&amp;tbm=isch","Еще фото")</f>
        <v>Еще фото</v>
      </c>
      <c r="F2876" s="13"/>
      <c r="G2876" s="11" t="s">
        <v>307</v>
      </c>
      <c r="H2876" s="11" t="s">
        <v>27</v>
      </c>
      <c r="I2876" s="14" t="s">
        <v>308</v>
      </c>
      <c r="J2876" s="14" t="s">
        <v>29</v>
      </c>
      <c r="K2876" s="15" t="s">
        <v>30</v>
      </c>
      <c r="L2876" s="86" t="s">
        <v>3405</v>
      </c>
      <c r="M2876" s="14"/>
      <c r="N2876" s="14" t="s">
        <v>70</v>
      </c>
      <c r="O2876" s="14"/>
      <c r="P2876" s="15" t="s">
        <v>3018</v>
      </c>
      <c r="Q2876" s="16">
        <v>4299</v>
      </c>
      <c r="R2876" s="17">
        <v>45</v>
      </c>
      <c r="S2876" s="18">
        <v>2719.1174999999994</v>
      </c>
      <c r="T2876" s="19" t="s">
        <v>117</v>
      </c>
      <c r="U2876" s="20" t="s">
        <v>2961</v>
      </c>
      <c r="V2876" s="21">
        <v>98</v>
      </c>
      <c r="W2876" s="21">
        <v>3</v>
      </c>
      <c r="X2876" s="22"/>
    </row>
    <row r="2877" spans="1:24" s="1" customFormat="1" ht="21" customHeight="1" x14ac:dyDescent="0.3">
      <c r="A2877" s="23" t="s">
        <v>3014</v>
      </c>
      <c r="B2877" s="23" t="s">
        <v>3403</v>
      </c>
      <c r="C2877" s="28" t="s">
        <v>3407</v>
      </c>
      <c r="D2877" s="84"/>
      <c r="E2877" s="69" t="str">
        <f>HYPERLINK("https://www.google.ru/search?q=7100112A-6960&amp;newwindow=1&amp;tbm=isch","Еще фото")</f>
        <v>Еще фото</v>
      </c>
      <c r="F2877" s="13"/>
      <c r="G2877" s="23" t="s">
        <v>307</v>
      </c>
      <c r="H2877" s="23" t="s">
        <v>27</v>
      </c>
      <c r="I2877" s="23" t="s">
        <v>308</v>
      </c>
      <c r="J2877" s="14" t="s">
        <v>29</v>
      </c>
      <c r="K2877" s="15" t="s">
        <v>30</v>
      </c>
      <c r="L2877" s="87"/>
      <c r="M2877" s="14"/>
      <c r="N2877" s="14" t="s">
        <v>70</v>
      </c>
      <c r="O2877" s="14"/>
      <c r="P2877" s="15" t="s">
        <v>3018</v>
      </c>
      <c r="Q2877" s="16">
        <v>4299</v>
      </c>
      <c r="R2877" s="17">
        <v>45</v>
      </c>
      <c r="S2877" s="18">
        <v>2719.1174999999994</v>
      </c>
      <c r="T2877" s="19" t="s">
        <v>117</v>
      </c>
      <c r="U2877" s="20" t="s">
        <v>94</v>
      </c>
      <c r="V2877" s="21">
        <v>104</v>
      </c>
      <c r="W2877" s="21">
        <v>4</v>
      </c>
      <c r="X2877" s="22"/>
    </row>
    <row r="2878" spans="1:24" s="1" customFormat="1" ht="21" customHeight="1" x14ac:dyDescent="0.3">
      <c r="A2878" s="23" t="s">
        <v>3014</v>
      </c>
      <c r="B2878" s="23" t="s">
        <v>3403</v>
      </c>
      <c r="C2878" s="28" t="s">
        <v>3407</v>
      </c>
      <c r="D2878" s="84"/>
      <c r="E2878" s="69" t="str">
        <f>HYPERLINK("https://www.google.ru/search?q=7100112A-6960&amp;newwindow=1&amp;tbm=isch","Еще фото")</f>
        <v>Еще фото</v>
      </c>
      <c r="F2878" s="13"/>
      <c r="G2878" s="23" t="s">
        <v>307</v>
      </c>
      <c r="H2878" s="23" t="s">
        <v>27</v>
      </c>
      <c r="I2878" s="23" t="s">
        <v>308</v>
      </c>
      <c r="J2878" s="14" t="s">
        <v>29</v>
      </c>
      <c r="K2878" s="15" t="s">
        <v>30</v>
      </c>
      <c r="L2878" s="87"/>
      <c r="M2878" s="14"/>
      <c r="N2878" s="14" t="s">
        <v>70</v>
      </c>
      <c r="O2878" s="14"/>
      <c r="P2878" s="15" t="s">
        <v>3018</v>
      </c>
      <c r="Q2878" s="16">
        <v>4299</v>
      </c>
      <c r="R2878" s="17">
        <v>45</v>
      </c>
      <c r="S2878" s="18">
        <v>2719.1174999999994</v>
      </c>
      <c r="T2878" s="19" t="s">
        <v>117</v>
      </c>
      <c r="U2878" s="20" t="s">
        <v>43</v>
      </c>
      <c r="V2878" s="21">
        <v>110</v>
      </c>
      <c r="W2878" s="21">
        <v>4</v>
      </c>
      <c r="X2878" s="22"/>
    </row>
    <row r="2879" spans="1:24" s="1" customFormat="1" ht="21" customHeight="1" x14ac:dyDescent="0.3">
      <c r="A2879" s="23" t="s">
        <v>3014</v>
      </c>
      <c r="B2879" s="23" t="s">
        <v>3403</v>
      </c>
      <c r="C2879" s="28" t="s">
        <v>3407</v>
      </c>
      <c r="D2879" s="84"/>
      <c r="E2879" s="69" t="str">
        <f>HYPERLINK("https://www.google.ru/search?q=7100112A-6960&amp;newwindow=1&amp;tbm=isch","Еще фото")</f>
        <v>Еще фото</v>
      </c>
      <c r="F2879" s="13"/>
      <c r="G2879" s="23" t="s">
        <v>307</v>
      </c>
      <c r="H2879" s="23" t="s">
        <v>27</v>
      </c>
      <c r="I2879" s="23" t="s">
        <v>308</v>
      </c>
      <c r="J2879" s="14" t="s">
        <v>29</v>
      </c>
      <c r="K2879" s="15" t="s">
        <v>30</v>
      </c>
      <c r="L2879" s="87"/>
      <c r="M2879" s="14"/>
      <c r="N2879" s="14" t="s">
        <v>70</v>
      </c>
      <c r="O2879" s="14"/>
      <c r="P2879" s="15" t="s">
        <v>3018</v>
      </c>
      <c r="Q2879" s="16">
        <v>4299</v>
      </c>
      <c r="R2879" s="17">
        <v>45</v>
      </c>
      <c r="S2879" s="18">
        <v>2719.1174999999994</v>
      </c>
      <c r="T2879" s="19" t="s">
        <v>117</v>
      </c>
      <c r="U2879" s="20" t="s">
        <v>35</v>
      </c>
      <c r="V2879" s="21">
        <v>116</v>
      </c>
      <c r="W2879" s="21">
        <v>3</v>
      </c>
      <c r="X2879" s="22"/>
    </row>
    <row r="2880" spans="1:24" s="1" customFormat="1" ht="32.1" customHeight="1" x14ac:dyDescent="0.3">
      <c r="A2880" s="23" t="s">
        <v>3014</v>
      </c>
      <c r="B2880" s="23" t="s">
        <v>3403</v>
      </c>
      <c r="C2880" s="28" t="s">
        <v>3407</v>
      </c>
      <c r="D2880" s="85"/>
      <c r="E2880" s="69" t="str">
        <f>HYPERLINK("https://www.google.ru/search?q=7100112A-6960&amp;newwindow=1&amp;tbm=isch","Еще фото")</f>
        <v>Еще фото</v>
      </c>
      <c r="F2880" s="13"/>
      <c r="G2880" s="23" t="s">
        <v>307</v>
      </c>
      <c r="H2880" s="23" t="s">
        <v>27</v>
      </c>
      <c r="I2880" s="23" t="s">
        <v>308</v>
      </c>
      <c r="J2880" s="14" t="s">
        <v>29</v>
      </c>
      <c r="K2880" s="15" t="s">
        <v>30</v>
      </c>
      <c r="L2880" s="88"/>
      <c r="M2880" s="14"/>
      <c r="N2880" s="14" t="s">
        <v>70</v>
      </c>
      <c r="O2880" s="14"/>
      <c r="P2880" s="15" t="s">
        <v>3018</v>
      </c>
      <c r="Q2880" s="16">
        <v>4299</v>
      </c>
      <c r="R2880" s="17">
        <v>45</v>
      </c>
      <c r="S2880" s="18">
        <v>2719.1174999999994</v>
      </c>
      <c r="T2880" s="19" t="s">
        <v>117</v>
      </c>
      <c r="U2880" s="20" t="s">
        <v>36</v>
      </c>
      <c r="V2880" s="21">
        <v>122</v>
      </c>
      <c r="W2880" s="21">
        <v>5</v>
      </c>
      <c r="X2880" s="22"/>
    </row>
    <row r="2881" spans="1:24" s="1" customFormat="1" ht="17.100000000000001" customHeight="1" x14ac:dyDescent="0.3">
      <c r="A2881" s="11" t="s">
        <v>3014</v>
      </c>
      <c r="B2881" s="11" t="s">
        <v>3408</v>
      </c>
      <c r="C2881" s="12" t="s">
        <v>3409</v>
      </c>
      <c r="D2881" s="83"/>
      <c r="E2881" s="69" t="str">
        <f t="shared" ref="E2881:E2886" si="115">HYPERLINK("https://www.google.ru/search?q=7100113A-3290&amp;newwindow=1&amp;tbm=isch","Еще фото")</f>
        <v>Еще фото</v>
      </c>
      <c r="F2881" s="13"/>
      <c r="G2881" s="11" t="s">
        <v>307</v>
      </c>
      <c r="H2881" s="11" t="s">
        <v>27</v>
      </c>
      <c r="I2881" s="14" t="s">
        <v>308</v>
      </c>
      <c r="J2881" s="14" t="s">
        <v>29</v>
      </c>
      <c r="K2881" s="15" t="s">
        <v>30</v>
      </c>
      <c r="L2881" s="86" t="s">
        <v>3410</v>
      </c>
      <c r="M2881" s="14" t="s">
        <v>2945</v>
      </c>
      <c r="N2881" s="14" t="s">
        <v>275</v>
      </c>
      <c r="O2881" s="14"/>
      <c r="P2881" s="15" t="s">
        <v>3018</v>
      </c>
      <c r="Q2881" s="16">
        <v>4999</v>
      </c>
      <c r="R2881" s="17">
        <v>45</v>
      </c>
      <c r="S2881" s="18">
        <v>3161.8674999999994</v>
      </c>
      <c r="T2881" s="19" t="s">
        <v>117</v>
      </c>
      <c r="U2881" s="20" t="s">
        <v>2977</v>
      </c>
      <c r="V2881" s="21">
        <v>92</v>
      </c>
      <c r="W2881" s="21">
        <v>2</v>
      </c>
      <c r="X2881" s="22"/>
    </row>
    <row r="2882" spans="1:24" s="1" customFormat="1" ht="17.100000000000001" customHeight="1" x14ac:dyDescent="0.3">
      <c r="A2882" s="23" t="s">
        <v>3014</v>
      </c>
      <c r="B2882" s="23" t="s">
        <v>3408</v>
      </c>
      <c r="C2882" s="12" t="s">
        <v>3409</v>
      </c>
      <c r="D2882" s="84"/>
      <c r="E2882" s="69" t="str">
        <f t="shared" si="115"/>
        <v>Еще фото</v>
      </c>
      <c r="F2882" s="13"/>
      <c r="G2882" s="23" t="s">
        <v>307</v>
      </c>
      <c r="H2882" s="23" t="s">
        <v>27</v>
      </c>
      <c r="I2882" s="23" t="s">
        <v>308</v>
      </c>
      <c r="J2882" s="14" t="s">
        <v>29</v>
      </c>
      <c r="K2882" s="15" t="s">
        <v>30</v>
      </c>
      <c r="L2882" s="87"/>
      <c r="M2882" s="14" t="s">
        <v>2945</v>
      </c>
      <c r="N2882" s="14" t="s">
        <v>275</v>
      </c>
      <c r="O2882" s="14"/>
      <c r="P2882" s="15" t="s">
        <v>3018</v>
      </c>
      <c r="Q2882" s="16">
        <v>4999</v>
      </c>
      <c r="R2882" s="17">
        <v>45</v>
      </c>
      <c r="S2882" s="18">
        <v>3161.8674999999994</v>
      </c>
      <c r="T2882" s="19" t="s">
        <v>117</v>
      </c>
      <c r="U2882" s="20" t="s">
        <v>2961</v>
      </c>
      <c r="V2882" s="21">
        <v>98</v>
      </c>
      <c r="W2882" s="21">
        <v>2</v>
      </c>
      <c r="X2882" s="22"/>
    </row>
    <row r="2883" spans="1:24" s="1" customFormat="1" ht="17.100000000000001" customHeight="1" x14ac:dyDescent="0.3">
      <c r="A2883" s="23" t="s">
        <v>3014</v>
      </c>
      <c r="B2883" s="23" t="s">
        <v>3408</v>
      </c>
      <c r="C2883" s="12" t="s">
        <v>3409</v>
      </c>
      <c r="D2883" s="84"/>
      <c r="E2883" s="69" t="str">
        <f t="shared" si="115"/>
        <v>Еще фото</v>
      </c>
      <c r="F2883" s="13"/>
      <c r="G2883" s="23" t="s">
        <v>307</v>
      </c>
      <c r="H2883" s="23" t="s">
        <v>27</v>
      </c>
      <c r="I2883" s="23" t="s">
        <v>308</v>
      </c>
      <c r="J2883" s="14" t="s">
        <v>29</v>
      </c>
      <c r="K2883" s="15" t="s">
        <v>30</v>
      </c>
      <c r="L2883" s="87"/>
      <c r="M2883" s="14" t="s">
        <v>2945</v>
      </c>
      <c r="N2883" s="14" t="s">
        <v>275</v>
      </c>
      <c r="O2883" s="14"/>
      <c r="P2883" s="15" t="s">
        <v>3018</v>
      </c>
      <c r="Q2883" s="16">
        <v>4999</v>
      </c>
      <c r="R2883" s="17">
        <v>45</v>
      </c>
      <c r="S2883" s="18">
        <v>3161.8674999999994</v>
      </c>
      <c r="T2883" s="19" t="s">
        <v>117</v>
      </c>
      <c r="U2883" s="20" t="s">
        <v>94</v>
      </c>
      <c r="V2883" s="21">
        <v>104</v>
      </c>
      <c r="W2883" s="21">
        <v>4</v>
      </c>
      <c r="X2883" s="22"/>
    </row>
    <row r="2884" spans="1:24" s="1" customFormat="1" ht="17.100000000000001" customHeight="1" x14ac:dyDescent="0.3">
      <c r="A2884" s="23" t="s">
        <v>3014</v>
      </c>
      <c r="B2884" s="23" t="s">
        <v>3408</v>
      </c>
      <c r="C2884" s="12" t="s">
        <v>3409</v>
      </c>
      <c r="D2884" s="84"/>
      <c r="E2884" s="69" t="str">
        <f t="shared" si="115"/>
        <v>Еще фото</v>
      </c>
      <c r="F2884" s="13"/>
      <c r="G2884" s="23" t="s">
        <v>307</v>
      </c>
      <c r="H2884" s="23" t="s">
        <v>27</v>
      </c>
      <c r="I2884" s="23" t="s">
        <v>308</v>
      </c>
      <c r="J2884" s="14" t="s">
        <v>29</v>
      </c>
      <c r="K2884" s="15" t="s">
        <v>30</v>
      </c>
      <c r="L2884" s="87"/>
      <c r="M2884" s="14" t="s">
        <v>2945</v>
      </c>
      <c r="N2884" s="14" t="s">
        <v>275</v>
      </c>
      <c r="O2884" s="14"/>
      <c r="P2884" s="15" t="s">
        <v>3018</v>
      </c>
      <c r="Q2884" s="16">
        <v>4999</v>
      </c>
      <c r="R2884" s="17">
        <v>45</v>
      </c>
      <c r="S2884" s="18">
        <v>3161.8674999999994</v>
      </c>
      <c r="T2884" s="19" t="s">
        <v>117</v>
      </c>
      <c r="U2884" s="20" t="s">
        <v>43</v>
      </c>
      <c r="V2884" s="21">
        <v>110</v>
      </c>
      <c r="W2884" s="21">
        <v>5</v>
      </c>
      <c r="X2884" s="22"/>
    </row>
    <row r="2885" spans="1:24" s="1" customFormat="1" ht="17.100000000000001" customHeight="1" x14ac:dyDescent="0.3">
      <c r="A2885" s="23" t="s">
        <v>3014</v>
      </c>
      <c r="B2885" s="23" t="s">
        <v>3408</v>
      </c>
      <c r="C2885" s="12" t="s">
        <v>3409</v>
      </c>
      <c r="D2885" s="84"/>
      <c r="E2885" s="69" t="str">
        <f t="shared" si="115"/>
        <v>Еще фото</v>
      </c>
      <c r="F2885" s="13"/>
      <c r="G2885" s="23" t="s">
        <v>307</v>
      </c>
      <c r="H2885" s="23" t="s">
        <v>27</v>
      </c>
      <c r="I2885" s="23" t="s">
        <v>308</v>
      </c>
      <c r="J2885" s="14" t="s">
        <v>29</v>
      </c>
      <c r="K2885" s="15" t="s">
        <v>30</v>
      </c>
      <c r="L2885" s="87"/>
      <c r="M2885" s="14" t="s">
        <v>2945</v>
      </c>
      <c r="N2885" s="14" t="s">
        <v>275</v>
      </c>
      <c r="O2885" s="14"/>
      <c r="P2885" s="15" t="s">
        <v>3018</v>
      </c>
      <c r="Q2885" s="16">
        <v>4999</v>
      </c>
      <c r="R2885" s="17">
        <v>45</v>
      </c>
      <c r="S2885" s="18">
        <v>3161.8674999999994</v>
      </c>
      <c r="T2885" s="19" t="s">
        <v>117</v>
      </c>
      <c r="U2885" s="20" t="s">
        <v>36</v>
      </c>
      <c r="V2885" s="21">
        <v>122</v>
      </c>
      <c r="W2885" s="21">
        <v>3</v>
      </c>
      <c r="X2885" s="22"/>
    </row>
    <row r="2886" spans="1:24" s="1" customFormat="1" ht="21.95" customHeight="1" x14ac:dyDescent="0.3">
      <c r="A2886" s="23" t="s">
        <v>3014</v>
      </c>
      <c r="B2886" s="23" t="s">
        <v>3408</v>
      </c>
      <c r="C2886" s="12" t="s">
        <v>3409</v>
      </c>
      <c r="D2886" s="85"/>
      <c r="E2886" s="69" t="str">
        <f t="shared" si="115"/>
        <v>Еще фото</v>
      </c>
      <c r="F2886" s="13"/>
      <c r="G2886" s="23" t="s">
        <v>307</v>
      </c>
      <c r="H2886" s="23" t="s">
        <v>27</v>
      </c>
      <c r="I2886" s="23" t="s">
        <v>308</v>
      </c>
      <c r="J2886" s="14" t="s">
        <v>29</v>
      </c>
      <c r="K2886" s="15" t="s">
        <v>30</v>
      </c>
      <c r="L2886" s="88"/>
      <c r="M2886" s="14" t="s">
        <v>2945</v>
      </c>
      <c r="N2886" s="14" t="s">
        <v>275</v>
      </c>
      <c r="O2886" s="14"/>
      <c r="P2886" s="15" t="s">
        <v>3018</v>
      </c>
      <c r="Q2886" s="16">
        <v>4999</v>
      </c>
      <c r="R2886" s="17">
        <v>45</v>
      </c>
      <c r="S2886" s="18">
        <v>3161.8674999999994</v>
      </c>
      <c r="T2886" s="19" t="s">
        <v>117</v>
      </c>
      <c r="U2886" s="20" t="s">
        <v>37</v>
      </c>
      <c r="V2886" s="21">
        <v>128</v>
      </c>
      <c r="W2886" s="21">
        <v>2</v>
      </c>
      <c r="X2886" s="22"/>
    </row>
    <row r="2887" spans="1:24" s="1" customFormat="1" ht="21" customHeight="1" x14ac:dyDescent="0.3">
      <c r="A2887" s="11" t="s">
        <v>3014</v>
      </c>
      <c r="B2887" s="11" t="s">
        <v>3408</v>
      </c>
      <c r="C2887" s="27" t="s">
        <v>3411</v>
      </c>
      <c r="D2887" s="83"/>
      <c r="E2887" s="69" t="str">
        <f>HYPERLINK("https://www.google.ru/search?q=7100113A-4672&amp;newwindow=1&amp;tbm=isch","Еще фото")</f>
        <v>Еще фото</v>
      </c>
      <c r="F2887" s="13"/>
      <c r="G2887" s="11" t="s">
        <v>307</v>
      </c>
      <c r="H2887" s="11" t="s">
        <v>27</v>
      </c>
      <c r="I2887" s="14" t="s">
        <v>308</v>
      </c>
      <c r="J2887" s="14" t="s">
        <v>29</v>
      </c>
      <c r="K2887" s="15" t="s">
        <v>30</v>
      </c>
      <c r="L2887" s="86" t="s">
        <v>3410</v>
      </c>
      <c r="M2887" s="14" t="s">
        <v>2945</v>
      </c>
      <c r="N2887" s="14" t="s">
        <v>275</v>
      </c>
      <c r="O2887" s="14"/>
      <c r="P2887" s="15" t="s">
        <v>3018</v>
      </c>
      <c r="Q2887" s="16">
        <v>4999</v>
      </c>
      <c r="R2887" s="17">
        <v>45</v>
      </c>
      <c r="S2887" s="18">
        <v>3161.8674999999994</v>
      </c>
      <c r="T2887" s="19" t="s">
        <v>117</v>
      </c>
      <c r="U2887" s="20" t="s">
        <v>2977</v>
      </c>
      <c r="V2887" s="21">
        <v>92</v>
      </c>
      <c r="W2887" s="21">
        <v>2</v>
      </c>
      <c r="X2887" s="22"/>
    </row>
    <row r="2888" spans="1:24" s="1" customFormat="1" ht="21" customHeight="1" x14ac:dyDescent="0.3">
      <c r="A2888" s="23" t="s">
        <v>3014</v>
      </c>
      <c r="B2888" s="23" t="s">
        <v>3408</v>
      </c>
      <c r="C2888" s="28" t="s">
        <v>3411</v>
      </c>
      <c r="D2888" s="84"/>
      <c r="E2888" s="69" t="str">
        <f>HYPERLINK("https://www.google.ru/search?q=7100113A-4672&amp;newwindow=1&amp;tbm=isch","Еще фото")</f>
        <v>Еще фото</v>
      </c>
      <c r="F2888" s="13"/>
      <c r="G2888" s="23" t="s">
        <v>307</v>
      </c>
      <c r="H2888" s="23" t="s">
        <v>27</v>
      </c>
      <c r="I2888" s="23" t="s">
        <v>308</v>
      </c>
      <c r="J2888" s="14" t="s">
        <v>29</v>
      </c>
      <c r="K2888" s="15" t="s">
        <v>30</v>
      </c>
      <c r="L2888" s="87"/>
      <c r="M2888" s="14" t="s">
        <v>2945</v>
      </c>
      <c r="N2888" s="14" t="s">
        <v>275</v>
      </c>
      <c r="O2888" s="14"/>
      <c r="P2888" s="15" t="s">
        <v>3018</v>
      </c>
      <c r="Q2888" s="16">
        <v>4999</v>
      </c>
      <c r="R2888" s="17">
        <v>45</v>
      </c>
      <c r="S2888" s="18">
        <v>3161.8674999999994</v>
      </c>
      <c r="T2888" s="19" t="s">
        <v>117</v>
      </c>
      <c r="U2888" s="20" t="s">
        <v>94</v>
      </c>
      <c r="V2888" s="21">
        <v>104</v>
      </c>
      <c r="W2888" s="21">
        <v>3</v>
      </c>
      <c r="X2888" s="22"/>
    </row>
    <row r="2889" spans="1:24" s="1" customFormat="1" ht="21" customHeight="1" x14ac:dyDescent="0.3">
      <c r="A2889" s="23" t="s">
        <v>3014</v>
      </c>
      <c r="B2889" s="23" t="s">
        <v>3408</v>
      </c>
      <c r="C2889" s="28" t="s">
        <v>3411</v>
      </c>
      <c r="D2889" s="84"/>
      <c r="E2889" s="69" t="str">
        <f>HYPERLINK("https://www.google.ru/search?q=7100113A-4672&amp;newwindow=1&amp;tbm=isch","Еще фото")</f>
        <v>Еще фото</v>
      </c>
      <c r="F2889" s="13"/>
      <c r="G2889" s="23" t="s">
        <v>307</v>
      </c>
      <c r="H2889" s="23" t="s">
        <v>27</v>
      </c>
      <c r="I2889" s="23" t="s">
        <v>308</v>
      </c>
      <c r="J2889" s="14" t="s">
        <v>29</v>
      </c>
      <c r="K2889" s="15" t="s">
        <v>30</v>
      </c>
      <c r="L2889" s="87"/>
      <c r="M2889" s="14" t="s">
        <v>2945</v>
      </c>
      <c r="N2889" s="14" t="s">
        <v>275</v>
      </c>
      <c r="O2889" s="14"/>
      <c r="P2889" s="15" t="s">
        <v>3018</v>
      </c>
      <c r="Q2889" s="16">
        <v>4999</v>
      </c>
      <c r="R2889" s="17">
        <v>45</v>
      </c>
      <c r="S2889" s="18">
        <v>3161.8674999999994</v>
      </c>
      <c r="T2889" s="19" t="s">
        <v>117</v>
      </c>
      <c r="U2889" s="20" t="s">
        <v>43</v>
      </c>
      <c r="V2889" s="21">
        <v>110</v>
      </c>
      <c r="W2889" s="21">
        <v>3</v>
      </c>
      <c r="X2889" s="22"/>
    </row>
    <row r="2890" spans="1:24" s="1" customFormat="1" ht="21" customHeight="1" x14ac:dyDescent="0.3">
      <c r="A2890" s="23" t="s">
        <v>3014</v>
      </c>
      <c r="B2890" s="23" t="s">
        <v>3408</v>
      </c>
      <c r="C2890" s="28" t="s">
        <v>3411</v>
      </c>
      <c r="D2890" s="84"/>
      <c r="E2890" s="69" t="str">
        <f>HYPERLINK("https://www.google.ru/search?q=7100113A-4672&amp;newwindow=1&amp;tbm=isch","Еще фото")</f>
        <v>Еще фото</v>
      </c>
      <c r="F2890" s="13"/>
      <c r="G2890" s="23" t="s">
        <v>307</v>
      </c>
      <c r="H2890" s="23" t="s">
        <v>27</v>
      </c>
      <c r="I2890" s="23" t="s">
        <v>308</v>
      </c>
      <c r="J2890" s="14" t="s">
        <v>29</v>
      </c>
      <c r="K2890" s="15" t="s">
        <v>30</v>
      </c>
      <c r="L2890" s="87"/>
      <c r="M2890" s="14" t="s">
        <v>2945</v>
      </c>
      <c r="N2890" s="14" t="s">
        <v>275</v>
      </c>
      <c r="O2890" s="14"/>
      <c r="P2890" s="15" t="s">
        <v>3018</v>
      </c>
      <c r="Q2890" s="16">
        <v>4999</v>
      </c>
      <c r="R2890" s="17">
        <v>45</v>
      </c>
      <c r="S2890" s="18">
        <v>3161.8674999999994</v>
      </c>
      <c r="T2890" s="19" t="s">
        <v>117</v>
      </c>
      <c r="U2890" s="20" t="s">
        <v>35</v>
      </c>
      <c r="V2890" s="21">
        <v>116</v>
      </c>
      <c r="W2890" s="21">
        <v>3</v>
      </c>
      <c r="X2890" s="22"/>
    </row>
    <row r="2891" spans="1:24" s="1" customFormat="1" ht="32.1" customHeight="1" x14ac:dyDescent="0.3">
      <c r="A2891" s="23" t="s">
        <v>3014</v>
      </c>
      <c r="B2891" s="23" t="s">
        <v>3408</v>
      </c>
      <c r="C2891" s="28" t="s">
        <v>3411</v>
      </c>
      <c r="D2891" s="85"/>
      <c r="E2891" s="69" t="str">
        <f>HYPERLINK("https://www.google.ru/search?q=7100113A-4672&amp;newwindow=1&amp;tbm=isch","Еще фото")</f>
        <v>Еще фото</v>
      </c>
      <c r="F2891" s="13"/>
      <c r="G2891" s="23" t="s">
        <v>307</v>
      </c>
      <c r="H2891" s="23" t="s">
        <v>27</v>
      </c>
      <c r="I2891" s="23" t="s">
        <v>308</v>
      </c>
      <c r="J2891" s="14" t="s">
        <v>29</v>
      </c>
      <c r="K2891" s="15" t="s">
        <v>30</v>
      </c>
      <c r="L2891" s="88"/>
      <c r="M2891" s="14" t="s">
        <v>2945</v>
      </c>
      <c r="N2891" s="14" t="s">
        <v>275</v>
      </c>
      <c r="O2891" s="14"/>
      <c r="P2891" s="15" t="s">
        <v>3018</v>
      </c>
      <c r="Q2891" s="16">
        <v>4999</v>
      </c>
      <c r="R2891" s="17">
        <v>45</v>
      </c>
      <c r="S2891" s="18">
        <v>3161.8674999999994</v>
      </c>
      <c r="T2891" s="19" t="s">
        <v>117</v>
      </c>
      <c r="U2891" s="20" t="s">
        <v>36</v>
      </c>
      <c r="V2891" s="21">
        <v>122</v>
      </c>
      <c r="W2891" s="21">
        <v>1</v>
      </c>
      <c r="X2891" s="22"/>
    </row>
    <row r="2892" spans="1:24" s="1" customFormat="1" ht="26.1" customHeight="1" x14ac:dyDescent="0.3">
      <c r="A2892" s="11" t="s">
        <v>3014</v>
      </c>
      <c r="B2892" s="11" t="s">
        <v>3412</v>
      </c>
      <c r="C2892" s="12" t="s">
        <v>3413</v>
      </c>
      <c r="D2892" s="83"/>
      <c r="E2892" s="69" t="str">
        <f>HYPERLINK("https://www.google.ru/search?q=71105305-4510&amp;newwindow=1&amp;tbm=isch","Еще фото")</f>
        <v>Еще фото</v>
      </c>
      <c r="F2892" s="13"/>
      <c r="G2892" s="11" t="s">
        <v>3414</v>
      </c>
      <c r="H2892" s="11" t="s">
        <v>27</v>
      </c>
      <c r="I2892" s="14" t="s">
        <v>308</v>
      </c>
      <c r="J2892" s="14" t="s">
        <v>29</v>
      </c>
      <c r="K2892" s="15" t="s">
        <v>30</v>
      </c>
      <c r="L2892" s="86" t="s">
        <v>3415</v>
      </c>
      <c r="M2892" s="14"/>
      <c r="N2892" s="14" t="s">
        <v>275</v>
      </c>
      <c r="O2892" s="14"/>
      <c r="P2892" s="15" t="s">
        <v>3018</v>
      </c>
      <c r="Q2892" s="16">
        <v>5999</v>
      </c>
      <c r="R2892" s="17">
        <v>45</v>
      </c>
      <c r="S2892" s="18">
        <v>3794.3674999999994</v>
      </c>
      <c r="T2892" s="19" t="s">
        <v>117</v>
      </c>
      <c r="U2892" s="20" t="s">
        <v>3264</v>
      </c>
      <c r="V2892" s="21">
        <v>74</v>
      </c>
      <c r="W2892" s="21">
        <v>2</v>
      </c>
      <c r="X2892" s="22"/>
    </row>
    <row r="2893" spans="1:24" s="1" customFormat="1" ht="26.1" customHeight="1" x14ac:dyDescent="0.3">
      <c r="A2893" s="23" t="s">
        <v>3014</v>
      </c>
      <c r="B2893" s="23" t="s">
        <v>3412</v>
      </c>
      <c r="C2893" s="12" t="s">
        <v>3413</v>
      </c>
      <c r="D2893" s="84"/>
      <c r="E2893" s="69" t="str">
        <f>HYPERLINK("https://www.google.ru/search?q=71105305-4510&amp;newwindow=1&amp;tbm=isch","Еще фото")</f>
        <v>Еще фото</v>
      </c>
      <c r="F2893" s="13"/>
      <c r="G2893" s="23" t="s">
        <v>3414</v>
      </c>
      <c r="H2893" s="23" t="s">
        <v>27</v>
      </c>
      <c r="I2893" s="23" t="s">
        <v>308</v>
      </c>
      <c r="J2893" s="14" t="s">
        <v>29</v>
      </c>
      <c r="K2893" s="15" t="s">
        <v>30</v>
      </c>
      <c r="L2893" s="87"/>
      <c r="M2893" s="14"/>
      <c r="N2893" s="14" t="s">
        <v>275</v>
      </c>
      <c r="O2893" s="14"/>
      <c r="P2893" s="15" t="s">
        <v>3018</v>
      </c>
      <c r="Q2893" s="16">
        <v>5999</v>
      </c>
      <c r="R2893" s="17">
        <v>45</v>
      </c>
      <c r="S2893" s="18">
        <v>3794.3674999999994</v>
      </c>
      <c r="T2893" s="19" t="s">
        <v>117</v>
      </c>
      <c r="U2893" s="20" t="s">
        <v>744</v>
      </c>
      <c r="V2893" s="21">
        <v>80</v>
      </c>
      <c r="W2893" s="21">
        <v>2</v>
      </c>
      <c r="X2893" s="22"/>
    </row>
    <row r="2894" spans="1:24" s="1" customFormat="1" ht="26.1" customHeight="1" x14ac:dyDescent="0.3">
      <c r="A2894" s="23" t="s">
        <v>3014</v>
      </c>
      <c r="B2894" s="23" t="s">
        <v>3412</v>
      </c>
      <c r="C2894" s="12" t="s">
        <v>3413</v>
      </c>
      <c r="D2894" s="84"/>
      <c r="E2894" s="69" t="str">
        <f>HYPERLINK("https://www.google.ru/search?q=71105305-4510&amp;newwindow=1&amp;tbm=isch","Еще фото")</f>
        <v>Еще фото</v>
      </c>
      <c r="F2894" s="13"/>
      <c r="G2894" s="23" t="s">
        <v>3414</v>
      </c>
      <c r="H2894" s="23" t="s">
        <v>27</v>
      </c>
      <c r="I2894" s="23" t="s">
        <v>308</v>
      </c>
      <c r="J2894" s="14" t="s">
        <v>29</v>
      </c>
      <c r="K2894" s="15" t="s">
        <v>30</v>
      </c>
      <c r="L2894" s="87"/>
      <c r="M2894" s="14"/>
      <c r="N2894" s="14" t="s">
        <v>275</v>
      </c>
      <c r="O2894" s="14"/>
      <c r="P2894" s="15" t="s">
        <v>3018</v>
      </c>
      <c r="Q2894" s="16">
        <v>5999</v>
      </c>
      <c r="R2894" s="17">
        <v>45</v>
      </c>
      <c r="S2894" s="18">
        <v>3794.3674999999994</v>
      </c>
      <c r="T2894" s="19" t="s">
        <v>117</v>
      </c>
      <c r="U2894" s="20" t="s">
        <v>2976</v>
      </c>
      <c r="V2894" s="21">
        <v>86</v>
      </c>
      <c r="W2894" s="21">
        <v>1</v>
      </c>
      <c r="X2894" s="22"/>
    </row>
    <row r="2895" spans="1:24" s="1" customFormat="1" ht="26.1" customHeight="1" x14ac:dyDescent="0.3">
      <c r="A2895" s="23" t="s">
        <v>3014</v>
      </c>
      <c r="B2895" s="23" t="s">
        <v>3412</v>
      </c>
      <c r="C2895" s="12" t="s">
        <v>3413</v>
      </c>
      <c r="D2895" s="85"/>
      <c r="E2895" s="69" t="str">
        <f>HYPERLINK("https://www.google.ru/search?q=71105305-4510&amp;newwindow=1&amp;tbm=isch","Еще фото")</f>
        <v>Еще фото</v>
      </c>
      <c r="F2895" s="13"/>
      <c r="G2895" s="23" t="s">
        <v>3414</v>
      </c>
      <c r="H2895" s="23" t="s">
        <v>27</v>
      </c>
      <c r="I2895" s="23" t="s">
        <v>308</v>
      </c>
      <c r="J2895" s="14" t="s">
        <v>29</v>
      </c>
      <c r="K2895" s="15" t="s">
        <v>30</v>
      </c>
      <c r="L2895" s="88"/>
      <c r="M2895" s="14"/>
      <c r="N2895" s="14" t="s">
        <v>275</v>
      </c>
      <c r="O2895" s="14"/>
      <c r="P2895" s="15" t="s">
        <v>3018</v>
      </c>
      <c r="Q2895" s="16">
        <v>5999</v>
      </c>
      <c r="R2895" s="17">
        <v>45</v>
      </c>
      <c r="S2895" s="18">
        <v>3794.3674999999994</v>
      </c>
      <c r="T2895" s="19" t="s">
        <v>117</v>
      </c>
      <c r="U2895" s="20" t="s">
        <v>2961</v>
      </c>
      <c r="V2895" s="21">
        <v>98</v>
      </c>
      <c r="W2895" s="21">
        <v>2</v>
      </c>
      <c r="X2895" s="22"/>
    </row>
    <row r="2896" spans="1:24" s="1" customFormat="1" ht="21" customHeight="1" x14ac:dyDescent="0.3">
      <c r="A2896" s="11" t="s">
        <v>3014</v>
      </c>
      <c r="B2896" s="11" t="s">
        <v>3412</v>
      </c>
      <c r="C2896" s="27" t="s">
        <v>3416</v>
      </c>
      <c r="D2896" s="83"/>
      <c r="E2896" s="69" t="str">
        <f>HYPERLINK("https://www.google.ru/search?q=71105305-8010&amp;newwindow=1&amp;tbm=isch","Еще фото")</f>
        <v>Еще фото</v>
      </c>
      <c r="F2896" s="13"/>
      <c r="G2896" s="11" t="s">
        <v>3414</v>
      </c>
      <c r="H2896" s="11" t="s">
        <v>27</v>
      </c>
      <c r="I2896" s="14" t="s">
        <v>308</v>
      </c>
      <c r="J2896" s="14" t="s">
        <v>29</v>
      </c>
      <c r="K2896" s="15" t="s">
        <v>30</v>
      </c>
      <c r="L2896" s="86" t="s">
        <v>3415</v>
      </c>
      <c r="M2896" s="14"/>
      <c r="N2896" s="14" t="s">
        <v>242</v>
      </c>
      <c r="O2896" s="14"/>
      <c r="P2896" s="15" t="s">
        <v>3018</v>
      </c>
      <c r="Q2896" s="16">
        <v>5999</v>
      </c>
      <c r="R2896" s="17">
        <v>45</v>
      </c>
      <c r="S2896" s="18">
        <v>3794.3674999999994</v>
      </c>
      <c r="T2896" s="19" t="s">
        <v>117</v>
      </c>
      <c r="U2896" s="20" t="s">
        <v>3264</v>
      </c>
      <c r="V2896" s="21">
        <v>74</v>
      </c>
      <c r="W2896" s="21">
        <v>4</v>
      </c>
      <c r="X2896" s="22"/>
    </row>
    <row r="2897" spans="1:24" s="1" customFormat="1" ht="21" customHeight="1" x14ac:dyDescent="0.3">
      <c r="A2897" s="23" t="s">
        <v>3014</v>
      </c>
      <c r="B2897" s="23" t="s">
        <v>3412</v>
      </c>
      <c r="C2897" s="28" t="s">
        <v>3416</v>
      </c>
      <c r="D2897" s="84"/>
      <c r="E2897" s="69" t="str">
        <f>HYPERLINK("https://www.google.ru/search?q=71105305-8010&amp;newwindow=1&amp;tbm=isch","Еще фото")</f>
        <v>Еще фото</v>
      </c>
      <c r="F2897" s="13"/>
      <c r="G2897" s="23" t="s">
        <v>3414</v>
      </c>
      <c r="H2897" s="23" t="s">
        <v>27</v>
      </c>
      <c r="I2897" s="23" t="s">
        <v>308</v>
      </c>
      <c r="J2897" s="14" t="s">
        <v>29</v>
      </c>
      <c r="K2897" s="15" t="s">
        <v>30</v>
      </c>
      <c r="L2897" s="87"/>
      <c r="M2897" s="14"/>
      <c r="N2897" s="14" t="s">
        <v>242</v>
      </c>
      <c r="O2897" s="14"/>
      <c r="P2897" s="15" t="s">
        <v>3018</v>
      </c>
      <c r="Q2897" s="16">
        <v>5999</v>
      </c>
      <c r="R2897" s="17">
        <v>45</v>
      </c>
      <c r="S2897" s="18">
        <v>3794.3674999999994</v>
      </c>
      <c r="T2897" s="19" t="s">
        <v>117</v>
      </c>
      <c r="U2897" s="20" t="s">
        <v>744</v>
      </c>
      <c r="V2897" s="21">
        <v>80</v>
      </c>
      <c r="W2897" s="21">
        <v>4</v>
      </c>
      <c r="X2897" s="22"/>
    </row>
    <row r="2898" spans="1:24" s="1" customFormat="1" ht="21" customHeight="1" x14ac:dyDescent="0.3">
      <c r="A2898" s="23" t="s">
        <v>3014</v>
      </c>
      <c r="B2898" s="23" t="s">
        <v>3412</v>
      </c>
      <c r="C2898" s="28" t="s">
        <v>3416</v>
      </c>
      <c r="D2898" s="84"/>
      <c r="E2898" s="69" t="str">
        <f>HYPERLINK("https://www.google.ru/search?q=71105305-8010&amp;newwindow=1&amp;tbm=isch","Еще фото")</f>
        <v>Еще фото</v>
      </c>
      <c r="F2898" s="13"/>
      <c r="G2898" s="23" t="s">
        <v>3414</v>
      </c>
      <c r="H2898" s="23" t="s">
        <v>27</v>
      </c>
      <c r="I2898" s="23" t="s">
        <v>308</v>
      </c>
      <c r="J2898" s="14" t="s">
        <v>29</v>
      </c>
      <c r="K2898" s="15" t="s">
        <v>30</v>
      </c>
      <c r="L2898" s="87"/>
      <c r="M2898" s="14"/>
      <c r="N2898" s="14" t="s">
        <v>242</v>
      </c>
      <c r="O2898" s="14"/>
      <c r="P2898" s="15" t="s">
        <v>3018</v>
      </c>
      <c r="Q2898" s="16">
        <v>5999</v>
      </c>
      <c r="R2898" s="17">
        <v>45</v>
      </c>
      <c r="S2898" s="18">
        <v>3794.3674999999994</v>
      </c>
      <c r="T2898" s="19" t="s">
        <v>117</v>
      </c>
      <c r="U2898" s="20" t="s">
        <v>2976</v>
      </c>
      <c r="V2898" s="21">
        <v>86</v>
      </c>
      <c r="W2898" s="21">
        <v>3</v>
      </c>
      <c r="X2898" s="22"/>
    </row>
    <row r="2899" spans="1:24" s="1" customFormat="1" ht="21" customHeight="1" x14ac:dyDescent="0.3">
      <c r="A2899" s="23" t="s">
        <v>3014</v>
      </c>
      <c r="B2899" s="23" t="s">
        <v>3412</v>
      </c>
      <c r="C2899" s="28" t="s">
        <v>3416</v>
      </c>
      <c r="D2899" s="84"/>
      <c r="E2899" s="69" t="str">
        <f>HYPERLINK("https://www.google.ru/search?q=71105305-8010&amp;newwindow=1&amp;tbm=isch","Еще фото")</f>
        <v>Еще фото</v>
      </c>
      <c r="F2899" s="13"/>
      <c r="G2899" s="23" t="s">
        <v>3414</v>
      </c>
      <c r="H2899" s="23" t="s">
        <v>27</v>
      </c>
      <c r="I2899" s="23" t="s">
        <v>308</v>
      </c>
      <c r="J2899" s="14" t="s">
        <v>29</v>
      </c>
      <c r="K2899" s="15" t="s">
        <v>30</v>
      </c>
      <c r="L2899" s="87"/>
      <c r="M2899" s="14"/>
      <c r="N2899" s="14" t="s">
        <v>242</v>
      </c>
      <c r="O2899" s="14"/>
      <c r="P2899" s="15" t="s">
        <v>3018</v>
      </c>
      <c r="Q2899" s="16">
        <v>5999</v>
      </c>
      <c r="R2899" s="17">
        <v>45</v>
      </c>
      <c r="S2899" s="18">
        <v>3794.3674999999994</v>
      </c>
      <c r="T2899" s="19" t="s">
        <v>117</v>
      </c>
      <c r="U2899" s="20" t="s">
        <v>2977</v>
      </c>
      <c r="V2899" s="21">
        <v>92</v>
      </c>
      <c r="W2899" s="21">
        <v>4</v>
      </c>
      <c r="X2899" s="22"/>
    </row>
    <row r="2900" spans="1:24" s="1" customFormat="1" ht="32.1" customHeight="1" x14ac:dyDescent="0.3">
      <c r="A2900" s="23" t="s">
        <v>3014</v>
      </c>
      <c r="B2900" s="23" t="s">
        <v>3412</v>
      </c>
      <c r="C2900" s="28" t="s">
        <v>3416</v>
      </c>
      <c r="D2900" s="85"/>
      <c r="E2900" s="69" t="str">
        <f>HYPERLINK("https://www.google.ru/search?q=71105305-8010&amp;newwindow=1&amp;tbm=isch","Еще фото")</f>
        <v>Еще фото</v>
      </c>
      <c r="F2900" s="13"/>
      <c r="G2900" s="23" t="s">
        <v>3414</v>
      </c>
      <c r="H2900" s="23" t="s">
        <v>27</v>
      </c>
      <c r="I2900" s="23" t="s">
        <v>308</v>
      </c>
      <c r="J2900" s="14" t="s">
        <v>29</v>
      </c>
      <c r="K2900" s="15" t="s">
        <v>30</v>
      </c>
      <c r="L2900" s="88"/>
      <c r="M2900" s="14"/>
      <c r="N2900" s="14" t="s">
        <v>242</v>
      </c>
      <c r="O2900" s="14"/>
      <c r="P2900" s="15" t="s">
        <v>3018</v>
      </c>
      <c r="Q2900" s="16">
        <v>5999</v>
      </c>
      <c r="R2900" s="17">
        <v>45</v>
      </c>
      <c r="S2900" s="18">
        <v>3794.3674999999994</v>
      </c>
      <c r="T2900" s="19" t="s">
        <v>117</v>
      </c>
      <c r="U2900" s="20" t="s">
        <v>2961</v>
      </c>
      <c r="V2900" s="21">
        <v>98</v>
      </c>
      <c r="W2900" s="21">
        <v>3</v>
      </c>
      <c r="X2900" s="22"/>
    </row>
    <row r="2901" spans="1:24" s="1" customFormat="1" ht="26.1" customHeight="1" x14ac:dyDescent="0.3">
      <c r="A2901" s="11" t="s">
        <v>3014</v>
      </c>
      <c r="B2901" s="11" t="s">
        <v>3417</v>
      </c>
      <c r="C2901" s="12" t="s">
        <v>3418</v>
      </c>
      <c r="D2901" s="83"/>
      <c r="E2901" s="69" t="str">
        <f>HYPERLINK("https://www.google.ru/search?q=72103322-6960&amp;newwindow=1&amp;tbm=isch","Еще фото")</f>
        <v>Еще фото</v>
      </c>
      <c r="F2901" s="13"/>
      <c r="G2901" s="11" t="s">
        <v>3414</v>
      </c>
      <c r="H2901" s="11" t="s">
        <v>27</v>
      </c>
      <c r="I2901" s="14" t="s">
        <v>308</v>
      </c>
      <c r="J2901" s="14" t="s">
        <v>138</v>
      </c>
      <c r="K2901" s="15" t="s">
        <v>30</v>
      </c>
      <c r="L2901" s="86" t="s">
        <v>3419</v>
      </c>
      <c r="M2901" s="14"/>
      <c r="N2901" s="14" t="s">
        <v>70</v>
      </c>
      <c r="O2901" s="14"/>
      <c r="P2901" s="15" t="s">
        <v>3018</v>
      </c>
      <c r="Q2901" s="16">
        <v>9999</v>
      </c>
      <c r="R2901" s="17">
        <v>45</v>
      </c>
      <c r="S2901" s="18">
        <v>6324.3674999999994</v>
      </c>
      <c r="T2901" s="19" t="s">
        <v>117</v>
      </c>
      <c r="U2901" s="20" t="s">
        <v>94</v>
      </c>
      <c r="V2901" s="21">
        <v>104</v>
      </c>
      <c r="W2901" s="21">
        <v>4</v>
      </c>
      <c r="X2901" s="22"/>
    </row>
    <row r="2902" spans="1:24" s="1" customFormat="1" ht="26.1" customHeight="1" x14ac:dyDescent="0.3">
      <c r="A2902" s="23" t="s">
        <v>3014</v>
      </c>
      <c r="B2902" s="23" t="s">
        <v>3417</v>
      </c>
      <c r="C2902" s="12" t="s">
        <v>3418</v>
      </c>
      <c r="D2902" s="84"/>
      <c r="E2902" s="69" t="str">
        <f>HYPERLINK("https://www.google.ru/search?q=72103322-6960&amp;newwindow=1&amp;tbm=isch","Еще фото")</f>
        <v>Еще фото</v>
      </c>
      <c r="F2902" s="13"/>
      <c r="G2902" s="23" t="s">
        <v>3414</v>
      </c>
      <c r="H2902" s="23" t="s">
        <v>27</v>
      </c>
      <c r="I2902" s="23" t="s">
        <v>308</v>
      </c>
      <c r="J2902" s="14" t="s">
        <v>138</v>
      </c>
      <c r="K2902" s="15" t="s">
        <v>30</v>
      </c>
      <c r="L2902" s="87"/>
      <c r="M2902" s="14"/>
      <c r="N2902" s="14" t="s">
        <v>70</v>
      </c>
      <c r="O2902" s="14"/>
      <c r="P2902" s="15" t="s">
        <v>3018</v>
      </c>
      <c r="Q2902" s="16">
        <v>9999</v>
      </c>
      <c r="R2902" s="17">
        <v>45</v>
      </c>
      <c r="S2902" s="18">
        <v>6324.3674999999994</v>
      </c>
      <c r="T2902" s="19" t="s">
        <v>117</v>
      </c>
      <c r="U2902" s="20" t="s">
        <v>43</v>
      </c>
      <c r="V2902" s="21">
        <v>110</v>
      </c>
      <c r="W2902" s="21">
        <v>4</v>
      </c>
      <c r="X2902" s="22"/>
    </row>
    <row r="2903" spans="1:24" s="1" customFormat="1" ht="26.1" customHeight="1" x14ac:dyDescent="0.3">
      <c r="A2903" s="23" t="s">
        <v>3014</v>
      </c>
      <c r="B2903" s="23" t="s">
        <v>3417</v>
      </c>
      <c r="C2903" s="12" t="s">
        <v>3418</v>
      </c>
      <c r="D2903" s="84"/>
      <c r="E2903" s="69" t="str">
        <f>HYPERLINK("https://www.google.ru/search?q=72103322-6960&amp;newwindow=1&amp;tbm=isch","Еще фото")</f>
        <v>Еще фото</v>
      </c>
      <c r="F2903" s="13"/>
      <c r="G2903" s="23" t="s">
        <v>3414</v>
      </c>
      <c r="H2903" s="23" t="s">
        <v>27</v>
      </c>
      <c r="I2903" s="23" t="s">
        <v>308</v>
      </c>
      <c r="J2903" s="14" t="s">
        <v>138</v>
      </c>
      <c r="K2903" s="15" t="s">
        <v>30</v>
      </c>
      <c r="L2903" s="87"/>
      <c r="M2903" s="14"/>
      <c r="N2903" s="14" t="s">
        <v>70</v>
      </c>
      <c r="O2903" s="14"/>
      <c r="P2903" s="15" t="s">
        <v>3018</v>
      </c>
      <c r="Q2903" s="16">
        <v>9999</v>
      </c>
      <c r="R2903" s="17">
        <v>45</v>
      </c>
      <c r="S2903" s="18">
        <v>6324.3674999999994</v>
      </c>
      <c r="T2903" s="19" t="s">
        <v>117</v>
      </c>
      <c r="U2903" s="20" t="s">
        <v>35</v>
      </c>
      <c r="V2903" s="21">
        <v>116</v>
      </c>
      <c r="W2903" s="21">
        <v>3</v>
      </c>
      <c r="X2903" s="22"/>
    </row>
    <row r="2904" spans="1:24" s="1" customFormat="1" ht="26.1" customHeight="1" x14ac:dyDescent="0.3">
      <c r="A2904" s="23" t="s">
        <v>3014</v>
      </c>
      <c r="B2904" s="23" t="s">
        <v>3417</v>
      </c>
      <c r="C2904" s="12" t="s">
        <v>3418</v>
      </c>
      <c r="D2904" s="85"/>
      <c r="E2904" s="69" t="str">
        <f>HYPERLINK("https://www.google.ru/search?q=72103322-6960&amp;newwindow=1&amp;tbm=isch","Еще фото")</f>
        <v>Еще фото</v>
      </c>
      <c r="F2904" s="13"/>
      <c r="G2904" s="23" t="s">
        <v>3414</v>
      </c>
      <c r="H2904" s="23" t="s">
        <v>27</v>
      </c>
      <c r="I2904" s="23" t="s">
        <v>308</v>
      </c>
      <c r="J2904" s="14" t="s">
        <v>138</v>
      </c>
      <c r="K2904" s="15" t="s">
        <v>30</v>
      </c>
      <c r="L2904" s="88"/>
      <c r="M2904" s="14"/>
      <c r="N2904" s="14" t="s">
        <v>70</v>
      </c>
      <c r="O2904" s="14"/>
      <c r="P2904" s="15" t="s">
        <v>3018</v>
      </c>
      <c r="Q2904" s="16">
        <v>9999</v>
      </c>
      <c r="R2904" s="17">
        <v>45</v>
      </c>
      <c r="S2904" s="18">
        <v>6324.3674999999994</v>
      </c>
      <c r="T2904" s="19" t="s">
        <v>117</v>
      </c>
      <c r="U2904" s="20" t="s">
        <v>36</v>
      </c>
      <c r="V2904" s="21">
        <v>122</v>
      </c>
      <c r="W2904" s="21">
        <v>4</v>
      </c>
      <c r="X2904" s="22"/>
    </row>
    <row r="2905" spans="1:24" s="1" customFormat="1" ht="26.1" customHeight="1" x14ac:dyDescent="0.3">
      <c r="A2905" s="11" t="s">
        <v>3014</v>
      </c>
      <c r="B2905" s="11" t="s">
        <v>3420</v>
      </c>
      <c r="C2905" s="12" t="s">
        <v>3421</v>
      </c>
      <c r="D2905" s="83"/>
      <c r="E2905" s="69" t="str">
        <f>HYPERLINK("https://www.google.ru/search?q=72103430-0100&amp;newwindow=1&amp;tbm=isch","Еще фото")</f>
        <v>Еще фото</v>
      </c>
      <c r="F2905" s="13"/>
      <c r="G2905" s="11" t="s">
        <v>3414</v>
      </c>
      <c r="H2905" s="11" t="s">
        <v>27</v>
      </c>
      <c r="I2905" s="14" t="s">
        <v>308</v>
      </c>
      <c r="J2905" s="14" t="s">
        <v>138</v>
      </c>
      <c r="K2905" s="15" t="s">
        <v>30</v>
      </c>
      <c r="L2905" s="86" t="s">
        <v>3422</v>
      </c>
      <c r="M2905" s="14"/>
      <c r="N2905" s="14" t="s">
        <v>89</v>
      </c>
      <c r="O2905" s="14"/>
      <c r="P2905" s="15" t="s">
        <v>3018</v>
      </c>
      <c r="Q2905" s="16">
        <v>12999</v>
      </c>
      <c r="R2905" s="17">
        <v>45</v>
      </c>
      <c r="S2905" s="18">
        <v>8221.8674999999985</v>
      </c>
      <c r="T2905" s="19" t="s">
        <v>117</v>
      </c>
      <c r="U2905" s="20" t="s">
        <v>94</v>
      </c>
      <c r="V2905" s="21">
        <v>104</v>
      </c>
      <c r="W2905" s="21">
        <v>5</v>
      </c>
      <c r="X2905" s="22"/>
    </row>
    <row r="2906" spans="1:24" s="1" customFormat="1" ht="26.1" customHeight="1" x14ac:dyDescent="0.3">
      <c r="A2906" s="23" t="s">
        <v>3014</v>
      </c>
      <c r="B2906" s="23" t="s">
        <v>3420</v>
      </c>
      <c r="C2906" s="12" t="s">
        <v>3421</v>
      </c>
      <c r="D2906" s="84"/>
      <c r="E2906" s="69" t="str">
        <f>HYPERLINK("https://www.google.ru/search?q=72103430-0100&amp;newwindow=1&amp;tbm=isch","Еще фото")</f>
        <v>Еще фото</v>
      </c>
      <c r="F2906" s="13"/>
      <c r="G2906" s="23" t="s">
        <v>3414</v>
      </c>
      <c r="H2906" s="23" t="s">
        <v>27</v>
      </c>
      <c r="I2906" s="23" t="s">
        <v>308</v>
      </c>
      <c r="J2906" s="14" t="s">
        <v>138</v>
      </c>
      <c r="K2906" s="15" t="s">
        <v>30</v>
      </c>
      <c r="L2906" s="87"/>
      <c r="M2906" s="14"/>
      <c r="N2906" s="14" t="s">
        <v>89</v>
      </c>
      <c r="O2906" s="14"/>
      <c r="P2906" s="15" t="s">
        <v>3018</v>
      </c>
      <c r="Q2906" s="16">
        <v>12999</v>
      </c>
      <c r="R2906" s="17">
        <v>45</v>
      </c>
      <c r="S2906" s="18">
        <v>8221.8674999999985</v>
      </c>
      <c r="T2906" s="19" t="s">
        <v>117</v>
      </c>
      <c r="U2906" s="20" t="s">
        <v>43</v>
      </c>
      <c r="V2906" s="21">
        <v>110</v>
      </c>
      <c r="W2906" s="21">
        <v>5</v>
      </c>
      <c r="X2906" s="22"/>
    </row>
    <row r="2907" spans="1:24" s="1" customFormat="1" ht="26.1" customHeight="1" x14ac:dyDescent="0.3">
      <c r="A2907" s="23" t="s">
        <v>3014</v>
      </c>
      <c r="B2907" s="23" t="s">
        <v>3420</v>
      </c>
      <c r="C2907" s="12" t="s">
        <v>3421</v>
      </c>
      <c r="D2907" s="84"/>
      <c r="E2907" s="69" t="str">
        <f>HYPERLINK("https://www.google.ru/search?q=72103430-0100&amp;newwindow=1&amp;tbm=isch","Еще фото")</f>
        <v>Еще фото</v>
      </c>
      <c r="F2907" s="13"/>
      <c r="G2907" s="23" t="s">
        <v>3414</v>
      </c>
      <c r="H2907" s="23" t="s">
        <v>27</v>
      </c>
      <c r="I2907" s="23" t="s">
        <v>308</v>
      </c>
      <c r="J2907" s="14" t="s">
        <v>138</v>
      </c>
      <c r="K2907" s="15" t="s">
        <v>30</v>
      </c>
      <c r="L2907" s="87"/>
      <c r="M2907" s="14"/>
      <c r="N2907" s="14" t="s">
        <v>89</v>
      </c>
      <c r="O2907" s="14"/>
      <c r="P2907" s="15" t="s">
        <v>3018</v>
      </c>
      <c r="Q2907" s="16">
        <v>12999</v>
      </c>
      <c r="R2907" s="17">
        <v>45</v>
      </c>
      <c r="S2907" s="18">
        <v>8221.8674999999985</v>
      </c>
      <c r="T2907" s="19" t="s">
        <v>117</v>
      </c>
      <c r="U2907" s="20" t="s">
        <v>35</v>
      </c>
      <c r="V2907" s="21">
        <v>116</v>
      </c>
      <c r="W2907" s="21">
        <v>5</v>
      </c>
      <c r="X2907" s="22"/>
    </row>
    <row r="2908" spans="1:24" s="1" customFormat="1" ht="26.1" customHeight="1" x14ac:dyDescent="0.3">
      <c r="A2908" s="23" t="s">
        <v>3014</v>
      </c>
      <c r="B2908" s="23" t="s">
        <v>3420</v>
      </c>
      <c r="C2908" s="12" t="s">
        <v>3421</v>
      </c>
      <c r="D2908" s="85"/>
      <c r="E2908" s="69" t="str">
        <f>HYPERLINK("https://www.google.ru/search?q=72103430-0100&amp;newwindow=1&amp;tbm=isch","Еще фото")</f>
        <v>Еще фото</v>
      </c>
      <c r="F2908" s="13"/>
      <c r="G2908" s="23" t="s">
        <v>3414</v>
      </c>
      <c r="H2908" s="23" t="s">
        <v>27</v>
      </c>
      <c r="I2908" s="23" t="s">
        <v>308</v>
      </c>
      <c r="J2908" s="14" t="s">
        <v>138</v>
      </c>
      <c r="K2908" s="15" t="s">
        <v>30</v>
      </c>
      <c r="L2908" s="88"/>
      <c r="M2908" s="14"/>
      <c r="N2908" s="14" t="s">
        <v>89</v>
      </c>
      <c r="O2908" s="14"/>
      <c r="P2908" s="15" t="s">
        <v>3018</v>
      </c>
      <c r="Q2908" s="16">
        <v>12999</v>
      </c>
      <c r="R2908" s="17">
        <v>45</v>
      </c>
      <c r="S2908" s="18">
        <v>8221.8674999999985</v>
      </c>
      <c r="T2908" s="19" t="s">
        <v>117</v>
      </c>
      <c r="U2908" s="20" t="s">
        <v>36</v>
      </c>
      <c r="V2908" s="21">
        <v>122</v>
      </c>
      <c r="W2908" s="21">
        <v>5</v>
      </c>
      <c r="X2908" s="22"/>
    </row>
    <row r="2909" spans="1:24" s="1" customFormat="1" ht="26.1" customHeight="1" x14ac:dyDescent="0.3">
      <c r="A2909" s="11" t="s">
        <v>3014</v>
      </c>
      <c r="B2909" s="11" t="s">
        <v>3420</v>
      </c>
      <c r="C2909" s="12" t="s">
        <v>3423</v>
      </c>
      <c r="D2909" s="83"/>
      <c r="E2909" s="69" t="str">
        <f>HYPERLINK("https://www.google.ru/search?q=72103430-9480&amp;newwindow=1&amp;tbm=isch","Еще фото")</f>
        <v>Еще фото</v>
      </c>
      <c r="F2909" s="13"/>
      <c r="G2909" s="11" t="s">
        <v>3414</v>
      </c>
      <c r="H2909" s="11" t="s">
        <v>27</v>
      </c>
      <c r="I2909" s="14" t="s">
        <v>308</v>
      </c>
      <c r="J2909" s="14" t="s">
        <v>138</v>
      </c>
      <c r="K2909" s="15" t="s">
        <v>30</v>
      </c>
      <c r="L2909" s="86" t="s">
        <v>3422</v>
      </c>
      <c r="M2909" s="14"/>
      <c r="N2909" s="14" t="s">
        <v>41</v>
      </c>
      <c r="O2909" s="14"/>
      <c r="P2909" s="15" t="s">
        <v>3018</v>
      </c>
      <c r="Q2909" s="16">
        <v>12999</v>
      </c>
      <c r="R2909" s="17">
        <v>45</v>
      </c>
      <c r="S2909" s="18">
        <v>8221.8674999999985</v>
      </c>
      <c r="T2909" s="19" t="s">
        <v>117</v>
      </c>
      <c r="U2909" s="20" t="s">
        <v>94</v>
      </c>
      <c r="V2909" s="21">
        <v>104</v>
      </c>
      <c r="W2909" s="21">
        <v>5</v>
      </c>
      <c r="X2909" s="22"/>
    </row>
    <row r="2910" spans="1:24" s="1" customFormat="1" ht="26.1" customHeight="1" x14ac:dyDescent="0.3">
      <c r="A2910" s="23" t="s">
        <v>3014</v>
      </c>
      <c r="B2910" s="23" t="s">
        <v>3420</v>
      </c>
      <c r="C2910" s="12" t="s">
        <v>3423</v>
      </c>
      <c r="D2910" s="84"/>
      <c r="E2910" s="69" t="str">
        <f>HYPERLINK("https://www.google.ru/search?q=72103430-9480&amp;newwindow=1&amp;tbm=isch","Еще фото")</f>
        <v>Еще фото</v>
      </c>
      <c r="F2910" s="13"/>
      <c r="G2910" s="23" t="s">
        <v>3414</v>
      </c>
      <c r="H2910" s="23" t="s">
        <v>27</v>
      </c>
      <c r="I2910" s="23" t="s">
        <v>308</v>
      </c>
      <c r="J2910" s="14" t="s">
        <v>138</v>
      </c>
      <c r="K2910" s="15" t="s">
        <v>30</v>
      </c>
      <c r="L2910" s="87"/>
      <c r="M2910" s="14"/>
      <c r="N2910" s="14" t="s">
        <v>41</v>
      </c>
      <c r="O2910" s="14"/>
      <c r="P2910" s="15" t="s">
        <v>3018</v>
      </c>
      <c r="Q2910" s="16">
        <v>12999</v>
      </c>
      <c r="R2910" s="17">
        <v>45</v>
      </c>
      <c r="S2910" s="18">
        <v>8221.8674999999985</v>
      </c>
      <c r="T2910" s="19" t="s">
        <v>117</v>
      </c>
      <c r="U2910" s="20" t="s">
        <v>43</v>
      </c>
      <c r="V2910" s="21">
        <v>110</v>
      </c>
      <c r="W2910" s="21">
        <v>5</v>
      </c>
      <c r="X2910" s="22"/>
    </row>
    <row r="2911" spans="1:24" s="1" customFormat="1" ht="26.1" customHeight="1" x14ac:dyDescent="0.3">
      <c r="A2911" s="23" t="s">
        <v>3014</v>
      </c>
      <c r="B2911" s="23" t="s">
        <v>3420</v>
      </c>
      <c r="C2911" s="12" t="s">
        <v>3423</v>
      </c>
      <c r="D2911" s="84"/>
      <c r="E2911" s="69" t="str">
        <f>HYPERLINK("https://www.google.ru/search?q=72103430-9480&amp;newwindow=1&amp;tbm=isch","Еще фото")</f>
        <v>Еще фото</v>
      </c>
      <c r="F2911" s="13"/>
      <c r="G2911" s="23" t="s">
        <v>3414</v>
      </c>
      <c r="H2911" s="23" t="s">
        <v>27</v>
      </c>
      <c r="I2911" s="23" t="s">
        <v>308</v>
      </c>
      <c r="J2911" s="14" t="s">
        <v>138</v>
      </c>
      <c r="K2911" s="15" t="s">
        <v>30</v>
      </c>
      <c r="L2911" s="87"/>
      <c r="M2911" s="14"/>
      <c r="N2911" s="14" t="s">
        <v>41</v>
      </c>
      <c r="O2911" s="14"/>
      <c r="P2911" s="15" t="s">
        <v>3018</v>
      </c>
      <c r="Q2911" s="16">
        <v>12999</v>
      </c>
      <c r="R2911" s="17">
        <v>45</v>
      </c>
      <c r="S2911" s="18">
        <v>8221.8674999999985</v>
      </c>
      <c r="T2911" s="19" t="s">
        <v>117</v>
      </c>
      <c r="U2911" s="20" t="s">
        <v>35</v>
      </c>
      <c r="V2911" s="21">
        <v>116</v>
      </c>
      <c r="W2911" s="21">
        <v>5</v>
      </c>
      <c r="X2911" s="22"/>
    </row>
    <row r="2912" spans="1:24" s="1" customFormat="1" ht="26.1" customHeight="1" x14ac:dyDescent="0.3">
      <c r="A2912" s="23" t="s">
        <v>3014</v>
      </c>
      <c r="B2912" s="23" t="s">
        <v>3420</v>
      </c>
      <c r="C2912" s="12" t="s">
        <v>3423</v>
      </c>
      <c r="D2912" s="85"/>
      <c r="E2912" s="69" t="str">
        <f>HYPERLINK("https://www.google.ru/search?q=72103430-9480&amp;newwindow=1&amp;tbm=isch","Еще фото")</f>
        <v>Еще фото</v>
      </c>
      <c r="F2912" s="13"/>
      <c r="G2912" s="23" t="s">
        <v>3414</v>
      </c>
      <c r="H2912" s="23" t="s">
        <v>27</v>
      </c>
      <c r="I2912" s="23" t="s">
        <v>308</v>
      </c>
      <c r="J2912" s="14" t="s">
        <v>138</v>
      </c>
      <c r="K2912" s="15" t="s">
        <v>30</v>
      </c>
      <c r="L2912" s="88"/>
      <c r="M2912" s="14"/>
      <c r="N2912" s="14" t="s">
        <v>41</v>
      </c>
      <c r="O2912" s="14"/>
      <c r="P2912" s="15" t="s">
        <v>3018</v>
      </c>
      <c r="Q2912" s="16">
        <v>12999</v>
      </c>
      <c r="R2912" s="17">
        <v>45</v>
      </c>
      <c r="S2912" s="18">
        <v>8221.8674999999985</v>
      </c>
      <c r="T2912" s="19" t="s">
        <v>117</v>
      </c>
      <c r="U2912" s="20" t="s">
        <v>36</v>
      </c>
      <c r="V2912" s="21">
        <v>122</v>
      </c>
      <c r="W2912" s="21">
        <v>5</v>
      </c>
      <c r="X2912" s="22"/>
    </row>
    <row r="2913" spans="1:24" s="1" customFormat="1" ht="26.1" customHeight="1" x14ac:dyDescent="0.3">
      <c r="A2913" s="11" t="s">
        <v>3014</v>
      </c>
      <c r="B2913" s="11" t="s">
        <v>3424</v>
      </c>
      <c r="C2913" s="12" t="s">
        <v>3425</v>
      </c>
      <c r="D2913" s="83"/>
      <c r="E2913" s="69" t="str">
        <f>HYPERLINK("https://www.google.ru/search?q=72105206-8680&amp;newwindow=1&amp;tbm=isch","Еще фото")</f>
        <v>Еще фото</v>
      </c>
      <c r="F2913" s="13"/>
      <c r="G2913" s="11" t="s">
        <v>3414</v>
      </c>
      <c r="H2913" s="11" t="s">
        <v>27</v>
      </c>
      <c r="I2913" s="14" t="s">
        <v>308</v>
      </c>
      <c r="J2913" s="14" t="s">
        <v>138</v>
      </c>
      <c r="K2913" s="15" t="s">
        <v>30</v>
      </c>
      <c r="L2913" s="86" t="s">
        <v>3426</v>
      </c>
      <c r="M2913" s="14"/>
      <c r="N2913" s="14" t="s">
        <v>242</v>
      </c>
      <c r="O2913" s="14"/>
      <c r="P2913" s="15" t="s">
        <v>3018</v>
      </c>
      <c r="Q2913" s="16">
        <v>9999</v>
      </c>
      <c r="R2913" s="17">
        <v>45</v>
      </c>
      <c r="S2913" s="18">
        <v>6324.3674999999994</v>
      </c>
      <c r="T2913" s="19" t="s">
        <v>117</v>
      </c>
      <c r="U2913" s="20" t="s">
        <v>94</v>
      </c>
      <c r="V2913" s="21">
        <v>104</v>
      </c>
      <c r="W2913" s="21">
        <v>4</v>
      </c>
      <c r="X2913" s="22"/>
    </row>
    <row r="2914" spans="1:24" s="1" customFormat="1" ht="26.1" customHeight="1" x14ac:dyDescent="0.3">
      <c r="A2914" s="23" t="s">
        <v>3014</v>
      </c>
      <c r="B2914" s="23" t="s">
        <v>3424</v>
      </c>
      <c r="C2914" s="12" t="s">
        <v>3425</v>
      </c>
      <c r="D2914" s="84"/>
      <c r="E2914" s="69" t="str">
        <f>HYPERLINK("https://www.google.ru/search?q=72105206-8680&amp;newwindow=1&amp;tbm=isch","Еще фото")</f>
        <v>Еще фото</v>
      </c>
      <c r="F2914" s="13"/>
      <c r="G2914" s="23" t="s">
        <v>3414</v>
      </c>
      <c r="H2914" s="23" t="s">
        <v>27</v>
      </c>
      <c r="I2914" s="23" t="s">
        <v>308</v>
      </c>
      <c r="J2914" s="14" t="s">
        <v>138</v>
      </c>
      <c r="K2914" s="15" t="s">
        <v>30</v>
      </c>
      <c r="L2914" s="87"/>
      <c r="M2914" s="14"/>
      <c r="N2914" s="14" t="s">
        <v>242</v>
      </c>
      <c r="O2914" s="14"/>
      <c r="P2914" s="15" t="s">
        <v>3018</v>
      </c>
      <c r="Q2914" s="16">
        <v>9999</v>
      </c>
      <c r="R2914" s="17">
        <v>45</v>
      </c>
      <c r="S2914" s="18">
        <v>6324.3674999999994</v>
      </c>
      <c r="T2914" s="19" t="s">
        <v>117</v>
      </c>
      <c r="U2914" s="20" t="s">
        <v>43</v>
      </c>
      <c r="V2914" s="21">
        <v>110</v>
      </c>
      <c r="W2914" s="21">
        <v>4</v>
      </c>
      <c r="X2914" s="22"/>
    </row>
    <row r="2915" spans="1:24" s="1" customFormat="1" ht="26.1" customHeight="1" x14ac:dyDescent="0.3">
      <c r="A2915" s="23" t="s">
        <v>3014</v>
      </c>
      <c r="B2915" s="23" t="s">
        <v>3424</v>
      </c>
      <c r="C2915" s="12" t="s">
        <v>3425</v>
      </c>
      <c r="D2915" s="84"/>
      <c r="E2915" s="69" t="str">
        <f>HYPERLINK("https://www.google.ru/search?q=72105206-8680&amp;newwindow=1&amp;tbm=isch","Еще фото")</f>
        <v>Еще фото</v>
      </c>
      <c r="F2915" s="13"/>
      <c r="G2915" s="23" t="s">
        <v>3414</v>
      </c>
      <c r="H2915" s="23" t="s">
        <v>27</v>
      </c>
      <c r="I2915" s="23" t="s">
        <v>308</v>
      </c>
      <c r="J2915" s="14" t="s">
        <v>138</v>
      </c>
      <c r="K2915" s="15" t="s">
        <v>30</v>
      </c>
      <c r="L2915" s="87"/>
      <c r="M2915" s="14"/>
      <c r="N2915" s="14" t="s">
        <v>242</v>
      </c>
      <c r="O2915" s="14"/>
      <c r="P2915" s="15" t="s">
        <v>3018</v>
      </c>
      <c r="Q2915" s="16">
        <v>9999</v>
      </c>
      <c r="R2915" s="17">
        <v>45</v>
      </c>
      <c r="S2915" s="18">
        <v>6324.3674999999994</v>
      </c>
      <c r="T2915" s="19" t="s">
        <v>117</v>
      </c>
      <c r="U2915" s="20" t="s">
        <v>35</v>
      </c>
      <c r="V2915" s="21">
        <v>116</v>
      </c>
      <c r="W2915" s="21">
        <v>2</v>
      </c>
      <c r="X2915" s="22"/>
    </row>
    <row r="2916" spans="1:24" s="1" customFormat="1" ht="26.1" customHeight="1" x14ac:dyDescent="0.3">
      <c r="A2916" s="23" t="s">
        <v>3014</v>
      </c>
      <c r="B2916" s="23" t="s">
        <v>3424</v>
      </c>
      <c r="C2916" s="12" t="s">
        <v>3425</v>
      </c>
      <c r="D2916" s="85"/>
      <c r="E2916" s="69" t="str">
        <f>HYPERLINK("https://www.google.ru/search?q=72105206-8680&amp;newwindow=1&amp;tbm=isch","Еще фото")</f>
        <v>Еще фото</v>
      </c>
      <c r="F2916" s="13"/>
      <c r="G2916" s="23" t="s">
        <v>3414</v>
      </c>
      <c r="H2916" s="23" t="s">
        <v>27</v>
      </c>
      <c r="I2916" s="23" t="s">
        <v>308</v>
      </c>
      <c r="J2916" s="14" t="s">
        <v>138</v>
      </c>
      <c r="K2916" s="15" t="s">
        <v>30</v>
      </c>
      <c r="L2916" s="88"/>
      <c r="M2916" s="14"/>
      <c r="N2916" s="14" t="s">
        <v>242</v>
      </c>
      <c r="O2916" s="14"/>
      <c r="P2916" s="15" t="s">
        <v>3018</v>
      </c>
      <c r="Q2916" s="16">
        <v>9999</v>
      </c>
      <c r="R2916" s="17">
        <v>45</v>
      </c>
      <c r="S2916" s="18">
        <v>6324.3674999999994</v>
      </c>
      <c r="T2916" s="19" t="s">
        <v>117</v>
      </c>
      <c r="U2916" s="20" t="s">
        <v>36</v>
      </c>
      <c r="V2916" s="21">
        <v>122</v>
      </c>
      <c r="W2916" s="21">
        <v>1</v>
      </c>
      <c r="X2916" s="22"/>
    </row>
    <row r="2917" spans="1:24" s="1" customFormat="1" ht="26.1" customHeight="1" x14ac:dyDescent="0.3">
      <c r="A2917" s="11" t="s">
        <v>3014</v>
      </c>
      <c r="B2917" s="11" t="s">
        <v>3424</v>
      </c>
      <c r="C2917" s="12" t="s">
        <v>3427</v>
      </c>
      <c r="D2917" s="83"/>
      <c r="E2917" s="69" t="str">
        <f>HYPERLINK("https://www.google.ru/search?q=72105206-9990&amp;newwindow=1&amp;tbm=isch","Еще фото")</f>
        <v>Еще фото</v>
      </c>
      <c r="F2917" s="13"/>
      <c r="G2917" s="11" t="s">
        <v>3414</v>
      </c>
      <c r="H2917" s="11" t="s">
        <v>27</v>
      </c>
      <c r="I2917" s="14" t="s">
        <v>308</v>
      </c>
      <c r="J2917" s="14" t="s">
        <v>138</v>
      </c>
      <c r="K2917" s="15" t="s">
        <v>30</v>
      </c>
      <c r="L2917" s="86" t="s">
        <v>3426</v>
      </c>
      <c r="M2917" s="14"/>
      <c r="N2917" s="14" t="s">
        <v>49</v>
      </c>
      <c r="O2917" s="14"/>
      <c r="P2917" s="15" t="s">
        <v>3018</v>
      </c>
      <c r="Q2917" s="16">
        <v>9999</v>
      </c>
      <c r="R2917" s="17">
        <v>45</v>
      </c>
      <c r="S2917" s="18">
        <v>6324.3674999999994</v>
      </c>
      <c r="T2917" s="19" t="s">
        <v>117</v>
      </c>
      <c r="U2917" s="20" t="s">
        <v>94</v>
      </c>
      <c r="V2917" s="21">
        <v>104</v>
      </c>
      <c r="W2917" s="21">
        <v>4</v>
      </c>
      <c r="X2917" s="22"/>
    </row>
    <row r="2918" spans="1:24" s="1" customFormat="1" ht="26.1" customHeight="1" x14ac:dyDescent="0.3">
      <c r="A2918" s="23" t="s">
        <v>3014</v>
      </c>
      <c r="B2918" s="23" t="s">
        <v>3424</v>
      </c>
      <c r="C2918" s="12" t="s">
        <v>3427</v>
      </c>
      <c r="D2918" s="84"/>
      <c r="E2918" s="69" t="str">
        <f>HYPERLINK("https://www.google.ru/search?q=72105206-9990&amp;newwindow=1&amp;tbm=isch","Еще фото")</f>
        <v>Еще фото</v>
      </c>
      <c r="F2918" s="13"/>
      <c r="G2918" s="23" t="s">
        <v>3414</v>
      </c>
      <c r="H2918" s="23" t="s">
        <v>27</v>
      </c>
      <c r="I2918" s="23" t="s">
        <v>308</v>
      </c>
      <c r="J2918" s="14" t="s">
        <v>138</v>
      </c>
      <c r="K2918" s="15" t="s">
        <v>30</v>
      </c>
      <c r="L2918" s="87"/>
      <c r="M2918" s="14"/>
      <c r="N2918" s="14" t="s">
        <v>49</v>
      </c>
      <c r="O2918" s="14"/>
      <c r="P2918" s="15" t="s">
        <v>3018</v>
      </c>
      <c r="Q2918" s="16">
        <v>9999</v>
      </c>
      <c r="R2918" s="17">
        <v>45</v>
      </c>
      <c r="S2918" s="18">
        <v>6324.3674999999994</v>
      </c>
      <c r="T2918" s="19" t="s">
        <v>117</v>
      </c>
      <c r="U2918" s="20" t="s">
        <v>43</v>
      </c>
      <c r="V2918" s="21">
        <v>110</v>
      </c>
      <c r="W2918" s="21">
        <v>4</v>
      </c>
      <c r="X2918" s="22"/>
    </row>
    <row r="2919" spans="1:24" s="1" customFormat="1" ht="26.1" customHeight="1" x14ac:dyDescent="0.3">
      <c r="A2919" s="23" t="s">
        <v>3014</v>
      </c>
      <c r="B2919" s="23" t="s">
        <v>3424</v>
      </c>
      <c r="C2919" s="12" t="s">
        <v>3427</v>
      </c>
      <c r="D2919" s="84"/>
      <c r="E2919" s="69" t="str">
        <f>HYPERLINK("https://www.google.ru/search?q=72105206-9990&amp;newwindow=1&amp;tbm=isch","Еще фото")</f>
        <v>Еще фото</v>
      </c>
      <c r="F2919" s="13"/>
      <c r="G2919" s="23" t="s">
        <v>3414</v>
      </c>
      <c r="H2919" s="23" t="s">
        <v>27</v>
      </c>
      <c r="I2919" s="23" t="s">
        <v>308</v>
      </c>
      <c r="J2919" s="14" t="s">
        <v>138</v>
      </c>
      <c r="K2919" s="15" t="s">
        <v>30</v>
      </c>
      <c r="L2919" s="87"/>
      <c r="M2919" s="14"/>
      <c r="N2919" s="14" t="s">
        <v>49</v>
      </c>
      <c r="O2919" s="14"/>
      <c r="P2919" s="15" t="s">
        <v>3018</v>
      </c>
      <c r="Q2919" s="16">
        <v>9999</v>
      </c>
      <c r="R2919" s="17">
        <v>45</v>
      </c>
      <c r="S2919" s="18">
        <v>6324.3674999999994</v>
      </c>
      <c r="T2919" s="19" t="s">
        <v>117</v>
      </c>
      <c r="U2919" s="20" t="s">
        <v>35</v>
      </c>
      <c r="V2919" s="21">
        <v>116</v>
      </c>
      <c r="W2919" s="21">
        <v>3</v>
      </c>
      <c r="X2919" s="22"/>
    </row>
    <row r="2920" spans="1:24" s="1" customFormat="1" ht="26.1" customHeight="1" x14ac:dyDescent="0.3">
      <c r="A2920" s="23" t="s">
        <v>3014</v>
      </c>
      <c r="B2920" s="23" t="s">
        <v>3424</v>
      </c>
      <c r="C2920" s="12" t="s">
        <v>3427</v>
      </c>
      <c r="D2920" s="85"/>
      <c r="E2920" s="69" t="str">
        <f>HYPERLINK("https://www.google.ru/search?q=72105206-9990&amp;newwindow=1&amp;tbm=isch","Еще фото")</f>
        <v>Еще фото</v>
      </c>
      <c r="F2920" s="13"/>
      <c r="G2920" s="23" t="s">
        <v>3414</v>
      </c>
      <c r="H2920" s="23" t="s">
        <v>27</v>
      </c>
      <c r="I2920" s="23" t="s">
        <v>308</v>
      </c>
      <c r="J2920" s="14" t="s">
        <v>138</v>
      </c>
      <c r="K2920" s="15" t="s">
        <v>30</v>
      </c>
      <c r="L2920" s="88"/>
      <c r="M2920" s="14"/>
      <c r="N2920" s="14" t="s">
        <v>49</v>
      </c>
      <c r="O2920" s="14"/>
      <c r="P2920" s="15" t="s">
        <v>3018</v>
      </c>
      <c r="Q2920" s="16">
        <v>9999</v>
      </c>
      <c r="R2920" s="17">
        <v>45</v>
      </c>
      <c r="S2920" s="18">
        <v>6324.3674999999994</v>
      </c>
      <c r="T2920" s="19" t="s">
        <v>117</v>
      </c>
      <c r="U2920" s="20" t="s">
        <v>36</v>
      </c>
      <c r="V2920" s="21">
        <v>122</v>
      </c>
      <c r="W2920" s="21">
        <v>2</v>
      </c>
      <c r="X2920" s="22"/>
    </row>
    <row r="2921" spans="1:24" s="1" customFormat="1" ht="108" customHeight="1" x14ac:dyDescent="0.3">
      <c r="A2921" s="11" t="s">
        <v>3014</v>
      </c>
      <c r="B2921" s="11" t="s">
        <v>3428</v>
      </c>
      <c r="C2921" s="12" t="s">
        <v>3429</v>
      </c>
      <c r="D2921" s="24"/>
      <c r="E2921" s="69" t="str">
        <f>HYPERLINK("https://www.google.ru/search?q=72105207-4510&amp;newwindow=1&amp;tbm=isch","Еще фото")</f>
        <v>Еще фото</v>
      </c>
      <c r="F2921" s="13"/>
      <c r="G2921" s="11" t="s">
        <v>3414</v>
      </c>
      <c r="H2921" s="11" t="s">
        <v>27</v>
      </c>
      <c r="I2921" s="14" t="s">
        <v>308</v>
      </c>
      <c r="J2921" s="14" t="s">
        <v>138</v>
      </c>
      <c r="K2921" s="15" t="s">
        <v>30</v>
      </c>
      <c r="L2921" s="14" t="s">
        <v>3430</v>
      </c>
      <c r="M2921" s="14"/>
      <c r="N2921" s="14" t="s">
        <v>275</v>
      </c>
      <c r="O2921" s="14"/>
      <c r="P2921" s="15" t="s">
        <v>3018</v>
      </c>
      <c r="Q2921" s="16">
        <v>6999</v>
      </c>
      <c r="R2921" s="17">
        <v>45</v>
      </c>
      <c r="S2921" s="18">
        <v>4426.8674999999994</v>
      </c>
      <c r="T2921" s="19" t="s">
        <v>117</v>
      </c>
      <c r="U2921" s="20" t="s">
        <v>94</v>
      </c>
      <c r="V2921" s="21">
        <v>104</v>
      </c>
      <c r="W2921" s="21">
        <v>3</v>
      </c>
      <c r="X2921" s="22"/>
    </row>
    <row r="2922" spans="1:24" s="1" customFormat="1" ht="35.1" customHeight="1" x14ac:dyDescent="0.3">
      <c r="A2922" s="11" t="s">
        <v>3014</v>
      </c>
      <c r="B2922" s="11" t="s">
        <v>3431</v>
      </c>
      <c r="C2922" s="12" t="s">
        <v>3432</v>
      </c>
      <c r="D2922" s="83"/>
      <c r="E2922" s="69" t="str">
        <f>HYPERLINK("https://www.google.ru/search?q=72105309-6960&amp;newwindow=1&amp;tbm=isch","Еще фото")</f>
        <v>Еще фото</v>
      </c>
      <c r="F2922" s="13"/>
      <c r="G2922" s="11" t="s">
        <v>3414</v>
      </c>
      <c r="H2922" s="11" t="s">
        <v>27</v>
      </c>
      <c r="I2922" s="14" t="s">
        <v>308</v>
      </c>
      <c r="J2922" s="14" t="s">
        <v>138</v>
      </c>
      <c r="K2922" s="15" t="s">
        <v>30</v>
      </c>
      <c r="L2922" s="86" t="s">
        <v>3433</v>
      </c>
      <c r="M2922" s="14"/>
      <c r="N2922" s="14" t="s">
        <v>70</v>
      </c>
      <c r="O2922" s="14"/>
      <c r="P2922" s="15" t="s">
        <v>3018</v>
      </c>
      <c r="Q2922" s="16">
        <v>8999</v>
      </c>
      <c r="R2922" s="17">
        <v>45</v>
      </c>
      <c r="S2922" s="18">
        <v>5691.8674999999994</v>
      </c>
      <c r="T2922" s="19" t="s">
        <v>117</v>
      </c>
      <c r="U2922" s="20" t="s">
        <v>94</v>
      </c>
      <c r="V2922" s="21">
        <v>104</v>
      </c>
      <c r="W2922" s="21">
        <v>2</v>
      </c>
      <c r="X2922" s="22"/>
    </row>
    <row r="2923" spans="1:24" s="1" customFormat="1" ht="35.1" customHeight="1" x14ac:dyDescent="0.3">
      <c r="A2923" s="23" t="s">
        <v>3014</v>
      </c>
      <c r="B2923" s="23" t="s">
        <v>3431</v>
      </c>
      <c r="C2923" s="12" t="s">
        <v>3432</v>
      </c>
      <c r="D2923" s="84"/>
      <c r="E2923" s="69" t="str">
        <f>HYPERLINK("https://www.google.ru/search?q=72105309-6960&amp;newwindow=1&amp;tbm=isch","Еще фото")</f>
        <v>Еще фото</v>
      </c>
      <c r="F2923" s="13"/>
      <c r="G2923" s="23" t="s">
        <v>3414</v>
      </c>
      <c r="H2923" s="23" t="s">
        <v>27</v>
      </c>
      <c r="I2923" s="23" t="s">
        <v>308</v>
      </c>
      <c r="J2923" s="14" t="s">
        <v>138</v>
      </c>
      <c r="K2923" s="15" t="s">
        <v>30</v>
      </c>
      <c r="L2923" s="87"/>
      <c r="M2923" s="14"/>
      <c r="N2923" s="14" t="s">
        <v>70</v>
      </c>
      <c r="O2923" s="14"/>
      <c r="P2923" s="15" t="s">
        <v>3018</v>
      </c>
      <c r="Q2923" s="16">
        <v>8999</v>
      </c>
      <c r="R2923" s="17">
        <v>45</v>
      </c>
      <c r="S2923" s="18">
        <v>5691.8674999999994</v>
      </c>
      <c r="T2923" s="19" t="s">
        <v>117</v>
      </c>
      <c r="U2923" s="20" t="s">
        <v>43</v>
      </c>
      <c r="V2923" s="21">
        <v>110</v>
      </c>
      <c r="W2923" s="21">
        <v>3</v>
      </c>
      <c r="X2923" s="22"/>
    </row>
    <row r="2924" spans="1:24" s="1" customFormat="1" ht="36.950000000000003" customHeight="1" x14ac:dyDescent="0.3">
      <c r="A2924" s="23" t="s">
        <v>3014</v>
      </c>
      <c r="B2924" s="23" t="s">
        <v>3431</v>
      </c>
      <c r="C2924" s="12" t="s">
        <v>3432</v>
      </c>
      <c r="D2924" s="85"/>
      <c r="E2924" s="69" t="str">
        <f>HYPERLINK("https://www.google.ru/search?q=72105309-6960&amp;newwindow=1&amp;tbm=isch","Еще фото")</f>
        <v>Еще фото</v>
      </c>
      <c r="F2924" s="13"/>
      <c r="G2924" s="23" t="s">
        <v>3414</v>
      </c>
      <c r="H2924" s="23" t="s">
        <v>27</v>
      </c>
      <c r="I2924" s="23" t="s">
        <v>308</v>
      </c>
      <c r="J2924" s="14" t="s">
        <v>138</v>
      </c>
      <c r="K2924" s="15" t="s">
        <v>30</v>
      </c>
      <c r="L2924" s="88"/>
      <c r="M2924" s="14"/>
      <c r="N2924" s="14" t="s">
        <v>70</v>
      </c>
      <c r="O2924" s="14"/>
      <c r="P2924" s="15" t="s">
        <v>3018</v>
      </c>
      <c r="Q2924" s="16">
        <v>8999</v>
      </c>
      <c r="R2924" s="17">
        <v>45</v>
      </c>
      <c r="S2924" s="18">
        <v>5691.8674999999994</v>
      </c>
      <c r="T2924" s="19" t="s">
        <v>117</v>
      </c>
      <c r="U2924" s="20" t="s">
        <v>35</v>
      </c>
      <c r="V2924" s="21">
        <v>116</v>
      </c>
      <c r="W2924" s="21">
        <v>3</v>
      </c>
      <c r="X2924" s="22"/>
    </row>
    <row r="2925" spans="1:24" s="1" customFormat="1" ht="26.1" customHeight="1" x14ac:dyDescent="0.3">
      <c r="A2925" s="11" t="s">
        <v>3014</v>
      </c>
      <c r="B2925" s="11" t="s">
        <v>3434</v>
      </c>
      <c r="C2925" s="12" t="s">
        <v>3435</v>
      </c>
      <c r="D2925" s="83"/>
      <c r="E2925" s="69" t="str">
        <f>HYPERLINK("https://www.google.ru/search?q=72105311-0100&amp;newwindow=1&amp;tbm=isch","Еще фото")</f>
        <v>Еще фото</v>
      </c>
      <c r="F2925" s="13"/>
      <c r="G2925" s="11" t="s">
        <v>3414</v>
      </c>
      <c r="H2925" s="11" t="s">
        <v>27</v>
      </c>
      <c r="I2925" s="14" t="s">
        <v>308</v>
      </c>
      <c r="J2925" s="14" t="s">
        <v>138</v>
      </c>
      <c r="K2925" s="15" t="s">
        <v>30</v>
      </c>
      <c r="L2925" s="86" t="s">
        <v>3436</v>
      </c>
      <c r="M2925" s="14"/>
      <c r="N2925" s="14" t="s">
        <v>89</v>
      </c>
      <c r="O2925" s="14"/>
      <c r="P2925" s="15" t="s">
        <v>3018</v>
      </c>
      <c r="Q2925" s="16">
        <v>11999</v>
      </c>
      <c r="R2925" s="17">
        <v>45</v>
      </c>
      <c r="S2925" s="18">
        <v>7589.3674999999994</v>
      </c>
      <c r="T2925" s="19" t="s">
        <v>117</v>
      </c>
      <c r="U2925" s="20" t="s">
        <v>94</v>
      </c>
      <c r="V2925" s="21">
        <v>104</v>
      </c>
      <c r="W2925" s="21">
        <v>5</v>
      </c>
      <c r="X2925" s="22"/>
    </row>
    <row r="2926" spans="1:24" s="1" customFormat="1" ht="26.1" customHeight="1" x14ac:dyDescent="0.3">
      <c r="A2926" s="23" t="s">
        <v>3014</v>
      </c>
      <c r="B2926" s="23" t="s">
        <v>3434</v>
      </c>
      <c r="C2926" s="12" t="s">
        <v>3435</v>
      </c>
      <c r="D2926" s="84"/>
      <c r="E2926" s="69" t="str">
        <f>HYPERLINK("https://www.google.ru/search?q=72105311-0100&amp;newwindow=1&amp;tbm=isch","Еще фото")</f>
        <v>Еще фото</v>
      </c>
      <c r="F2926" s="13"/>
      <c r="G2926" s="23" t="s">
        <v>3414</v>
      </c>
      <c r="H2926" s="23" t="s">
        <v>27</v>
      </c>
      <c r="I2926" s="23" t="s">
        <v>308</v>
      </c>
      <c r="J2926" s="14" t="s">
        <v>138</v>
      </c>
      <c r="K2926" s="15" t="s">
        <v>30</v>
      </c>
      <c r="L2926" s="87"/>
      <c r="M2926" s="14"/>
      <c r="N2926" s="14" t="s">
        <v>89</v>
      </c>
      <c r="O2926" s="14"/>
      <c r="P2926" s="15" t="s">
        <v>3018</v>
      </c>
      <c r="Q2926" s="16">
        <v>11999</v>
      </c>
      <c r="R2926" s="17">
        <v>45</v>
      </c>
      <c r="S2926" s="18">
        <v>7589.3674999999994</v>
      </c>
      <c r="T2926" s="19" t="s">
        <v>117</v>
      </c>
      <c r="U2926" s="20" t="s">
        <v>43</v>
      </c>
      <c r="V2926" s="21">
        <v>110</v>
      </c>
      <c r="W2926" s="21">
        <v>6</v>
      </c>
      <c r="X2926" s="22"/>
    </row>
    <row r="2927" spans="1:24" s="1" customFormat="1" ht="26.1" customHeight="1" x14ac:dyDescent="0.3">
      <c r="A2927" s="23" t="s">
        <v>3014</v>
      </c>
      <c r="B2927" s="23" t="s">
        <v>3434</v>
      </c>
      <c r="C2927" s="12" t="s">
        <v>3435</v>
      </c>
      <c r="D2927" s="84"/>
      <c r="E2927" s="69" t="str">
        <f>HYPERLINK("https://www.google.ru/search?q=72105311-0100&amp;newwindow=1&amp;tbm=isch","Еще фото")</f>
        <v>Еще фото</v>
      </c>
      <c r="F2927" s="13"/>
      <c r="G2927" s="23" t="s">
        <v>3414</v>
      </c>
      <c r="H2927" s="23" t="s">
        <v>27</v>
      </c>
      <c r="I2927" s="23" t="s">
        <v>308</v>
      </c>
      <c r="J2927" s="14" t="s">
        <v>138</v>
      </c>
      <c r="K2927" s="15" t="s">
        <v>30</v>
      </c>
      <c r="L2927" s="87"/>
      <c r="M2927" s="14"/>
      <c r="N2927" s="14" t="s">
        <v>89</v>
      </c>
      <c r="O2927" s="14"/>
      <c r="P2927" s="15" t="s">
        <v>3018</v>
      </c>
      <c r="Q2927" s="16">
        <v>11999</v>
      </c>
      <c r="R2927" s="17">
        <v>45</v>
      </c>
      <c r="S2927" s="18">
        <v>7589.3674999999994</v>
      </c>
      <c r="T2927" s="19" t="s">
        <v>117</v>
      </c>
      <c r="U2927" s="20" t="s">
        <v>35</v>
      </c>
      <c r="V2927" s="21">
        <v>116</v>
      </c>
      <c r="W2927" s="21">
        <v>5</v>
      </c>
      <c r="X2927" s="22"/>
    </row>
    <row r="2928" spans="1:24" s="1" customFormat="1" ht="26.1" customHeight="1" x14ac:dyDescent="0.3">
      <c r="A2928" s="23" t="s">
        <v>3014</v>
      </c>
      <c r="B2928" s="23" t="s">
        <v>3434</v>
      </c>
      <c r="C2928" s="12" t="s">
        <v>3435</v>
      </c>
      <c r="D2928" s="85"/>
      <c r="E2928" s="69" t="str">
        <f>HYPERLINK("https://www.google.ru/search?q=72105311-0100&amp;newwindow=1&amp;tbm=isch","Еще фото")</f>
        <v>Еще фото</v>
      </c>
      <c r="F2928" s="13"/>
      <c r="G2928" s="23" t="s">
        <v>3414</v>
      </c>
      <c r="H2928" s="23" t="s">
        <v>27</v>
      </c>
      <c r="I2928" s="23" t="s">
        <v>308</v>
      </c>
      <c r="J2928" s="14" t="s">
        <v>138</v>
      </c>
      <c r="K2928" s="15" t="s">
        <v>30</v>
      </c>
      <c r="L2928" s="88"/>
      <c r="M2928" s="14"/>
      <c r="N2928" s="14" t="s">
        <v>89</v>
      </c>
      <c r="O2928" s="14"/>
      <c r="P2928" s="15" t="s">
        <v>3018</v>
      </c>
      <c r="Q2928" s="16">
        <v>11999</v>
      </c>
      <c r="R2928" s="17">
        <v>45</v>
      </c>
      <c r="S2928" s="18">
        <v>7589.3674999999994</v>
      </c>
      <c r="T2928" s="19" t="s">
        <v>117</v>
      </c>
      <c r="U2928" s="20" t="s">
        <v>36</v>
      </c>
      <c r="V2928" s="21">
        <v>122</v>
      </c>
      <c r="W2928" s="21">
        <v>5</v>
      </c>
      <c r="X2928" s="22"/>
    </row>
    <row r="2929" spans="1:24" s="1" customFormat="1" ht="26.1" customHeight="1" x14ac:dyDescent="0.3">
      <c r="A2929" s="11" t="s">
        <v>3014</v>
      </c>
      <c r="B2929" s="11" t="s">
        <v>3434</v>
      </c>
      <c r="C2929" s="12" t="s">
        <v>3437</v>
      </c>
      <c r="D2929" s="83"/>
      <c r="E2929" s="69" t="str">
        <f>HYPERLINK("https://www.google.ru/search?q=72105311-3200&amp;newwindow=1&amp;tbm=isch","Еще фото")</f>
        <v>Еще фото</v>
      </c>
      <c r="F2929" s="13"/>
      <c r="G2929" s="11" t="s">
        <v>3414</v>
      </c>
      <c r="H2929" s="11" t="s">
        <v>27</v>
      </c>
      <c r="I2929" s="14" t="s">
        <v>308</v>
      </c>
      <c r="J2929" s="14" t="s">
        <v>138</v>
      </c>
      <c r="K2929" s="15" t="s">
        <v>30</v>
      </c>
      <c r="L2929" s="86" t="s">
        <v>3436</v>
      </c>
      <c r="M2929" s="14"/>
      <c r="N2929" s="14" t="s">
        <v>275</v>
      </c>
      <c r="O2929" s="14"/>
      <c r="P2929" s="15" t="s">
        <v>3018</v>
      </c>
      <c r="Q2929" s="16">
        <v>11999</v>
      </c>
      <c r="R2929" s="17">
        <v>45</v>
      </c>
      <c r="S2929" s="18">
        <v>7589.3674999999994</v>
      </c>
      <c r="T2929" s="19" t="s">
        <v>117</v>
      </c>
      <c r="U2929" s="20" t="s">
        <v>94</v>
      </c>
      <c r="V2929" s="21">
        <v>104</v>
      </c>
      <c r="W2929" s="21">
        <v>6</v>
      </c>
      <c r="X2929" s="22"/>
    </row>
    <row r="2930" spans="1:24" s="1" customFormat="1" ht="26.1" customHeight="1" x14ac:dyDescent="0.3">
      <c r="A2930" s="23" t="s">
        <v>3014</v>
      </c>
      <c r="B2930" s="23" t="s">
        <v>3434</v>
      </c>
      <c r="C2930" s="12" t="s">
        <v>3437</v>
      </c>
      <c r="D2930" s="84"/>
      <c r="E2930" s="69" t="str">
        <f>HYPERLINK("https://www.google.ru/search?q=72105311-3200&amp;newwindow=1&amp;tbm=isch","Еще фото")</f>
        <v>Еще фото</v>
      </c>
      <c r="F2930" s="13"/>
      <c r="G2930" s="23" t="s">
        <v>3414</v>
      </c>
      <c r="H2930" s="23" t="s">
        <v>27</v>
      </c>
      <c r="I2930" s="23" t="s">
        <v>308</v>
      </c>
      <c r="J2930" s="14" t="s">
        <v>138</v>
      </c>
      <c r="K2930" s="15" t="s">
        <v>30</v>
      </c>
      <c r="L2930" s="87"/>
      <c r="M2930" s="14"/>
      <c r="N2930" s="14" t="s">
        <v>275</v>
      </c>
      <c r="O2930" s="14"/>
      <c r="P2930" s="15" t="s">
        <v>3018</v>
      </c>
      <c r="Q2930" s="16">
        <v>11999</v>
      </c>
      <c r="R2930" s="17">
        <v>45</v>
      </c>
      <c r="S2930" s="18">
        <v>7589.3674999999994</v>
      </c>
      <c r="T2930" s="19" t="s">
        <v>117</v>
      </c>
      <c r="U2930" s="20" t="s">
        <v>43</v>
      </c>
      <c r="V2930" s="21">
        <v>110</v>
      </c>
      <c r="W2930" s="21">
        <v>6</v>
      </c>
      <c r="X2930" s="22"/>
    </row>
    <row r="2931" spans="1:24" s="1" customFormat="1" ht="26.1" customHeight="1" x14ac:dyDescent="0.3">
      <c r="A2931" s="23" t="s">
        <v>3014</v>
      </c>
      <c r="B2931" s="23" t="s">
        <v>3434</v>
      </c>
      <c r="C2931" s="12" t="s">
        <v>3437</v>
      </c>
      <c r="D2931" s="84"/>
      <c r="E2931" s="69" t="str">
        <f>HYPERLINK("https://www.google.ru/search?q=72105311-3200&amp;newwindow=1&amp;tbm=isch","Еще фото")</f>
        <v>Еще фото</v>
      </c>
      <c r="F2931" s="13"/>
      <c r="G2931" s="23" t="s">
        <v>3414</v>
      </c>
      <c r="H2931" s="23" t="s">
        <v>27</v>
      </c>
      <c r="I2931" s="23" t="s">
        <v>308</v>
      </c>
      <c r="J2931" s="14" t="s">
        <v>138</v>
      </c>
      <c r="K2931" s="15" t="s">
        <v>30</v>
      </c>
      <c r="L2931" s="87"/>
      <c r="M2931" s="14"/>
      <c r="N2931" s="14" t="s">
        <v>275</v>
      </c>
      <c r="O2931" s="14"/>
      <c r="P2931" s="15" t="s">
        <v>3018</v>
      </c>
      <c r="Q2931" s="16">
        <v>11999</v>
      </c>
      <c r="R2931" s="17">
        <v>45</v>
      </c>
      <c r="S2931" s="18">
        <v>7589.3674999999994</v>
      </c>
      <c r="T2931" s="19" t="s">
        <v>117</v>
      </c>
      <c r="U2931" s="20" t="s">
        <v>35</v>
      </c>
      <c r="V2931" s="21">
        <v>116</v>
      </c>
      <c r="W2931" s="21">
        <v>6</v>
      </c>
      <c r="X2931" s="22"/>
    </row>
    <row r="2932" spans="1:24" s="1" customFormat="1" ht="26.1" customHeight="1" x14ac:dyDescent="0.3">
      <c r="A2932" s="23" t="s">
        <v>3014</v>
      </c>
      <c r="B2932" s="23" t="s">
        <v>3434</v>
      </c>
      <c r="C2932" s="12" t="s">
        <v>3437</v>
      </c>
      <c r="D2932" s="85"/>
      <c r="E2932" s="69" t="str">
        <f>HYPERLINK("https://www.google.ru/search?q=72105311-3200&amp;newwindow=1&amp;tbm=isch","Еще фото")</f>
        <v>Еще фото</v>
      </c>
      <c r="F2932" s="13"/>
      <c r="G2932" s="23" t="s">
        <v>3414</v>
      </c>
      <c r="H2932" s="23" t="s">
        <v>27</v>
      </c>
      <c r="I2932" s="23" t="s">
        <v>308</v>
      </c>
      <c r="J2932" s="14" t="s">
        <v>138</v>
      </c>
      <c r="K2932" s="15" t="s">
        <v>30</v>
      </c>
      <c r="L2932" s="88"/>
      <c r="M2932" s="14"/>
      <c r="N2932" s="14" t="s">
        <v>275</v>
      </c>
      <c r="O2932" s="14"/>
      <c r="P2932" s="15" t="s">
        <v>3018</v>
      </c>
      <c r="Q2932" s="16">
        <v>11999</v>
      </c>
      <c r="R2932" s="17">
        <v>45</v>
      </c>
      <c r="S2932" s="18">
        <v>7589.3674999999994</v>
      </c>
      <c r="T2932" s="19" t="s">
        <v>117</v>
      </c>
      <c r="U2932" s="20" t="s">
        <v>36</v>
      </c>
      <c r="V2932" s="21">
        <v>122</v>
      </c>
      <c r="W2932" s="21">
        <v>5</v>
      </c>
      <c r="X2932" s="22"/>
    </row>
    <row r="2933" spans="1:24" s="1" customFormat="1" ht="14.1" customHeight="1" x14ac:dyDescent="0.3">
      <c r="A2933" s="11" t="s">
        <v>3014</v>
      </c>
      <c r="B2933" s="11" t="s">
        <v>3438</v>
      </c>
      <c r="C2933" s="12" t="s">
        <v>3439</v>
      </c>
      <c r="D2933" s="83"/>
      <c r="E2933" s="69" t="str">
        <f t="shared" ref="E2933:E2939" si="116">HYPERLINK("https://www.google.ru/search?q=72106106-0160&amp;newwindow=1&amp;tbm=isch","Еще фото")</f>
        <v>Еще фото</v>
      </c>
      <c r="F2933" s="13"/>
      <c r="G2933" s="11" t="s">
        <v>332</v>
      </c>
      <c r="H2933" s="11" t="s">
        <v>27</v>
      </c>
      <c r="I2933" s="14" t="s">
        <v>308</v>
      </c>
      <c r="J2933" s="14" t="s">
        <v>29</v>
      </c>
      <c r="K2933" s="15" t="s">
        <v>30</v>
      </c>
      <c r="L2933" s="86"/>
      <c r="M2933" s="14"/>
      <c r="N2933" s="14" t="s">
        <v>89</v>
      </c>
      <c r="O2933" s="14"/>
      <c r="P2933" s="15" t="s">
        <v>108</v>
      </c>
      <c r="Q2933" s="16">
        <v>3999</v>
      </c>
      <c r="R2933" s="17">
        <v>45</v>
      </c>
      <c r="S2933" s="18">
        <v>2529.3674999999994</v>
      </c>
      <c r="T2933" s="19" t="s">
        <v>117</v>
      </c>
      <c r="U2933" s="20" t="s">
        <v>37</v>
      </c>
      <c r="V2933" s="21">
        <v>128</v>
      </c>
      <c r="W2933" s="21">
        <v>4</v>
      </c>
      <c r="X2933" s="22"/>
    </row>
    <row r="2934" spans="1:24" s="1" customFormat="1" ht="14.1" customHeight="1" x14ac:dyDescent="0.3">
      <c r="A2934" s="23" t="s">
        <v>3014</v>
      </c>
      <c r="B2934" s="23" t="s">
        <v>3438</v>
      </c>
      <c r="C2934" s="12" t="s">
        <v>3439</v>
      </c>
      <c r="D2934" s="84"/>
      <c r="E2934" s="69" t="str">
        <f t="shared" si="116"/>
        <v>Еще фото</v>
      </c>
      <c r="F2934" s="13"/>
      <c r="G2934" s="23" t="s">
        <v>332</v>
      </c>
      <c r="H2934" s="23" t="s">
        <v>27</v>
      </c>
      <c r="I2934" s="23" t="s">
        <v>308</v>
      </c>
      <c r="J2934" s="14" t="s">
        <v>29</v>
      </c>
      <c r="K2934" s="15" t="s">
        <v>30</v>
      </c>
      <c r="L2934" s="87"/>
      <c r="M2934" s="14"/>
      <c r="N2934" s="14" t="s">
        <v>89</v>
      </c>
      <c r="O2934" s="14"/>
      <c r="P2934" s="15" t="s">
        <v>108</v>
      </c>
      <c r="Q2934" s="16">
        <v>3999</v>
      </c>
      <c r="R2934" s="17">
        <v>45</v>
      </c>
      <c r="S2934" s="18">
        <v>2529.3674999999994</v>
      </c>
      <c r="T2934" s="19" t="s">
        <v>117</v>
      </c>
      <c r="U2934" s="20" t="s">
        <v>91</v>
      </c>
      <c r="V2934" s="21">
        <v>134</v>
      </c>
      <c r="W2934" s="21">
        <v>4</v>
      </c>
      <c r="X2934" s="22"/>
    </row>
    <row r="2935" spans="1:24" s="1" customFormat="1" ht="14.1" customHeight="1" x14ac:dyDescent="0.3">
      <c r="A2935" s="23" t="s">
        <v>3014</v>
      </c>
      <c r="B2935" s="23" t="s">
        <v>3438</v>
      </c>
      <c r="C2935" s="12" t="s">
        <v>3439</v>
      </c>
      <c r="D2935" s="84"/>
      <c r="E2935" s="69" t="str">
        <f t="shared" si="116"/>
        <v>Еще фото</v>
      </c>
      <c r="F2935" s="13"/>
      <c r="G2935" s="23" t="s">
        <v>332</v>
      </c>
      <c r="H2935" s="23" t="s">
        <v>27</v>
      </c>
      <c r="I2935" s="23" t="s">
        <v>308</v>
      </c>
      <c r="J2935" s="14" t="s">
        <v>29</v>
      </c>
      <c r="K2935" s="15" t="s">
        <v>30</v>
      </c>
      <c r="L2935" s="87"/>
      <c r="M2935" s="14"/>
      <c r="N2935" s="14" t="s">
        <v>89</v>
      </c>
      <c r="O2935" s="14"/>
      <c r="P2935" s="15" t="s">
        <v>108</v>
      </c>
      <c r="Q2935" s="16">
        <v>3999</v>
      </c>
      <c r="R2935" s="17">
        <v>45</v>
      </c>
      <c r="S2935" s="18">
        <v>2529.3674999999994</v>
      </c>
      <c r="T2935" s="19" t="s">
        <v>117</v>
      </c>
      <c r="U2935" s="20" t="s">
        <v>290</v>
      </c>
      <c r="V2935" s="21">
        <v>140</v>
      </c>
      <c r="W2935" s="21">
        <v>3</v>
      </c>
      <c r="X2935" s="22"/>
    </row>
    <row r="2936" spans="1:24" s="1" customFormat="1" ht="14.1" customHeight="1" x14ac:dyDescent="0.3">
      <c r="A2936" s="23" t="s">
        <v>3014</v>
      </c>
      <c r="B2936" s="23" t="s">
        <v>3438</v>
      </c>
      <c r="C2936" s="12" t="s">
        <v>3439</v>
      </c>
      <c r="D2936" s="84"/>
      <c r="E2936" s="69" t="str">
        <f t="shared" si="116"/>
        <v>Еще фото</v>
      </c>
      <c r="F2936" s="13"/>
      <c r="G2936" s="23" t="s">
        <v>332</v>
      </c>
      <c r="H2936" s="23" t="s">
        <v>27</v>
      </c>
      <c r="I2936" s="23" t="s">
        <v>308</v>
      </c>
      <c r="J2936" s="14" t="s">
        <v>29</v>
      </c>
      <c r="K2936" s="15" t="s">
        <v>30</v>
      </c>
      <c r="L2936" s="87"/>
      <c r="M2936" s="14"/>
      <c r="N2936" s="14" t="s">
        <v>89</v>
      </c>
      <c r="O2936" s="14"/>
      <c r="P2936" s="15" t="s">
        <v>108</v>
      </c>
      <c r="Q2936" s="16">
        <v>3999</v>
      </c>
      <c r="R2936" s="17">
        <v>45</v>
      </c>
      <c r="S2936" s="18">
        <v>2529.3674999999994</v>
      </c>
      <c r="T2936" s="19" t="s">
        <v>117</v>
      </c>
      <c r="U2936" s="20" t="s">
        <v>2993</v>
      </c>
      <c r="V2936" s="21">
        <v>146</v>
      </c>
      <c r="W2936" s="21">
        <v>2</v>
      </c>
      <c r="X2936" s="22"/>
    </row>
    <row r="2937" spans="1:24" s="1" customFormat="1" ht="14.1" customHeight="1" x14ac:dyDescent="0.3">
      <c r="A2937" s="23" t="s">
        <v>3014</v>
      </c>
      <c r="B2937" s="23" t="s">
        <v>3438</v>
      </c>
      <c r="C2937" s="12" t="s">
        <v>3439</v>
      </c>
      <c r="D2937" s="84"/>
      <c r="E2937" s="69" t="str">
        <f t="shared" si="116"/>
        <v>Еще фото</v>
      </c>
      <c r="F2937" s="13"/>
      <c r="G2937" s="23" t="s">
        <v>332</v>
      </c>
      <c r="H2937" s="23" t="s">
        <v>27</v>
      </c>
      <c r="I2937" s="23" t="s">
        <v>308</v>
      </c>
      <c r="J2937" s="14" t="s">
        <v>29</v>
      </c>
      <c r="K2937" s="15" t="s">
        <v>30</v>
      </c>
      <c r="L2937" s="87"/>
      <c r="M2937" s="14"/>
      <c r="N2937" s="14" t="s">
        <v>89</v>
      </c>
      <c r="O2937" s="14"/>
      <c r="P2937" s="15" t="s">
        <v>108</v>
      </c>
      <c r="Q2937" s="16">
        <v>3999</v>
      </c>
      <c r="R2937" s="17">
        <v>45</v>
      </c>
      <c r="S2937" s="18">
        <v>2529.3674999999994</v>
      </c>
      <c r="T2937" s="19" t="s">
        <v>117</v>
      </c>
      <c r="U2937" s="20" t="s">
        <v>2160</v>
      </c>
      <c r="V2937" s="21">
        <v>152</v>
      </c>
      <c r="W2937" s="21">
        <v>3</v>
      </c>
      <c r="X2937" s="22"/>
    </row>
    <row r="2938" spans="1:24" s="1" customFormat="1" ht="14.1" customHeight="1" x14ac:dyDescent="0.3">
      <c r="A2938" s="23" t="s">
        <v>3014</v>
      </c>
      <c r="B2938" s="23" t="s">
        <v>3438</v>
      </c>
      <c r="C2938" s="12" t="s">
        <v>3439</v>
      </c>
      <c r="D2938" s="84"/>
      <c r="E2938" s="69" t="str">
        <f t="shared" si="116"/>
        <v>Еще фото</v>
      </c>
      <c r="F2938" s="13"/>
      <c r="G2938" s="23" t="s">
        <v>332</v>
      </c>
      <c r="H2938" s="23" t="s">
        <v>27</v>
      </c>
      <c r="I2938" s="23" t="s">
        <v>308</v>
      </c>
      <c r="J2938" s="14" t="s">
        <v>29</v>
      </c>
      <c r="K2938" s="15" t="s">
        <v>30</v>
      </c>
      <c r="L2938" s="87"/>
      <c r="M2938" s="14"/>
      <c r="N2938" s="14" t="s">
        <v>89</v>
      </c>
      <c r="O2938" s="14"/>
      <c r="P2938" s="15" t="s">
        <v>108</v>
      </c>
      <c r="Q2938" s="16">
        <v>3999</v>
      </c>
      <c r="R2938" s="17">
        <v>45</v>
      </c>
      <c r="S2938" s="18">
        <v>2529.3674999999994</v>
      </c>
      <c r="T2938" s="19" t="s">
        <v>117</v>
      </c>
      <c r="U2938" s="20" t="s">
        <v>3088</v>
      </c>
      <c r="V2938" s="21">
        <v>158</v>
      </c>
      <c r="W2938" s="21">
        <v>2</v>
      </c>
      <c r="X2938" s="22"/>
    </row>
    <row r="2939" spans="1:24" s="1" customFormat="1" ht="17.100000000000001" customHeight="1" x14ac:dyDescent="0.3">
      <c r="A2939" s="23" t="s">
        <v>3014</v>
      </c>
      <c r="B2939" s="23" t="s">
        <v>3438</v>
      </c>
      <c r="C2939" s="12" t="s">
        <v>3439</v>
      </c>
      <c r="D2939" s="85"/>
      <c r="E2939" s="69" t="str">
        <f t="shared" si="116"/>
        <v>Еще фото</v>
      </c>
      <c r="F2939" s="13"/>
      <c r="G2939" s="23" t="s">
        <v>332</v>
      </c>
      <c r="H2939" s="23" t="s">
        <v>27</v>
      </c>
      <c r="I2939" s="23" t="s">
        <v>308</v>
      </c>
      <c r="J2939" s="14" t="s">
        <v>29</v>
      </c>
      <c r="K2939" s="15" t="s">
        <v>30</v>
      </c>
      <c r="L2939" s="88"/>
      <c r="M2939" s="14"/>
      <c r="N2939" s="14" t="s">
        <v>89</v>
      </c>
      <c r="O2939" s="14"/>
      <c r="P2939" s="15" t="s">
        <v>108</v>
      </c>
      <c r="Q2939" s="16">
        <v>3999</v>
      </c>
      <c r="R2939" s="17">
        <v>45</v>
      </c>
      <c r="S2939" s="18">
        <v>2529.3674999999994</v>
      </c>
      <c r="T2939" s="19" t="s">
        <v>117</v>
      </c>
      <c r="U2939" s="20" t="s">
        <v>2161</v>
      </c>
      <c r="V2939" s="21">
        <v>164</v>
      </c>
      <c r="W2939" s="21">
        <v>3</v>
      </c>
      <c r="X2939" s="22"/>
    </row>
    <row r="2940" spans="1:24" s="1" customFormat="1" ht="51.95" customHeight="1" x14ac:dyDescent="0.3">
      <c r="A2940" s="11" t="s">
        <v>3014</v>
      </c>
      <c r="B2940" s="11" t="s">
        <v>3438</v>
      </c>
      <c r="C2940" s="12" t="s">
        <v>3440</v>
      </c>
      <c r="D2940" s="89"/>
      <c r="E2940" s="69" t="str">
        <f>HYPERLINK("https://www.google.ru/search?q=72106106-6960&amp;newwindow=1&amp;tbm=isch","Еще фото")</f>
        <v>Еще фото</v>
      </c>
      <c r="F2940" s="13"/>
      <c r="G2940" s="11" t="s">
        <v>332</v>
      </c>
      <c r="H2940" s="11" t="s">
        <v>27</v>
      </c>
      <c r="I2940" s="14" t="s">
        <v>308</v>
      </c>
      <c r="J2940" s="14" t="s">
        <v>29</v>
      </c>
      <c r="K2940" s="15" t="s">
        <v>30</v>
      </c>
      <c r="L2940" s="86"/>
      <c r="M2940" s="14"/>
      <c r="N2940" s="14" t="s">
        <v>70</v>
      </c>
      <c r="O2940" s="14"/>
      <c r="P2940" s="15" t="s">
        <v>108</v>
      </c>
      <c r="Q2940" s="16">
        <v>3999</v>
      </c>
      <c r="R2940" s="17">
        <v>45</v>
      </c>
      <c r="S2940" s="18">
        <v>2529.3674999999994</v>
      </c>
      <c r="T2940" s="19" t="s">
        <v>117</v>
      </c>
      <c r="U2940" s="20" t="s">
        <v>91</v>
      </c>
      <c r="V2940" s="21">
        <v>134</v>
      </c>
      <c r="W2940" s="21">
        <v>2</v>
      </c>
      <c r="X2940" s="22"/>
    </row>
    <row r="2941" spans="1:24" s="1" customFormat="1" ht="60.95" customHeight="1" x14ac:dyDescent="0.3">
      <c r="A2941" s="23" t="s">
        <v>3014</v>
      </c>
      <c r="B2941" s="23" t="s">
        <v>3438</v>
      </c>
      <c r="C2941" s="12" t="s">
        <v>3440</v>
      </c>
      <c r="D2941" s="90"/>
      <c r="E2941" s="69" t="str">
        <f>HYPERLINK("https://www.google.ru/search?q=72106106-6960&amp;newwindow=1&amp;tbm=isch","Еще фото")</f>
        <v>Еще фото</v>
      </c>
      <c r="F2941" s="13"/>
      <c r="G2941" s="23" t="s">
        <v>332</v>
      </c>
      <c r="H2941" s="23" t="s">
        <v>27</v>
      </c>
      <c r="I2941" s="23" t="s">
        <v>308</v>
      </c>
      <c r="J2941" s="14" t="s">
        <v>29</v>
      </c>
      <c r="K2941" s="15" t="s">
        <v>30</v>
      </c>
      <c r="L2941" s="88"/>
      <c r="M2941" s="14"/>
      <c r="N2941" s="14" t="s">
        <v>70</v>
      </c>
      <c r="O2941" s="14"/>
      <c r="P2941" s="15" t="s">
        <v>108</v>
      </c>
      <c r="Q2941" s="16">
        <v>3999</v>
      </c>
      <c r="R2941" s="17">
        <v>45</v>
      </c>
      <c r="S2941" s="18">
        <v>2529.3674999999994</v>
      </c>
      <c r="T2941" s="19" t="s">
        <v>117</v>
      </c>
      <c r="U2941" s="20" t="s">
        <v>290</v>
      </c>
      <c r="V2941" s="21">
        <v>140</v>
      </c>
      <c r="W2941" s="21">
        <v>1</v>
      </c>
      <c r="X2941" s="22"/>
    </row>
    <row r="2942" spans="1:24" s="1" customFormat="1" ht="11.1" customHeight="1" x14ac:dyDescent="0.3">
      <c r="A2942" s="11" t="s">
        <v>3014</v>
      </c>
      <c r="B2942" s="11" t="s">
        <v>3441</v>
      </c>
      <c r="C2942" s="12" t="s">
        <v>3442</v>
      </c>
      <c r="D2942" s="83"/>
      <c r="E2942" s="69" t="str">
        <f t="shared" ref="E2942:E2951" si="117">HYPERLINK("https://www.google.ru/search?q=72106111-3110&amp;newwindow=1&amp;tbm=isch","Еще фото")</f>
        <v>Еще фото</v>
      </c>
      <c r="F2942" s="13"/>
      <c r="G2942" s="11" t="s">
        <v>307</v>
      </c>
      <c r="H2942" s="11" t="s">
        <v>27</v>
      </c>
      <c r="I2942" s="14" t="s">
        <v>308</v>
      </c>
      <c r="J2942" s="14" t="s">
        <v>29</v>
      </c>
      <c r="K2942" s="15" t="s">
        <v>30</v>
      </c>
      <c r="L2942" s="86"/>
      <c r="M2942" s="14"/>
      <c r="N2942" s="14" t="s">
        <v>275</v>
      </c>
      <c r="O2942" s="14"/>
      <c r="P2942" s="15" t="s">
        <v>3109</v>
      </c>
      <c r="Q2942" s="16">
        <v>6999</v>
      </c>
      <c r="R2942" s="17">
        <v>45</v>
      </c>
      <c r="S2942" s="18">
        <v>4426.8674999999994</v>
      </c>
      <c r="T2942" s="19" t="s">
        <v>117</v>
      </c>
      <c r="U2942" s="20" t="s">
        <v>43</v>
      </c>
      <c r="V2942" s="21">
        <v>110</v>
      </c>
      <c r="W2942" s="21">
        <v>4</v>
      </c>
      <c r="X2942" s="22"/>
    </row>
    <row r="2943" spans="1:24" s="1" customFormat="1" ht="11.1" customHeight="1" x14ac:dyDescent="0.3">
      <c r="A2943" s="23" t="s">
        <v>3014</v>
      </c>
      <c r="B2943" s="23" t="s">
        <v>3441</v>
      </c>
      <c r="C2943" s="12" t="s">
        <v>3442</v>
      </c>
      <c r="D2943" s="84"/>
      <c r="E2943" s="69" t="str">
        <f t="shared" si="117"/>
        <v>Еще фото</v>
      </c>
      <c r="F2943" s="13"/>
      <c r="G2943" s="23" t="s">
        <v>307</v>
      </c>
      <c r="H2943" s="23" t="s">
        <v>27</v>
      </c>
      <c r="I2943" s="23" t="s">
        <v>308</v>
      </c>
      <c r="J2943" s="14" t="s">
        <v>29</v>
      </c>
      <c r="K2943" s="15" t="s">
        <v>30</v>
      </c>
      <c r="L2943" s="87"/>
      <c r="M2943" s="14"/>
      <c r="N2943" s="14" t="s">
        <v>275</v>
      </c>
      <c r="O2943" s="14"/>
      <c r="P2943" s="15" t="s">
        <v>3109</v>
      </c>
      <c r="Q2943" s="16">
        <v>6999</v>
      </c>
      <c r="R2943" s="17">
        <v>45</v>
      </c>
      <c r="S2943" s="18">
        <v>4426.8674999999994</v>
      </c>
      <c r="T2943" s="19" t="s">
        <v>117</v>
      </c>
      <c r="U2943" s="20" t="s">
        <v>35</v>
      </c>
      <c r="V2943" s="21">
        <v>116</v>
      </c>
      <c r="W2943" s="21">
        <v>4</v>
      </c>
      <c r="X2943" s="22"/>
    </row>
    <row r="2944" spans="1:24" s="1" customFormat="1" ht="11.1" customHeight="1" x14ac:dyDescent="0.3">
      <c r="A2944" s="23" t="s">
        <v>3014</v>
      </c>
      <c r="B2944" s="23" t="s">
        <v>3441</v>
      </c>
      <c r="C2944" s="12" t="s">
        <v>3442</v>
      </c>
      <c r="D2944" s="84"/>
      <c r="E2944" s="69" t="str">
        <f t="shared" si="117"/>
        <v>Еще фото</v>
      </c>
      <c r="F2944" s="13"/>
      <c r="G2944" s="23" t="s">
        <v>307</v>
      </c>
      <c r="H2944" s="23" t="s">
        <v>27</v>
      </c>
      <c r="I2944" s="23" t="s">
        <v>308</v>
      </c>
      <c r="J2944" s="14" t="s">
        <v>29</v>
      </c>
      <c r="K2944" s="15" t="s">
        <v>30</v>
      </c>
      <c r="L2944" s="87"/>
      <c r="M2944" s="14"/>
      <c r="N2944" s="14" t="s">
        <v>275</v>
      </c>
      <c r="O2944" s="14"/>
      <c r="P2944" s="15" t="s">
        <v>3109</v>
      </c>
      <c r="Q2944" s="16">
        <v>6999</v>
      </c>
      <c r="R2944" s="17">
        <v>45</v>
      </c>
      <c r="S2944" s="18">
        <v>4426.8674999999994</v>
      </c>
      <c r="T2944" s="19" t="s">
        <v>117</v>
      </c>
      <c r="U2944" s="20" t="s">
        <v>36</v>
      </c>
      <c r="V2944" s="21">
        <v>122</v>
      </c>
      <c r="W2944" s="21">
        <v>3</v>
      </c>
      <c r="X2944" s="22"/>
    </row>
    <row r="2945" spans="1:24" s="1" customFormat="1" ht="11.1" customHeight="1" x14ac:dyDescent="0.3">
      <c r="A2945" s="23" t="s">
        <v>3014</v>
      </c>
      <c r="B2945" s="23" t="s">
        <v>3441</v>
      </c>
      <c r="C2945" s="12" t="s">
        <v>3442</v>
      </c>
      <c r="D2945" s="84"/>
      <c r="E2945" s="69" t="str">
        <f t="shared" si="117"/>
        <v>Еще фото</v>
      </c>
      <c r="F2945" s="13"/>
      <c r="G2945" s="23" t="s">
        <v>307</v>
      </c>
      <c r="H2945" s="23" t="s">
        <v>27</v>
      </c>
      <c r="I2945" s="23" t="s">
        <v>308</v>
      </c>
      <c r="J2945" s="14" t="s">
        <v>29</v>
      </c>
      <c r="K2945" s="15" t="s">
        <v>30</v>
      </c>
      <c r="L2945" s="87"/>
      <c r="M2945" s="14"/>
      <c r="N2945" s="14" t="s">
        <v>275</v>
      </c>
      <c r="O2945" s="14"/>
      <c r="P2945" s="15" t="s">
        <v>3109</v>
      </c>
      <c r="Q2945" s="16">
        <v>6999</v>
      </c>
      <c r="R2945" s="17">
        <v>45</v>
      </c>
      <c r="S2945" s="18">
        <v>4426.8674999999994</v>
      </c>
      <c r="T2945" s="19" t="s">
        <v>117</v>
      </c>
      <c r="U2945" s="20" t="s">
        <v>37</v>
      </c>
      <c r="V2945" s="21">
        <v>128</v>
      </c>
      <c r="W2945" s="21">
        <v>4</v>
      </c>
      <c r="X2945" s="22"/>
    </row>
    <row r="2946" spans="1:24" s="1" customFormat="1" ht="11.1" customHeight="1" x14ac:dyDescent="0.3">
      <c r="A2946" s="23" t="s">
        <v>3014</v>
      </c>
      <c r="B2946" s="23" t="s">
        <v>3441</v>
      </c>
      <c r="C2946" s="12" t="s">
        <v>3442</v>
      </c>
      <c r="D2946" s="84"/>
      <c r="E2946" s="69" t="str">
        <f t="shared" si="117"/>
        <v>Еще фото</v>
      </c>
      <c r="F2946" s="13"/>
      <c r="G2946" s="23" t="s">
        <v>307</v>
      </c>
      <c r="H2946" s="23" t="s">
        <v>27</v>
      </c>
      <c r="I2946" s="23" t="s">
        <v>308</v>
      </c>
      <c r="J2946" s="14" t="s">
        <v>29</v>
      </c>
      <c r="K2946" s="15" t="s">
        <v>30</v>
      </c>
      <c r="L2946" s="87"/>
      <c r="M2946" s="14"/>
      <c r="N2946" s="14" t="s">
        <v>275</v>
      </c>
      <c r="O2946" s="14"/>
      <c r="P2946" s="15" t="s">
        <v>3109</v>
      </c>
      <c r="Q2946" s="16">
        <v>6999</v>
      </c>
      <c r="R2946" s="17">
        <v>45</v>
      </c>
      <c r="S2946" s="18">
        <v>4426.8674999999994</v>
      </c>
      <c r="T2946" s="19" t="s">
        <v>117</v>
      </c>
      <c r="U2946" s="20" t="s">
        <v>91</v>
      </c>
      <c r="V2946" s="21">
        <v>134</v>
      </c>
      <c r="W2946" s="21">
        <v>4</v>
      </c>
      <c r="X2946" s="22"/>
    </row>
    <row r="2947" spans="1:24" s="1" customFormat="1" ht="11.1" customHeight="1" x14ac:dyDescent="0.3">
      <c r="A2947" s="23" t="s">
        <v>3014</v>
      </c>
      <c r="B2947" s="23" t="s">
        <v>3441</v>
      </c>
      <c r="C2947" s="12" t="s">
        <v>3442</v>
      </c>
      <c r="D2947" s="84"/>
      <c r="E2947" s="69" t="str">
        <f t="shared" si="117"/>
        <v>Еще фото</v>
      </c>
      <c r="F2947" s="13"/>
      <c r="G2947" s="23" t="s">
        <v>307</v>
      </c>
      <c r="H2947" s="23" t="s">
        <v>27</v>
      </c>
      <c r="I2947" s="23" t="s">
        <v>308</v>
      </c>
      <c r="J2947" s="14" t="s">
        <v>29</v>
      </c>
      <c r="K2947" s="15" t="s">
        <v>30</v>
      </c>
      <c r="L2947" s="87"/>
      <c r="M2947" s="14"/>
      <c r="N2947" s="14" t="s">
        <v>275</v>
      </c>
      <c r="O2947" s="14"/>
      <c r="P2947" s="15" t="s">
        <v>3109</v>
      </c>
      <c r="Q2947" s="16">
        <v>6999</v>
      </c>
      <c r="R2947" s="17">
        <v>45</v>
      </c>
      <c r="S2947" s="18">
        <v>4426.8674999999994</v>
      </c>
      <c r="T2947" s="19" t="s">
        <v>117</v>
      </c>
      <c r="U2947" s="20" t="s">
        <v>290</v>
      </c>
      <c r="V2947" s="21">
        <v>140</v>
      </c>
      <c r="W2947" s="21">
        <v>4</v>
      </c>
      <c r="X2947" s="22"/>
    </row>
    <row r="2948" spans="1:24" s="1" customFormat="1" ht="11.1" customHeight="1" x14ac:dyDescent="0.3">
      <c r="A2948" s="23" t="s">
        <v>3014</v>
      </c>
      <c r="B2948" s="23" t="s">
        <v>3441</v>
      </c>
      <c r="C2948" s="12" t="s">
        <v>3442</v>
      </c>
      <c r="D2948" s="84"/>
      <c r="E2948" s="69" t="str">
        <f t="shared" si="117"/>
        <v>Еще фото</v>
      </c>
      <c r="F2948" s="13"/>
      <c r="G2948" s="23" t="s">
        <v>307</v>
      </c>
      <c r="H2948" s="23" t="s">
        <v>27</v>
      </c>
      <c r="I2948" s="23" t="s">
        <v>308</v>
      </c>
      <c r="J2948" s="14" t="s">
        <v>29</v>
      </c>
      <c r="K2948" s="15" t="s">
        <v>30</v>
      </c>
      <c r="L2948" s="87"/>
      <c r="M2948" s="14"/>
      <c r="N2948" s="14" t="s">
        <v>275</v>
      </c>
      <c r="O2948" s="14"/>
      <c r="P2948" s="15" t="s">
        <v>3109</v>
      </c>
      <c r="Q2948" s="16">
        <v>6999</v>
      </c>
      <c r="R2948" s="17">
        <v>45</v>
      </c>
      <c r="S2948" s="18">
        <v>4426.8674999999994</v>
      </c>
      <c r="T2948" s="19" t="s">
        <v>117</v>
      </c>
      <c r="U2948" s="20" t="s">
        <v>2993</v>
      </c>
      <c r="V2948" s="21">
        <v>146</v>
      </c>
      <c r="W2948" s="21">
        <v>3</v>
      </c>
      <c r="X2948" s="22"/>
    </row>
    <row r="2949" spans="1:24" s="1" customFormat="1" ht="11.1" customHeight="1" x14ac:dyDescent="0.3">
      <c r="A2949" s="23" t="s">
        <v>3014</v>
      </c>
      <c r="B2949" s="23" t="s">
        <v>3441</v>
      </c>
      <c r="C2949" s="12" t="s">
        <v>3442</v>
      </c>
      <c r="D2949" s="84"/>
      <c r="E2949" s="69" t="str">
        <f t="shared" si="117"/>
        <v>Еще фото</v>
      </c>
      <c r="F2949" s="13"/>
      <c r="G2949" s="23" t="s">
        <v>307</v>
      </c>
      <c r="H2949" s="23" t="s">
        <v>27</v>
      </c>
      <c r="I2949" s="23" t="s">
        <v>308</v>
      </c>
      <c r="J2949" s="14" t="s">
        <v>29</v>
      </c>
      <c r="K2949" s="15" t="s">
        <v>30</v>
      </c>
      <c r="L2949" s="87"/>
      <c r="M2949" s="14"/>
      <c r="N2949" s="14" t="s">
        <v>275</v>
      </c>
      <c r="O2949" s="14"/>
      <c r="P2949" s="15" t="s">
        <v>3109</v>
      </c>
      <c r="Q2949" s="16">
        <v>6999</v>
      </c>
      <c r="R2949" s="17">
        <v>45</v>
      </c>
      <c r="S2949" s="18">
        <v>4426.8674999999994</v>
      </c>
      <c r="T2949" s="19" t="s">
        <v>117</v>
      </c>
      <c r="U2949" s="20" t="s">
        <v>2160</v>
      </c>
      <c r="V2949" s="21">
        <v>152</v>
      </c>
      <c r="W2949" s="21">
        <v>4</v>
      </c>
      <c r="X2949" s="22"/>
    </row>
    <row r="2950" spans="1:24" s="1" customFormat="1" ht="11.1" customHeight="1" x14ac:dyDescent="0.3">
      <c r="A2950" s="23" t="s">
        <v>3014</v>
      </c>
      <c r="B2950" s="23" t="s">
        <v>3441</v>
      </c>
      <c r="C2950" s="12" t="s">
        <v>3442</v>
      </c>
      <c r="D2950" s="84"/>
      <c r="E2950" s="69" t="str">
        <f t="shared" si="117"/>
        <v>Еще фото</v>
      </c>
      <c r="F2950" s="13"/>
      <c r="G2950" s="23" t="s">
        <v>307</v>
      </c>
      <c r="H2950" s="23" t="s">
        <v>27</v>
      </c>
      <c r="I2950" s="23" t="s">
        <v>308</v>
      </c>
      <c r="J2950" s="14" t="s">
        <v>29</v>
      </c>
      <c r="K2950" s="15" t="s">
        <v>30</v>
      </c>
      <c r="L2950" s="87"/>
      <c r="M2950" s="14"/>
      <c r="N2950" s="14" t="s">
        <v>275</v>
      </c>
      <c r="O2950" s="14"/>
      <c r="P2950" s="15" t="s">
        <v>3109</v>
      </c>
      <c r="Q2950" s="16">
        <v>6999</v>
      </c>
      <c r="R2950" s="17">
        <v>45</v>
      </c>
      <c r="S2950" s="18">
        <v>4426.8674999999994</v>
      </c>
      <c r="T2950" s="19" t="s">
        <v>117</v>
      </c>
      <c r="U2950" s="20" t="s">
        <v>3088</v>
      </c>
      <c r="V2950" s="21">
        <v>158</v>
      </c>
      <c r="W2950" s="21">
        <v>4</v>
      </c>
      <c r="X2950" s="22"/>
    </row>
    <row r="2951" spans="1:24" s="1" customFormat="1" ht="11.1" customHeight="1" x14ac:dyDescent="0.3">
      <c r="A2951" s="14" t="s">
        <v>3014</v>
      </c>
      <c r="B2951" s="14" t="s">
        <v>3441</v>
      </c>
      <c r="C2951" s="12" t="s">
        <v>3442</v>
      </c>
      <c r="D2951" s="85"/>
      <c r="E2951" s="69" t="str">
        <f t="shared" si="117"/>
        <v>Еще фото</v>
      </c>
      <c r="F2951" s="36"/>
      <c r="G2951" s="14" t="s">
        <v>307</v>
      </c>
      <c r="H2951" s="14" t="s">
        <v>27</v>
      </c>
      <c r="I2951" s="14" t="s">
        <v>308</v>
      </c>
      <c r="J2951" s="14" t="s">
        <v>29</v>
      </c>
      <c r="K2951" s="14" t="s">
        <v>30</v>
      </c>
      <c r="L2951" s="88"/>
      <c r="M2951" s="14"/>
      <c r="N2951" s="14" t="s">
        <v>275</v>
      </c>
      <c r="O2951" s="14"/>
      <c r="P2951" s="14" t="s">
        <v>3109</v>
      </c>
      <c r="Q2951" s="33">
        <v>6999</v>
      </c>
      <c r="R2951" s="34">
        <v>45</v>
      </c>
      <c r="S2951" s="35">
        <v>4426.8674999999994</v>
      </c>
      <c r="T2951" s="19" t="s">
        <v>117</v>
      </c>
      <c r="U2951" s="20" t="s">
        <v>2161</v>
      </c>
      <c r="V2951" s="21">
        <v>164</v>
      </c>
      <c r="W2951" s="21">
        <v>4</v>
      </c>
      <c r="X2951" s="22"/>
    </row>
    <row r="2952" spans="1:24" s="1" customFormat="1" ht="11.1" customHeight="1" x14ac:dyDescent="0.3">
      <c r="A2952" s="11" t="s">
        <v>3014</v>
      </c>
      <c r="B2952" s="11" t="s">
        <v>3441</v>
      </c>
      <c r="C2952" s="12" t="s">
        <v>3443</v>
      </c>
      <c r="D2952" s="83"/>
      <c r="E2952" s="69" t="str">
        <f t="shared" ref="E2952:E2962" si="118">HYPERLINK("https://www.google.ru/search?q=72106111-6520&amp;newwindow=1&amp;tbm=isch","Еще фото")</f>
        <v>Еще фото</v>
      </c>
      <c r="F2952" s="13"/>
      <c r="G2952" s="11" t="s">
        <v>307</v>
      </c>
      <c r="H2952" s="11" t="s">
        <v>27</v>
      </c>
      <c r="I2952" s="14" t="s">
        <v>308</v>
      </c>
      <c r="J2952" s="14" t="s">
        <v>29</v>
      </c>
      <c r="K2952" s="15" t="s">
        <v>30</v>
      </c>
      <c r="L2952" s="86"/>
      <c r="M2952" s="14"/>
      <c r="N2952" s="14" t="s">
        <v>265</v>
      </c>
      <c r="O2952" s="14"/>
      <c r="P2952" s="15" t="s">
        <v>3109</v>
      </c>
      <c r="Q2952" s="16">
        <v>6999</v>
      </c>
      <c r="R2952" s="17">
        <v>45</v>
      </c>
      <c r="S2952" s="18">
        <v>4426.8674999999994</v>
      </c>
      <c r="T2952" s="19" t="s">
        <v>117</v>
      </c>
      <c r="U2952" s="20" t="s">
        <v>94</v>
      </c>
      <c r="V2952" s="21">
        <v>104</v>
      </c>
      <c r="W2952" s="21">
        <v>3</v>
      </c>
      <c r="X2952" s="22"/>
    </row>
    <row r="2953" spans="1:24" s="1" customFormat="1" ht="11.1" customHeight="1" x14ac:dyDescent="0.3">
      <c r="A2953" s="23" t="s">
        <v>3014</v>
      </c>
      <c r="B2953" s="23" t="s">
        <v>3441</v>
      </c>
      <c r="C2953" s="12" t="s">
        <v>3443</v>
      </c>
      <c r="D2953" s="84"/>
      <c r="E2953" s="69" t="str">
        <f t="shared" si="118"/>
        <v>Еще фото</v>
      </c>
      <c r="F2953" s="13"/>
      <c r="G2953" s="23" t="s">
        <v>307</v>
      </c>
      <c r="H2953" s="23" t="s">
        <v>27</v>
      </c>
      <c r="I2953" s="23" t="s">
        <v>308</v>
      </c>
      <c r="J2953" s="14" t="s">
        <v>29</v>
      </c>
      <c r="K2953" s="15" t="s">
        <v>30</v>
      </c>
      <c r="L2953" s="87"/>
      <c r="M2953" s="14"/>
      <c r="N2953" s="14" t="s">
        <v>265</v>
      </c>
      <c r="O2953" s="14"/>
      <c r="P2953" s="15" t="s">
        <v>3109</v>
      </c>
      <c r="Q2953" s="16">
        <v>6999</v>
      </c>
      <c r="R2953" s="17">
        <v>45</v>
      </c>
      <c r="S2953" s="18">
        <v>4426.8674999999994</v>
      </c>
      <c r="T2953" s="19" t="s">
        <v>117</v>
      </c>
      <c r="U2953" s="20" t="s">
        <v>43</v>
      </c>
      <c r="V2953" s="21">
        <v>110</v>
      </c>
      <c r="W2953" s="21">
        <v>2</v>
      </c>
      <c r="X2953" s="22"/>
    </row>
    <row r="2954" spans="1:24" s="1" customFormat="1" ht="11.1" customHeight="1" x14ac:dyDescent="0.3">
      <c r="A2954" s="23" t="s">
        <v>3014</v>
      </c>
      <c r="B2954" s="23" t="s">
        <v>3441</v>
      </c>
      <c r="C2954" s="12" t="s">
        <v>3443</v>
      </c>
      <c r="D2954" s="84"/>
      <c r="E2954" s="69" t="str">
        <f t="shared" si="118"/>
        <v>Еще фото</v>
      </c>
      <c r="F2954" s="13"/>
      <c r="G2954" s="23" t="s">
        <v>307</v>
      </c>
      <c r="H2954" s="23" t="s">
        <v>27</v>
      </c>
      <c r="I2954" s="23" t="s">
        <v>308</v>
      </c>
      <c r="J2954" s="14" t="s">
        <v>29</v>
      </c>
      <c r="K2954" s="15" t="s">
        <v>30</v>
      </c>
      <c r="L2954" s="87"/>
      <c r="M2954" s="14"/>
      <c r="N2954" s="14" t="s">
        <v>265</v>
      </c>
      <c r="O2954" s="14"/>
      <c r="P2954" s="15" t="s">
        <v>3109</v>
      </c>
      <c r="Q2954" s="16">
        <v>6999</v>
      </c>
      <c r="R2954" s="17">
        <v>45</v>
      </c>
      <c r="S2954" s="18">
        <v>4426.8674999999994</v>
      </c>
      <c r="T2954" s="19" t="s">
        <v>117</v>
      </c>
      <c r="U2954" s="20" t="s">
        <v>35</v>
      </c>
      <c r="V2954" s="21">
        <v>116</v>
      </c>
      <c r="W2954" s="21">
        <v>3</v>
      </c>
      <c r="X2954" s="22"/>
    </row>
    <row r="2955" spans="1:24" s="1" customFormat="1" ht="11.1" customHeight="1" x14ac:dyDescent="0.3">
      <c r="A2955" s="23" t="s">
        <v>3014</v>
      </c>
      <c r="B2955" s="23" t="s">
        <v>3441</v>
      </c>
      <c r="C2955" s="12" t="s">
        <v>3443</v>
      </c>
      <c r="D2955" s="84"/>
      <c r="E2955" s="69" t="str">
        <f t="shared" si="118"/>
        <v>Еще фото</v>
      </c>
      <c r="F2955" s="13"/>
      <c r="G2955" s="23" t="s">
        <v>307</v>
      </c>
      <c r="H2955" s="23" t="s">
        <v>27</v>
      </c>
      <c r="I2955" s="23" t="s">
        <v>308</v>
      </c>
      <c r="J2955" s="14" t="s">
        <v>29</v>
      </c>
      <c r="K2955" s="15" t="s">
        <v>30</v>
      </c>
      <c r="L2955" s="87"/>
      <c r="M2955" s="14"/>
      <c r="N2955" s="14" t="s">
        <v>265</v>
      </c>
      <c r="O2955" s="14"/>
      <c r="P2955" s="15" t="s">
        <v>3109</v>
      </c>
      <c r="Q2955" s="16">
        <v>6999</v>
      </c>
      <c r="R2955" s="17">
        <v>45</v>
      </c>
      <c r="S2955" s="18">
        <v>4426.8674999999994</v>
      </c>
      <c r="T2955" s="19" t="s">
        <v>117</v>
      </c>
      <c r="U2955" s="20" t="s">
        <v>36</v>
      </c>
      <c r="V2955" s="21">
        <v>122</v>
      </c>
      <c r="W2955" s="21">
        <v>2</v>
      </c>
      <c r="X2955" s="22"/>
    </row>
    <row r="2956" spans="1:24" s="1" customFormat="1" ht="11.1" customHeight="1" x14ac:dyDescent="0.3">
      <c r="A2956" s="23" t="s">
        <v>3014</v>
      </c>
      <c r="B2956" s="23" t="s">
        <v>3441</v>
      </c>
      <c r="C2956" s="12" t="s">
        <v>3443</v>
      </c>
      <c r="D2956" s="84"/>
      <c r="E2956" s="69" t="str">
        <f t="shared" si="118"/>
        <v>Еще фото</v>
      </c>
      <c r="F2956" s="13"/>
      <c r="G2956" s="23" t="s">
        <v>307</v>
      </c>
      <c r="H2956" s="23" t="s">
        <v>27</v>
      </c>
      <c r="I2956" s="23" t="s">
        <v>308</v>
      </c>
      <c r="J2956" s="14" t="s">
        <v>29</v>
      </c>
      <c r="K2956" s="15" t="s">
        <v>30</v>
      </c>
      <c r="L2956" s="87"/>
      <c r="M2956" s="14"/>
      <c r="N2956" s="14" t="s">
        <v>265</v>
      </c>
      <c r="O2956" s="14"/>
      <c r="P2956" s="15" t="s">
        <v>3109</v>
      </c>
      <c r="Q2956" s="16">
        <v>6999</v>
      </c>
      <c r="R2956" s="17">
        <v>45</v>
      </c>
      <c r="S2956" s="18">
        <v>4426.8674999999994</v>
      </c>
      <c r="T2956" s="19" t="s">
        <v>117</v>
      </c>
      <c r="U2956" s="20" t="s">
        <v>37</v>
      </c>
      <c r="V2956" s="21">
        <v>128</v>
      </c>
      <c r="W2956" s="21">
        <v>2</v>
      </c>
      <c r="X2956" s="22"/>
    </row>
    <row r="2957" spans="1:24" s="1" customFormat="1" ht="11.1" customHeight="1" x14ac:dyDescent="0.3">
      <c r="A2957" s="23" t="s">
        <v>3014</v>
      </c>
      <c r="B2957" s="23" t="s">
        <v>3441</v>
      </c>
      <c r="C2957" s="12" t="s">
        <v>3443</v>
      </c>
      <c r="D2957" s="84"/>
      <c r="E2957" s="69" t="str">
        <f t="shared" si="118"/>
        <v>Еще фото</v>
      </c>
      <c r="F2957" s="13"/>
      <c r="G2957" s="23" t="s">
        <v>307</v>
      </c>
      <c r="H2957" s="23" t="s">
        <v>27</v>
      </c>
      <c r="I2957" s="23" t="s">
        <v>308</v>
      </c>
      <c r="J2957" s="14" t="s">
        <v>29</v>
      </c>
      <c r="K2957" s="15" t="s">
        <v>30</v>
      </c>
      <c r="L2957" s="87"/>
      <c r="M2957" s="14"/>
      <c r="N2957" s="14" t="s">
        <v>265</v>
      </c>
      <c r="O2957" s="14"/>
      <c r="P2957" s="15" t="s">
        <v>3109</v>
      </c>
      <c r="Q2957" s="16">
        <v>6999</v>
      </c>
      <c r="R2957" s="17">
        <v>45</v>
      </c>
      <c r="S2957" s="18">
        <v>4426.8674999999994</v>
      </c>
      <c r="T2957" s="19" t="s">
        <v>117</v>
      </c>
      <c r="U2957" s="20" t="s">
        <v>91</v>
      </c>
      <c r="V2957" s="21">
        <v>134</v>
      </c>
      <c r="W2957" s="21">
        <v>3</v>
      </c>
      <c r="X2957" s="22"/>
    </row>
    <row r="2958" spans="1:24" s="1" customFormat="1" ht="11.1" customHeight="1" x14ac:dyDescent="0.3">
      <c r="A2958" s="23" t="s">
        <v>3014</v>
      </c>
      <c r="B2958" s="23" t="s">
        <v>3441</v>
      </c>
      <c r="C2958" s="12" t="s">
        <v>3443</v>
      </c>
      <c r="D2958" s="84"/>
      <c r="E2958" s="69" t="str">
        <f t="shared" si="118"/>
        <v>Еще фото</v>
      </c>
      <c r="F2958" s="13"/>
      <c r="G2958" s="23" t="s">
        <v>307</v>
      </c>
      <c r="H2958" s="23" t="s">
        <v>27</v>
      </c>
      <c r="I2958" s="23" t="s">
        <v>308</v>
      </c>
      <c r="J2958" s="14" t="s">
        <v>29</v>
      </c>
      <c r="K2958" s="15" t="s">
        <v>30</v>
      </c>
      <c r="L2958" s="87"/>
      <c r="M2958" s="14"/>
      <c r="N2958" s="14" t="s">
        <v>265</v>
      </c>
      <c r="O2958" s="14"/>
      <c r="P2958" s="15" t="s">
        <v>3109</v>
      </c>
      <c r="Q2958" s="16">
        <v>6999</v>
      </c>
      <c r="R2958" s="17">
        <v>45</v>
      </c>
      <c r="S2958" s="18">
        <v>4426.8674999999994</v>
      </c>
      <c r="T2958" s="19" t="s">
        <v>117</v>
      </c>
      <c r="U2958" s="20" t="s">
        <v>290</v>
      </c>
      <c r="V2958" s="21">
        <v>140</v>
      </c>
      <c r="W2958" s="21">
        <v>2</v>
      </c>
      <c r="X2958" s="22"/>
    </row>
    <row r="2959" spans="1:24" s="1" customFormat="1" ht="11.1" customHeight="1" x14ac:dyDescent="0.3">
      <c r="A2959" s="23" t="s">
        <v>3014</v>
      </c>
      <c r="B2959" s="23" t="s">
        <v>3441</v>
      </c>
      <c r="C2959" s="12" t="s">
        <v>3443</v>
      </c>
      <c r="D2959" s="84"/>
      <c r="E2959" s="69" t="str">
        <f t="shared" si="118"/>
        <v>Еще фото</v>
      </c>
      <c r="F2959" s="13"/>
      <c r="G2959" s="23" t="s">
        <v>307</v>
      </c>
      <c r="H2959" s="23" t="s">
        <v>27</v>
      </c>
      <c r="I2959" s="23" t="s">
        <v>308</v>
      </c>
      <c r="J2959" s="14" t="s">
        <v>29</v>
      </c>
      <c r="K2959" s="15" t="s">
        <v>30</v>
      </c>
      <c r="L2959" s="87"/>
      <c r="M2959" s="14"/>
      <c r="N2959" s="14" t="s">
        <v>265</v>
      </c>
      <c r="O2959" s="14"/>
      <c r="P2959" s="15" t="s">
        <v>3109</v>
      </c>
      <c r="Q2959" s="16">
        <v>6999</v>
      </c>
      <c r="R2959" s="17">
        <v>45</v>
      </c>
      <c r="S2959" s="18">
        <v>4426.8674999999994</v>
      </c>
      <c r="T2959" s="19" t="s">
        <v>117</v>
      </c>
      <c r="U2959" s="20" t="s">
        <v>2993</v>
      </c>
      <c r="V2959" s="21">
        <v>146</v>
      </c>
      <c r="W2959" s="21">
        <v>2</v>
      </c>
      <c r="X2959" s="22"/>
    </row>
    <row r="2960" spans="1:24" s="1" customFormat="1" ht="11.1" customHeight="1" x14ac:dyDescent="0.3">
      <c r="A2960" s="23" t="s">
        <v>3014</v>
      </c>
      <c r="B2960" s="23" t="s">
        <v>3441</v>
      </c>
      <c r="C2960" s="12" t="s">
        <v>3443</v>
      </c>
      <c r="D2960" s="84"/>
      <c r="E2960" s="69" t="str">
        <f t="shared" si="118"/>
        <v>Еще фото</v>
      </c>
      <c r="F2960" s="13"/>
      <c r="G2960" s="23" t="s">
        <v>307</v>
      </c>
      <c r="H2960" s="23" t="s">
        <v>27</v>
      </c>
      <c r="I2960" s="23" t="s">
        <v>308</v>
      </c>
      <c r="J2960" s="14" t="s">
        <v>29</v>
      </c>
      <c r="K2960" s="15" t="s">
        <v>30</v>
      </c>
      <c r="L2960" s="87"/>
      <c r="M2960" s="14"/>
      <c r="N2960" s="14" t="s">
        <v>265</v>
      </c>
      <c r="O2960" s="14"/>
      <c r="P2960" s="15" t="s">
        <v>3109</v>
      </c>
      <c r="Q2960" s="16">
        <v>6999</v>
      </c>
      <c r="R2960" s="17">
        <v>45</v>
      </c>
      <c r="S2960" s="18">
        <v>4426.8674999999994</v>
      </c>
      <c r="T2960" s="19" t="s">
        <v>117</v>
      </c>
      <c r="U2960" s="20" t="s">
        <v>2160</v>
      </c>
      <c r="V2960" s="21">
        <v>152</v>
      </c>
      <c r="W2960" s="21">
        <v>3</v>
      </c>
      <c r="X2960" s="22"/>
    </row>
    <row r="2961" spans="1:24" s="1" customFormat="1" ht="11.1" customHeight="1" x14ac:dyDescent="0.3">
      <c r="A2961" s="14" t="s">
        <v>3014</v>
      </c>
      <c r="B2961" s="14" t="s">
        <v>3441</v>
      </c>
      <c r="C2961" s="12" t="s">
        <v>3443</v>
      </c>
      <c r="D2961" s="84"/>
      <c r="E2961" s="69" t="str">
        <f t="shared" si="118"/>
        <v>Еще фото</v>
      </c>
      <c r="F2961" s="36"/>
      <c r="G2961" s="14" t="s">
        <v>307</v>
      </c>
      <c r="H2961" s="14" t="s">
        <v>27</v>
      </c>
      <c r="I2961" s="14" t="s">
        <v>308</v>
      </c>
      <c r="J2961" s="14" t="s">
        <v>29</v>
      </c>
      <c r="K2961" s="14" t="s">
        <v>30</v>
      </c>
      <c r="L2961" s="87"/>
      <c r="M2961" s="14"/>
      <c r="N2961" s="14" t="s">
        <v>265</v>
      </c>
      <c r="O2961" s="14"/>
      <c r="P2961" s="14" t="s">
        <v>3109</v>
      </c>
      <c r="Q2961" s="33">
        <v>6999</v>
      </c>
      <c r="R2961" s="34">
        <v>45</v>
      </c>
      <c r="S2961" s="35">
        <v>4426.8674999999994</v>
      </c>
      <c r="T2961" s="19" t="s">
        <v>117</v>
      </c>
      <c r="U2961" s="20" t="s">
        <v>3088</v>
      </c>
      <c r="V2961" s="21">
        <v>158</v>
      </c>
      <c r="W2961" s="21">
        <v>3</v>
      </c>
      <c r="X2961" s="22"/>
    </row>
    <row r="2962" spans="1:24" s="1" customFormat="1" ht="11.1" customHeight="1" x14ac:dyDescent="0.3">
      <c r="A2962" s="14" t="s">
        <v>3014</v>
      </c>
      <c r="B2962" s="14" t="s">
        <v>3441</v>
      </c>
      <c r="C2962" s="12" t="s">
        <v>3443</v>
      </c>
      <c r="D2962" s="85"/>
      <c r="E2962" s="69" t="str">
        <f t="shared" si="118"/>
        <v>Еще фото</v>
      </c>
      <c r="F2962" s="36"/>
      <c r="G2962" s="14" t="s">
        <v>307</v>
      </c>
      <c r="H2962" s="14" t="s">
        <v>27</v>
      </c>
      <c r="I2962" s="14" t="s">
        <v>308</v>
      </c>
      <c r="J2962" s="14" t="s">
        <v>29</v>
      </c>
      <c r="K2962" s="14" t="s">
        <v>30</v>
      </c>
      <c r="L2962" s="88"/>
      <c r="M2962" s="14"/>
      <c r="N2962" s="14" t="s">
        <v>265</v>
      </c>
      <c r="O2962" s="14"/>
      <c r="P2962" s="14" t="s">
        <v>3109</v>
      </c>
      <c r="Q2962" s="33">
        <v>6999</v>
      </c>
      <c r="R2962" s="34">
        <v>45</v>
      </c>
      <c r="S2962" s="35">
        <v>4426.8674999999994</v>
      </c>
      <c r="T2962" s="19" t="s">
        <v>117</v>
      </c>
      <c r="U2962" s="20" t="s">
        <v>2161</v>
      </c>
      <c r="V2962" s="21">
        <v>164</v>
      </c>
      <c r="W2962" s="21">
        <v>2</v>
      </c>
      <c r="X2962" s="22"/>
    </row>
    <row r="2963" spans="1:24" s="1" customFormat="1" ht="21" customHeight="1" x14ac:dyDescent="0.3">
      <c r="A2963" s="11" t="s">
        <v>3014</v>
      </c>
      <c r="B2963" s="11" t="s">
        <v>3444</v>
      </c>
      <c r="C2963" s="27" t="s">
        <v>3445</v>
      </c>
      <c r="D2963" s="83"/>
      <c r="E2963" s="69" t="str">
        <f>HYPERLINK("https://www.google.ru/search?q=72106205-6960&amp;newwindow=1&amp;tbm=isch","Еще фото")</f>
        <v>Еще фото</v>
      </c>
      <c r="F2963" s="13"/>
      <c r="G2963" s="11" t="s">
        <v>307</v>
      </c>
      <c r="H2963" s="11" t="s">
        <v>27</v>
      </c>
      <c r="I2963" s="14" t="s">
        <v>308</v>
      </c>
      <c r="J2963" s="14" t="s">
        <v>29</v>
      </c>
      <c r="K2963" s="15" t="s">
        <v>30</v>
      </c>
      <c r="L2963" s="86"/>
      <c r="M2963" s="14"/>
      <c r="N2963" s="14" t="s">
        <v>70</v>
      </c>
      <c r="O2963" s="14"/>
      <c r="P2963" s="15" t="s">
        <v>3446</v>
      </c>
      <c r="Q2963" s="16">
        <v>4999</v>
      </c>
      <c r="R2963" s="17">
        <v>45</v>
      </c>
      <c r="S2963" s="18">
        <v>3161.8674999999994</v>
      </c>
      <c r="T2963" s="19" t="s">
        <v>117</v>
      </c>
      <c r="U2963" s="20" t="s">
        <v>43</v>
      </c>
      <c r="V2963" s="21">
        <v>110</v>
      </c>
      <c r="W2963" s="21">
        <v>4</v>
      </c>
      <c r="X2963" s="22"/>
    </row>
    <row r="2964" spans="1:24" s="1" customFormat="1" ht="21" customHeight="1" x14ac:dyDescent="0.3">
      <c r="A2964" s="23" t="s">
        <v>3014</v>
      </c>
      <c r="B2964" s="23" t="s">
        <v>3444</v>
      </c>
      <c r="C2964" s="28" t="s">
        <v>3445</v>
      </c>
      <c r="D2964" s="84"/>
      <c r="E2964" s="69" t="str">
        <f>HYPERLINK("https://www.google.ru/search?q=72106205-6960&amp;newwindow=1&amp;tbm=isch","Еще фото")</f>
        <v>Еще фото</v>
      </c>
      <c r="F2964" s="13"/>
      <c r="G2964" s="23" t="s">
        <v>307</v>
      </c>
      <c r="H2964" s="23" t="s">
        <v>27</v>
      </c>
      <c r="I2964" s="23" t="s">
        <v>308</v>
      </c>
      <c r="J2964" s="14" t="s">
        <v>29</v>
      </c>
      <c r="K2964" s="15" t="s">
        <v>30</v>
      </c>
      <c r="L2964" s="87"/>
      <c r="M2964" s="14"/>
      <c r="N2964" s="14" t="s">
        <v>70</v>
      </c>
      <c r="O2964" s="14"/>
      <c r="P2964" s="15" t="s">
        <v>3446</v>
      </c>
      <c r="Q2964" s="16">
        <v>4999</v>
      </c>
      <c r="R2964" s="17">
        <v>45</v>
      </c>
      <c r="S2964" s="18">
        <v>3161.8674999999994</v>
      </c>
      <c r="T2964" s="19" t="s">
        <v>117</v>
      </c>
      <c r="U2964" s="20" t="s">
        <v>35</v>
      </c>
      <c r="V2964" s="21">
        <v>116</v>
      </c>
      <c r="W2964" s="21">
        <v>4</v>
      </c>
      <c r="X2964" s="22"/>
    </row>
    <row r="2965" spans="1:24" s="1" customFormat="1" ht="21" customHeight="1" x14ac:dyDescent="0.3">
      <c r="A2965" s="23" t="s">
        <v>3014</v>
      </c>
      <c r="B2965" s="23" t="s">
        <v>3444</v>
      </c>
      <c r="C2965" s="28" t="s">
        <v>3445</v>
      </c>
      <c r="D2965" s="84"/>
      <c r="E2965" s="69" t="str">
        <f>HYPERLINK("https://www.google.ru/search?q=72106205-6960&amp;newwindow=1&amp;tbm=isch","Еще фото")</f>
        <v>Еще фото</v>
      </c>
      <c r="F2965" s="13"/>
      <c r="G2965" s="23" t="s">
        <v>307</v>
      </c>
      <c r="H2965" s="23" t="s">
        <v>27</v>
      </c>
      <c r="I2965" s="23" t="s">
        <v>308</v>
      </c>
      <c r="J2965" s="14" t="s">
        <v>29</v>
      </c>
      <c r="K2965" s="15" t="s">
        <v>30</v>
      </c>
      <c r="L2965" s="87"/>
      <c r="M2965" s="14"/>
      <c r="N2965" s="14" t="s">
        <v>70</v>
      </c>
      <c r="O2965" s="14"/>
      <c r="P2965" s="15" t="s">
        <v>3446</v>
      </c>
      <c r="Q2965" s="16">
        <v>4999</v>
      </c>
      <c r="R2965" s="17">
        <v>45</v>
      </c>
      <c r="S2965" s="18">
        <v>3161.8674999999994</v>
      </c>
      <c r="T2965" s="19" t="s">
        <v>117</v>
      </c>
      <c r="U2965" s="20" t="s">
        <v>37</v>
      </c>
      <c r="V2965" s="21">
        <v>128</v>
      </c>
      <c r="W2965" s="21">
        <v>1</v>
      </c>
      <c r="X2965" s="22"/>
    </row>
    <row r="2966" spans="1:24" s="1" customFormat="1" ht="21" customHeight="1" x14ac:dyDescent="0.3">
      <c r="A2966" s="23" t="s">
        <v>3014</v>
      </c>
      <c r="B2966" s="23" t="s">
        <v>3444</v>
      </c>
      <c r="C2966" s="28" t="s">
        <v>3445</v>
      </c>
      <c r="D2966" s="84"/>
      <c r="E2966" s="69" t="str">
        <f>HYPERLINK("https://www.google.ru/search?q=72106205-6960&amp;newwindow=1&amp;tbm=isch","Еще фото")</f>
        <v>Еще фото</v>
      </c>
      <c r="F2966" s="13"/>
      <c r="G2966" s="23" t="s">
        <v>307</v>
      </c>
      <c r="H2966" s="23" t="s">
        <v>27</v>
      </c>
      <c r="I2966" s="23" t="s">
        <v>308</v>
      </c>
      <c r="J2966" s="14" t="s">
        <v>29</v>
      </c>
      <c r="K2966" s="15" t="s">
        <v>30</v>
      </c>
      <c r="L2966" s="87"/>
      <c r="M2966" s="14"/>
      <c r="N2966" s="14" t="s">
        <v>70</v>
      </c>
      <c r="O2966" s="14"/>
      <c r="P2966" s="15" t="s">
        <v>3446</v>
      </c>
      <c r="Q2966" s="16">
        <v>4999</v>
      </c>
      <c r="R2966" s="17">
        <v>45</v>
      </c>
      <c r="S2966" s="18">
        <v>3161.8674999999994</v>
      </c>
      <c r="T2966" s="19" t="s">
        <v>117</v>
      </c>
      <c r="U2966" s="20" t="s">
        <v>91</v>
      </c>
      <c r="V2966" s="21">
        <v>134</v>
      </c>
      <c r="W2966" s="21">
        <v>3</v>
      </c>
      <c r="X2966" s="22"/>
    </row>
    <row r="2967" spans="1:24" s="1" customFormat="1" ht="32.1" customHeight="1" x14ac:dyDescent="0.3">
      <c r="A2967" s="23" t="s">
        <v>3014</v>
      </c>
      <c r="B2967" s="23" t="s">
        <v>3444</v>
      </c>
      <c r="C2967" s="28" t="s">
        <v>3445</v>
      </c>
      <c r="D2967" s="85"/>
      <c r="E2967" s="69" t="str">
        <f>HYPERLINK("https://www.google.ru/search?q=72106205-6960&amp;newwindow=1&amp;tbm=isch","Еще фото")</f>
        <v>Еще фото</v>
      </c>
      <c r="F2967" s="13"/>
      <c r="G2967" s="23" t="s">
        <v>307</v>
      </c>
      <c r="H2967" s="23" t="s">
        <v>27</v>
      </c>
      <c r="I2967" s="23" t="s">
        <v>308</v>
      </c>
      <c r="J2967" s="14" t="s">
        <v>29</v>
      </c>
      <c r="K2967" s="15" t="s">
        <v>30</v>
      </c>
      <c r="L2967" s="88"/>
      <c r="M2967" s="14"/>
      <c r="N2967" s="14" t="s">
        <v>70</v>
      </c>
      <c r="O2967" s="14"/>
      <c r="P2967" s="15" t="s">
        <v>3446</v>
      </c>
      <c r="Q2967" s="16">
        <v>4999</v>
      </c>
      <c r="R2967" s="17">
        <v>45</v>
      </c>
      <c r="S2967" s="18">
        <v>3161.8674999999994</v>
      </c>
      <c r="T2967" s="19" t="s">
        <v>117</v>
      </c>
      <c r="U2967" s="20" t="s">
        <v>290</v>
      </c>
      <c r="V2967" s="21">
        <v>140</v>
      </c>
      <c r="W2967" s="21">
        <v>3</v>
      </c>
      <c r="X2967" s="22"/>
    </row>
    <row r="2968" spans="1:24" s="1" customFormat="1" ht="17.100000000000001" customHeight="1" x14ac:dyDescent="0.3">
      <c r="A2968" s="11" t="s">
        <v>3014</v>
      </c>
      <c r="B2968" s="11" t="s">
        <v>3447</v>
      </c>
      <c r="C2968" s="12" t="s">
        <v>3448</v>
      </c>
      <c r="D2968" s="83"/>
      <c r="E2968" s="69" t="str">
        <f t="shared" ref="E2968:E2973" si="119">HYPERLINK("https://www.google.ru/search?q=73103208-4080&amp;newwindow=1&amp;tbm=isch","Еще фото")</f>
        <v>Еще фото</v>
      </c>
      <c r="F2968" s="13"/>
      <c r="G2968" s="11" t="s">
        <v>3414</v>
      </c>
      <c r="H2968" s="11" t="s">
        <v>27</v>
      </c>
      <c r="I2968" s="14" t="s">
        <v>308</v>
      </c>
      <c r="J2968" s="14" t="s">
        <v>138</v>
      </c>
      <c r="K2968" s="15" t="s">
        <v>30</v>
      </c>
      <c r="L2968" s="86" t="s">
        <v>3449</v>
      </c>
      <c r="M2968" s="14"/>
      <c r="N2968" s="14" t="s">
        <v>275</v>
      </c>
      <c r="O2968" s="14"/>
      <c r="P2968" s="15" t="s">
        <v>108</v>
      </c>
      <c r="Q2968" s="16">
        <v>5999</v>
      </c>
      <c r="R2968" s="17">
        <v>45</v>
      </c>
      <c r="S2968" s="18">
        <v>3794.3674999999994</v>
      </c>
      <c r="T2968" s="19" t="s">
        <v>117</v>
      </c>
      <c r="U2968" s="20" t="s">
        <v>37</v>
      </c>
      <c r="V2968" s="21">
        <v>128</v>
      </c>
      <c r="W2968" s="21">
        <v>5</v>
      </c>
      <c r="X2968" s="22"/>
    </row>
    <row r="2969" spans="1:24" s="1" customFormat="1" ht="17.100000000000001" customHeight="1" x14ac:dyDescent="0.3">
      <c r="A2969" s="23" t="s">
        <v>3014</v>
      </c>
      <c r="B2969" s="23" t="s">
        <v>3447</v>
      </c>
      <c r="C2969" s="12" t="s">
        <v>3448</v>
      </c>
      <c r="D2969" s="84"/>
      <c r="E2969" s="69" t="str">
        <f t="shared" si="119"/>
        <v>Еще фото</v>
      </c>
      <c r="F2969" s="13"/>
      <c r="G2969" s="23" t="s">
        <v>3414</v>
      </c>
      <c r="H2969" s="23" t="s">
        <v>27</v>
      </c>
      <c r="I2969" s="23" t="s">
        <v>308</v>
      </c>
      <c r="J2969" s="14" t="s">
        <v>138</v>
      </c>
      <c r="K2969" s="15" t="s">
        <v>30</v>
      </c>
      <c r="L2969" s="87"/>
      <c r="M2969" s="14"/>
      <c r="N2969" s="14" t="s">
        <v>275</v>
      </c>
      <c r="O2969" s="14"/>
      <c r="P2969" s="15" t="s">
        <v>108</v>
      </c>
      <c r="Q2969" s="16">
        <v>5999</v>
      </c>
      <c r="R2969" s="17">
        <v>45</v>
      </c>
      <c r="S2969" s="18">
        <v>3794.3674999999994</v>
      </c>
      <c r="T2969" s="19" t="s">
        <v>117</v>
      </c>
      <c r="U2969" s="20" t="s">
        <v>91</v>
      </c>
      <c r="V2969" s="21">
        <v>134</v>
      </c>
      <c r="W2969" s="21">
        <v>5</v>
      </c>
      <c r="X2969" s="22"/>
    </row>
    <row r="2970" spans="1:24" s="1" customFormat="1" ht="17.100000000000001" customHeight="1" x14ac:dyDescent="0.3">
      <c r="A2970" s="23" t="s">
        <v>3014</v>
      </c>
      <c r="B2970" s="23" t="s">
        <v>3447</v>
      </c>
      <c r="C2970" s="12" t="s">
        <v>3448</v>
      </c>
      <c r="D2970" s="84"/>
      <c r="E2970" s="69" t="str">
        <f t="shared" si="119"/>
        <v>Еще фото</v>
      </c>
      <c r="F2970" s="13"/>
      <c r="G2970" s="23" t="s">
        <v>3414</v>
      </c>
      <c r="H2970" s="23" t="s">
        <v>27</v>
      </c>
      <c r="I2970" s="23" t="s">
        <v>308</v>
      </c>
      <c r="J2970" s="14" t="s">
        <v>138</v>
      </c>
      <c r="K2970" s="15" t="s">
        <v>30</v>
      </c>
      <c r="L2970" s="87"/>
      <c r="M2970" s="14"/>
      <c r="N2970" s="14" t="s">
        <v>275</v>
      </c>
      <c r="O2970" s="14"/>
      <c r="P2970" s="15" t="s">
        <v>108</v>
      </c>
      <c r="Q2970" s="16">
        <v>5999</v>
      </c>
      <c r="R2970" s="17">
        <v>45</v>
      </c>
      <c r="S2970" s="18">
        <v>3794.3674999999994</v>
      </c>
      <c r="T2970" s="19" t="s">
        <v>117</v>
      </c>
      <c r="U2970" s="20" t="s">
        <v>290</v>
      </c>
      <c r="V2970" s="21">
        <v>140</v>
      </c>
      <c r="W2970" s="21">
        <v>3</v>
      </c>
      <c r="X2970" s="22"/>
    </row>
    <row r="2971" spans="1:24" s="1" customFormat="1" ht="17.100000000000001" customHeight="1" x14ac:dyDescent="0.3">
      <c r="A2971" s="23" t="s">
        <v>3014</v>
      </c>
      <c r="B2971" s="23" t="s">
        <v>3447</v>
      </c>
      <c r="C2971" s="12" t="s">
        <v>3448</v>
      </c>
      <c r="D2971" s="84"/>
      <c r="E2971" s="69" t="str">
        <f t="shared" si="119"/>
        <v>Еще фото</v>
      </c>
      <c r="F2971" s="13"/>
      <c r="G2971" s="23" t="s">
        <v>3414</v>
      </c>
      <c r="H2971" s="23" t="s">
        <v>27</v>
      </c>
      <c r="I2971" s="23" t="s">
        <v>308</v>
      </c>
      <c r="J2971" s="14" t="s">
        <v>138</v>
      </c>
      <c r="K2971" s="15" t="s">
        <v>30</v>
      </c>
      <c r="L2971" s="87"/>
      <c r="M2971" s="14"/>
      <c r="N2971" s="14" t="s">
        <v>275</v>
      </c>
      <c r="O2971" s="14"/>
      <c r="P2971" s="15" t="s">
        <v>108</v>
      </c>
      <c r="Q2971" s="16">
        <v>5999</v>
      </c>
      <c r="R2971" s="17">
        <v>45</v>
      </c>
      <c r="S2971" s="18">
        <v>3794.3674999999994</v>
      </c>
      <c r="T2971" s="19" t="s">
        <v>117</v>
      </c>
      <c r="U2971" s="20" t="s">
        <v>2993</v>
      </c>
      <c r="V2971" s="21">
        <v>146</v>
      </c>
      <c r="W2971" s="21">
        <v>1</v>
      </c>
      <c r="X2971" s="22"/>
    </row>
    <row r="2972" spans="1:24" s="1" customFormat="1" ht="17.100000000000001" customHeight="1" x14ac:dyDescent="0.3">
      <c r="A2972" s="23" t="s">
        <v>3014</v>
      </c>
      <c r="B2972" s="23" t="s">
        <v>3447</v>
      </c>
      <c r="C2972" s="12" t="s">
        <v>3448</v>
      </c>
      <c r="D2972" s="84"/>
      <c r="E2972" s="69" t="str">
        <f t="shared" si="119"/>
        <v>Еще фото</v>
      </c>
      <c r="F2972" s="13"/>
      <c r="G2972" s="23" t="s">
        <v>3414</v>
      </c>
      <c r="H2972" s="23" t="s">
        <v>27</v>
      </c>
      <c r="I2972" s="23" t="s">
        <v>308</v>
      </c>
      <c r="J2972" s="14" t="s">
        <v>138</v>
      </c>
      <c r="K2972" s="15" t="s">
        <v>30</v>
      </c>
      <c r="L2972" s="87"/>
      <c r="M2972" s="14"/>
      <c r="N2972" s="14" t="s">
        <v>275</v>
      </c>
      <c r="O2972" s="14"/>
      <c r="P2972" s="15" t="s">
        <v>108</v>
      </c>
      <c r="Q2972" s="16">
        <v>5999</v>
      </c>
      <c r="R2972" s="17">
        <v>45</v>
      </c>
      <c r="S2972" s="18">
        <v>3794.3674999999994</v>
      </c>
      <c r="T2972" s="19" t="s">
        <v>117</v>
      </c>
      <c r="U2972" s="20" t="s">
        <v>3088</v>
      </c>
      <c r="V2972" s="21">
        <v>158</v>
      </c>
      <c r="W2972" s="21">
        <v>4</v>
      </c>
      <c r="X2972" s="22"/>
    </row>
    <row r="2973" spans="1:24" s="1" customFormat="1" ht="21.95" customHeight="1" x14ac:dyDescent="0.3">
      <c r="A2973" s="23" t="s">
        <v>3014</v>
      </c>
      <c r="B2973" s="23" t="s">
        <v>3447</v>
      </c>
      <c r="C2973" s="12" t="s">
        <v>3448</v>
      </c>
      <c r="D2973" s="85"/>
      <c r="E2973" s="69" t="str">
        <f t="shared" si="119"/>
        <v>Еще фото</v>
      </c>
      <c r="F2973" s="13"/>
      <c r="G2973" s="23" t="s">
        <v>3414</v>
      </c>
      <c r="H2973" s="23" t="s">
        <v>27</v>
      </c>
      <c r="I2973" s="23" t="s">
        <v>308</v>
      </c>
      <c r="J2973" s="14" t="s">
        <v>138</v>
      </c>
      <c r="K2973" s="15" t="s">
        <v>30</v>
      </c>
      <c r="L2973" s="88"/>
      <c r="M2973" s="14"/>
      <c r="N2973" s="14" t="s">
        <v>275</v>
      </c>
      <c r="O2973" s="14"/>
      <c r="P2973" s="15" t="s">
        <v>108</v>
      </c>
      <c r="Q2973" s="16">
        <v>5999</v>
      </c>
      <c r="R2973" s="17">
        <v>45</v>
      </c>
      <c r="S2973" s="18">
        <v>3794.3674999999994</v>
      </c>
      <c r="T2973" s="19" t="s">
        <v>117</v>
      </c>
      <c r="U2973" s="20" t="s">
        <v>2161</v>
      </c>
      <c r="V2973" s="21">
        <v>164</v>
      </c>
      <c r="W2973" s="21">
        <v>4</v>
      </c>
      <c r="X2973" s="22"/>
    </row>
    <row r="2974" spans="1:24" s="1" customFormat="1" ht="14.1" customHeight="1" x14ac:dyDescent="0.3">
      <c r="A2974" s="11" t="s">
        <v>3014</v>
      </c>
      <c r="B2974" s="11" t="s">
        <v>3450</v>
      </c>
      <c r="C2974" s="12" t="s">
        <v>3451</v>
      </c>
      <c r="D2974" s="83"/>
      <c r="E2974" s="69" t="str">
        <f t="shared" ref="E2974:E2980" si="120">HYPERLINK("https://www.google.ru/search?q=73103212-4680&amp;newwindow=1&amp;tbm=isch","Еще фото")</f>
        <v>Еще фото</v>
      </c>
      <c r="F2974" s="13"/>
      <c r="G2974" s="11" t="s">
        <v>3414</v>
      </c>
      <c r="H2974" s="11" t="s">
        <v>27</v>
      </c>
      <c r="I2974" s="14" t="s">
        <v>308</v>
      </c>
      <c r="J2974" s="14" t="s">
        <v>138</v>
      </c>
      <c r="K2974" s="15" t="s">
        <v>30</v>
      </c>
      <c r="L2974" s="86" t="s">
        <v>3452</v>
      </c>
      <c r="M2974" s="14"/>
      <c r="N2974" s="14" t="s">
        <v>275</v>
      </c>
      <c r="O2974" s="14"/>
      <c r="P2974" s="15" t="s">
        <v>3018</v>
      </c>
      <c r="Q2974" s="16">
        <v>9999</v>
      </c>
      <c r="R2974" s="17">
        <v>45</v>
      </c>
      <c r="S2974" s="18">
        <v>6324.3674999999994</v>
      </c>
      <c r="T2974" s="19" t="s">
        <v>117</v>
      </c>
      <c r="U2974" s="20" t="s">
        <v>37</v>
      </c>
      <c r="V2974" s="21">
        <v>128</v>
      </c>
      <c r="W2974" s="21">
        <v>3</v>
      </c>
      <c r="X2974" s="22"/>
    </row>
    <row r="2975" spans="1:24" s="1" customFormat="1" ht="14.1" customHeight="1" x14ac:dyDescent="0.3">
      <c r="A2975" s="23" t="s">
        <v>3014</v>
      </c>
      <c r="B2975" s="23" t="s">
        <v>3450</v>
      </c>
      <c r="C2975" s="12" t="s">
        <v>3451</v>
      </c>
      <c r="D2975" s="84"/>
      <c r="E2975" s="69" t="str">
        <f t="shared" si="120"/>
        <v>Еще фото</v>
      </c>
      <c r="F2975" s="13"/>
      <c r="G2975" s="23" t="s">
        <v>3414</v>
      </c>
      <c r="H2975" s="23" t="s">
        <v>27</v>
      </c>
      <c r="I2975" s="23" t="s">
        <v>308</v>
      </c>
      <c r="J2975" s="14" t="s">
        <v>138</v>
      </c>
      <c r="K2975" s="15" t="s">
        <v>30</v>
      </c>
      <c r="L2975" s="87"/>
      <c r="M2975" s="14"/>
      <c r="N2975" s="14" t="s">
        <v>275</v>
      </c>
      <c r="O2975" s="14"/>
      <c r="P2975" s="15" t="s">
        <v>3018</v>
      </c>
      <c r="Q2975" s="16">
        <v>9999</v>
      </c>
      <c r="R2975" s="17">
        <v>45</v>
      </c>
      <c r="S2975" s="18">
        <v>6324.3674999999994</v>
      </c>
      <c r="T2975" s="19" t="s">
        <v>117</v>
      </c>
      <c r="U2975" s="20" t="s">
        <v>91</v>
      </c>
      <c r="V2975" s="21">
        <v>134</v>
      </c>
      <c r="W2975" s="21">
        <v>3</v>
      </c>
      <c r="X2975" s="22"/>
    </row>
    <row r="2976" spans="1:24" s="1" customFormat="1" ht="14.1" customHeight="1" x14ac:dyDescent="0.3">
      <c r="A2976" s="23" t="s">
        <v>3014</v>
      </c>
      <c r="B2976" s="23" t="s">
        <v>3450</v>
      </c>
      <c r="C2976" s="12" t="s">
        <v>3451</v>
      </c>
      <c r="D2976" s="84"/>
      <c r="E2976" s="69" t="str">
        <f t="shared" si="120"/>
        <v>Еще фото</v>
      </c>
      <c r="F2976" s="13"/>
      <c r="G2976" s="23" t="s">
        <v>3414</v>
      </c>
      <c r="H2976" s="23" t="s">
        <v>27</v>
      </c>
      <c r="I2976" s="23" t="s">
        <v>308</v>
      </c>
      <c r="J2976" s="14" t="s">
        <v>138</v>
      </c>
      <c r="K2976" s="15" t="s">
        <v>30</v>
      </c>
      <c r="L2976" s="87"/>
      <c r="M2976" s="14"/>
      <c r="N2976" s="14" t="s">
        <v>275</v>
      </c>
      <c r="O2976" s="14"/>
      <c r="P2976" s="15" t="s">
        <v>3018</v>
      </c>
      <c r="Q2976" s="16">
        <v>9999</v>
      </c>
      <c r="R2976" s="17">
        <v>45</v>
      </c>
      <c r="S2976" s="18">
        <v>6324.3674999999994</v>
      </c>
      <c r="T2976" s="19" t="s">
        <v>117</v>
      </c>
      <c r="U2976" s="20" t="s">
        <v>290</v>
      </c>
      <c r="V2976" s="21">
        <v>140</v>
      </c>
      <c r="W2976" s="21">
        <v>3</v>
      </c>
      <c r="X2976" s="22"/>
    </row>
    <row r="2977" spans="1:24" s="1" customFormat="1" ht="14.1" customHeight="1" x14ac:dyDescent="0.3">
      <c r="A2977" s="23" t="s">
        <v>3014</v>
      </c>
      <c r="B2977" s="23" t="s">
        <v>3450</v>
      </c>
      <c r="C2977" s="12" t="s">
        <v>3451</v>
      </c>
      <c r="D2977" s="84"/>
      <c r="E2977" s="69" t="str">
        <f t="shared" si="120"/>
        <v>Еще фото</v>
      </c>
      <c r="F2977" s="13"/>
      <c r="G2977" s="23" t="s">
        <v>3414</v>
      </c>
      <c r="H2977" s="23" t="s">
        <v>27</v>
      </c>
      <c r="I2977" s="23" t="s">
        <v>308</v>
      </c>
      <c r="J2977" s="14" t="s">
        <v>138</v>
      </c>
      <c r="K2977" s="15" t="s">
        <v>30</v>
      </c>
      <c r="L2977" s="87"/>
      <c r="M2977" s="14"/>
      <c r="N2977" s="14" t="s">
        <v>275</v>
      </c>
      <c r="O2977" s="14"/>
      <c r="P2977" s="15" t="s">
        <v>3018</v>
      </c>
      <c r="Q2977" s="16">
        <v>9999</v>
      </c>
      <c r="R2977" s="17">
        <v>45</v>
      </c>
      <c r="S2977" s="18">
        <v>6324.3674999999994</v>
      </c>
      <c r="T2977" s="19" t="s">
        <v>117</v>
      </c>
      <c r="U2977" s="20" t="s">
        <v>2993</v>
      </c>
      <c r="V2977" s="21">
        <v>146</v>
      </c>
      <c r="W2977" s="21">
        <v>3</v>
      </c>
      <c r="X2977" s="22"/>
    </row>
    <row r="2978" spans="1:24" s="1" customFormat="1" ht="14.1" customHeight="1" x14ac:dyDescent="0.3">
      <c r="A2978" s="23" t="s">
        <v>3014</v>
      </c>
      <c r="B2978" s="23" t="s">
        <v>3450</v>
      </c>
      <c r="C2978" s="12" t="s">
        <v>3451</v>
      </c>
      <c r="D2978" s="84"/>
      <c r="E2978" s="69" t="str">
        <f t="shared" si="120"/>
        <v>Еще фото</v>
      </c>
      <c r="F2978" s="13"/>
      <c r="G2978" s="23" t="s">
        <v>3414</v>
      </c>
      <c r="H2978" s="23" t="s">
        <v>27</v>
      </c>
      <c r="I2978" s="23" t="s">
        <v>308</v>
      </c>
      <c r="J2978" s="14" t="s">
        <v>138</v>
      </c>
      <c r="K2978" s="15" t="s">
        <v>30</v>
      </c>
      <c r="L2978" s="87"/>
      <c r="M2978" s="14"/>
      <c r="N2978" s="14" t="s">
        <v>275</v>
      </c>
      <c r="O2978" s="14"/>
      <c r="P2978" s="15" t="s">
        <v>3018</v>
      </c>
      <c r="Q2978" s="16">
        <v>9999</v>
      </c>
      <c r="R2978" s="17">
        <v>45</v>
      </c>
      <c r="S2978" s="18">
        <v>6324.3674999999994</v>
      </c>
      <c r="T2978" s="19" t="s">
        <v>117</v>
      </c>
      <c r="U2978" s="20" t="s">
        <v>2160</v>
      </c>
      <c r="V2978" s="21">
        <v>152</v>
      </c>
      <c r="W2978" s="21">
        <v>3</v>
      </c>
      <c r="X2978" s="22"/>
    </row>
    <row r="2979" spans="1:24" s="1" customFormat="1" ht="14.1" customHeight="1" x14ac:dyDescent="0.3">
      <c r="A2979" s="23" t="s">
        <v>3014</v>
      </c>
      <c r="B2979" s="23" t="s">
        <v>3450</v>
      </c>
      <c r="C2979" s="12" t="s">
        <v>3451</v>
      </c>
      <c r="D2979" s="84"/>
      <c r="E2979" s="69" t="str">
        <f t="shared" si="120"/>
        <v>Еще фото</v>
      </c>
      <c r="F2979" s="13"/>
      <c r="G2979" s="23" t="s">
        <v>3414</v>
      </c>
      <c r="H2979" s="23" t="s">
        <v>27</v>
      </c>
      <c r="I2979" s="23" t="s">
        <v>308</v>
      </c>
      <c r="J2979" s="14" t="s">
        <v>138</v>
      </c>
      <c r="K2979" s="15" t="s">
        <v>30</v>
      </c>
      <c r="L2979" s="87"/>
      <c r="M2979" s="14"/>
      <c r="N2979" s="14" t="s">
        <v>275</v>
      </c>
      <c r="O2979" s="14"/>
      <c r="P2979" s="15" t="s">
        <v>3018</v>
      </c>
      <c r="Q2979" s="16">
        <v>9999</v>
      </c>
      <c r="R2979" s="17">
        <v>45</v>
      </c>
      <c r="S2979" s="18">
        <v>6324.3674999999994</v>
      </c>
      <c r="T2979" s="19" t="s">
        <v>117</v>
      </c>
      <c r="U2979" s="20" t="s">
        <v>3088</v>
      </c>
      <c r="V2979" s="21">
        <v>158</v>
      </c>
      <c r="W2979" s="21">
        <v>5</v>
      </c>
      <c r="X2979" s="22"/>
    </row>
    <row r="2980" spans="1:24" s="1" customFormat="1" ht="17.100000000000001" customHeight="1" x14ac:dyDescent="0.3">
      <c r="A2980" s="23" t="s">
        <v>3014</v>
      </c>
      <c r="B2980" s="23" t="s">
        <v>3450</v>
      </c>
      <c r="C2980" s="12" t="s">
        <v>3451</v>
      </c>
      <c r="D2980" s="85"/>
      <c r="E2980" s="69" t="str">
        <f t="shared" si="120"/>
        <v>Еще фото</v>
      </c>
      <c r="F2980" s="13"/>
      <c r="G2980" s="23" t="s">
        <v>3414</v>
      </c>
      <c r="H2980" s="23" t="s">
        <v>27</v>
      </c>
      <c r="I2980" s="23" t="s">
        <v>308</v>
      </c>
      <c r="J2980" s="14" t="s">
        <v>138</v>
      </c>
      <c r="K2980" s="15" t="s">
        <v>30</v>
      </c>
      <c r="L2980" s="88"/>
      <c r="M2980" s="14"/>
      <c r="N2980" s="14" t="s">
        <v>275</v>
      </c>
      <c r="O2980" s="14"/>
      <c r="P2980" s="15" t="s">
        <v>3018</v>
      </c>
      <c r="Q2980" s="16">
        <v>9999</v>
      </c>
      <c r="R2980" s="17">
        <v>45</v>
      </c>
      <c r="S2980" s="18">
        <v>6324.3674999999994</v>
      </c>
      <c r="T2980" s="19" t="s">
        <v>117</v>
      </c>
      <c r="U2980" s="20" t="s">
        <v>2161</v>
      </c>
      <c r="V2980" s="21">
        <v>164</v>
      </c>
      <c r="W2980" s="21">
        <v>5</v>
      </c>
      <c r="X2980" s="22"/>
    </row>
    <row r="2981" spans="1:24" s="1" customFormat="1" ht="108" customHeight="1" x14ac:dyDescent="0.3">
      <c r="A2981" s="11" t="s">
        <v>3014</v>
      </c>
      <c r="B2981" s="11" t="s">
        <v>3450</v>
      </c>
      <c r="C2981" s="12" t="s">
        <v>3453</v>
      </c>
      <c r="D2981" s="24"/>
      <c r="E2981" s="69" t="str">
        <f>HYPERLINK("https://www.google.ru/search?q=73103212-8640&amp;newwindow=1&amp;tbm=isch","Еще фото")</f>
        <v>Еще фото</v>
      </c>
      <c r="F2981" s="13"/>
      <c r="G2981" s="11" t="s">
        <v>3414</v>
      </c>
      <c r="H2981" s="11" t="s">
        <v>27</v>
      </c>
      <c r="I2981" s="14" t="s">
        <v>308</v>
      </c>
      <c r="J2981" s="14" t="s">
        <v>138</v>
      </c>
      <c r="K2981" s="15" t="s">
        <v>30</v>
      </c>
      <c r="L2981" s="14" t="s">
        <v>3452</v>
      </c>
      <c r="M2981" s="14"/>
      <c r="N2981" s="14" t="s">
        <v>242</v>
      </c>
      <c r="O2981" s="14"/>
      <c r="P2981" s="15" t="s">
        <v>3018</v>
      </c>
      <c r="Q2981" s="16">
        <v>9999</v>
      </c>
      <c r="R2981" s="17">
        <v>45</v>
      </c>
      <c r="S2981" s="18">
        <v>6324.3674999999994</v>
      </c>
      <c r="T2981" s="19" t="s">
        <v>117</v>
      </c>
      <c r="U2981" s="20" t="s">
        <v>3088</v>
      </c>
      <c r="V2981" s="21">
        <v>158</v>
      </c>
      <c r="W2981" s="21">
        <v>1</v>
      </c>
      <c r="X2981" s="22"/>
    </row>
    <row r="2982" spans="1:24" s="1" customFormat="1" ht="21" customHeight="1" x14ac:dyDescent="0.3">
      <c r="A2982" s="11" t="s">
        <v>3014</v>
      </c>
      <c r="B2982" s="11" t="s">
        <v>3454</v>
      </c>
      <c r="C2982" s="27" t="s">
        <v>3455</v>
      </c>
      <c r="D2982" s="83"/>
      <c r="E2982" s="69" t="str">
        <f>HYPERLINK("https://www.google.ru/search?q=73103218-6200&amp;newwindow=1&amp;tbm=isch","Еще фото")</f>
        <v>Еще фото</v>
      </c>
      <c r="F2982" s="13"/>
      <c r="G2982" s="11" t="s">
        <v>3456</v>
      </c>
      <c r="H2982" s="11" t="s">
        <v>27</v>
      </c>
      <c r="I2982" s="14" t="s">
        <v>308</v>
      </c>
      <c r="J2982" s="14" t="s">
        <v>138</v>
      </c>
      <c r="K2982" s="15" t="s">
        <v>30</v>
      </c>
      <c r="L2982" s="86" t="s">
        <v>3457</v>
      </c>
      <c r="M2982" s="14"/>
      <c r="N2982" s="14" t="s">
        <v>70</v>
      </c>
      <c r="O2982" s="14"/>
      <c r="P2982" s="15" t="s">
        <v>3458</v>
      </c>
      <c r="Q2982" s="16">
        <v>7999</v>
      </c>
      <c r="R2982" s="17">
        <v>45</v>
      </c>
      <c r="S2982" s="18">
        <v>5059.3674999999994</v>
      </c>
      <c r="T2982" s="19" t="s">
        <v>117</v>
      </c>
      <c r="U2982" s="20" t="s">
        <v>37</v>
      </c>
      <c r="V2982" s="21">
        <v>128</v>
      </c>
      <c r="W2982" s="21">
        <v>4</v>
      </c>
      <c r="X2982" s="22"/>
    </row>
    <row r="2983" spans="1:24" s="1" customFormat="1" ht="21" customHeight="1" x14ac:dyDescent="0.3">
      <c r="A2983" s="23" t="s">
        <v>3014</v>
      </c>
      <c r="B2983" s="23" t="s">
        <v>3454</v>
      </c>
      <c r="C2983" s="28" t="s">
        <v>3455</v>
      </c>
      <c r="D2983" s="84"/>
      <c r="E2983" s="69" t="str">
        <f>HYPERLINK("https://www.google.ru/search?q=73103218-6200&amp;newwindow=1&amp;tbm=isch","Еще фото")</f>
        <v>Еще фото</v>
      </c>
      <c r="F2983" s="13"/>
      <c r="G2983" s="23" t="s">
        <v>3456</v>
      </c>
      <c r="H2983" s="23" t="s">
        <v>27</v>
      </c>
      <c r="I2983" s="23" t="s">
        <v>308</v>
      </c>
      <c r="J2983" s="14" t="s">
        <v>138</v>
      </c>
      <c r="K2983" s="15" t="s">
        <v>30</v>
      </c>
      <c r="L2983" s="87"/>
      <c r="M2983" s="14"/>
      <c r="N2983" s="14" t="s">
        <v>70</v>
      </c>
      <c r="O2983" s="14"/>
      <c r="P2983" s="15" t="s">
        <v>3458</v>
      </c>
      <c r="Q2983" s="16">
        <v>7999</v>
      </c>
      <c r="R2983" s="17">
        <v>45</v>
      </c>
      <c r="S2983" s="18">
        <v>5059.3674999999994</v>
      </c>
      <c r="T2983" s="19" t="s">
        <v>117</v>
      </c>
      <c r="U2983" s="20" t="s">
        <v>91</v>
      </c>
      <c r="V2983" s="21">
        <v>134</v>
      </c>
      <c r="W2983" s="21">
        <v>3</v>
      </c>
      <c r="X2983" s="22"/>
    </row>
    <row r="2984" spans="1:24" s="1" customFormat="1" ht="21" customHeight="1" x14ac:dyDescent="0.3">
      <c r="A2984" s="23" t="s">
        <v>3014</v>
      </c>
      <c r="B2984" s="23" t="s">
        <v>3454</v>
      </c>
      <c r="C2984" s="28" t="s">
        <v>3455</v>
      </c>
      <c r="D2984" s="84"/>
      <c r="E2984" s="69" t="str">
        <f>HYPERLINK("https://www.google.ru/search?q=73103218-6200&amp;newwindow=1&amp;tbm=isch","Еще фото")</f>
        <v>Еще фото</v>
      </c>
      <c r="F2984" s="13"/>
      <c r="G2984" s="23" t="s">
        <v>3456</v>
      </c>
      <c r="H2984" s="23" t="s">
        <v>27</v>
      </c>
      <c r="I2984" s="23" t="s">
        <v>308</v>
      </c>
      <c r="J2984" s="14" t="s">
        <v>138</v>
      </c>
      <c r="K2984" s="15" t="s">
        <v>30</v>
      </c>
      <c r="L2984" s="87"/>
      <c r="M2984" s="14"/>
      <c r="N2984" s="14" t="s">
        <v>70</v>
      </c>
      <c r="O2984" s="14"/>
      <c r="P2984" s="15" t="s">
        <v>3458</v>
      </c>
      <c r="Q2984" s="16">
        <v>7999</v>
      </c>
      <c r="R2984" s="17">
        <v>45</v>
      </c>
      <c r="S2984" s="18">
        <v>5059.3674999999994</v>
      </c>
      <c r="T2984" s="19" t="s">
        <v>117</v>
      </c>
      <c r="U2984" s="20" t="s">
        <v>2993</v>
      </c>
      <c r="V2984" s="21">
        <v>146</v>
      </c>
      <c r="W2984" s="21">
        <v>3</v>
      </c>
      <c r="X2984" s="22"/>
    </row>
    <row r="2985" spans="1:24" s="1" customFormat="1" ht="21" customHeight="1" x14ac:dyDescent="0.3">
      <c r="A2985" s="23" t="s">
        <v>3014</v>
      </c>
      <c r="B2985" s="23" t="s">
        <v>3454</v>
      </c>
      <c r="C2985" s="28" t="s">
        <v>3455</v>
      </c>
      <c r="D2985" s="84"/>
      <c r="E2985" s="69" t="str">
        <f>HYPERLINK("https://www.google.ru/search?q=73103218-6200&amp;newwindow=1&amp;tbm=isch","Еще фото")</f>
        <v>Еще фото</v>
      </c>
      <c r="F2985" s="13"/>
      <c r="G2985" s="23" t="s">
        <v>3456</v>
      </c>
      <c r="H2985" s="23" t="s">
        <v>27</v>
      </c>
      <c r="I2985" s="23" t="s">
        <v>308</v>
      </c>
      <c r="J2985" s="14" t="s">
        <v>138</v>
      </c>
      <c r="K2985" s="15" t="s">
        <v>30</v>
      </c>
      <c r="L2985" s="87"/>
      <c r="M2985" s="14"/>
      <c r="N2985" s="14" t="s">
        <v>70</v>
      </c>
      <c r="O2985" s="14"/>
      <c r="P2985" s="15" t="s">
        <v>3458</v>
      </c>
      <c r="Q2985" s="16">
        <v>7999</v>
      </c>
      <c r="R2985" s="17">
        <v>45</v>
      </c>
      <c r="S2985" s="18">
        <v>5059.3674999999994</v>
      </c>
      <c r="T2985" s="19" t="s">
        <v>117</v>
      </c>
      <c r="U2985" s="20" t="s">
        <v>2160</v>
      </c>
      <c r="V2985" s="21">
        <v>152</v>
      </c>
      <c r="W2985" s="21">
        <v>2</v>
      </c>
      <c r="X2985" s="22"/>
    </row>
    <row r="2986" spans="1:24" s="1" customFormat="1" ht="32.1" customHeight="1" x14ac:dyDescent="0.3">
      <c r="A2986" s="23" t="s">
        <v>3014</v>
      </c>
      <c r="B2986" s="23" t="s">
        <v>3454</v>
      </c>
      <c r="C2986" s="28" t="s">
        <v>3455</v>
      </c>
      <c r="D2986" s="85"/>
      <c r="E2986" s="69" t="str">
        <f>HYPERLINK("https://www.google.ru/search?q=73103218-6200&amp;newwindow=1&amp;tbm=isch","Еще фото")</f>
        <v>Еще фото</v>
      </c>
      <c r="F2986" s="13"/>
      <c r="G2986" s="23" t="s">
        <v>3456</v>
      </c>
      <c r="H2986" s="23" t="s">
        <v>27</v>
      </c>
      <c r="I2986" s="23" t="s">
        <v>308</v>
      </c>
      <c r="J2986" s="14" t="s">
        <v>138</v>
      </c>
      <c r="K2986" s="15" t="s">
        <v>30</v>
      </c>
      <c r="L2986" s="88"/>
      <c r="M2986" s="14"/>
      <c r="N2986" s="14" t="s">
        <v>70</v>
      </c>
      <c r="O2986" s="14"/>
      <c r="P2986" s="15" t="s">
        <v>3458</v>
      </c>
      <c r="Q2986" s="16">
        <v>7999</v>
      </c>
      <c r="R2986" s="17">
        <v>45</v>
      </c>
      <c r="S2986" s="18">
        <v>5059.3674999999994</v>
      </c>
      <c r="T2986" s="19" t="s">
        <v>117</v>
      </c>
      <c r="U2986" s="20" t="s">
        <v>3088</v>
      </c>
      <c r="V2986" s="21">
        <v>158</v>
      </c>
      <c r="W2986" s="21">
        <v>1</v>
      </c>
      <c r="X2986" s="22"/>
    </row>
    <row r="2987" spans="1:24" s="1" customFormat="1" ht="17.100000000000001" customHeight="1" x14ac:dyDescent="0.3">
      <c r="A2987" s="11" t="s">
        <v>3014</v>
      </c>
      <c r="B2987" s="11" t="s">
        <v>3459</v>
      </c>
      <c r="C2987" s="12" t="s">
        <v>3460</v>
      </c>
      <c r="D2987" s="83"/>
      <c r="E2987" s="69" t="str">
        <f t="shared" ref="E2987:E2992" si="121">HYPERLINK("https://www.google.ru/search?q=73103312-9990&amp;newwindow=1&amp;tbm=isch","Еще фото")</f>
        <v>Еще фото</v>
      </c>
      <c r="F2987" s="13"/>
      <c r="G2987" s="11" t="s">
        <v>3461</v>
      </c>
      <c r="H2987" s="11" t="s">
        <v>27</v>
      </c>
      <c r="I2987" s="14" t="s">
        <v>308</v>
      </c>
      <c r="J2987" s="14" t="s">
        <v>138</v>
      </c>
      <c r="K2987" s="15" t="s">
        <v>30</v>
      </c>
      <c r="L2987" s="86" t="s">
        <v>3462</v>
      </c>
      <c r="M2987" s="14"/>
      <c r="N2987" s="14" t="s">
        <v>49</v>
      </c>
      <c r="O2987" s="14"/>
      <c r="P2987" s="15" t="s">
        <v>3018</v>
      </c>
      <c r="Q2987" s="16">
        <v>9999</v>
      </c>
      <c r="R2987" s="17">
        <v>45</v>
      </c>
      <c r="S2987" s="18">
        <v>6324.3674999999994</v>
      </c>
      <c r="T2987" s="19" t="s">
        <v>117</v>
      </c>
      <c r="U2987" s="20" t="s">
        <v>37</v>
      </c>
      <c r="V2987" s="21">
        <v>128</v>
      </c>
      <c r="W2987" s="21">
        <v>2</v>
      </c>
      <c r="X2987" s="22"/>
    </row>
    <row r="2988" spans="1:24" s="1" customFormat="1" ht="17.100000000000001" customHeight="1" x14ac:dyDescent="0.3">
      <c r="A2988" s="23" t="s">
        <v>3014</v>
      </c>
      <c r="B2988" s="23" t="s">
        <v>3459</v>
      </c>
      <c r="C2988" s="12" t="s">
        <v>3460</v>
      </c>
      <c r="D2988" s="84"/>
      <c r="E2988" s="69" t="str">
        <f t="shared" si="121"/>
        <v>Еще фото</v>
      </c>
      <c r="F2988" s="13"/>
      <c r="G2988" s="23" t="s">
        <v>3461</v>
      </c>
      <c r="H2988" s="23" t="s">
        <v>27</v>
      </c>
      <c r="I2988" s="23" t="s">
        <v>308</v>
      </c>
      <c r="J2988" s="14" t="s">
        <v>138</v>
      </c>
      <c r="K2988" s="15" t="s">
        <v>30</v>
      </c>
      <c r="L2988" s="87"/>
      <c r="M2988" s="14"/>
      <c r="N2988" s="14" t="s">
        <v>49</v>
      </c>
      <c r="O2988" s="14"/>
      <c r="P2988" s="15" t="s">
        <v>3018</v>
      </c>
      <c r="Q2988" s="16">
        <v>9999</v>
      </c>
      <c r="R2988" s="17">
        <v>45</v>
      </c>
      <c r="S2988" s="18">
        <v>6324.3674999999994</v>
      </c>
      <c r="T2988" s="19" t="s">
        <v>117</v>
      </c>
      <c r="U2988" s="20" t="s">
        <v>91</v>
      </c>
      <c r="V2988" s="21">
        <v>134</v>
      </c>
      <c r="W2988" s="21">
        <v>1</v>
      </c>
      <c r="X2988" s="22"/>
    </row>
    <row r="2989" spans="1:24" s="1" customFormat="1" ht="17.100000000000001" customHeight="1" x14ac:dyDescent="0.3">
      <c r="A2989" s="23" t="s">
        <v>3014</v>
      </c>
      <c r="B2989" s="23" t="s">
        <v>3459</v>
      </c>
      <c r="C2989" s="12" t="s">
        <v>3460</v>
      </c>
      <c r="D2989" s="84"/>
      <c r="E2989" s="69" t="str">
        <f t="shared" si="121"/>
        <v>Еще фото</v>
      </c>
      <c r="F2989" s="13"/>
      <c r="G2989" s="23" t="s">
        <v>3461</v>
      </c>
      <c r="H2989" s="23" t="s">
        <v>27</v>
      </c>
      <c r="I2989" s="23" t="s">
        <v>308</v>
      </c>
      <c r="J2989" s="14" t="s">
        <v>138</v>
      </c>
      <c r="K2989" s="15" t="s">
        <v>30</v>
      </c>
      <c r="L2989" s="87"/>
      <c r="M2989" s="14"/>
      <c r="N2989" s="14" t="s">
        <v>49</v>
      </c>
      <c r="O2989" s="14"/>
      <c r="P2989" s="15" t="s">
        <v>3018</v>
      </c>
      <c r="Q2989" s="16">
        <v>9999</v>
      </c>
      <c r="R2989" s="17">
        <v>45</v>
      </c>
      <c r="S2989" s="18">
        <v>6324.3674999999994</v>
      </c>
      <c r="T2989" s="19" t="s">
        <v>117</v>
      </c>
      <c r="U2989" s="20" t="s">
        <v>2993</v>
      </c>
      <c r="V2989" s="21">
        <v>146</v>
      </c>
      <c r="W2989" s="21">
        <v>1</v>
      </c>
      <c r="X2989" s="22"/>
    </row>
    <row r="2990" spans="1:24" s="1" customFormat="1" ht="17.100000000000001" customHeight="1" x14ac:dyDescent="0.3">
      <c r="A2990" s="23" t="s">
        <v>3014</v>
      </c>
      <c r="B2990" s="23" t="s">
        <v>3459</v>
      </c>
      <c r="C2990" s="12" t="s">
        <v>3460</v>
      </c>
      <c r="D2990" s="84"/>
      <c r="E2990" s="69" t="str">
        <f t="shared" si="121"/>
        <v>Еще фото</v>
      </c>
      <c r="F2990" s="13"/>
      <c r="G2990" s="23" t="s">
        <v>3461</v>
      </c>
      <c r="H2990" s="23" t="s">
        <v>27</v>
      </c>
      <c r="I2990" s="23" t="s">
        <v>308</v>
      </c>
      <c r="J2990" s="14" t="s">
        <v>138</v>
      </c>
      <c r="K2990" s="15" t="s">
        <v>30</v>
      </c>
      <c r="L2990" s="87"/>
      <c r="M2990" s="14"/>
      <c r="N2990" s="14" t="s">
        <v>49</v>
      </c>
      <c r="O2990" s="14"/>
      <c r="P2990" s="15" t="s">
        <v>3018</v>
      </c>
      <c r="Q2990" s="16">
        <v>9999</v>
      </c>
      <c r="R2990" s="17">
        <v>45</v>
      </c>
      <c r="S2990" s="18">
        <v>6324.3674999999994</v>
      </c>
      <c r="T2990" s="19" t="s">
        <v>117</v>
      </c>
      <c r="U2990" s="20" t="s">
        <v>2160</v>
      </c>
      <c r="V2990" s="21">
        <v>152</v>
      </c>
      <c r="W2990" s="21">
        <v>2</v>
      </c>
      <c r="X2990" s="22"/>
    </row>
    <row r="2991" spans="1:24" s="1" customFormat="1" ht="17.100000000000001" customHeight="1" x14ac:dyDescent="0.3">
      <c r="A2991" s="23" t="s">
        <v>3014</v>
      </c>
      <c r="B2991" s="23" t="s">
        <v>3459</v>
      </c>
      <c r="C2991" s="12" t="s">
        <v>3460</v>
      </c>
      <c r="D2991" s="84"/>
      <c r="E2991" s="69" t="str">
        <f t="shared" si="121"/>
        <v>Еще фото</v>
      </c>
      <c r="F2991" s="13"/>
      <c r="G2991" s="23" t="s">
        <v>3461</v>
      </c>
      <c r="H2991" s="23" t="s">
        <v>27</v>
      </c>
      <c r="I2991" s="23" t="s">
        <v>308</v>
      </c>
      <c r="J2991" s="14" t="s">
        <v>138</v>
      </c>
      <c r="K2991" s="15" t="s">
        <v>30</v>
      </c>
      <c r="L2991" s="87"/>
      <c r="M2991" s="14"/>
      <c r="N2991" s="14" t="s">
        <v>49</v>
      </c>
      <c r="O2991" s="14"/>
      <c r="P2991" s="15" t="s">
        <v>3018</v>
      </c>
      <c r="Q2991" s="16">
        <v>9999</v>
      </c>
      <c r="R2991" s="17">
        <v>45</v>
      </c>
      <c r="S2991" s="18">
        <v>6324.3674999999994</v>
      </c>
      <c r="T2991" s="19" t="s">
        <v>117</v>
      </c>
      <c r="U2991" s="20" t="s">
        <v>3088</v>
      </c>
      <c r="V2991" s="21">
        <v>158</v>
      </c>
      <c r="W2991" s="21">
        <v>2</v>
      </c>
      <c r="X2991" s="22"/>
    </row>
    <row r="2992" spans="1:24" s="1" customFormat="1" ht="21.95" customHeight="1" x14ac:dyDescent="0.3">
      <c r="A2992" s="23" t="s">
        <v>3014</v>
      </c>
      <c r="B2992" s="23" t="s">
        <v>3459</v>
      </c>
      <c r="C2992" s="12" t="s">
        <v>3460</v>
      </c>
      <c r="D2992" s="85"/>
      <c r="E2992" s="69" t="str">
        <f t="shared" si="121"/>
        <v>Еще фото</v>
      </c>
      <c r="F2992" s="13"/>
      <c r="G2992" s="23" t="s">
        <v>3461</v>
      </c>
      <c r="H2992" s="23" t="s">
        <v>27</v>
      </c>
      <c r="I2992" s="23" t="s">
        <v>308</v>
      </c>
      <c r="J2992" s="14" t="s">
        <v>138</v>
      </c>
      <c r="K2992" s="15" t="s">
        <v>30</v>
      </c>
      <c r="L2992" s="88"/>
      <c r="M2992" s="14"/>
      <c r="N2992" s="14" t="s">
        <v>49</v>
      </c>
      <c r="O2992" s="14"/>
      <c r="P2992" s="15" t="s">
        <v>3018</v>
      </c>
      <c r="Q2992" s="16">
        <v>9999</v>
      </c>
      <c r="R2992" s="17">
        <v>45</v>
      </c>
      <c r="S2992" s="18">
        <v>6324.3674999999994</v>
      </c>
      <c r="T2992" s="19" t="s">
        <v>117</v>
      </c>
      <c r="U2992" s="20" t="s">
        <v>2161</v>
      </c>
      <c r="V2992" s="21">
        <v>164</v>
      </c>
      <c r="W2992" s="21">
        <v>4</v>
      </c>
      <c r="X2992" s="22"/>
    </row>
    <row r="2993" spans="1:24" s="1" customFormat="1" ht="108" customHeight="1" x14ac:dyDescent="0.3">
      <c r="A2993" s="11" t="s">
        <v>3014</v>
      </c>
      <c r="B2993" s="11" t="s">
        <v>3463</v>
      </c>
      <c r="C2993" s="12" t="s">
        <v>3464</v>
      </c>
      <c r="D2993" s="24"/>
      <c r="E2993" s="69" t="str">
        <f>HYPERLINK("https://www.google.ru/search?q=73206113-6140&amp;newwindow=1&amp;tbm=isch","Еще фото")</f>
        <v>Еще фото</v>
      </c>
      <c r="F2993" s="13"/>
      <c r="G2993" s="11" t="s">
        <v>3465</v>
      </c>
      <c r="H2993" s="11" t="s">
        <v>27</v>
      </c>
      <c r="I2993" s="14" t="s">
        <v>308</v>
      </c>
      <c r="J2993" s="14" t="s">
        <v>29</v>
      </c>
      <c r="K2993" s="15" t="s">
        <v>30</v>
      </c>
      <c r="L2993" s="14"/>
      <c r="M2993" s="14"/>
      <c r="N2993" s="14" t="s">
        <v>265</v>
      </c>
      <c r="O2993" s="14"/>
      <c r="P2993" s="15" t="s">
        <v>3466</v>
      </c>
      <c r="Q2993" s="16">
        <v>5999</v>
      </c>
      <c r="R2993" s="17">
        <v>45</v>
      </c>
      <c r="S2993" s="18">
        <v>3794.3674999999994</v>
      </c>
      <c r="T2993" s="19" t="s">
        <v>117</v>
      </c>
      <c r="U2993" s="20" t="s">
        <v>37</v>
      </c>
      <c r="V2993" s="21">
        <v>128</v>
      </c>
      <c r="W2993" s="21">
        <v>2</v>
      </c>
      <c r="X2993" s="22"/>
    </row>
    <row r="2994" spans="1:24" s="1" customFormat="1" ht="35.1" customHeight="1" x14ac:dyDescent="0.3">
      <c r="A2994" s="11" t="s">
        <v>3014</v>
      </c>
      <c r="B2994" s="11" t="s">
        <v>3463</v>
      </c>
      <c r="C2994" s="12" t="s">
        <v>3467</v>
      </c>
      <c r="D2994" s="83"/>
      <c r="E2994" s="69" t="str">
        <f>HYPERLINK("https://www.google.ru/search?q=73206113-9990&amp;newwindow=1&amp;tbm=isch","Еще фото")</f>
        <v>Еще фото</v>
      </c>
      <c r="F2994" s="13"/>
      <c r="G2994" s="11" t="s">
        <v>3465</v>
      </c>
      <c r="H2994" s="11" t="s">
        <v>27</v>
      </c>
      <c r="I2994" s="14" t="s">
        <v>308</v>
      </c>
      <c r="J2994" s="14" t="s">
        <v>29</v>
      </c>
      <c r="K2994" s="15" t="s">
        <v>30</v>
      </c>
      <c r="L2994" s="86"/>
      <c r="M2994" s="14"/>
      <c r="N2994" s="14" t="s">
        <v>49</v>
      </c>
      <c r="O2994" s="14"/>
      <c r="P2994" s="15" t="s">
        <v>3466</v>
      </c>
      <c r="Q2994" s="16">
        <v>5999</v>
      </c>
      <c r="R2994" s="17">
        <v>45</v>
      </c>
      <c r="S2994" s="18">
        <v>3794.3674999999994</v>
      </c>
      <c r="T2994" s="19" t="s">
        <v>117</v>
      </c>
      <c r="U2994" s="20" t="s">
        <v>37</v>
      </c>
      <c r="V2994" s="21">
        <v>128</v>
      </c>
      <c r="W2994" s="21">
        <v>2</v>
      </c>
      <c r="X2994" s="22"/>
    </row>
    <row r="2995" spans="1:24" s="1" customFormat="1" ht="35.1" customHeight="1" x14ac:dyDescent="0.3">
      <c r="A2995" s="23" t="s">
        <v>3014</v>
      </c>
      <c r="B2995" s="23" t="s">
        <v>3463</v>
      </c>
      <c r="C2995" s="12" t="s">
        <v>3467</v>
      </c>
      <c r="D2995" s="84"/>
      <c r="E2995" s="69" t="str">
        <f>HYPERLINK("https://www.google.ru/search?q=73206113-9990&amp;newwindow=1&amp;tbm=isch","Еще фото")</f>
        <v>Еще фото</v>
      </c>
      <c r="F2995" s="13"/>
      <c r="G2995" s="23" t="s">
        <v>3465</v>
      </c>
      <c r="H2995" s="23" t="s">
        <v>27</v>
      </c>
      <c r="I2995" s="23" t="s">
        <v>308</v>
      </c>
      <c r="J2995" s="14" t="s">
        <v>29</v>
      </c>
      <c r="K2995" s="15" t="s">
        <v>30</v>
      </c>
      <c r="L2995" s="87"/>
      <c r="M2995" s="14"/>
      <c r="N2995" s="14" t="s">
        <v>49</v>
      </c>
      <c r="O2995" s="14"/>
      <c r="P2995" s="15" t="s">
        <v>3466</v>
      </c>
      <c r="Q2995" s="16">
        <v>5999</v>
      </c>
      <c r="R2995" s="17">
        <v>45</v>
      </c>
      <c r="S2995" s="18">
        <v>3794.3674999999994</v>
      </c>
      <c r="T2995" s="19" t="s">
        <v>117</v>
      </c>
      <c r="U2995" s="20" t="s">
        <v>290</v>
      </c>
      <c r="V2995" s="21">
        <v>140</v>
      </c>
      <c r="W2995" s="21">
        <v>1</v>
      </c>
      <c r="X2995" s="22"/>
    </row>
    <row r="2996" spans="1:24" s="1" customFormat="1" ht="36.950000000000003" customHeight="1" x14ac:dyDescent="0.3">
      <c r="A2996" s="23" t="s">
        <v>3014</v>
      </c>
      <c r="B2996" s="23" t="s">
        <v>3463</v>
      </c>
      <c r="C2996" s="12" t="s">
        <v>3467</v>
      </c>
      <c r="D2996" s="85"/>
      <c r="E2996" s="69" t="str">
        <f>HYPERLINK("https://www.google.ru/search?q=73206113-9990&amp;newwindow=1&amp;tbm=isch","Еще фото")</f>
        <v>Еще фото</v>
      </c>
      <c r="F2996" s="13"/>
      <c r="G2996" s="23" t="s">
        <v>3465</v>
      </c>
      <c r="H2996" s="23" t="s">
        <v>27</v>
      </c>
      <c r="I2996" s="23" t="s">
        <v>308</v>
      </c>
      <c r="J2996" s="14" t="s">
        <v>29</v>
      </c>
      <c r="K2996" s="15" t="s">
        <v>30</v>
      </c>
      <c r="L2996" s="88"/>
      <c r="M2996" s="14"/>
      <c r="N2996" s="14" t="s">
        <v>49</v>
      </c>
      <c r="O2996" s="14"/>
      <c r="P2996" s="15" t="s">
        <v>3466</v>
      </c>
      <c r="Q2996" s="16">
        <v>5999</v>
      </c>
      <c r="R2996" s="17">
        <v>45</v>
      </c>
      <c r="S2996" s="18">
        <v>3794.3674999999994</v>
      </c>
      <c r="T2996" s="19" t="s">
        <v>117</v>
      </c>
      <c r="U2996" s="20" t="s">
        <v>2160</v>
      </c>
      <c r="V2996" s="21">
        <v>152</v>
      </c>
      <c r="W2996" s="21">
        <v>1</v>
      </c>
      <c r="X2996" s="22"/>
    </row>
    <row r="2997" spans="1:24" s="1" customFormat="1" ht="11.1" customHeight="1" x14ac:dyDescent="0.3">
      <c r="A2997" s="11" t="s">
        <v>3129</v>
      </c>
      <c r="B2997" s="11" t="s">
        <v>3468</v>
      </c>
      <c r="C2997" s="12" t="s">
        <v>3469</v>
      </c>
      <c r="D2997" s="83"/>
      <c r="E2997" s="69" t="str">
        <f t="shared" ref="E2997:E3005" si="122">HYPERLINK("https://www.google.ru/search?q=741313-5005&amp;newwindow=1&amp;tbm=isch","Еще фото")</f>
        <v>Еще фото</v>
      </c>
      <c r="F2997" s="13"/>
      <c r="G2997" s="11" t="s">
        <v>307</v>
      </c>
      <c r="H2997" s="11" t="s">
        <v>27</v>
      </c>
      <c r="I2997" s="14" t="s">
        <v>308</v>
      </c>
      <c r="J2997" s="14" t="s">
        <v>29</v>
      </c>
      <c r="K2997" s="15" t="s">
        <v>30</v>
      </c>
      <c r="L2997" s="86" t="s">
        <v>3470</v>
      </c>
      <c r="M2997" s="14"/>
      <c r="N2997" s="14" t="s">
        <v>275</v>
      </c>
      <c r="O2997" s="14"/>
      <c r="P2997" s="15" t="s">
        <v>3369</v>
      </c>
      <c r="Q2997" s="16">
        <v>7399</v>
      </c>
      <c r="R2997" s="17">
        <v>45</v>
      </c>
      <c r="S2997" s="18">
        <v>4679.8674999999994</v>
      </c>
      <c r="T2997" s="19" t="s">
        <v>117</v>
      </c>
      <c r="U2997" s="20" t="s">
        <v>2961</v>
      </c>
      <c r="V2997" s="21">
        <v>98</v>
      </c>
      <c r="W2997" s="21">
        <v>2</v>
      </c>
      <c r="X2997" s="22"/>
    </row>
    <row r="2998" spans="1:24" s="1" customFormat="1" ht="11.1" customHeight="1" x14ac:dyDescent="0.3">
      <c r="A2998" s="23" t="s">
        <v>3129</v>
      </c>
      <c r="B2998" s="23" t="s">
        <v>3468</v>
      </c>
      <c r="C2998" s="12" t="s">
        <v>3469</v>
      </c>
      <c r="D2998" s="84"/>
      <c r="E2998" s="69" t="str">
        <f t="shared" si="122"/>
        <v>Еще фото</v>
      </c>
      <c r="F2998" s="13"/>
      <c r="G2998" s="23" t="s">
        <v>307</v>
      </c>
      <c r="H2998" s="23" t="s">
        <v>27</v>
      </c>
      <c r="I2998" s="23" t="s">
        <v>308</v>
      </c>
      <c r="J2998" s="14" t="s">
        <v>29</v>
      </c>
      <c r="K2998" s="15" t="s">
        <v>30</v>
      </c>
      <c r="L2998" s="87"/>
      <c r="M2998" s="14"/>
      <c r="N2998" s="14" t="s">
        <v>275</v>
      </c>
      <c r="O2998" s="14"/>
      <c r="P2998" s="15" t="s">
        <v>3369</v>
      </c>
      <c r="Q2998" s="16">
        <v>7399</v>
      </c>
      <c r="R2998" s="17">
        <v>45</v>
      </c>
      <c r="S2998" s="18">
        <v>4679.8674999999994</v>
      </c>
      <c r="T2998" s="19" t="s">
        <v>117</v>
      </c>
      <c r="U2998" s="20" t="s">
        <v>94</v>
      </c>
      <c r="V2998" s="21">
        <v>104</v>
      </c>
      <c r="W2998" s="21">
        <v>1</v>
      </c>
      <c r="X2998" s="22"/>
    </row>
    <row r="2999" spans="1:24" s="1" customFormat="1" ht="11.1" customHeight="1" x14ac:dyDescent="0.3">
      <c r="A2999" s="23" t="s">
        <v>3129</v>
      </c>
      <c r="B2999" s="23" t="s">
        <v>3468</v>
      </c>
      <c r="C2999" s="12" t="s">
        <v>3469</v>
      </c>
      <c r="D2999" s="84"/>
      <c r="E2999" s="69" t="str">
        <f t="shared" si="122"/>
        <v>Еще фото</v>
      </c>
      <c r="F2999" s="13"/>
      <c r="G2999" s="23" t="s">
        <v>307</v>
      </c>
      <c r="H2999" s="23" t="s">
        <v>27</v>
      </c>
      <c r="I2999" s="23" t="s">
        <v>308</v>
      </c>
      <c r="J2999" s="14" t="s">
        <v>29</v>
      </c>
      <c r="K2999" s="15" t="s">
        <v>30</v>
      </c>
      <c r="L2999" s="87"/>
      <c r="M2999" s="14"/>
      <c r="N2999" s="14" t="s">
        <v>275</v>
      </c>
      <c r="O2999" s="14"/>
      <c r="P2999" s="15" t="s">
        <v>3369</v>
      </c>
      <c r="Q2999" s="16">
        <v>7399</v>
      </c>
      <c r="R2999" s="17">
        <v>45</v>
      </c>
      <c r="S2999" s="18">
        <v>4679.8674999999994</v>
      </c>
      <c r="T2999" s="19" t="s">
        <v>117</v>
      </c>
      <c r="U2999" s="20" t="s">
        <v>43</v>
      </c>
      <c r="V2999" s="21">
        <v>110</v>
      </c>
      <c r="W2999" s="21">
        <v>2</v>
      </c>
      <c r="X2999" s="22"/>
    </row>
    <row r="3000" spans="1:24" s="1" customFormat="1" ht="11.1" customHeight="1" x14ac:dyDescent="0.3">
      <c r="A3000" s="23" t="s">
        <v>3129</v>
      </c>
      <c r="B3000" s="23" t="s">
        <v>3468</v>
      </c>
      <c r="C3000" s="12" t="s">
        <v>3469</v>
      </c>
      <c r="D3000" s="84"/>
      <c r="E3000" s="69" t="str">
        <f t="shared" si="122"/>
        <v>Еще фото</v>
      </c>
      <c r="F3000" s="13"/>
      <c r="G3000" s="23" t="s">
        <v>307</v>
      </c>
      <c r="H3000" s="23" t="s">
        <v>27</v>
      </c>
      <c r="I3000" s="23" t="s">
        <v>308</v>
      </c>
      <c r="J3000" s="14" t="s">
        <v>29</v>
      </c>
      <c r="K3000" s="15" t="s">
        <v>30</v>
      </c>
      <c r="L3000" s="87"/>
      <c r="M3000" s="14"/>
      <c r="N3000" s="14" t="s">
        <v>275</v>
      </c>
      <c r="O3000" s="14"/>
      <c r="P3000" s="15" t="s">
        <v>3369</v>
      </c>
      <c r="Q3000" s="16">
        <v>7399</v>
      </c>
      <c r="R3000" s="17">
        <v>45</v>
      </c>
      <c r="S3000" s="18">
        <v>4679.8674999999994</v>
      </c>
      <c r="T3000" s="19" t="s">
        <v>117</v>
      </c>
      <c r="U3000" s="20" t="s">
        <v>35</v>
      </c>
      <c r="V3000" s="21">
        <v>116</v>
      </c>
      <c r="W3000" s="21">
        <v>2</v>
      </c>
      <c r="X3000" s="22"/>
    </row>
    <row r="3001" spans="1:24" s="1" customFormat="1" ht="11.1" customHeight="1" x14ac:dyDescent="0.3">
      <c r="A3001" s="23" t="s">
        <v>3129</v>
      </c>
      <c r="B3001" s="23" t="s">
        <v>3468</v>
      </c>
      <c r="C3001" s="12" t="s">
        <v>3469</v>
      </c>
      <c r="D3001" s="84"/>
      <c r="E3001" s="69" t="str">
        <f t="shared" si="122"/>
        <v>Еще фото</v>
      </c>
      <c r="F3001" s="13"/>
      <c r="G3001" s="23" t="s">
        <v>307</v>
      </c>
      <c r="H3001" s="23" t="s">
        <v>27</v>
      </c>
      <c r="I3001" s="23" t="s">
        <v>308</v>
      </c>
      <c r="J3001" s="14" t="s">
        <v>29</v>
      </c>
      <c r="K3001" s="15" t="s">
        <v>30</v>
      </c>
      <c r="L3001" s="87"/>
      <c r="M3001" s="14"/>
      <c r="N3001" s="14" t="s">
        <v>275</v>
      </c>
      <c r="O3001" s="14"/>
      <c r="P3001" s="15" t="s">
        <v>3369</v>
      </c>
      <c r="Q3001" s="16">
        <v>7399</v>
      </c>
      <c r="R3001" s="17">
        <v>45</v>
      </c>
      <c r="S3001" s="18">
        <v>4679.8674999999994</v>
      </c>
      <c r="T3001" s="19" t="s">
        <v>117</v>
      </c>
      <c r="U3001" s="20" t="s">
        <v>36</v>
      </c>
      <c r="V3001" s="21">
        <v>122</v>
      </c>
      <c r="W3001" s="21">
        <v>1</v>
      </c>
      <c r="X3001" s="22"/>
    </row>
    <row r="3002" spans="1:24" s="1" customFormat="1" ht="11.1" customHeight="1" x14ac:dyDescent="0.3">
      <c r="A3002" s="23" t="s">
        <v>3129</v>
      </c>
      <c r="B3002" s="23" t="s">
        <v>3468</v>
      </c>
      <c r="C3002" s="12" t="s">
        <v>3469</v>
      </c>
      <c r="D3002" s="84"/>
      <c r="E3002" s="69" t="str">
        <f t="shared" si="122"/>
        <v>Еще фото</v>
      </c>
      <c r="F3002" s="13"/>
      <c r="G3002" s="23" t="s">
        <v>307</v>
      </c>
      <c r="H3002" s="23" t="s">
        <v>27</v>
      </c>
      <c r="I3002" s="23" t="s">
        <v>308</v>
      </c>
      <c r="J3002" s="14" t="s">
        <v>29</v>
      </c>
      <c r="K3002" s="15" t="s">
        <v>30</v>
      </c>
      <c r="L3002" s="87"/>
      <c r="M3002" s="14"/>
      <c r="N3002" s="14" t="s">
        <v>275</v>
      </c>
      <c r="O3002" s="14"/>
      <c r="P3002" s="15" t="s">
        <v>3369</v>
      </c>
      <c r="Q3002" s="16">
        <v>7399</v>
      </c>
      <c r="R3002" s="17">
        <v>45</v>
      </c>
      <c r="S3002" s="18">
        <v>4679.8674999999994</v>
      </c>
      <c r="T3002" s="19" t="s">
        <v>117</v>
      </c>
      <c r="U3002" s="20" t="s">
        <v>37</v>
      </c>
      <c r="V3002" s="21">
        <v>128</v>
      </c>
      <c r="W3002" s="21">
        <v>4</v>
      </c>
      <c r="X3002" s="22"/>
    </row>
    <row r="3003" spans="1:24" s="1" customFormat="1" ht="11.1" customHeight="1" x14ac:dyDescent="0.3">
      <c r="A3003" s="23" t="s">
        <v>3129</v>
      </c>
      <c r="B3003" s="23" t="s">
        <v>3468</v>
      </c>
      <c r="C3003" s="12" t="s">
        <v>3469</v>
      </c>
      <c r="D3003" s="84"/>
      <c r="E3003" s="69" t="str">
        <f t="shared" si="122"/>
        <v>Еще фото</v>
      </c>
      <c r="F3003" s="13"/>
      <c r="G3003" s="23" t="s">
        <v>307</v>
      </c>
      <c r="H3003" s="23" t="s">
        <v>27</v>
      </c>
      <c r="I3003" s="23" t="s">
        <v>308</v>
      </c>
      <c r="J3003" s="14" t="s">
        <v>29</v>
      </c>
      <c r="K3003" s="15" t="s">
        <v>30</v>
      </c>
      <c r="L3003" s="87"/>
      <c r="M3003" s="14"/>
      <c r="N3003" s="14" t="s">
        <v>275</v>
      </c>
      <c r="O3003" s="14"/>
      <c r="P3003" s="15" t="s">
        <v>3369</v>
      </c>
      <c r="Q3003" s="16">
        <v>7399</v>
      </c>
      <c r="R3003" s="17">
        <v>45</v>
      </c>
      <c r="S3003" s="18">
        <v>4679.8674999999994</v>
      </c>
      <c r="T3003" s="19" t="s">
        <v>117</v>
      </c>
      <c r="U3003" s="20" t="s">
        <v>91</v>
      </c>
      <c r="V3003" s="21">
        <v>134</v>
      </c>
      <c r="W3003" s="21">
        <v>4</v>
      </c>
      <c r="X3003" s="22"/>
    </row>
    <row r="3004" spans="1:24" s="1" customFormat="1" ht="11.1" customHeight="1" x14ac:dyDescent="0.3">
      <c r="A3004" s="23" t="s">
        <v>3129</v>
      </c>
      <c r="B3004" s="23" t="s">
        <v>3468</v>
      </c>
      <c r="C3004" s="12" t="s">
        <v>3469</v>
      </c>
      <c r="D3004" s="84"/>
      <c r="E3004" s="69" t="str">
        <f t="shared" si="122"/>
        <v>Еще фото</v>
      </c>
      <c r="F3004" s="13"/>
      <c r="G3004" s="23" t="s">
        <v>307</v>
      </c>
      <c r="H3004" s="23" t="s">
        <v>27</v>
      </c>
      <c r="I3004" s="23" t="s">
        <v>308</v>
      </c>
      <c r="J3004" s="14" t="s">
        <v>29</v>
      </c>
      <c r="K3004" s="15" t="s">
        <v>30</v>
      </c>
      <c r="L3004" s="87"/>
      <c r="M3004" s="14"/>
      <c r="N3004" s="14" t="s">
        <v>275</v>
      </c>
      <c r="O3004" s="14"/>
      <c r="P3004" s="15" t="s">
        <v>3369</v>
      </c>
      <c r="Q3004" s="16">
        <v>7399</v>
      </c>
      <c r="R3004" s="17">
        <v>45</v>
      </c>
      <c r="S3004" s="18">
        <v>4679.8674999999994</v>
      </c>
      <c r="T3004" s="19" t="s">
        <v>117</v>
      </c>
      <c r="U3004" s="20" t="s">
        <v>290</v>
      </c>
      <c r="V3004" s="21">
        <v>140</v>
      </c>
      <c r="W3004" s="21">
        <v>1</v>
      </c>
      <c r="X3004" s="22"/>
    </row>
    <row r="3005" spans="1:24" s="1" customFormat="1" ht="11.1" customHeight="1" x14ac:dyDescent="0.3">
      <c r="A3005" s="23" t="s">
        <v>3129</v>
      </c>
      <c r="B3005" s="23" t="s">
        <v>3468</v>
      </c>
      <c r="C3005" s="12" t="s">
        <v>3469</v>
      </c>
      <c r="D3005" s="85"/>
      <c r="E3005" s="69" t="str">
        <f t="shared" si="122"/>
        <v>Еще фото</v>
      </c>
      <c r="F3005" s="13"/>
      <c r="G3005" s="23" t="s">
        <v>307</v>
      </c>
      <c r="H3005" s="23" t="s">
        <v>27</v>
      </c>
      <c r="I3005" s="23" t="s">
        <v>308</v>
      </c>
      <c r="J3005" s="14" t="s">
        <v>29</v>
      </c>
      <c r="K3005" s="15" t="s">
        <v>30</v>
      </c>
      <c r="L3005" s="88"/>
      <c r="M3005" s="14"/>
      <c r="N3005" s="14" t="s">
        <v>275</v>
      </c>
      <c r="O3005" s="14"/>
      <c r="P3005" s="15" t="s">
        <v>3369</v>
      </c>
      <c r="Q3005" s="16">
        <v>7399</v>
      </c>
      <c r="R3005" s="17">
        <v>45</v>
      </c>
      <c r="S3005" s="18">
        <v>4679.8674999999994</v>
      </c>
      <c r="T3005" s="19" t="s">
        <v>117</v>
      </c>
      <c r="U3005" s="20" t="s">
        <v>2160</v>
      </c>
      <c r="V3005" s="21">
        <v>152</v>
      </c>
      <c r="W3005" s="21">
        <v>1</v>
      </c>
      <c r="X3005" s="22"/>
    </row>
    <row r="3006" spans="1:24" s="1" customFormat="1" ht="21" customHeight="1" x14ac:dyDescent="0.3">
      <c r="A3006" s="11" t="s">
        <v>3129</v>
      </c>
      <c r="B3006" s="11" t="s">
        <v>3468</v>
      </c>
      <c r="C3006" s="27" t="s">
        <v>3471</v>
      </c>
      <c r="D3006" s="83"/>
      <c r="E3006" s="69" t="str">
        <f>HYPERLINK("https://www.google.ru/search?q=741315-7150&amp;newwindow=1&amp;tbm=isch","Еще фото")</f>
        <v>Еще фото</v>
      </c>
      <c r="F3006" s="13"/>
      <c r="G3006" s="11" t="s">
        <v>307</v>
      </c>
      <c r="H3006" s="11" t="s">
        <v>27</v>
      </c>
      <c r="I3006" s="14" t="s">
        <v>308</v>
      </c>
      <c r="J3006" s="14" t="s">
        <v>29</v>
      </c>
      <c r="K3006" s="15" t="s">
        <v>30</v>
      </c>
      <c r="L3006" s="86" t="s">
        <v>3472</v>
      </c>
      <c r="M3006" s="14"/>
      <c r="N3006" s="14" t="s">
        <v>70</v>
      </c>
      <c r="O3006" s="14"/>
      <c r="P3006" s="15" t="s">
        <v>3369</v>
      </c>
      <c r="Q3006" s="16">
        <v>7399</v>
      </c>
      <c r="R3006" s="17">
        <v>45</v>
      </c>
      <c r="S3006" s="18">
        <v>4679.8674999999994</v>
      </c>
      <c r="T3006" s="19" t="s">
        <v>117</v>
      </c>
      <c r="U3006" s="20" t="s">
        <v>2961</v>
      </c>
      <c r="V3006" s="21">
        <v>98</v>
      </c>
      <c r="W3006" s="21">
        <v>2</v>
      </c>
      <c r="X3006" s="22"/>
    </row>
    <row r="3007" spans="1:24" s="1" customFormat="1" ht="21" customHeight="1" x14ac:dyDescent="0.3">
      <c r="A3007" s="23" t="s">
        <v>3129</v>
      </c>
      <c r="B3007" s="23" t="s">
        <v>3468</v>
      </c>
      <c r="C3007" s="28" t="s">
        <v>3471</v>
      </c>
      <c r="D3007" s="84"/>
      <c r="E3007" s="69" t="str">
        <f>HYPERLINK("https://www.google.ru/search?q=741315-7150&amp;newwindow=1&amp;tbm=isch","Еще фото")</f>
        <v>Еще фото</v>
      </c>
      <c r="F3007" s="13"/>
      <c r="G3007" s="23" t="s">
        <v>307</v>
      </c>
      <c r="H3007" s="23" t="s">
        <v>27</v>
      </c>
      <c r="I3007" s="23" t="s">
        <v>308</v>
      </c>
      <c r="J3007" s="14" t="s">
        <v>29</v>
      </c>
      <c r="K3007" s="15" t="s">
        <v>30</v>
      </c>
      <c r="L3007" s="87"/>
      <c r="M3007" s="14"/>
      <c r="N3007" s="14" t="s">
        <v>70</v>
      </c>
      <c r="O3007" s="14"/>
      <c r="P3007" s="15" t="s">
        <v>3369</v>
      </c>
      <c r="Q3007" s="16">
        <v>7399</v>
      </c>
      <c r="R3007" s="17">
        <v>45</v>
      </c>
      <c r="S3007" s="18">
        <v>4679.8674999999994</v>
      </c>
      <c r="T3007" s="19" t="s">
        <v>117</v>
      </c>
      <c r="U3007" s="20" t="s">
        <v>94</v>
      </c>
      <c r="V3007" s="21">
        <v>104</v>
      </c>
      <c r="W3007" s="21">
        <v>2</v>
      </c>
      <c r="X3007" s="22"/>
    </row>
    <row r="3008" spans="1:24" s="1" customFormat="1" ht="21" customHeight="1" x14ac:dyDescent="0.3">
      <c r="A3008" s="23" t="s">
        <v>3129</v>
      </c>
      <c r="B3008" s="23" t="s">
        <v>3468</v>
      </c>
      <c r="C3008" s="28" t="s">
        <v>3471</v>
      </c>
      <c r="D3008" s="84"/>
      <c r="E3008" s="69" t="str">
        <f>HYPERLINK("https://www.google.ru/search?q=741315-7150&amp;newwindow=1&amp;tbm=isch","Еще фото")</f>
        <v>Еще фото</v>
      </c>
      <c r="F3008" s="13"/>
      <c r="G3008" s="23" t="s">
        <v>307</v>
      </c>
      <c r="H3008" s="23" t="s">
        <v>27</v>
      </c>
      <c r="I3008" s="23" t="s">
        <v>308</v>
      </c>
      <c r="J3008" s="14" t="s">
        <v>29</v>
      </c>
      <c r="K3008" s="15" t="s">
        <v>30</v>
      </c>
      <c r="L3008" s="87"/>
      <c r="M3008" s="14"/>
      <c r="N3008" s="14" t="s">
        <v>70</v>
      </c>
      <c r="O3008" s="14"/>
      <c r="P3008" s="15" t="s">
        <v>3369</v>
      </c>
      <c r="Q3008" s="16">
        <v>7399</v>
      </c>
      <c r="R3008" s="17">
        <v>45</v>
      </c>
      <c r="S3008" s="18">
        <v>4679.8674999999994</v>
      </c>
      <c r="T3008" s="19" t="s">
        <v>117</v>
      </c>
      <c r="U3008" s="20" t="s">
        <v>43</v>
      </c>
      <c r="V3008" s="21">
        <v>110</v>
      </c>
      <c r="W3008" s="21">
        <v>2</v>
      </c>
      <c r="X3008" s="22"/>
    </row>
    <row r="3009" spans="1:24" s="1" customFormat="1" ht="21" customHeight="1" x14ac:dyDescent="0.3">
      <c r="A3009" s="23" t="s">
        <v>3129</v>
      </c>
      <c r="B3009" s="23" t="s">
        <v>3468</v>
      </c>
      <c r="C3009" s="28" t="s">
        <v>3471</v>
      </c>
      <c r="D3009" s="84"/>
      <c r="E3009" s="69" t="str">
        <f>HYPERLINK("https://www.google.ru/search?q=741315-7150&amp;newwindow=1&amp;tbm=isch","Еще фото")</f>
        <v>Еще фото</v>
      </c>
      <c r="F3009" s="13"/>
      <c r="G3009" s="23" t="s">
        <v>307</v>
      </c>
      <c r="H3009" s="23" t="s">
        <v>27</v>
      </c>
      <c r="I3009" s="23" t="s">
        <v>308</v>
      </c>
      <c r="J3009" s="14" t="s">
        <v>29</v>
      </c>
      <c r="K3009" s="15" t="s">
        <v>30</v>
      </c>
      <c r="L3009" s="87"/>
      <c r="M3009" s="14"/>
      <c r="N3009" s="14" t="s">
        <v>70</v>
      </c>
      <c r="O3009" s="14"/>
      <c r="P3009" s="15" t="s">
        <v>3369</v>
      </c>
      <c r="Q3009" s="16">
        <v>7399</v>
      </c>
      <c r="R3009" s="17">
        <v>45</v>
      </c>
      <c r="S3009" s="18">
        <v>4679.8674999999994</v>
      </c>
      <c r="T3009" s="19" t="s">
        <v>117</v>
      </c>
      <c r="U3009" s="20" t="s">
        <v>35</v>
      </c>
      <c r="V3009" s="21">
        <v>116</v>
      </c>
      <c r="W3009" s="21">
        <v>2</v>
      </c>
      <c r="X3009" s="22"/>
    </row>
    <row r="3010" spans="1:24" s="1" customFormat="1" ht="32.1" customHeight="1" x14ac:dyDescent="0.3">
      <c r="A3010" s="23" t="s">
        <v>3129</v>
      </c>
      <c r="B3010" s="23" t="s">
        <v>3468</v>
      </c>
      <c r="C3010" s="28" t="s">
        <v>3471</v>
      </c>
      <c r="D3010" s="85"/>
      <c r="E3010" s="69" t="str">
        <f>HYPERLINK("https://www.google.ru/search?q=741315-7150&amp;newwindow=1&amp;tbm=isch","Еще фото")</f>
        <v>Еще фото</v>
      </c>
      <c r="F3010" s="13"/>
      <c r="G3010" s="23" t="s">
        <v>307</v>
      </c>
      <c r="H3010" s="23" t="s">
        <v>27</v>
      </c>
      <c r="I3010" s="23" t="s">
        <v>308</v>
      </c>
      <c r="J3010" s="14" t="s">
        <v>29</v>
      </c>
      <c r="K3010" s="15" t="s">
        <v>30</v>
      </c>
      <c r="L3010" s="88"/>
      <c r="M3010" s="14"/>
      <c r="N3010" s="14" t="s">
        <v>70</v>
      </c>
      <c r="O3010" s="14"/>
      <c r="P3010" s="15" t="s">
        <v>3369</v>
      </c>
      <c r="Q3010" s="16">
        <v>7399</v>
      </c>
      <c r="R3010" s="17">
        <v>45</v>
      </c>
      <c r="S3010" s="18">
        <v>4679.8674999999994</v>
      </c>
      <c r="T3010" s="19" t="s">
        <v>117</v>
      </c>
      <c r="U3010" s="20" t="s">
        <v>37</v>
      </c>
      <c r="V3010" s="21">
        <v>128</v>
      </c>
      <c r="W3010" s="21">
        <v>1</v>
      </c>
      <c r="X3010" s="22"/>
    </row>
    <row r="3011" spans="1:24" s="1" customFormat="1" ht="35.1" customHeight="1" x14ac:dyDescent="0.3">
      <c r="A3011" s="11" t="s">
        <v>3129</v>
      </c>
      <c r="B3011" s="11" t="s">
        <v>3473</v>
      </c>
      <c r="C3011" s="12" t="s">
        <v>3474</v>
      </c>
      <c r="D3011" s="83"/>
      <c r="E3011" s="69" t="str">
        <f>HYPERLINK("https://www.google.ru/search?q=741327-3040&amp;newwindow=1&amp;tbm=isch","Еще фото")</f>
        <v>Еще фото</v>
      </c>
      <c r="F3011" s="13"/>
      <c r="G3011" s="11" t="s">
        <v>307</v>
      </c>
      <c r="H3011" s="11" t="s">
        <v>27</v>
      </c>
      <c r="I3011" s="14" t="s">
        <v>308</v>
      </c>
      <c r="J3011" s="14" t="s">
        <v>29</v>
      </c>
      <c r="K3011" s="15" t="s">
        <v>30</v>
      </c>
      <c r="L3011" s="86" t="s">
        <v>3475</v>
      </c>
      <c r="M3011" s="14"/>
      <c r="N3011" s="14" t="s">
        <v>636</v>
      </c>
      <c r="O3011" s="14"/>
      <c r="P3011" s="15" t="s">
        <v>3369</v>
      </c>
      <c r="Q3011" s="16">
        <v>6299</v>
      </c>
      <c r="R3011" s="17">
        <v>45</v>
      </c>
      <c r="S3011" s="18">
        <v>3984.1174999999994</v>
      </c>
      <c r="T3011" s="19" t="s">
        <v>117</v>
      </c>
      <c r="U3011" s="20" t="s">
        <v>2961</v>
      </c>
      <c r="V3011" s="21">
        <v>98</v>
      </c>
      <c r="W3011" s="21">
        <v>1</v>
      </c>
      <c r="X3011" s="22"/>
    </row>
    <row r="3012" spans="1:24" s="1" customFormat="1" ht="35.1" customHeight="1" x14ac:dyDescent="0.3">
      <c r="A3012" s="23" t="s">
        <v>3129</v>
      </c>
      <c r="B3012" s="23" t="s">
        <v>3473</v>
      </c>
      <c r="C3012" s="12" t="s">
        <v>3474</v>
      </c>
      <c r="D3012" s="84"/>
      <c r="E3012" s="69" t="str">
        <f>HYPERLINK("https://www.google.ru/search?q=741327-3040&amp;newwindow=1&amp;tbm=isch","Еще фото")</f>
        <v>Еще фото</v>
      </c>
      <c r="F3012" s="13"/>
      <c r="G3012" s="23" t="s">
        <v>307</v>
      </c>
      <c r="H3012" s="23" t="s">
        <v>27</v>
      </c>
      <c r="I3012" s="23" t="s">
        <v>308</v>
      </c>
      <c r="J3012" s="14" t="s">
        <v>29</v>
      </c>
      <c r="K3012" s="15" t="s">
        <v>30</v>
      </c>
      <c r="L3012" s="87"/>
      <c r="M3012" s="14"/>
      <c r="N3012" s="14" t="s">
        <v>636</v>
      </c>
      <c r="O3012" s="14"/>
      <c r="P3012" s="15" t="s">
        <v>3369</v>
      </c>
      <c r="Q3012" s="16">
        <v>6299</v>
      </c>
      <c r="R3012" s="17">
        <v>45</v>
      </c>
      <c r="S3012" s="18">
        <v>3984.1174999999994</v>
      </c>
      <c r="T3012" s="19" t="s">
        <v>117</v>
      </c>
      <c r="U3012" s="20" t="s">
        <v>94</v>
      </c>
      <c r="V3012" s="21">
        <v>104</v>
      </c>
      <c r="W3012" s="21">
        <v>1</v>
      </c>
      <c r="X3012" s="22"/>
    </row>
    <row r="3013" spans="1:24" s="1" customFormat="1" ht="36.950000000000003" customHeight="1" x14ac:dyDescent="0.3">
      <c r="A3013" s="23" t="s">
        <v>3129</v>
      </c>
      <c r="B3013" s="23" t="s">
        <v>3473</v>
      </c>
      <c r="C3013" s="12" t="s">
        <v>3474</v>
      </c>
      <c r="D3013" s="85"/>
      <c r="E3013" s="69" t="str">
        <f>HYPERLINK("https://www.google.ru/search?q=741327-3040&amp;newwindow=1&amp;tbm=isch","Еще фото")</f>
        <v>Еще фото</v>
      </c>
      <c r="F3013" s="13"/>
      <c r="G3013" s="23" t="s">
        <v>307</v>
      </c>
      <c r="H3013" s="23" t="s">
        <v>27</v>
      </c>
      <c r="I3013" s="23" t="s">
        <v>308</v>
      </c>
      <c r="J3013" s="14" t="s">
        <v>29</v>
      </c>
      <c r="K3013" s="15" t="s">
        <v>30</v>
      </c>
      <c r="L3013" s="88"/>
      <c r="M3013" s="14"/>
      <c r="N3013" s="14" t="s">
        <v>636</v>
      </c>
      <c r="O3013" s="14"/>
      <c r="P3013" s="15" t="s">
        <v>3369</v>
      </c>
      <c r="Q3013" s="16">
        <v>6299</v>
      </c>
      <c r="R3013" s="17">
        <v>45</v>
      </c>
      <c r="S3013" s="18">
        <v>3984.1174999999994</v>
      </c>
      <c r="T3013" s="19" t="s">
        <v>117</v>
      </c>
      <c r="U3013" s="20" t="s">
        <v>35</v>
      </c>
      <c r="V3013" s="21">
        <v>116</v>
      </c>
      <c r="W3013" s="21">
        <v>1</v>
      </c>
      <c r="X3013" s="22"/>
    </row>
    <row r="3014" spans="1:24" s="1" customFormat="1" ht="12.95" customHeight="1" x14ac:dyDescent="0.3">
      <c r="A3014" s="11" t="s">
        <v>3129</v>
      </c>
      <c r="B3014" s="11" t="s">
        <v>3476</v>
      </c>
      <c r="C3014" s="12" t="s">
        <v>3477</v>
      </c>
      <c r="D3014" s="83"/>
      <c r="E3014" s="69" t="str">
        <f t="shared" ref="E3014:E3021" si="123">HYPERLINK("https://www.google.ru/search?q=741332-4856&amp;newwindow=1&amp;tbm=isch","Еще фото")</f>
        <v>Еще фото</v>
      </c>
      <c r="F3014" s="13"/>
      <c r="G3014" s="11" t="s">
        <v>307</v>
      </c>
      <c r="H3014" s="11" t="s">
        <v>27</v>
      </c>
      <c r="I3014" s="14" t="s">
        <v>308</v>
      </c>
      <c r="J3014" s="14" t="s">
        <v>29</v>
      </c>
      <c r="K3014" s="15" t="s">
        <v>30</v>
      </c>
      <c r="L3014" s="86" t="s">
        <v>3478</v>
      </c>
      <c r="M3014" s="14"/>
      <c r="N3014" s="14" t="s">
        <v>275</v>
      </c>
      <c r="O3014" s="14"/>
      <c r="P3014" s="15" t="s">
        <v>3369</v>
      </c>
      <c r="Q3014" s="16">
        <v>6799</v>
      </c>
      <c r="R3014" s="17">
        <v>45</v>
      </c>
      <c r="S3014" s="18">
        <v>4300.3674999999994</v>
      </c>
      <c r="T3014" s="19" t="s">
        <v>117</v>
      </c>
      <c r="U3014" s="26" t="s">
        <v>2961</v>
      </c>
      <c r="V3014" s="21">
        <v>98</v>
      </c>
      <c r="W3014" s="21">
        <v>2</v>
      </c>
      <c r="X3014" s="22"/>
    </row>
    <row r="3015" spans="1:24" s="1" customFormat="1" ht="12.95" customHeight="1" x14ac:dyDescent="0.3">
      <c r="A3015" s="23" t="s">
        <v>3129</v>
      </c>
      <c r="B3015" s="23" t="s">
        <v>3476</v>
      </c>
      <c r="C3015" s="12" t="s">
        <v>3477</v>
      </c>
      <c r="D3015" s="84"/>
      <c r="E3015" s="69" t="str">
        <f t="shared" si="123"/>
        <v>Еще фото</v>
      </c>
      <c r="F3015" s="13"/>
      <c r="G3015" s="23" t="s">
        <v>307</v>
      </c>
      <c r="H3015" s="23" t="s">
        <v>27</v>
      </c>
      <c r="I3015" s="23" t="s">
        <v>308</v>
      </c>
      <c r="J3015" s="14" t="s">
        <v>29</v>
      </c>
      <c r="K3015" s="15" t="s">
        <v>30</v>
      </c>
      <c r="L3015" s="87"/>
      <c r="M3015" s="14"/>
      <c r="N3015" s="14" t="s">
        <v>275</v>
      </c>
      <c r="O3015" s="14"/>
      <c r="P3015" s="15" t="s">
        <v>3369</v>
      </c>
      <c r="Q3015" s="16">
        <v>6799</v>
      </c>
      <c r="R3015" s="17">
        <v>45</v>
      </c>
      <c r="S3015" s="18">
        <v>4300.3674999999994</v>
      </c>
      <c r="T3015" s="19" t="s">
        <v>117</v>
      </c>
      <c r="U3015" s="20" t="s">
        <v>94</v>
      </c>
      <c r="V3015" s="21">
        <v>104</v>
      </c>
      <c r="W3015" s="21">
        <v>2</v>
      </c>
      <c r="X3015" s="22"/>
    </row>
    <row r="3016" spans="1:24" s="1" customFormat="1" ht="12.95" customHeight="1" x14ac:dyDescent="0.3">
      <c r="A3016" s="23" t="s">
        <v>3129</v>
      </c>
      <c r="B3016" s="23" t="s">
        <v>3476</v>
      </c>
      <c r="C3016" s="12" t="s">
        <v>3477</v>
      </c>
      <c r="D3016" s="84"/>
      <c r="E3016" s="69" t="str">
        <f t="shared" si="123"/>
        <v>Еще фото</v>
      </c>
      <c r="F3016" s="13"/>
      <c r="G3016" s="23" t="s">
        <v>307</v>
      </c>
      <c r="H3016" s="23" t="s">
        <v>27</v>
      </c>
      <c r="I3016" s="23" t="s">
        <v>308</v>
      </c>
      <c r="J3016" s="14" t="s">
        <v>29</v>
      </c>
      <c r="K3016" s="15" t="s">
        <v>30</v>
      </c>
      <c r="L3016" s="87"/>
      <c r="M3016" s="14"/>
      <c r="N3016" s="14" t="s">
        <v>275</v>
      </c>
      <c r="O3016" s="14"/>
      <c r="P3016" s="15" t="s">
        <v>3369</v>
      </c>
      <c r="Q3016" s="16">
        <v>6799</v>
      </c>
      <c r="R3016" s="17">
        <v>45</v>
      </c>
      <c r="S3016" s="18">
        <v>4300.3674999999994</v>
      </c>
      <c r="T3016" s="19" t="s">
        <v>117</v>
      </c>
      <c r="U3016" s="20" t="s">
        <v>35</v>
      </c>
      <c r="V3016" s="21">
        <v>116</v>
      </c>
      <c r="W3016" s="21">
        <v>1</v>
      </c>
      <c r="X3016" s="22"/>
    </row>
    <row r="3017" spans="1:24" s="1" customFormat="1" ht="12.95" customHeight="1" x14ac:dyDescent="0.3">
      <c r="A3017" s="23" t="s">
        <v>3129</v>
      </c>
      <c r="B3017" s="23" t="s">
        <v>3476</v>
      </c>
      <c r="C3017" s="12" t="s">
        <v>3477</v>
      </c>
      <c r="D3017" s="84"/>
      <c r="E3017" s="69" t="str">
        <f t="shared" si="123"/>
        <v>Еще фото</v>
      </c>
      <c r="F3017" s="13"/>
      <c r="G3017" s="23" t="s">
        <v>307</v>
      </c>
      <c r="H3017" s="23" t="s">
        <v>27</v>
      </c>
      <c r="I3017" s="23" t="s">
        <v>308</v>
      </c>
      <c r="J3017" s="14" t="s">
        <v>29</v>
      </c>
      <c r="K3017" s="15" t="s">
        <v>30</v>
      </c>
      <c r="L3017" s="87"/>
      <c r="M3017" s="14"/>
      <c r="N3017" s="14" t="s">
        <v>275</v>
      </c>
      <c r="O3017" s="14"/>
      <c r="P3017" s="15" t="s">
        <v>3369</v>
      </c>
      <c r="Q3017" s="16">
        <v>6799</v>
      </c>
      <c r="R3017" s="17">
        <v>45</v>
      </c>
      <c r="S3017" s="18">
        <v>4300.3674999999994</v>
      </c>
      <c r="T3017" s="19" t="s">
        <v>117</v>
      </c>
      <c r="U3017" s="20" t="s">
        <v>36</v>
      </c>
      <c r="V3017" s="21">
        <v>122</v>
      </c>
      <c r="W3017" s="21">
        <v>2</v>
      </c>
      <c r="X3017" s="22"/>
    </row>
    <row r="3018" spans="1:24" s="1" customFormat="1" ht="12.95" customHeight="1" x14ac:dyDescent="0.3">
      <c r="A3018" s="23" t="s">
        <v>3129</v>
      </c>
      <c r="B3018" s="23" t="s">
        <v>3476</v>
      </c>
      <c r="C3018" s="12" t="s">
        <v>3477</v>
      </c>
      <c r="D3018" s="84"/>
      <c r="E3018" s="69" t="str">
        <f t="shared" si="123"/>
        <v>Еще фото</v>
      </c>
      <c r="F3018" s="13"/>
      <c r="G3018" s="23" t="s">
        <v>307</v>
      </c>
      <c r="H3018" s="23" t="s">
        <v>27</v>
      </c>
      <c r="I3018" s="23" t="s">
        <v>308</v>
      </c>
      <c r="J3018" s="14" t="s">
        <v>29</v>
      </c>
      <c r="K3018" s="15" t="s">
        <v>30</v>
      </c>
      <c r="L3018" s="87"/>
      <c r="M3018" s="14"/>
      <c r="N3018" s="14" t="s">
        <v>275</v>
      </c>
      <c r="O3018" s="14"/>
      <c r="P3018" s="15" t="s">
        <v>3369</v>
      </c>
      <c r="Q3018" s="16">
        <v>6799</v>
      </c>
      <c r="R3018" s="17">
        <v>45</v>
      </c>
      <c r="S3018" s="18">
        <v>4300.3674999999994</v>
      </c>
      <c r="T3018" s="19" t="s">
        <v>117</v>
      </c>
      <c r="U3018" s="20" t="s">
        <v>37</v>
      </c>
      <c r="V3018" s="21">
        <v>128</v>
      </c>
      <c r="W3018" s="21">
        <v>1</v>
      </c>
      <c r="X3018" s="22"/>
    </row>
    <row r="3019" spans="1:24" s="1" customFormat="1" ht="12.95" customHeight="1" x14ac:dyDescent="0.3">
      <c r="A3019" s="23" t="s">
        <v>3129</v>
      </c>
      <c r="B3019" s="23" t="s">
        <v>3476</v>
      </c>
      <c r="C3019" s="12" t="s">
        <v>3477</v>
      </c>
      <c r="D3019" s="84"/>
      <c r="E3019" s="69" t="str">
        <f t="shared" si="123"/>
        <v>Еще фото</v>
      </c>
      <c r="F3019" s="13"/>
      <c r="G3019" s="23" t="s">
        <v>307</v>
      </c>
      <c r="H3019" s="23" t="s">
        <v>27</v>
      </c>
      <c r="I3019" s="23" t="s">
        <v>308</v>
      </c>
      <c r="J3019" s="14" t="s">
        <v>29</v>
      </c>
      <c r="K3019" s="15" t="s">
        <v>30</v>
      </c>
      <c r="L3019" s="87"/>
      <c r="M3019" s="14"/>
      <c r="N3019" s="14" t="s">
        <v>275</v>
      </c>
      <c r="O3019" s="14"/>
      <c r="P3019" s="15" t="s">
        <v>3369</v>
      </c>
      <c r="Q3019" s="16">
        <v>6799</v>
      </c>
      <c r="R3019" s="17">
        <v>45</v>
      </c>
      <c r="S3019" s="18">
        <v>4300.3674999999994</v>
      </c>
      <c r="T3019" s="19" t="s">
        <v>117</v>
      </c>
      <c r="U3019" s="20" t="s">
        <v>91</v>
      </c>
      <c r="V3019" s="21">
        <v>134</v>
      </c>
      <c r="W3019" s="21">
        <v>3</v>
      </c>
      <c r="X3019" s="22"/>
    </row>
    <row r="3020" spans="1:24" s="1" customFormat="1" ht="12.95" customHeight="1" x14ac:dyDescent="0.3">
      <c r="A3020" s="23" t="s">
        <v>3129</v>
      </c>
      <c r="B3020" s="23" t="s">
        <v>3476</v>
      </c>
      <c r="C3020" s="12" t="s">
        <v>3477</v>
      </c>
      <c r="D3020" s="84"/>
      <c r="E3020" s="69" t="str">
        <f t="shared" si="123"/>
        <v>Еще фото</v>
      </c>
      <c r="F3020" s="13"/>
      <c r="G3020" s="23" t="s">
        <v>307</v>
      </c>
      <c r="H3020" s="23" t="s">
        <v>27</v>
      </c>
      <c r="I3020" s="23" t="s">
        <v>308</v>
      </c>
      <c r="J3020" s="14" t="s">
        <v>29</v>
      </c>
      <c r="K3020" s="15" t="s">
        <v>30</v>
      </c>
      <c r="L3020" s="87"/>
      <c r="M3020" s="14"/>
      <c r="N3020" s="14" t="s">
        <v>275</v>
      </c>
      <c r="O3020" s="14"/>
      <c r="P3020" s="15" t="s">
        <v>3369</v>
      </c>
      <c r="Q3020" s="16">
        <v>6799</v>
      </c>
      <c r="R3020" s="17">
        <v>45</v>
      </c>
      <c r="S3020" s="18">
        <v>4300.3674999999994</v>
      </c>
      <c r="T3020" s="19" t="s">
        <v>117</v>
      </c>
      <c r="U3020" s="20" t="s">
        <v>290</v>
      </c>
      <c r="V3020" s="21">
        <v>140</v>
      </c>
      <c r="W3020" s="21">
        <v>1</v>
      </c>
      <c r="X3020" s="22"/>
    </row>
    <row r="3021" spans="1:24" s="1" customFormat="1" ht="18" customHeight="1" x14ac:dyDescent="0.3">
      <c r="A3021" s="23" t="s">
        <v>3129</v>
      </c>
      <c r="B3021" s="23" t="s">
        <v>3476</v>
      </c>
      <c r="C3021" s="12" t="s">
        <v>3477</v>
      </c>
      <c r="D3021" s="85"/>
      <c r="E3021" s="69" t="str">
        <f t="shared" si="123"/>
        <v>Еще фото</v>
      </c>
      <c r="F3021" s="13"/>
      <c r="G3021" s="23" t="s">
        <v>307</v>
      </c>
      <c r="H3021" s="23" t="s">
        <v>27</v>
      </c>
      <c r="I3021" s="23" t="s">
        <v>308</v>
      </c>
      <c r="J3021" s="14" t="s">
        <v>29</v>
      </c>
      <c r="K3021" s="15" t="s">
        <v>30</v>
      </c>
      <c r="L3021" s="88"/>
      <c r="M3021" s="14"/>
      <c r="N3021" s="14" t="s">
        <v>275</v>
      </c>
      <c r="O3021" s="14"/>
      <c r="P3021" s="15" t="s">
        <v>3369</v>
      </c>
      <c r="Q3021" s="16">
        <v>6799</v>
      </c>
      <c r="R3021" s="17">
        <v>45</v>
      </c>
      <c r="S3021" s="18">
        <v>4300.3674999999994</v>
      </c>
      <c r="T3021" s="19" t="s">
        <v>117</v>
      </c>
      <c r="U3021" s="20" t="s">
        <v>2161</v>
      </c>
      <c r="V3021" s="21">
        <v>164</v>
      </c>
      <c r="W3021" s="21">
        <v>1</v>
      </c>
      <c r="X3021" s="22"/>
    </row>
    <row r="3022" spans="1:24" s="1" customFormat="1" ht="108" customHeight="1" x14ac:dyDescent="0.3">
      <c r="A3022" s="11" t="s">
        <v>3129</v>
      </c>
      <c r="B3022" s="11" t="s">
        <v>3476</v>
      </c>
      <c r="C3022" s="12" t="s">
        <v>3479</v>
      </c>
      <c r="D3022" s="24"/>
      <c r="E3022" s="69" t="str">
        <f>HYPERLINK("https://www.google.ru/search?q=741332-7150&amp;newwindow=1&amp;tbm=isch","Еще фото")</f>
        <v>Еще фото</v>
      </c>
      <c r="F3022" s="13"/>
      <c r="G3022" s="11" t="s">
        <v>307</v>
      </c>
      <c r="H3022" s="11" t="s">
        <v>27</v>
      </c>
      <c r="I3022" s="14" t="s">
        <v>308</v>
      </c>
      <c r="J3022" s="14" t="s">
        <v>29</v>
      </c>
      <c r="K3022" s="15" t="s">
        <v>30</v>
      </c>
      <c r="L3022" s="14" t="s">
        <v>3478</v>
      </c>
      <c r="M3022" s="14"/>
      <c r="N3022" s="14" t="s">
        <v>70</v>
      </c>
      <c r="O3022" s="14"/>
      <c r="P3022" s="15" t="s">
        <v>3369</v>
      </c>
      <c r="Q3022" s="16">
        <v>6799</v>
      </c>
      <c r="R3022" s="17">
        <v>45</v>
      </c>
      <c r="S3022" s="18">
        <v>4300.3674999999994</v>
      </c>
      <c r="T3022" s="19" t="s">
        <v>117</v>
      </c>
      <c r="U3022" s="20" t="s">
        <v>2961</v>
      </c>
      <c r="V3022" s="21">
        <v>98</v>
      </c>
      <c r="W3022" s="21">
        <v>1</v>
      </c>
      <c r="X3022" s="22"/>
    </row>
    <row r="3023" spans="1:24" s="1" customFormat="1" ht="21" customHeight="1" x14ac:dyDescent="0.3">
      <c r="A3023" s="11" t="s">
        <v>3129</v>
      </c>
      <c r="B3023" s="11" t="s">
        <v>3480</v>
      </c>
      <c r="C3023" s="27" t="s">
        <v>3481</v>
      </c>
      <c r="D3023" s="83"/>
      <c r="E3023" s="69" t="str">
        <f>HYPERLINK("https://www.google.ru/search?q=741345-2909&amp;newwindow=1&amp;tbm=isch","Еще фото")</f>
        <v>Еще фото</v>
      </c>
      <c r="F3023" s="13"/>
      <c r="G3023" s="11" t="s">
        <v>307</v>
      </c>
      <c r="H3023" s="11" t="s">
        <v>27</v>
      </c>
      <c r="I3023" s="14" t="s">
        <v>308</v>
      </c>
      <c r="J3023" s="14" t="s">
        <v>29</v>
      </c>
      <c r="K3023" s="15" t="s">
        <v>30</v>
      </c>
      <c r="L3023" s="86" t="s">
        <v>3482</v>
      </c>
      <c r="M3023" s="14" t="s">
        <v>2945</v>
      </c>
      <c r="N3023" s="14" t="s">
        <v>154</v>
      </c>
      <c r="O3023" s="14"/>
      <c r="P3023" s="15" t="s">
        <v>3483</v>
      </c>
      <c r="Q3023" s="16">
        <v>7399</v>
      </c>
      <c r="R3023" s="17">
        <v>45</v>
      </c>
      <c r="S3023" s="18">
        <v>4679.8674999999994</v>
      </c>
      <c r="T3023" s="19" t="s">
        <v>117</v>
      </c>
      <c r="U3023" s="20" t="s">
        <v>2961</v>
      </c>
      <c r="V3023" s="21">
        <v>98</v>
      </c>
      <c r="W3023" s="21">
        <v>2</v>
      </c>
      <c r="X3023" s="22"/>
    </row>
    <row r="3024" spans="1:24" s="1" customFormat="1" ht="21" customHeight="1" x14ac:dyDescent="0.3">
      <c r="A3024" s="23" t="s">
        <v>3129</v>
      </c>
      <c r="B3024" s="23" t="s">
        <v>3480</v>
      </c>
      <c r="C3024" s="28" t="s">
        <v>3481</v>
      </c>
      <c r="D3024" s="84"/>
      <c r="E3024" s="69" t="str">
        <f>HYPERLINK("https://www.google.ru/search?q=741345-2909&amp;newwindow=1&amp;tbm=isch","Еще фото")</f>
        <v>Еще фото</v>
      </c>
      <c r="F3024" s="13"/>
      <c r="G3024" s="23" t="s">
        <v>307</v>
      </c>
      <c r="H3024" s="23" t="s">
        <v>27</v>
      </c>
      <c r="I3024" s="23" t="s">
        <v>308</v>
      </c>
      <c r="J3024" s="14" t="s">
        <v>29</v>
      </c>
      <c r="K3024" s="15" t="s">
        <v>30</v>
      </c>
      <c r="L3024" s="87"/>
      <c r="M3024" s="14" t="s">
        <v>2945</v>
      </c>
      <c r="N3024" s="14" t="s">
        <v>154</v>
      </c>
      <c r="O3024" s="14"/>
      <c r="P3024" s="15" t="s">
        <v>3483</v>
      </c>
      <c r="Q3024" s="16">
        <v>7399</v>
      </c>
      <c r="R3024" s="17">
        <v>45</v>
      </c>
      <c r="S3024" s="18">
        <v>4679.8674999999994</v>
      </c>
      <c r="T3024" s="19" t="s">
        <v>117</v>
      </c>
      <c r="U3024" s="20" t="s">
        <v>94</v>
      </c>
      <c r="V3024" s="21">
        <v>104</v>
      </c>
      <c r="W3024" s="21">
        <v>2</v>
      </c>
      <c r="X3024" s="22"/>
    </row>
    <row r="3025" spans="1:24" s="1" customFormat="1" ht="21" customHeight="1" x14ac:dyDescent="0.3">
      <c r="A3025" s="23" t="s">
        <v>3129</v>
      </c>
      <c r="B3025" s="23" t="s">
        <v>3480</v>
      </c>
      <c r="C3025" s="28" t="s">
        <v>3481</v>
      </c>
      <c r="D3025" s="84"/>
      <c r="E3025" s="69" t="str">
        <f>HYPERLINK("https://www.google.ru/search?q=741345-2909&amp;newwindow=1&amp;tbm=isch","Еще фото")</f>
        <v>Еще фото</v>
      </c>
      <c r="F3025" s="13"/>
      <c r="G3025" s="23" t="s">
        <v>307</v>
      </c>
      <c r="H3025" s="23" t="s">
        <v>27</v>
      </c>
      <c r="I3025" s="23" t="s">
        <v>308</v>
      </c>
      <c r="J3025" s="14" t="s">
        <v>29</v>
      </c>
      <c r="K3025" s="15" t="s">
        <v>30</v>
      </c>
      <c r="L3025" s="87"/>
      <c r="M3025" s="14" t="s">
        <v>2945</v>
      </c>
      <c r="N3025" s="14" t="s">
        <v>154</v>
      </c>
      <c r="O3025" s="14"/>
      <c r="P3025" s="15" t="s">
        <v>3483</v>
      </c>
      <c r="Q3025" s="16">
        <v>7399</v>
      </c>
      <c r="R3025" s="17">
        <v>45</v>
      </c>
      <c r="S3025" s="18">
        <v>4679.8674999999994</v>
      </c>
      <c r="T3025" s="19" t="s">
        <v>117</v>
      </c>
      <c r="U3025" s="20" t="s">
        <v>43</v>
      </c>
      <c r="V3025" s="21">
        <v>110</v>
      </c>
      <c r="W3025" s="21">
        <v>1</v>
      </c>
      <c r="X3025" s="22"/>
    </row>
    <row r="3026" spans="1:24" s="1" customFormat="1" ht="21" customHeight="1" x14ac:dyDescent="0.3">
      <c r="A3026" s="23" t="s">
        <v>3129</v>
      </c>
      <c r="B3026" s="23" t="s">
        <v>3480</v>
      </c>
      <c r="C3026" s="28" t="s">
        <v>3481</v>
      </c>
      <c r="D3026" s="84"/>
      <c r="E3026" s="69" t="str">
        <f>HYPERLINK("https://www.google.ru/search?q=741345-2909&amp;newwindow=1&amp;tbm=isch","Еще фото")</f>
        <v>Еще фото</v>
      </c>
      <c r="F3026" s="13"/>
      <c r="G3026" s="23" t="s">
        <v>307</v>
      </c>
      <c r="H3026" s="23" t="s">
        <v>27</v>
      </c>
      <c r="I3026" s="23" t="s">
        <v>308</v>
      </c>
      <c r="J3026" s="14" t="s">
        <v>29</v>
      </c>
      <c r="K3026" s="15" t="s">
        <v>30</v>
      </c>
      <c r="L3026" s="87"/>
      <c r="M3026" s="14" t="s">
        <v>2945</v>
      </c>
      <c r="N3026" s="14" t="s">
        <v>154</v>
      </c>
      <c r="O3026" s="14"/>
      <c r="P3026" s="15" t="s">
        <v>3483</v>
      </c>
      <c r="Q3026" s="16">
        <v>7399</v>
      </c>
      <c r="R3026" s="17">
        <v>45</v>
      </c>
      <c r="S3026" s="18">
        <v>4679.8674999999994</v>
      </c>
      <c r="T3026" s="19" t="s">
        <v>117</v>
      </c>
      <c r="U3026" s="20" t="s">
        <v>35</v>
      </c>
      <c r="V3026" s="21">
        <v>116</v>
      </c>
      <c r="W3026" s="21">
        <v>2</v>
      </c>
      <c r="X3026" s="22"/>
    </row>
    <row r="3027" spans="1:24" s="1" customFormat="1" ht="32.1" customHeight="1" x14ac:dyDescent="0.3">
      <c r="A3027" s="23" t="s">
        <v>3129</v>
      </c>
      <c r="B3027" s="23" t="s">
        <v>3480</v>
      </c>
      <c r="C3027" s="28" t="s">
        <v>3481</v>
      </c>
      <c r="D3027" s="85"/>
      <c r="E3027" s="69" t="str">
        <f>HYPERLINK("https://www.google.ru/search?q=741345-2909&amp;newwindow=1&amp;tbm=isch","Еще фото")</f>
        <v>Еще фото</v>
      </c>
      <c r="F3027" s="13"/>
      <c r="G3027" s="23" t="s">
        <v>307</v>
      </c>
      <c r="H3027" s="23" t="s">
        <v>27</v>
      </c>
      <c r="I3027" s="23" t="s">
        <v>308</v>
      </c>
      <c r="J3027" s="14" t="s">
        <v>29</v>
      </c>
      <c r="K3027" s="15" t="s">
        <v>30</v>
      </c>
      <c r="L3027" s="88"/>
      <c r="M3027" s="14" t="s">
        <v>2945</v>
      </c>
      <c r="N3027" s="14" t="s">
        <v>154</v>
      </c>
      <c r="O3027" s="14"/>
      <c r="P3027" s="15" t="s">
        <v>3483</v>
      </c>
      <c r="Q3027" s="16">
        <v>7399</v>
      </c>
      <c r="R3027" s="17">
        <v>45</v>
      </c>
      <c r="S3027" s="18">
        <v>4679.8674999999994</v>
      </c>
      <c r="T3027" s="19" t="s">
        <v>117</v>
      </c>
      <c r="U3027" s="20" t="s">
        <v>91</v>
      </c>
      <c r="V3027" s="21">
        <v>134</v>
      </c>
      <c r="W3027" s="21">
        <v>2</v>
      </c>
      <c r="X3027" s="22"/>
    </row>
    <row r="3028" spans="1:24" s="1" customFormat="1" ht="26.1" customHeight="1" x14ac:dyDescent="0.3">
      <c r="A3028" s="11" t="s">
        <v>3129</v>
      </c>
      <c r="B3028" s="11" t="s">
        <v>3484</v>
      </c>
      <c r="C3028" s="12" t="s">
        <v>3485</v>
      </c>
      <c r="D3028" s="83"/>
      <c r="E3028" s="69" t="str">
        <f>HYPERLINK("https://www.google.ru/search?q=741349-7850&amp;newwindow=1&amp;tbm=isch","Еще фото")</f>
        <v>Еще фото</v>
      </c>
      <c r="F3028" s="13"/>
      <c r="G3028" s="11" t="s">
        <v>307</v>
      </c>
      <c r="H3028" s="11" t="s">
        <v>27</v>
      </c>
      <c r="I3028" s="14" t="s">
        <v>308</v>
      </c>
      <c r="J3028" s="14" t="s">
        <v>29</v>
      </c>
      <c r="K3028" s="15" t="s">
        <v>30</v>
      </c>
      <c r="L3028" s="86" t="s">
        <v>3486</v>
      </c>
      <c r="M3028" s="14" t="s">
        <v>2945</v>
      </c>
      <c r="N3028" s="14" t="s">
        <v>70</v>
      </c>
      <c r="O3028" s="14"/>
      <c r="P3028" s="15" t="s">
        <v>3369</v>
      </c>
      <c r="Q3028" s="16">
        <v>6799</v>
      </c>
      <c r="R3028" s="17">
        <v>45</v>
      </c>
      <c r="S3028" s="18">
        <v>4300.3674999999994</v>
      </c>
      <c r="T3028" s="19" t="s">
        <v>117</v>
      </c>
      <c r="U3028" s="20" t="s">
        <v>2961</v>
      </c>
      <c r="V3028" s="21">
        <v>98</v>
      </c>
      <c r="W3028" s="21">
        <v>1</v>
      </c>
      <c r="X3028" s="22"/>
    </row>
    <row r="3029" spans="1:24" s="1" customFormat="1" ht="26.1" customHeight="1" x14ac:dyDescent="0.3">
      <c r="A3029" s="23" t="s">
        <v>3129</v>
      </c>
      <c r="B3029" s="23" t="s">
        <v>3484</v>
      </c>
      <c r="C3029" s="12" t="s">
        <v>3485</v>
      </c>
      <c r="D3029" s="84"/>
      <c r="E3029" s="69" t="str">
        <f>HYPERLINK("https://www.google.ru/search?q=741349-7850&amp;newwindow=1&amp;tbm=isch","Еще фото")</f>
        <v>Еще фото</v>
      </c>
      <c r="F3029" s="13"/>
      <c r="G3029" s="23" t="s">
        <v>307</v>
      </c>
      <c r="H3029" s="23" t="s">
        <v>27</v>
      </c>
      <c r="I3029" s="23" t="s">
        <v>308</v>
      </c>
      <c r="J3029" s="14" t="s">
        <v>29</v>
      </c>
      <c r="K3029" s="15" t="s">
        <v>30</v>
      </c>
      <c r="L3029" s="87"/>
      <c r="M3029" s="14" t="s">
        <v>2945</v>
      </c>
      <c r="N3029" s="14" t="s">
        <v>70</v>
      </c>
      <c r="O3029" s="14"/>
      <c r="P3029" s="15" t="s">
        <v>3369</v>
      </c>
      <c r="Q3029" s="16">
        <v>6799</v>
      </c>
      <c r="R3029" s="17">
        <v>45</v>
      </c>
      <c r="S3029" s="18">
        <v>4300.3674999999994</v>
      </c>
      <c r="T3029" s="19" t="s">
        <v>117</v>
      </c>
      <c r="U3029" s="20" t="s">
        <v>94</v>
      </c>
      <c r="V3029" s="21">
        <v>104</v>
      </c>
      <c r="W3029" s="21">
        <v>2</v>
      </c>
      <c r="X3029" s="22"/>
    </row>
    <row r="3030" spans="1:24" s="1" customFormat="1" ht="26.1" customHeight="1" x14ac:dyDescent="0.3">
      <c r="A3030" s="23" t="s">
        <v>3129</v>
      </c>
      <c r="B3030" s="23" t="s">
        <v>3484</v>
      </c>
      <c r="C3030" s="12" t="s">
        <v>3485</v>
      </c>
      <c r="D3030" s="84"/>
      <c r="E3030" s="69" t="str">
        <f>HYPERLINK("https://www.google.ru/search?q=741349-7850&amp;newwindow=1&amp;tbm=isch","Еще фото")</f>
        <v>Еще фото</v>
      </c>
      <c r="F3030" s="13"/>
      <c r="G3030" s="23" t="s">
        <v>307</v>
      </c>
      <c r="H3030" s="23" t="s">
        <v>27</v>
      </c>
      <c r="I3030" s="23" t="s">
        <v>308</v>
      </c>
      <c r="J3030" s="14" t="s">
        <v>29</v>
      </c>
      <c r="K3030" s="15" t="s">
        <v>30</v>
      </c>
      <c r="L3030" s="87"/>
      <c r="M3030" s="14" t="s">
        <v>2945</v>
      </c>
      <c r="N3030" s="14" t="s">
        <v>70</v>
      </c>
      <c r="O3030" s="14"/>
      <c r="P3030" s="15" t="s">
        <v>3369</v>
      </c>
      <c r="Q3030" s="16">
        <v>6799</v>
      </c>
      <c r="R3030" s="17">
        <v>45</v>
      </c>
      <c r="S3030" s="18">
        <v>4300.3674999999994</v>
      </c>
      <c r="T3030" s="19" t="s">
        <v>117</v>
      </c>
      <c r="U3030" s="20" t="s">
        <v>43</v>
      </c>
      <c r="V3030" s="21">
        <v>110</v>
      </c>
      <c r="W3030" s="21">
        <v>2</v>
      </c>
      <c r="X3030" s="22"/>
    </row>
    <row r="3031" spans="1:24" s="1" customFormat="1" ht="26.1" customHeight="1" x14ac:dyDescent="0.3">
      <c r="A3031" s="23" t="s">
        <v>3129</v>
      </c>
      <c r="B3031" s="23" t="s">
        <v>3484</v>
      </c>
      <c r="C3031" s="12" t="s">
        <v>3485</v>
      </c>
      <c r="D3031" s="85"/>
      <c r="E3031" s="69" t="str">
        <f>HYPERLINK("https://www.google.ru/search?q=741349-7850&amp;newwindow=1&amp;tbm=isch","Еще фото")</f>
        <v>Еще фото</v>
      </c>
      <c r="F3031" s="13"/>
      <c r="G3031" s="23" t="s">
        <v>307</v>
      </c>
      <c r="H3031" s="23" t="s">
        <v>27</v>
      </c>
      <c r="I3031" s="23" t="s">
        <v>308</v>
      </c>
      <c r="J3031" s="14" t="s">
        <v>29</v>
      </c>
      <c r="K3031" s="15" t="s">
        <v>30</v>
      </c>
      <c r="L3031" s="88"/>
      <c r="M3031" s="14" t="s">
        <v>2945</v>
      </c>
      <c r="N3031" s="14" t="s">
        <v>70</v>
      </c>
      <c r="O3031" s="14"/>
      <c r="P3031" s="15" t="s">
        <v>3369</v>
      </c>
      <c r="Q3031" s="16">
        <v>6799</v>
      </c>
      <c r="R3031" s="17">
        <v>45</v>
      </c>
      <c r="S3031" s="18">
        <v>4300.3674999999994</v>
      </c>
      <c r="T3031" s="19" t="s">
        <v>117</v>
      </c>
      <c r="U3031" s="20" t="s">
        <v>35</v>
      </c>
      <c r="V3031" s="21">
        <v>116</v>
      </c>
      <c r="W3031" s="21">
        <v>1</v>
      </c>
      <c r="X3031" s="22"/>
    </row>
    <row r="3032" spans="1:24" s="1" customFormat="1" ht="26.1" customHeight="1" x14ac:dyDescent="0.3">
      <c r="A3032" s="11" t="s">
        <v>3129</v>
      </c>
      <c r="B3032" s="11" t="s">
        <v>3484</v>
      </c>
      <c r="C3032" s="12" t="s">
        <v>3487</v>
      </c>
      <c r="D3032" s="83"/>
      <c r="E3032" s="69" t="str">
        <f>HYPERLINK("https://www.google.ru/search?q=741349-9651&amp;newwindow=1&amp;tbm=isch","Еще фото")</f>
        <v>Еще фото</v>
      </c>
      <c r="F3032" s="13"/>
      <c r="G3032" s="11" t="s">
        <v>307</v>
      </c>
      <c r="H3032" s="11" t="s">
        <v>27</v>
      </c>
      <c r="I3032" s="14" t="s">
        <v>308</v>
      </c>
      <c r="J3032" s="14" t="s">
        <v>29</v>
      </c>
      <c r="K3032" s="15" t="s">
        <v>30</v>
      </c>
      <c r="L3032" s="86" t="s">
        <v>3486</v>
      </c>
      <c r="M3032" s="14" t="s">
        <v>2945</v>
      </c>
      <c r="N3032" s="14" t="s">
        <v>242</v>
      </c>
      <c r="O3032" s="14"/>
      <c r="P3032" s="15" t="s">
        <v>3369</v>
      </c>
      <c r="Q3032" s="16">
        <v>6799</v>
      </c>
      <c r="R3032" s="17">
        <v>45</v>
      </c>
      <c r="S3032" s="18">
        <v>4300.3674999999994</v>
      </c>
      <c r="T3032" s="19" t="s">
        <v>117</v>
      </c>
      <c r="U3032" s="20" t="s">
        <v>2961</v>
      </c>
      <c r="V3032" s="21">
        <v>98</v>
      </c>
      <c r="W3032" s="21">
        <v>2</v>
      </c>
      <c r="X3032" s="22"/>
    </row>
    <row r="3033" spans="1:24" s="1" customFormat="1" ht="26.1" customHeight="1" x14ac:dyDescent="0.3">
      <c r="A3033" s="23" t="s">
        <v>3129</v>
      </c>
      <c r="B3033" s="23" t="s">
        <v>3484</v>
      </c>
      <c r="C3033" s="12" t="s">
        <v>3487</v>
      </c>
      <c r="D3033" s="84"/>
      <c r="E3033" s="69" t="str">
        <f>HYPERLINK("https://www.google.ru/search?q=741349-9651&amp;newwindow=1&amp;tbm=isch","Еще фото")</f>
        <v>Еще фото</v>
      </c>
      <c r="F3033" s="13"/>
      <c r="G3033" s="23" t="s">
        <v>307</v>
      </c>
      <c r="H3033" s="23" t="s">
        <v>27</v>
      </c>
      <c r="I3033" s="23" t="s">
        <v>308</v>
      </c>
      <c r="J3033" s="14" t="s">
        <v>29</v>
      </c>
      <c r="K3033" s="15" t="s">
        <v>30</v>
      </c>
      <c r="L3033" s="87"/>
      <c r="M3033" s="14" t="s">
        <v>2945</v>
      </c>
      <c r="N3033" s="14" t="s">
        <v>242</v>
      </c>
      <c r="O3033" s="14"/>
      <c r="P3033" s="15" t="s">
        <v>3369</v>
      </c>
      <c r="Q3033" s="16">
        <v>6799</v>
      </c>
      <c r="R3033" s="17">
        <v>45</v>
      </c>
      <c r="S3033" s="18">
        <v>4300.3674999999994</v>
      </c>
      <c r="T3033" s="19" t="s">
        <v>117</v>
      </c>
      <c r="U3033" s="20" t="s">
        <v>94</v>
      </c>
      <c r="V3033" s="21">
        <v>104</v>
      </c>
      <c r="W3033" s="21">
        <v>1</v>
      </c>
      <c r="X3033" s="22"/>
    </row>
    <row r="3034" spans="1:24" s="1" customFormat="1" ht="26.1" customHeight="1" x14ac:dyDescent="0.3">
      <c r="A3034" s="23" t="s">
        <v>3129</v>
      </c>
      <c r="B3034" s="23" t="s">
        <v>3484</v>
      </c>
      <c r="C3034" s="12" t="s">
        <v>3487</v>
      </c>
      <c r="D3034" s="84"/>
      <c r="E3034" s="69" t="str">
        <f>HYPERLINK("https://www.google.ru/search?q=741349-9651&amp;newwindow=1&amp;tbm=isch","Еще фото")</f>
        <v>Еще фото</v>
      </c>
      <c r="F3034" s="13"/>
      <c r="G3034" s="23" t="s">
        <v>307</v>
      </c>
      <c r="H3034" s="23" t="s">
        <v>27</v>
      </c>
      <c r="I3034" s="23" t="s">
        <v>308</v>
      </c>
      <c r="J3034" s="14" t="s">
        <v>29</v>
      </c>
      <c r="K3034" s="15" t="s">
        <v>30</v>
      </c>
      <c r="L3034" s="87"/>
      <c r="M3034" s="14" t="s">
        <v>2945</v>
      </c>
      <c r="N3034" s="14" t="s">
        <v>242</v>
      </c>
      <c r="O3034" s="14"/>
      <c r="P3034" s="15" t="s">
        <v>3369</v>
      </c>
      <c r="Q3034" s="16">
        <v>6799</v>
      </c>
      <c r="R3034" s="17">
        <v>45</v>
      </c>
      <c r="S3034" s="18">
        <v>4300.3674999999994</v>
      </c>
      <c r="T3034" s="19" t="s">
        <v>117</v>
      </c>
      <c r="U3034" s="20" t="s">
        <v>43</v>
      </c>
      <c r="V3034" s="21">
        <v>110</v>
      </c>
      <c r="W3034" s="21">
        <v>1</v>
      </c>
      <c r="X3034" s="22"/>
    </row>
    <row r="3035" spans="1:24" s="1" customFormat="1" ht="26.1" customHeight="1" x14ac:dyDescent="0.3">
      <c r="A3035" s="23" t="s">
        <v>3129</v>
      </c>
      <c r="B3035" s="23" t="s">
        <v>3484</v>
      </c>
      <c r="C3035" s="12" t="s">
        <v>3487</v>
      </c>
      <c r="D3035" s="85"/>
      <c r="E3035" s="69" t="str">
        <f>HYPERLINK("https://www.google.ru/search?q=741349-9651&amp;newwindow=1&amp;tbm=isch","Еще фото")</f>
        <v>Еще фото</v>
      </c>
      <c r="F3035" s="13"/>
      <c r="G3035" s="23" t="s">
        <v>307</v>
      </c>
      <c r="H3035" s="23" t="s">
        <v>27</v>
      </c>
      <c r="I3035" s="23" t="s">
        <v>308</v>
      </c>
      <c r="J3035" s="14" t="s">
        <v>29</v>
      </c>
      <c r="K3035" s="15" t="s">
        <v>30</v>
      </c>
      <c r="L3035" s="88"/>
      <c r="M3035" s="14" t="s">
        <v>2945</v>
      </c>
      <c r="N3035" s="14" t="s">
        <v>242</v>
      </c>
      <c r="O3035" s="14"/>
      <c r="P3035" s="15" t="s">
        <v>3369</v>
      </c>
      <c r="Q3035" s="16">
        <v>6799</v>
      </c>
      <c r="R3035" s="17">
        <v>45</v>
      </c>
      <c r="S3035" s="18">
        <v>4300.3674999999994</v>
      </c>
      <c r="T3035" s="19" t="s">
        <v>117</v>
      </c>
      <c r="U3035" s="20" t="s">
        <v>35</v>
      </c>
      <c r="V3035" s="21">
        <v>116</v>
      </c>
      <c r="W3035" s="21">
        <v>2</v>
      </c>
      <c r="X3035" s="22"/>
    </row>
    <row r="3036" spans="1:24" s="1" customFormat="1" ht="11.1" customHeight="1" x14ac:dyDescent="0.3">
      <c r="A3036" s="11" t="s">
        <v>3129</v>
      </c>
      <c r="B3036" s="11" t="s">
        <v>3488</v>
      </c>
      <c r="C3036" s="12" t="s">
        <v>3489</v>
      </c>
      <c r="D3036" s="83"/>
      <c r="E3036" s="69" t="str">
        <f t="shared" ref="E3036:E3045" si="124">HYPERLINK("https://www.google.ru/search?q=741385-2909&amp;newwindow=1&amp;tbm=isch","Еще фото")</f>
        <v>Еще фото</v>
      </c>
      <c r="F3036" s="13"/>
      <c r="G3036" s="11" t="s">
        <v>307</v>
      </c>
      <c r="H3036" s="11" t="s">
        <v>27</v>
      </c>
      <c r="I3036" s="14" t="s">
        <v>308</v>
      </c>
      <c r="J3036" s="14" t="s">
        <v>29</v>
      </c>
      <c r="K3036" s="15" t="s">
        <v>30</v>
      </c>
      <c r="L3036" s="86" t="s">
        <v>3490</v>
      </c>
      <c r="M3036" s="14"/>
      <c r="N3036" s="14" t="s">
        <v>154</v>
      </c>
      <c r="O3036" s="14"/>
      <c r="P3036" s="15" t="s">
        <v>3369</v>
      </c>
      <c r="Q3036" s="16">
        <v>5799</v>
      </c>
      <c r="R3036" s="17">
        <v>45</v>
      </c>
      <c r="S3036" s="18">
        <v>3667.8674999999994</v>
      </c>
      <c r="T3036" s="19" t="s">
        <v>117</v>
      </c>
      <c r="U3036" s="20" t="s">
        <v>2961</v>
      </c>
      <c r="V3036" s="21">
        <v>98</v>
      </c>
      <c r="W3036" s="21">
        <v>2</v>
      </c>
      <c r="X3036" s="22"/>
    </row>
    <row r="3037" spans="1:24" s="1" customFormat="1" ht="11.1" customHeight="1" x14ac:dyDescent="0.3">
      <c r="A3037" s="23" t="s">
        <v>3129</v>
      </c>
      <c r="B3037" s="23" t="s">
        <v>3488</v>
      </c>
      <c r="C3037" s="12" t="s">
        <v>3489</v>
      </c>
      <c r="D3037" s="84"/>
      <c r="E3037" s="69" t="str">
        <f t="shared" si="124"/>
        <v>Еще фото</v>
      </c>
      <c r="F3037" s="13"/>
      <c r="G3037" s="23" t="s">
        <v>307</v>
      </c>
      <c r="H3037" s="23" t="s">
        <v>27</v>
      </c>
      <c r="I3037" s="23" t="s">
        <v>308</v>
      </c>
      <c r="J3037" s="14" t="s">
        <v>29</v>
      </c>
      <c r="K3037" s="15" t="s">
        <v>30</v>
      </c>
      <c r="L3037" s="87"/>
      <c r="M3037" s="14"/>
      <c r="N3037" s="14" t="s">
        <v>154</v>
      </c>
      <c r="O3037" s="14"/>
      <c r="P3037" s="15" t="s">
        <v>3369</v>
      </c>
      <c r="Q3037" s="16">
        <v>5799</v>
      </c>
      <c r="R3037" s="17">
        <v>45</v>
      </c>
      <c r="S3037" s="18">
        <v>3667.8674999999994</v>
      </c>
      <c r="T3037" s="19" t="s">
        <v>117</v>
      </c>
      <c r="U3037" s="20" t="s">
        <v>94</v>
      </c>
      <c r="V3037" s="21">
        <v>104</v>
      </c>
      <c r="W3037" s="21">
        <v>2</v>
      </c>
      <c r="X3037" s="22"/>
    </row>
    <row r="3038" spans="1:24" s="1" customFormat="1" ht="11.1" customHeight="1" x14ac:dyDescent="0.3">
      <c r="A3038" s="23" t="s">
        <v>3129</v>
      </c>
      <c r="B3038" s="23" t="s">
        <v>3488</v>
      </c>
      <c r="C3038" s="12" t="s">
        <v>3489</v>
      </c>
      <c r="D3038" s="84"/>
      <c r="E3038" s="69" t="str">
        <f t="shared" si="124"/>
        <v>Еще фото</v>
      </c>
      <c r="F3038" s="13"/>
      <c r="G3038" s="23" t="s">
        <v>307</v>
      </c>
      <c r="H3038" s="23" t="s">
        <v>27</v>
      </c>
      <c r="I3038" s="23" t="s">
        <v>308</v>
      </c>
      <c r="J3038" s="14" t="s">
        <v>29</v>
      </c>
      <c r="K3038" s="15" t="s">
        <v>30</v>
      </c>
      <c r="L3038" s="87"/>
      <c r="M3038" s="14"/>
      <c r="N3038" s="14" t="s">
        <v>154</v>
      </c>
      <c r="O3038" s="14"/>
      <c r="P3038" s="15" t="s">
        <v>3369</v>
      </c>
      <c r="Q3038" s="16">
        <v>5799</v>
      </c>
      <c r="R3038" s="17">
        <v>45</v>
      </c>
      <c r="S3038" s="18">
        <v>3667.8674999999994</v>
      </c>
      <c r="T3038" s="19" t="s">
        <v>117</v>
      </c>
      <c r="U3038" s="20" t="s">
        <v>43</v>
      </c>
      <c r="V3038" s="21">
        <v>110</v>
      </c>
      <c r="W3038" s="21">
        <v>1</v>
      </c>
      <c r="X3038" s="22"/>
    </row>
    <row r="3039" spans="1:24" s="1" customFormat="1" ht="11.1" customHeight="1" x14ac:dyDescent="0.3">
      <c r="A3039" s="23" t="s">
        <v>3129</v>
      </c>
      <c r="B3039" s="23" t="s">
        <v>3488</v>
      </c>
      <c r="C3039" s="12" t="s">
        <v>3489</v>
      </c>
      <c r="D3039" s="84"/>
      <c r="E3039" s="69" t="str">
        <f t="shared" si="124"/>
        <v>Еще фото</v>
      </c>
      <c r="F3039" s="13"/>
      <c r="G3039" s="23" t="s">
        <v>307</v>
      </c>
      <c r="H3039" s="23" t="s">
        <v>27</v>
      </c>
      <c r="I3039" s="23" t="s">
        <v>308</v>
      </c>
      <c r="J3039" s="14" t="s">
        <v>29</v>
      </c>
      <c r="K3039" s="15" t="s">
        <v>30</v>
      </c>
      <c r="L3039" s="87"/>
      <c r="M3039" s="14"/>
      <c r="N3039" s="14" t="s">
        <v>154</v>
      </c>
      <c r="O3039" s="14"/>
      <c r="P3039" s="15" t="s">
        <v>3369</v>
      </c>
      <c r="Q3039" s="16">
        <v>5799</v>
      </c>
      <c r="R3039" s="17">
        <v>45</v>
      </c>
      <c r="S3039" s="18">
        <v>3667.8674999999994</v>
      </c>
      <c r="T3039" s="19" t="s">
        <v>117</v>
      </c>
      <c r="U3039" s="20" t="s">
        <v>35</v>
      </c>
      <c r="V3039" s="21">
        <v>116</v>
      </c>
      <c r="W3039" s="21">
        <v>2</v>
      </c>
      <c r="X3039" s="22"/>
    </row>
    <row r="3040" spans="1:24" s="1" customFormat="1" ht="11.1" customHeight="1" x14ac:dyDescent="0.3">
      <c r="A3040" s="23" t="s">
        <v>3129</v>
      </c>
      <c r="B3040" s="23" t="s">
        <v>3488</v>
      </c>
      <c r="C3040" s="12" t="s">
        <v>3489</v>
      </c>
      <c r="D3040" s="84"/>
      <c r="E3040" s="69" t="str">
        <f t="shared" si="124"/>
        <v>Еще фото</v>
      </c>
      <c r="F3040" s="13"/>
      <c r="G3040" s="23" t="s">
        <v>307</v>
      </c>
      <c r="H3040" s="23" t="s">
        <v>27</v>
      </c>
      <c r="I3040" s="23" t="s">
        <v>308</v>
      </c>
      <c r="J3040" s="14" t="s">
        <v>29</v>
      </c>
      <c r="K3040" s="15" t="s">
        <v>30</v>
      </c>
      <c r="L3040" s="87"/>
      <c r="M3040" s="14"/>
      <c r="N3040" s="14" t="s">
        <v>154</v>
      </c>
      <c r="O3040" s="14"/>
      <c r="P3040" s="15" t="s">
        <v>3369</v>
      </c>
      <c r="Q3040" s="16">
        <v>5799</v>
      </c>
      <c r="R3040" s="17">
        <v>45</v>
      </c>
      <c r="S3040" s="18">
        <v>3667.8674999999994</v>
      </c>
      <c r="T3040" s="19" t="s">
        <v>117</v>
      </c>
      <c r="U3040" s="20" t="s">
        <v>36</v>
      </c>
      <c r="V3040" s="21">
        <v>122</v>
      </c>
      <c r="W3040" s="21">
        <v>3</v>
      </c>
      <c r="X3040" s="22"/>
    </row>
    <row r="3041" spans="1:24" s="1" customFormat="1" ht="11.1" customHeight="1" x14ac:dyDescent="0.3">
      <c r="A3041" s="23" t="s">
        <v>3129</v>
      </c>
      <c r="B3041" s="23" t="s">
        <v>3488</v>
      </c>
      <c r="C3041" s="12" t="s">
        <v>3489</v>
      </c>
      <c r="D3041" s="84"/>
      <c r="E3041" s="69" t="str">
        <f t="shared" si="124"/>
        <v>Еще фото</v>
      </c>
      <c r="F3041" s="13"/>
      <c r="G3041" s="23" t="s">
        <v>307</v>
      </c>
      <c r="H3041" s="23" t="s">
        <v>27</v>
      </c>
      <c r="I3041" s="23" t="s">
        <v>308</v>
      </c>
      <c r="J3041" s="14" t="s">
        <v>29</v>
      </c>
      <c r="K3041" s="15" t="s">
        <v>30</v>
      </c>
      <c r="L3041" s="87"/>
      <c r="M3041" s="14"/>
      <c r="N3041" s="14" t="s">
        <v>154</v>
      </c>
      <c r="O3041" s="14"/>
      <c r="P3041" s="15" t="s">
        <v>3369</v>
      </c>
      <c r="Q3041" s="16">
        <v>5799</v>
      </c>
      <c r="R3041" s="17">
        <v>45</v>
      </c>
      <c r="S3041" s="18">
        <v>3667.8674999999994</v>
      </c>
      <c r="T3041" s="19" t="s">
        <v>117</v>
      </c>
      <c r="U3041" s="20" t="s">
        <v>37</v>
      </c>
      <c r="V3041" s="21">
        <v>128</v>
      </c>
      <c r="W3041" s="21">
        <v>4</v>
      </c>
      <c r="X3041" s="22"/>
    </row>
    <row r="3042" spans="1:24" s="1" customFormat="1" ht="11.1" customHeight="1" x14ac:dyDescent="0.3">
      <c r="A3042" s="23" t="s">
        <v>3129</v>
      </c>
      <c r="B3042" s="23" t="s">
        <v>3488</v>
      </c>
      <c r="C3042" s="12" t="s">
        <v>3489</v>
      </c>
      <c r="D3042" s="84"/>
      <c r="E3042" s="69" t="str">
        <f t="shared" si="124"/>
        <v>Еще фото</v>
      </c>
      <c r="F3042" s="13"/>
      <c r="G3042" s="23" t="s">
        <v>307</v>
      </c>
      <c r="H3042" s="23" t="s">
        <v>27</v>
      </c>
      <c r="I3042" s="23" t="s">
        <v>308</v>
      </c>
      <c r="J3042" s="14" t="s">
        <v>29</v>
      </c>
      <c r="K3042" s="15" t="s">
        <v>30</v>
      </c>
      <c r="L3042" s="87"/>
      <c r="M3042" s="14"/>
      <c r="N3042" s="14" t="s">
        <v>154</v>
      </c>
      <c r="O3042" s="14"/>
      <c r="P3042" s="15" t="s">
        <v>3369</v>
      </c>
      <c r="Q3042" s="16">
        <v>5799</v>
      </c>
      <c r="R3042" s="17">
        <v>45</v>
      </c>
      <c r="S3042" s="18">
        <v>3667.8674999999994</v>
      </c>
      <c r="T3042" s="19" t="s">
        <v>117</v>
      </c>
      <c r="U3042" s="20" t="s">
        <v>91</v>
      </c>
      <c r="V3042" s="21">
        <v>134</v>
      </c>
      <c r="W3042" s="21">
        <v>3</v>
      </c>
      <c r="X3042" s="22"/>
    </row>
    <row r="3043" spans="1:24" s="1" customFormat="1" ht="11.1" customHeight="1" x14ac:dyDescent="0.3">
      <c r="A3043" s="23" t="s">
        <v>3129</v>
      </c>
      <c r="B3043" s="23" t="s">
        <v>3488</v>
      </c>
      <c r="C3043" s="12" t="s">
        <v>3489</v>
      </c>
      <c r="D3043" s="84"/>
      <c r="E3043" s="69" t="str">
        <f t="shared" si="124"/>
        <v>Еще фото</v>
      </c>
      <c r="F3043" s="13"/>
      <c r="G3043" s="23" t="s">
        <v>307</v>
      </c>
      <c r="H3043" s="23" t="s">
        <v>27</v>
      </c>
      <c r="I3043" s="23" t="s">
        <v>308</v>
      </c>
      <c r="J3043" s="14" t="s">
        <v>29</v>
      </c>
      <c r="K3043" s="15" t="s">
        <v>30</v>
      </c>
      <c r="L3043" s="87"/>
      <c r="M3043" s="14"/>
      <c r="N3043" s="14" t="s">
        <v>154</v>
      </c>
      <c r="O3043" s="14"/>
      <c r="P3043" s="15" t="s">
        <v>3369</v>
      </c>
      <c r="Q3043" s="16">
        <v>5799</v>
      </c>
      <c r="R3043" s="17">
        <v>45</v>
      </c>
      <c r="S3043" s="18">
        <v>3667.8674999999994</v>
      </c>
      <c r="T3043" s="19" t="s">
        <v>117</v>
      </c>
      <c r="U3043" s="20" t="s">
        <v>290</v>
      </c>
      <c r="V3043" s="21">
        <v>140</v>
      </c>
      <c r="W3043" s="21">
        <v>1</v>
      </c>
      <c r="X3043" s="22"/>
    </row>
    <row r="3044" spans="1:24" s="1" customFormat="1" ht="11.1" customHeight="1" x14ac:dyDescent="0.3">
      <c r="A3044" s="23" t="s">
        <v>3129</v>
      </c>
      <c r="B3044" s="23" t="s">
        <v>3488</v>
      </c>
      <c r="C3044" s="12" t="s">
        <v>3489</v>
      </c>
      <c r="D3044" s="84"/>
      <c r="E3044" s="69" t="str">
        <f t="shared" si="124"/>
        <v>Еще фото</v>
      </c>
      <c r="F3044" s="13"/>
      <c r="G3044" s="23" t="s">
        <v>307</v>
      </c>
      <c r="H3044" s="23" t="s">
        <v>27</v>
      </c>
      <c r="I3044" s="23" t="s">
        <v>308</v>
      </c>
      <c r="J3044" s="14" t="s">
        <v>29</v>
      </c>
      <c r="K3044" s="15" t="s">
        <v>30</v>
      </c>
      <c r="L3044" s="87"/>
      <c r="M3044" s="14"/>
      <c r="N3044" s="14" t="s">
        <v>154</v>
      </c>
      <c r="O3044" s="14"/>
      <c r="P3044" s="15" t="s">
        <v>3369</v>
      </c>
      <c r="Q3044" s="16">
        <v>5799</v>
      </c>
      <c r="R3044" s="17">
        <v>45</v>
      </c>
      <c r="S3044" s="18">
        <v>3667.8674999999994</v>
      </c>
      <c r="T3044" s="19" t="s">
        <v>117</v>
      </c>
      <c r="U3044" s="20" t="s">
        <v>2160</v>
      </c>
      <c r="V3044" s="21">
        <v>152</v>
      </c>
      <c r="W3044" s="21">
        <v>1</v>
      </c>
      <c r="X3044" s="22"/>
    </row>
    <row r="3045" spans="1:24" s="1" customFormat="1" ht="11.1" customHeight="1" x14ac:dyDescent="0.3">
      <c r="A3045" s="14" t="s">
        <v>3129</v>
      </c>
      <c r="B3045" s="14" t="s">
        <v>3488</v>
      </c>
      <c r="C3045" s="12" t="s">
        <v>3489</v>
      </c>
      <c r="D3045" s="85"/>
      <c r="E3045" s="69" t="str">
        <f t="shared" si="124"/>
        <v>Еще фото</v>
      </c>
      <c r="F3045" s="36"/>
      <c r="G3045" s="14" t="s">
        <v>307</v>
      </c>
      <c r="H3045" s="14" t="s">
        <v>27</v>
      </c>
      <c r="I3045" s="14" t="s">
        <v>308</v>
      </c>
      <c r="J3045" s="14" t="s">
        <v>29</v>
      </c>
      <c r="K3045" s="14" t="s">
        <v>30</v>
      </c>
      <c r="L3045" s="88"/>
      <c r="M3045" s="14"/>
      <c r="N3045" s="14" t="s">
        <v>154</v>
      </c>
      <c r="O3045" s="14"/>
      <c r="P3045" s="14" t="s">
        <v>3369</v>
      </c>
      <c r="Q3045" s="33">
        <v>5799</v>
      </c>
      <c r="R3045" s="34">
        <v>45</v>
      </c>
      <c r="S3045" s="35">
        <v>3667.8674999999994</v>
      </c>
      <c r="T3045" s="19" t="s">
        <v>117</v>
      </c>
      <c r="U3045" s="20" t="s">
        <v>2162</v>
      </c>
      <c r="V3045" s="21">
        <v>176</v>
      </c>
      <c r="W3045" s="21">
        <v>1</v>
      </c>
      <c r="X3045" s="22"/>
    </row>
    <row r="3046" spans="1:24" s="1" customFormat="1" ht="12.95" customHeight="1" x14ac:dyDescent="0.3">
      <c r="A3046" s="11" t="s">
        <v>3129</v>
      </c>
      <c r="B3046" s="11" t="s">
        <v>3488</v>
      </c>
      <c r="C3046" s="12" t="s">
        <v>3491</v>
      </c>
      <c r="D3046" s="83"/>
      <c r="E3046" s="69" t="str">
        <f t="shared" ref="E3046:E3053" si="125">HYPERLINK("https://www.google.ru/search?q=741385-5005&amp;newwindow=1&amp;tbm=isch","Еще фото")</f>
        <v>Еще фото</v>
      </c>
      <c r="F3046" s="13"/>
      <c r="G3046" s="11" t="s">
        <v>307</v>
      </c>
      <c r="H3046" s="11" t="s">
        <v>27</v>
      </c>
      <c r="I3046" s="14" t="s">
        <v>308</v>
      </c>
      <c r="J3046" s="14" t="s">
        <v>29</v>
      </c>
      <c r="K3046" s="15" t="s">
        <v>30</v>
      </c>
      <c r="L3046" s="86" t="s">
        <v>3490</v>
      </c>
      <c r="M3046" s="14"/>
      <c r="N3046" s="14" t="s">
        <v>275</v>
      </c>
      <c r="O3046" s="14"/>
      <c r="P3046" s="15" t="s">
        <v>3369</v>
      </c>
      <c r="Q3046" s="16">
        <v>5799</v>
      </c>
      <c r="R3046" s="17">
        <v>45</v>
      </c>
      <c r="S3046" s="18">
        <v>3667.8674999999994</v>
      </c>
      <c r="T3046" s="19" t="s">
        <v>117</v>
      </c>
      <c r="U3046" s="26" t="s">
        <v>2961</v>
      </c>
      <c r="V3046" s="21">
        <v>98</v>
      </c>
      <c r="W3046" s="21">
        <v>2</v>
      </c>
      <c r="X3046" s="22"/>
    </row>
    <row r="3047" spans="1:24" s="1" customFormat="1" ht="12.95" customHeight="1" x14ac:dyDescent="0.3">
      <c r="A3047" s="23" t="s">
        <v>3129</v>
      </c>
      <c r="B3047" s="23" t="s">
        <v>3488</v>
      </c>
      <c r="C3047" s="12" t="s">
        <v>3491</v>
      </c>
      <c r="D3047" s="84"/>
      <c r="E3047" s="69" t="str">
        <f t="shared" si="125"/>
        <v>Еще фото</v>
      </c>
      <c r="F3047" s="13"/>
      <c r="G3047" s="23" t="s">
        <v>307</v>
      </c>
      <c r="H3047" s="23" t="s">
        <v>27</v>
      </c>
      <c r="I3047" s="23" t="s">
        <v>308</v>
      </c>
      <c r="J3047" s="14" t="s">
        <v>29</v>
      </c>
      <c r="K3047" s="15" t="s">
        <v>30</v>
      </c>
      <c r="L3047" s="87"/>
      <c r="M3047" s="14"/>
      <c r="N3047" s="14" t="s">
        <v>275</v>
      </c>
      <c r="O3047" s="14"/>
      <c r="P3047" s="15" t="s">
        <v>3369</v>
      </c>
      <c r="Q3047" s="16">
        <v>5799</v>
      </c>
      <c r="R3047" s="17">
        <v>45</v>
      </c>
      <c r="S3047" s="18">
        <v>3667.8674999999994</v>
      </c>
      <c r="T3047" s="19" t="s">
        <v>117</v>
      </c>
      <c r="U3047" s="20" t="s">
        <v>94</v>
      </c>
      <c r="V3047" s="21">
        <v>104</v>
      </c>
      <c r="W3047" s="21">
        <v>1</v>
      </c>
      <c r="X3047" s="22"/>
    </row>
    <row r="3048" spans="1:24" s="1" customFormat="1" ht="12.95" customHeight="1" x14ac:dyDescent="0.3">
      <c r="A3048" s="23" t="s">
        <v>3129</v>
      </c>
      <c r="B3048" s="23" t="s">
        <v>3488</v>
      </c>
      <c r="C3048" s="12" t="s">
        <v>3491</v>
      </c>
      <c r="D3048" s="84"/>
      <c r="E3048" s="69" t="str">
        <f t="shared" si="125"/>
        <v>Еще фото</v>
      </c>
      <c r="F3048" s="13"/>
      <c r="G3048" s="23" t="s">
        <v>307</v>
      </c>
      <c r="H3048" s="23" t="s">
        <v>27</v>
      </c>
      <c r="I3048" s="23" t="s">
        <v>308</v>
      </c>
      <c r="J3048" s="14" t="s">
        <v>29</v>
      </c>
      <c r="K3048" s="15" t="s">
        <v>30</v>
      </c>
      <c r="L3048" s="87"/>
      <c r="M3048" s="14"/>
      <c r="N3048" s="14" t="s">
        <v>275</v>
      </c>
      <c r="O3048" s="14"/>
      <c r="P3048" s="15" t="s">
        <v>3369</v>
      </c>
      <c r="Q3048" s="16">
        <v>5799</v>
      </c>
      <c r="R3048" s="17">
        <v>45</v>
      </c>
      <c r="S3048" s="18">
        <v>3667.8674999999994</v>
      </c>
      <c r="T3048" s="19" t="s">
        <v>117</v>
      </c>
      <c r="U3048" s="20" t="s">
        <v>35</v>
      </c>
      <c r="V3048" s="21">
        <v>116</v>
      </c>
      <c r="W3048" s="21">
        <v>2</v>
      </c>
      <c r="X3048" s="22"/>
    </row>
    <row r="3049" spans="1:24" s="1" customFormat="1" ht="12.95" customHeight="1" x14ac:dyDescent="0.3">
      <c r="A3049" s="23" t="s">
        <v>3129</v>
      </c>
      <c r="B3049" s="23" t="s">
        <v>3488</v>
      </c>
      <c r="C3049" s="12" t="s">
        <v>3491</v>
      </c>
      <c r="D3049" s="84"/>
      <c r="E3049" s="69" t="str">
        <f t="shared" si="125"/>
        <v>Еще фото</v>
      </c>
      <c r="F3049" s="13"/>
      <c r="G3049" s="23" t="s">
        <v>307</v>
      </c>
      <c r="H3049" s="23" t="s">
        <v>27</v>
      </c>
      <c r="I3049" s="23" t="s">
        <v>308</v>
      </c>
      <c r="J3049" s="14" t="s">
        <v>29</v>
      </c>
      <c r="K3049" s="15" t="s">
        <v>30</v>
      </c>
      <c r="L3049" s="87"/>
      <c r="M3049" s="14"/>
      <c r="N3049" s="14" t="s">
        <v>275</v>
      </c>
      <c r="O3049" s="14"/>
      <c r="P3049" s="15" t="s">
        <v>3369</v>
      </c>
      <c r="Q3049" s="16">
        <v>5799</v>
      </c>
      <c r="R3049" s="17">
        <v>45</v>
      </c>
      <c r="S3049" s="18">
        <v>3667.8674999999994</v>
      </c>
      <c r="T3049" s="19" t="s">
        <v>117</v>
      </c>
      <c r="U3049" s="20" t="s">
        <v>36</v>
      </c>
      <c r="V3049" s="21">
        <v>122</v>
      </c>
      <c r="W3049" s="21">
        <v>2</v>
      </c>
      <c r="X3049" s="22"/>
    </row>
    <row r="3050" spans="1:24" s="1" customFormat="1" ht="12.95" customHeight="1" x14ac:dyDescent="0.3">
      <c r="A3050" s="23" t="s">
        <v>3129</v>
      </c>
      <c r="B3050" s="23" t="s">
        <v>3488</v>
      </c>
      <c r="C3050" s="12" t="s">
        <v>3491</v>
      </c>
      <c r="D3050" s="84"/>
      <c r="E3050" s="69" t="str">
        <f t="shared" si="125"/>
        <v>Еще фото</v>
      </c>
      <c r="F3050" s="13"/>
      <c r="G3050" s="23" t="s">
        <v>307</v>
      </c>
      <c r="H3050" s="23" t="s">
        <v>27</v>
      </c>
      <c r="I3050" s="23" t="s">
        <v>308</v>
      </c>
      <c r="J3050" s="14" t="s">
        <v>29</v>
      </c>
      <c r="K3050" s="15" t="s">
        <v>30</v>
      </c>
      <c r="L3050" s="87"/>
      <c r="M3050" s="14"/>
      <c r="N3050" s="14" t="s">
        <v>275</v>
      </c>
      <c r="O3050" s="14"/>
      <c r="P3050" s="15" t="s">
        <v>3369</v>
      </c>
      <c r="Q3050" s="16">
        <v>5799</v>
      </c>
      <c r="R3050" s="17">
        <v>45</v>
      </c>
      <c r="S3050" s="18">
        <v>3667.8674999999994</v>
      </c>
      <c r="T3050" s="19" t="s">
        <v>117</v>
      </c>
      <c r="U3050" s="20" t="s">
        <v>37</v>
      </c>
      <c r="V3050" s="21">
        <v>128</v>
      </c>
      <c r="W3050" s="21">
        <v>2</v>
      </c>
      <c r="X3050" s="22"/>
    </row>
    <row r="3051" spans="1:24" s="1" customFormat="1" ht="12.95" customHeight="1" x14ac:dyDescent="0.3">
      <c r="A3051" s="23" t="s">
        <v>3129</v>
      </c>
      <c r="B3051" s="23" t="s">
        <v>3488</v>
      </c>
      <c r="C3051" s="12" t="s">
        <v>3491</v>
      </c>
      <c r="D3051" s="84"/>
      <c r="E3051" s="69" t="str">
        <f t="shared" si="125"/>
        <v>Еще фото</v>
      </c>
      <c r="F3051" s="13"/>
      <c r="G3051" s="23" t="s">
        <v>307</v>
      </c>
      <c r="H3051" s="23" t="s">
        <v>27</v>
      </c>
      <c r="I3051" s="23" t="s">
        <v>308</v>
      </c>
      <c r="J3051" s="14" t="s">
        <v>29</v>
      </c>
      <c r="K3051" s="15" t="s">
        <v>30</v>
      </c>
      <c r="L3051" s="87"/>
      <c r="M3051" s="14"/>
      <c r="N3051" s="14" t="s">
        <v>275</v>
      </c>
      <c r="O3051" s="14"/>
      <c r="P3051" s="15" t="s">
        <v>3369</v>
      </c>
      <c r="Q3051" s="16">
        <v>5799</v>
      </c>
      <c r="R3051" s="17">
        <v>45</v>
      </c>
      <c r="S3051" s="18">
        <v>3667.8674999999994</v>
      </c>
      <c r="T3051" s="19" t="s">
        <v>117</v>
      </c>
      <c r="U3051" s="20" t="s">
        <v>91</v>
      </c>
      <c r="V3051" s="21">
        <v>134</v>
      </c>
      <c r="W3051" s="21">
        <v>3</v>
      </c>
      <c r="X3051" s="22"/>
    </row>
    <row r="3052" spans="1:24" s="1" customFormat="1" ht="12.95" customHeight="1" x14ac:dyDescent="0.3">
      <c r="A3052" s="23" t="s">
        <v>3129</v>
      </c>
      <c r="B3052" s="23" t="s">
        <v>3488</v>
      </c>
      <c r="C3052" s="12" t="s">
        <v>3491</v>
      </c>
      <c r="D3052" s="84"/>
      <c r="E3052" s="69" t="str">
        <f t="shared" si="125"/>
        <v>Еще фото</v>
      </c>
      <c r="F3052" s="13"/>
      <c r="G3052" s="23" t="s">
        <v>307</v>
      </c>
      <c r="H3052" s="23" t="s">
        <v>27</v>
      </c>
      <c r="I3052" s="23" t="s">
        <v>308</v>
      </c>
      <c r="J3052" s="14" t="s">
        <v>29</v>
      </c>
      <c r="K3052" s="15" t="s">
        <v>30</v>
      </c>
      <c r="L3052" s="87"/>
      <c r="M3052" s="14"/>
      <c r="N3052" s="14" t="s">
        <v>275</v>
      </c>
      <c r="O3052" s="14"/>
      <c r="P3052" s="15" t="s">
        <v>3369</v>
      </c>
      <c r="Q3052" s="16">
        <v>5799</v>
      </c>
      <c r="R3052" s="17">
        <v>45</v>
      </c>
      <c r="S3052" s="18">
        <v>3667.8674999999994</v>
      </c>
      <c r="T3052" s="19" t="s">
        <v>117</v>
      </c>
      <c r="U3052" s="20" t="s">
        <v>290</v>
      </c>
      <c r="V3052" s="21">
        <v>140</v>
      </c>
      <c r="W3052" s="21">
        <v>1</v>
      </c>
      <c r="X3052" s="22"/>
    </row>
    <row r="3053" spans="1:24" s="1" customFormat="1" ht="18" customHeight="1" x14ac:dyDescent="0.3">
      <c r="A3053" s="23" t="s">
        <v>3129</v>
      </c>
      <c r="B3053" s="23" t="s">
        <v>3488</v>
      </c>
      <c r="C3053" s="12" t="s">
        <v>3491</v>
      </c>
      <c r="D3053" s="85"/>
      <c r="E3053" s="69" t="str">
        <f t="shared" si="125"/>
        <v>Еще фото</v>
      </c>
      <c r="F3053" s="13"/>
      <c r="G3053" s="23" t="s">
        <v>307</v>
      </c>
      <c r="H3053" s="23" t="s">
        <v>27</v>
      </c>
      <c r="I3053" s="23" t="s">
        <v>308</v>
      </c>
      <c r="J3053" s="14" t="s">
        <v>29</v>
      </c>
      <c r="K3053" s="15" t="s">
        <v>30</v>
      </c>
      <c r="L3053" s="88"/>
      <c r="M3053" s="14"/>
      <c r="N3053" s="14" t="s">
        <v>275</v>
      </c>
      <c r="O3053" s="14"/>
      <c r="P3053" s="15" t="s">
        <v>3369</v>
      </c>
      <c r="Q3053" s="16">
        <v>5799</v>
      </c>
      <c r="R3053" s="17">
        <v>45</v>
      </c>
      <c r="S3053" s="18">
        <v>3667.8674999999994</v>
      </c>
      <c r="T3053" s="19" t="s">
        <v>117</v>
      </c>
      <c r="U3053" s="20" t="s">
        <v>2160</v>
      </c>
      <c r="V3053" s="21">
        <v>152</v>
      </c>
      <c r="W3053" s="21">
        <v>1</v>
      </c>
      <c r="X3053" s="22"/>
    </row>
    <row r="3054" spans="1:24" s="1" customFormat="1" ht="26.1" customHeight="1" x14ac:dyDescent="0.3">
      <c r="A3054" s="11" t="s">
        <v>3129</v>
      </c>
      <c r="B3054" s="11" t="s">
        <v>3488</v>
      </c>
      <c r="C3054" s="12" t="s">
        <v>3492</v>
      </c>
      <c r="D3054" s="83"/>
      <c r="E3054" s="69" t="str">
        <f>HYPERLINK("https://www.google.ru/search?q=741386-2909&amp;newwindow=1&amp;tbm=isch","Еще фото")</f>
        <v>Еще фото</v>
      </c>
      <c r="F3054" s="13"/>
      <c r="G3054" s="11" t="s">
        <v>307</v>
      </c>
      <c r="H3054" s="11" t="s">
        <v>27</v>
      </c>
      <c r="I3054" s="14" t="s">
        <v>308</v>
      </c>
      <c r="J3054" s="14" t="s">
        <v>29</v>
      </c>
      <c r="K3054" s="15" t="s">
        <v>30</v>
      </c>
      <c r="L3054" s="86" t="s">
        <v>3493</v>
      </c>
      <c r="M3054" s="14"/>
      <c r="N3054" s="14" t="s">
        <v>154</v>
      </c>
      <c r="O3054" s="14"/>
      <c r="P3054" s="15" t="s">
        <v>3369</v>
      </c>
      <c r="Q3054" s="16">
        <v>5799</v>
      </c>
      <c r="R3054" s="17">
        <v>45</v>
      </c>
      <c r="S3054" s="18">
        <v>3667.8674999999994</v>
      </c>
      <c r="T3054" s="19" t="s">
        <v>117</v>
      </c>
      <c r="U3054" s="20" t="s">
        <v>2961</v>
      </c>
      <c r="V3054" s="21">
        <v>98</v>
      </c>
      <c r="W3054" s="21">
        <v>2</v>
      </c>
      <c r="X3054" s="22"/>
    </row>
    <row r="3055" spans="1:24" s="1" customFormat="1" ht="26.1" customHeight="1" x14ac:dyDescent="0.3">
      <c r="A3055" s="23" t="s">
        <v>3129</v>
      </c>
      <c r="B3055" s="23" t="s">
        <v>3488</v>
      </c>
      <c r="C3055" s="12" t="s">
        <v>3492</v>
      </c>
      <c r="D3055" s="84"/>
      <c r="E3055" s="69" t="str">
        <f>HYPERLINK("https://www.google.ru/search?q=741386-2909&amp;newwindow=1&amp;tbm=isch","Еще фото")</f>
        <v>Еще фото</v>
      </c>
      <c r="F3055" s="13"/>
      <c r="G3055" s="23" t="s">
        <v>307</v>
      </c>
      <c r="H3055" s="23" t="s">
        <v>27</v>
      </c>
      <c r="I3055" s="23" t="s">
        <v>308</v>
      </c>
      <c r="J3055" s="14" t="s">
        <v>29</v>
      </c>
      <c r="K3055" s="15" t="s">
        <v>30</v>
      </c>
      <c r="L3055" s="87"/>
      <c r="M3055" s="14"/>
      <c r="N3055" s="14" t="s">
        <v>154</v>
      </c>
      <c r="O3055" s="14"/>
      <c r="P3055" s="15" t="s">
        <v>3369</v>
      </c>
      <c r="Q3055" s="16">
        <v>5799</v>
      </c>
      <c r="R3055" s="17">
        <v>45</v>
      </c>
      <c r="S3055" s="18">
        <v>3667.8674999999994</v>
      </c>
      <c r="T3055" s="19" t="s">
        <v>117</v>
      </c>
      <c r="U3055" s="20" t="s">
        <v>94</v>
      </c>
      <c r="V3055" s="21">
        <v>104</v>
      </c>
      <c r="W3055" s="21">
        <v>2</v>
      </c>
      <c r="X3055" s="22"/>
    </row>
    <row r="3056" spans="1:24" s="1" customFormat="1" ht="26.1" customHeight="1" x14ac:dyDescent="0.3">
      <c r="A3056" s="23" t="s">
        <v>3129</v>
      </c>
      <c r="B3056" s="23" t="s">
        <v>3488</v>
      </c>
      <c r="C3056" s="12" t="s">
        <v>3492</v>
      </c>
      <c r="D3056" s="84"/>
      <c r="E3056" s="69" t="str">
        <f>HYPERLINK("https://www.google.ru/search?q=741386-2909&amp;newwindow=1&amp;tbm=isch","Еще фото")</f>
        <v>Еще фото</v>
      </c>
      <c r="F3056" s="13"/>
      <c r="G3056" s="23" t="s">
        <v>307</v>
      </c>
      <c r="H3056" s="23" t="s">
        <v>27</v>
      </c>
      <c r="I3056" s="23" t="s">
        <v>308</v>
      </c>
      <c r="J3056" s="14" t="s">
        <v>29</v>
      </c>
      <c r="K3056" s="15" t="s">
        <v>30</v>
      </c>
      <c r="L3056" s="87"/>
      <c r="M3056" s="14"/>
      <c r="N3056" s="14" t="s">
        <v>154</v>
      </c>
      <c r="O3056" s="14"/>
      <c r="P3056" s="15" t="s">
        <v>3369</v>
      </c>
      <c r="Q3056" s="16">
        <v>5799</v>
      </c>
      <c r="R3056" s="17">
        <v>45</v>
      </c>
      <c r="S3056" s="18">
        <v>3667.8674999999994</v>
      </c>
      <c r="T3056" s="19" t="s">
        <v>117</v>
      </c>
      <c r="U3056" s="20" t="s">
        <v>43</v>
      </c>
      <c r="V3056" s="21">
        <v>110</v>
      </c>
      <c r="W3056" s="21">
        <v>2</v>
      </c>
      <c r="X3056" s="22"/>
    </row>
    <row r="3057" spans="1:24" s="1" customFormat="1" ht="26.1" customHeight="1" x14ac:dyDescent="0.3">
      <c r="A3057" s="23" t="s">
        <v>3129</v>
      </c>
      <c r="B3057" s="23" t="s">
        <v>3488</v>
      </c>
      <c r="C3057" s="12" t="s">
        <v>3492</v>
      </c>
      <c r="D3057" s="85"/>
      <c r="E3057" s="69" t="str">
        <f>HYPERLINK("https://www.google.ru/search?q=741386-2909&amp;newwindow=1&amp;tbm=isch","Еще фото")</f>
        <v>Еще фото</v>
      </c>
      <c r="F3057" s="13"/>
      <c r="G3057" s="23" t="s">
        <v>307</v>
      </c>
      <c r="H3057" s="23" t="s">
        <v>27</v>
      </c>
      <c r="I3057" s="23" t="s">
        <v>308</v>
      </c>
      <c r="J3057" s="14" t="s">
        <v>29</v>
      </c>
      <c r="K3057" s="15" t="s">
        <v>30</v>
      </c>
      <c r="L3057" s="88"/>
      <c r="M3057" s="14"/>
      <c r="N3057" s="14" t="s">
        <v>154</v>
      </c>
      <c r="O3057" s="14"/>
      <c r="P3057" s="15" t="s">
        <v>3369</v>
      </c>
      <c r="Q3057" s="16">
        <v>5799</v>
      </c>
      <c r="R3057" s="17">
        <v>45</v>
      </c>
      <c r="S3057" s="18">
        <v>3667.8674999999994</v>
      </c>
      <c r="T3057" s="19" t="s">
        <v>117</v>
      </c>
      <c r="U3057" s="20" t="s">
        <v>91</v>
      </c>
      <c r="V3057" s="21">
        <v>134</v>
      </c>
      <c r="W3057" s="21">
        <v>2</v>
      </c>
      <c r="X3057" s="22"/>
    </row>
    <row r="3058" spans="1:24" s="1" customFormat="1" ht="14.1" customHeight="1" x14ac:dyDescent="0.3">
      <c r="A3058" s="11" t="s">
        <v>3129</v>
      </c>
      <c r="B3058" s="11" t="s">
        <v>3494</v>
      </c>
      <c r="C3058" s="12" t="s">
        <v>3495</v>
      </c>
      <c r="D3058" s="83"/>
      <c r="E3058" s="69" t="str">
        <f t="shared" ref="E3058:E3064" si="126">HYPERLINK("https://www.google.ru/search?q=741395-7150&amp;newwindow=1&amp;tbm=isch","Еще фото")</f>
        <v>Еще фото</v>
      </c>
      <c r="F3058" s="13"/>
      <c r="G3058" s="11" t="s">
        <v>307</v>
      </c>
      <c r="H3058" s="11" t="s">
        <v>27</v>
      </c>
      <c r="I3058" s="14" t="s">
        <v>308</v>
      </c>
      <c r="J3058" s="14" t="s">
        <v>29</v>
      </c>
      <c r="K3058" s="15" t="s">
        <v>30</v>
      </c>
      <c r="L3058" s="86" t="s">
        <v>3496</v>
      </c>
      <c r="M3058" s="14"/>
      <c r="N3058" s="14" t="s">
        <v>70</v>
      </c>
      <c r="O3058" s="14"/>
      <c r="P3058" s="15" t="s">
        <v>3369</v>
      </c>
      <c r="Q3058" s="16">
        <v>4699</v>
      </c>
      <c r="R3058" s="17">
        <v>45</v>
      </c>
      <c r="S3058" s="18">
        <v>2972.1174999999994</v>
      </c>
      <c r="T3058" s="19" t="s">
        <v>117</v>
      </c>
      <c r="U3058" s="20" t="s">
        <v>2961</v>
      </c>
      <c r="V3058" s="21">
        <v>98</v>
      </c>
      <c r="W3058" s="21">
        <v>2</v>
      </c>
      <c r="X3058" s="22"/>
    </row>
    <row r="3059" spans="1:24" s="1" customFormat="1" ht="14.1" customHeight="1" x14ac:dyDescent="0.3">
      <c r="A3059" s="23" t="s">
        <v>3129</v>
      </c>
      <c r="B3059" s="23" t="s">
        <v>3494</v>
      </c>
      <c r="C3059" s="12" t="s">
        <v>3495</v>
      </c>
      <c r="D3059" s="84"/>
      <c r="E3059" s="69" t="str">
        <f t="shared" si="126"/>
        <v>Еще фото</v>
      </c>
      <c r="F3059" s="13"/>
      <c r="G3059" s="23" t="s">
        <v>307</v>
      </c>
      <c r="H3059" s="23" t="s">
        <v>27</v>
      </c>
      <c r="I3059" s="23" t="s">
        <v>308</v>
      </c>
      <c r="J3059" s="14" t="s">
        <v>29</v>
      </c>
      <c r="K3059" s="15" t="s">
        <v>30</v>
      </c>
      <c r="L3059" s="87"/>
      <c r="M3059" s="14"/>
      <c r="N3059" s="14" t="s">
        <v>70</v>
      </c>
      <c r="O3059" s="14"/>
      <c r="P3059" s="15" t="s">
        <v>3369</v>
      </c>
      <c r="Q3059" s="16">
        <v>4699</v>
      </c>
      <c r="R3059" s="17">
        <v>45</v>
      </c>
      <c r="S3059" s="18">
        <v>2972.1174999999994</v>
      </c>
      <c r="T3059" s="19" t="s">
        <v>117</v>
      </c>
      <c r="U3059" s="20" t="s">
        <v>94</v>
      </c>
      <c r="V3059" s="21">
        <v>104</v>
      </c>
      <c r="W3059" s="21">
        <v>2</v>
      </c>
      <c r="X3059" s="22"/>
    </row>
    <row r="3060" spans="1:24" s="1" customFormat="1" ht="14.1" customHeight="1" x14ac:dyDescent="0.3">
      <c r="A3060" s="23" t="s">
        <v>3129</v>
      </c>
      <c r="B3060" s="23" t="s">
        <v>3494</v>
      </c>
      <c r="C3060" s="12" t="s">
        <v>3495</v>
      </c>
      <c r="D3060" s="84"/>
      <c r="E3060" s="69" t="str">
        <f t="shared" si="126"/>
        <v>Еще фото</v>
      </c>
      <c r="F3060" s="13"/>
      <c r="G3060" s="23" t="s">
        <v>307</v>
      </c>
      <c r="H3060" s="23" t="s">
        <v>27</v>
      </c>
      <c r="I3060" s="23" t="s">
        <v>308</v>
      </c>
      <c r="J3060" s="14" t="s">
        <v>29</v>
      </c>
      <c r="K3060" s="15" t="s">
        <v>30</v>
      </c>
      <c r="L3060" s="87"/>
      <c r="M3060" s="14"/>
      <c r="N3060" s="14" t="s">
        <v>70</v>
      </c>
      <c r="O3060" s="14"/>
      <c r="P3060" s="15" t="s">
        <v>3369</v>
      </c>
      <c r="Q3060" s="16">
        <v>4699</v>
      </c>
      <c r="R3060" s="17">
        <v>45</v>
      </c>
      <c r="S3060" s="18">
        <v>2972.1174999999994</v>
      </c>
      <c r="T3060" s="19" t="s">
        <v>117</v>
      </c>
      <c r="U3060" s="20" t="s">
        <v>43</v>
      </c>
      <c r="V3060" s="21">
        <v>110</v>
      </c>
      <c r="W3060" s="21">
        <v>2</v>
      </c>
      <c r="X3060" s="22"/>
    </row>
    <row r="3061" spans="1:24" s="1" customFormat="1" ht="14.1" customHeight="1" x14ac:dyDescent="0.3">
      <c r="A3061" s="23" t="s">
        <v>3129</v>
      </c>
      <c r="B3061" s="23" t="s">
        <v>3494</v>
      </c>
      <c r="C3061" s="12" t="s">
        <v>3495</v>
      </c>
      <c r="D3061" s="84"/>
      <c r="E3061" s="69" t="str">
        <f t="shared" si="126"/>
        <v>Еще фото</v>
      </c>
      <c r="F3061" s="13"/>
      <c r="G3061" s="23" t="s">
        <v>307</v>
      </c>
      <c r="H3061" s="23" t="s">
        <v>27</v>
      </c>
      <c r="I3061" s="23" t="s">
        <v>308</v>
      </c>
      <c r="J3061" s="14" t="s">
        <v>29</v>
      </c>
      <c r="K3061" s="15" t="s">
        <v>30</v>
      </c>
      <c r="L3061" s="87"/>
      <c r="M3061" s="14"/>
      <c r="N3061" s="14" t="s">
        <v>70</v>
      </c>
      <c r="O3061" s="14"/>
      <c r="P3061" s="15" t="s">
        <v>3369</v>
      </c>
      <c r="Q3061" s="16">
        <v>4699</v>
      </c>
      <c r="R3061" s="17">
        <v>45</v>
      </c>
      <c r="S3061" s="18">
        <v>2972.1174999999994</v>
      </c>
      <c r="T3061" s="19" t="s">
        <v>117</v>
      </c>
      <c r="U3061" s="20" t="s">
        <v>35</v>
      </c>
      <c r="V3061" s="21">
        <v>116</v>
      </c>
      <c r="W3061" s="21">
        <v>2</v>
      </c>
      <c r="X3061" s="22"/>
    </row>
    <row r="3062" spans="1:24" s="1" customFormat="1" ht="14.1" customHeight="1" x14ac:dyDescent="0.3">
      <c r="A3062" s="23" t="s">
        <v>3129</v>
      </c>
      <c r="B3062" s="23" t="s">
        <v>3494</v>
      </c>
      <c r="C3062" s="12" t="s">
        <v>3495</v>
      </c>
      <c r="D3062" s="84"/>
      <c r="E3062" s="69" t="str">
        <f t="shared" si="126"/>
        <v>Еще фото</v>
      </c>
      <c r="F3062" s="13"/>
      <c r="G3062" s="23" t="s">
        <v>307</v>
      </c>
      <c r="H3062" s="23" t="s">
        <v>27</v>
      </c>
      <c r="I3062" s="23" t="s">
        <v>308</v>
      </c>
      <c r="J3062" s="14" t="s">
        <v>29</v>
      </c>
      <c r="K3062" s="15" t="s">
        <v>30</v>
      </c>
      <c r="L3062" s="87"/>
      <c r="M3062" s="14"/>
      <c r="N3062" s="14" t="s">
        <v>70</v>
      </c>
      <c r="O3062" s="14"/>
      <c r="P3062" s="15" t="s">
        <v>3369</v>
      </c>
      <c r="Q3062" s="16">
        <v>4699</v>
      </c>
      <c r="R3062" s="17">
        <v>45</v>
      </c>
      <c r="S3062" s="18">
        <v>2972.1174999999994</v>
      </c>
      <c r="T3062" s="19" t="s">
        <v>117</v>
      </c>
      <c r="U3062" s="20" t="s">
        <v>36</v>
      </c>
      <c r="V3062" s="21">
        <v>122</v>
      </c>
      <c r="W3062" s="21">
        <v>3</v>
      </c>
      <c r="X3062" s="22"/>
    </row>
    <row r="3063" spans="1:24" s="1" customFormat="1" ht="14.1" customHeight="1" x14ac:dyDescent="0.3">
      <c r="A3063" s="23" t="s">
        <v>3129</v>
      </c>
      <c r="B3063" s="23" t="s">
        <v>3494</v>
      </c>
      <c r="C3063" s="12" t="s">
        <v>3495</v>
      </c>
      <c r="D3063" s="84"/>
      <c r="E3063" s="69" t="str">
        <f t="shared" si="126"/>
        <v>Еще фото</v>
      </c>
      <c r="F3063" s="13"/>
      <c r="G3063" s="23" t="s">
        <v>307</v>
      </c>
      <c r="H3063" s="23" t="s">
        <v>27</v>
      </c>
      <c r="I3063" s="23" t="s">
        <v>308</v>
      </c>
      <c r="J3063" s="14" t="s">
        <v>29</v>
      </c>
      <c r="K3063" s="15" t="s">
        <v>30</v>
      </c>
      <c r="L3063" s="87"/>
      <c r="M3063" s="14"/>
      <c r="N3063" s="14" t="s">
        <v>70</v>
      </c>
      <c r="O3063" s="14"/>
      <c r="P3063" s="15" t="s">
        <v>3369</v>
      </c>
      <c r="Q3063" s="16">
        <v>4699</v>
      </c>
      <c r="R3063" s="17">
        <v>45</v>
      </c>
      <c r="S3063" s="18">
        <v>2972.1174999999994</v>
      </c>
      <c r="T3063" s="19" t="s">
        <v>117</v>
      </c>
      <c r="U3063" s="20" t="s">
        <v>37</v>
      </c>
      <c r="V3063" s="21">
        <v>128</v>
      </c>
      <c r="W3063" s="21">
        <v>4</v>
      </c>
      <c r="X3063" s="22"/>
    </row>
    <row r="3064" spans="1:24" s="1" customFormat="1" ht="17.100000000000001" customHeight="1" x14ac:dyDescent="0.3">
      <c r="A3064" s="23" t="s">
        <v>3129</v>
      </c>
      <c r="B3064" s="23" t="s">
        <v>3494</v>
      </c>
      <c r="C3064" s="12" t="s">
        <v>3495</v>
      </c>
      <c r="D3064" s="85"/>
      <c r="E3064" s="69" t="str">
        <f t="shared" si="126"/>
        <v>Еще фото</v>
      </c>
      <c r="F3064" s="13"/>
      <c r="G3064" s="23" t="s">
        <v>307</v>
      </c>
      <c r="H3064" s="23" t="s">
        <v>27</v>
      </c>
      <c r="I3064" s="23" t="s">
        <v>308</v>
      </c>
      <c r="J3064" s="14" t="s">
        <v>29</v>
      </c>
      <c r="K3064" s="15" t="s">
        <v>30</v>
      </c>
      <c r="L3064" s="88"/>
      <c r="M3064" s="14"/>
      <c r="N3064" s="14" t="s">
        <v>70</v>
      </c>
      <c r="O3064" s="14"/>
      <c r="P3064" s="15" t="s">
        <v>3369</v>
      </c>
      <c r="Q3064" s="16">
        <v>4699</v>
      </c>
      <c r="R3064" s="17">
        <v>45</v>
      </c>
      <c r="S3064" s="18">
        <v>2972.1174999999994</v>
      </c>
      <c r="T3064" s="19" t="s">
        <v>117</v>
      </c>
      <c r="U3064" s="20" t="s">
        <v>91</v>
      </c>
      <c r="V3064" s="21">
        <v>134</v>
      </c>
      <c r="W3064" s="21">
        <v>1</v>
      </c>
      <c r="X3064" s="22"/>
    </row>
    <row r="3065" spans="1:24" s="1" customFormat="1" ht="21" customHeight="1" x14ac:dyDescent="0.3">
      <c r="A3065" s="11" t="s">
        <v>3129</v>
      </c>
      <c r="B3065" s="11" t="s">
        <v>3497</v>
      </c>
      <c r="C3065" s="27" t="s">
        <v>3498</v>
      </c>
      <c r="D3065" s="83"/>
      <c r="E3065" s="69" t="str">
        <f>HYPERLINK("https://www.google.ru/search?q=741396-5005&amp;newwindow=1&amp;tbm=isch","Еще фото")</f>
        <v>Еще фото</v>
      </c>
      <c r="F3065" s="13"/>
      <c r="G3065" s="11" t="s">
        <v>307</v>
      </c>
      <c r="H3065" s="11" t="s">
        <v>27</v>
      </c>
      <c r="I3065" s="14" t="s">
        <v>308</v>
      </c>
      <c r="J3065" s="14" t="s">
        <v>29</v>
      </c>
      <c r="K3065" s="15" t="s">
        <v>30</v>
      </c>
      <c r="L3065" s="86" t="s">
        <v>3499</v>
      </c>
      <c r="M3065" s="14"/>
      <c r="N3065" s="14" t="s">
        <v>275</v>
      </c>
      <c r="O3065" s="14"/>
      <c r="P3065" s="15" t="s">
        <v>3369</v>
      </c>
      <c r="Q3065" s="16">
        <v>3699</v>
      </c>
      <c r="R3065" s="17">
        <v>45</v>
      </c>
      <c r="S3065" s="18">
        <v>2339.6174999999998</v>
      </c>
      <c r="T3065" s="19" t="s">
        <v>117</v>
      </c>
      <c r="U3065" s="20" t="s">
        <v>35</v>
      </c>
      <c r="V3065" s="21">
        <v>116</v>
      </c>
      <c r="W3065" s="21">
        <v>1</v>
      </c>
      <c r="X3065" s="22"/>
    </row>
    <row r="3066" spans="1:24" s="1" customFormat="1" ht="21" customHeight="1" x14ac:dyDescent="0.3">
      <c r="A3066" s="23" t="s">
        <v>3129</v>
      </c>
      <c r="B3066" s="23" t="s">
        <v>3497</v>
      </c>
      <c r="C3066" s="28" t="s">
        <v>3498</v>
      </c>
      <c r="D3066" s="84"/>
      <c r="E3066" s="69" t="str">
        <f>HYPERLINK("https://www.google.ru/search?q=741396-5005&amp;newwindow=1&amp;tbm=isch","Еще фото")</f>
        <v>Еще фото</v>
      </c>
      <c r="F3066" s="13"/>
      <c r="G3066" s="23" t="s">
        <v>307</v>
      </c>
      <c r="H3066" s="23" t="s">
        <v>27</v>
      </c>
      <c r="I3066" s="23" t="s">
        <v>308</v>
      </c>
      <c r="J3066" s="14" t="s">
        <v>29</v>
      </c>
      <c r="K3066" s="15" t="s">
        <v>30</v>
      </c>
      <c r="L3066" s="87"/>
      <c r="M3066" s="14"/>
      <c r="N3066" s="14" t="s">
        <v>275</v>
      </c>
      <c r="O3066" s="14"/>
      <c r="P3066" s="15" t="s">
        <v>3369</v>
      </c>
      <c r="Q3066" s="16">
        <v>3699</v>
      </c>
      <c r="R3066" s="17">
        <v>45</v>
      </c>
      <c r="S3066" s="18">
        <v>2339.6174999999998</v>
      </c>
      <c r="T3066" s="19" t="s">
        <v>117</v>
      </c>
      <c r="U3066" s="20" t="s">
        <v>36</v>
      </c>
      <c r="V3066" s="21">
        <v>122</v>
      </c>
      <c r="W3066" s="21">
        <v>3</v>
      </c>
      <c r="X3066" s="22"/>
    </row>
    <row r="3067" spans="1:24" s="1" customFormat="1" ht="21" customHeight="1" x14ac:dyDescent="0.3">
      <c r="A3067" s="23" t="s">
        <v>3129</v>
      </c>
      <c r="B3067" s="23" t="s">
        <v>3497</v>
      </c>
      <c r="C3067" s="28" t="s">
        <v>3498</v>
      </c>
      <c r="D3067" s="84"/>
      <c r="E3067" s="69" t="str">
        <f>HYPERLINK("https://www.google.ru/search?q=741396-5005&amp;newwindow=1&amp;tbm=isch","Еще фото")</f>
        <v>Еще фото</v>
      </c>
      <c r="F3067" s="13"/>
      <c r="G3067" s="23" t="s">
        <v>307</v>
      </c>
      <c r="H3067" s="23" t="s">
        <v>27</v>
      </c>
      <c r="I3067" s="23" t="s">
        <v>308</v>
      </c>
      <c r="J3067" s="14" t="s">
        <v>29</v>
      </c>
      <c r="K3067" s="15" t="s">
        <v>30</v>
      </c>
      <c r="L3067" s="87"/>
      <c r="M3067" s="14"/>
      <c r="N3067" s="14" t="s">
        <v>275</v>
      </c>
      <c r="O3067" s="14"/>
      <c r="P3067" s="15" t="s">
        <v>3369</v>
      </c>
      <c r="Q3067" s="16">
        <v>3699</v>
      </c>
      <c r="R3067" s="17">
        <v>45</v>
      </c>
      <c r="S3067" s="18">
        <v>2339.6174999999998</v>
      </c>
      <c r="T3067" s="19" t="s">
        <v>117</v>
      </c>
      <c r="U3067" s="20" t="s">
        <v>37</v>
      </c>
      <c r="V3067" s="21">
        <v>128</v>
      </c>
      <c r="W3067" s="21">
        <v>3</v>
      </c>
      <c r="X3067" s="22"/>
    </row>
    <row r="3068" spans="1:24" s="1" customFormat="1" ht="21" customHeight="1" x14ac:dyDescent="0.3">
      <c r="A3068" s="23" t="s">
        <v>3129</v>
      </c>
      <c r="B3068" s="23" t="s">
        <v>3497</v>
      </c>
      <c r="C3068" s="28" t="s">
        <v>3498</v>
      </c>
      <c r="D3068" s="84"/>
      <c r="E3068" s="69" t="str">
        <f>HYPERLINK("https://www.google.ru/search?q=741396-5005&amp;newwindow=1&amp;tbm=isch","Еще фото")</f>
        <v>Еще фото</v>
      </c>
      <c r="F3068" s="13"/>
      <c r="G3068" s="23" t="s">
        <v>307</v>
      </c>
      <c r="H3068" s="23" t="s">
        <v>27</v>
      </c>
      <c r="I3068" s="23" t="s">
        <v>308</v>
      </c>
      <c r="J3068" s="14" t="s">
        <v>29</v>
      </c>
      <c r="K3068" s="15" t="s">
        <v>30</v>
      </c>
      <c r="L3068" s="87"/>
      <c r="M3068" s="14"/>
      <c r="N3068" s="14" t="s">
        <v>275</v>
      </c>
      <c r="O3068" s="14"/>
      <c r="P3068" s="15" t="s">
        <v>3369</v>
      </c>
      <c r="Q3068" s="16">
        <v>3699</v>
      </c>
      <c r="R3068" s="17">
        <v>45</v>
      </c>
      <c r="S3068" s="18">
        <v>2339.6174999999998</v>
      </c>
      <c r="T3068" s="19" t="s">
        <v>117</v>
      </c>
      <c r="U3068" s="20" t="s">
        <v>91</v>
      </c>
      <c r="V3068" s="21">
        <v>134</v>
      </c>
      <c r="W3068" s="21">
        <v>3</v>
      </c>
      <c r="X3068" s="22"/>
    </row>
    <row r="3069" spans="1:24" s="1" customFormat="1" ht="32.1" customHeight="1" x14ac:dyDescent="0.3">
      <c r="A3069" s="23" t="s">
        <v>3129</v>
      </c>
      <c r="B3069" s="23" t="s">
        <v>3497</v>
      </c>
      <c r="C3069" s="28" t="s">
        <v>3498</v>
      </c>
      <c r="D3069" s="85"/>
      <c r="E3069" s="69" t="str">
        <f>HYPERLINK("https://www.google.ru/search?q=741396-5005&amp;newwindow=1&amp;tbm=isch","Еще фото")</f>
        <v>Еще фото</v>
      </c>
      <c r="F3069" s="13"/>
      <c r="G3069" s="23" t="s">
        <v>307</v>
      </c>
      <c r="H3069" s="23" t="s">
        <v>27</v>
      </c>
      <c r="I3069" s="23" t="s">
        <v>308</v>
      </c>
      <c r="J3069" s="14" t="s">
        <v>29</v>
      </c>
      <c r="K3069" s="15" t="s">
        <v>30</v>
      </c>
      <c r="L3069" s="88"/>
      <c r="M3069" s="14"/>
      <c r="N3069" s="14" t="s">
        <v>275</v>
      </c>
      <c r="O3069" s="14"/>
      <c r="P3069" s="15" t="s">
        <v>3369</v>
      </c>
      <c r="Q3069" s="16">
        <v>3699</v>
      </c>
      <c r="R3069" s="17">
        <v>45</v>
      </c>
      <c r="S3069" s="18">
        <v>2339.6174999999998</v>
      </c>
      <c r="T3069" s="19" t="s">
        <v>117</v>
      </c>
      <c r="U3069" s="20" t="s">
        <v>2160</v>
      </c>
      <c r="V3069" s="21">
        <v>152</v>
      </c>
      <c r="W3069" s="21">
        <v>2</v>
      </c>
      <c r="X3069" s="22"/>
    </row>
    <row r="3070" spans="1:24" s="1" customFormat="1" ht="17.100000000000001" customHeight="1" x14ac:dyDescent="0.3">
      <c r="A3070" s="11" t="s">
        <v>3129</v>
      </c>
      <c r="B3070" s="11" t="s">
        <v>3497</v>
      </c>
      <c r="C3070" s="12" t="s">
        <v>3500</v>
      </c>
      <c r="D3070" s="83"/>
      <c r="E3070" s="69" t="str">
        <f t="shared" ref="E3070:E3075" si="127">HYPERLINK("https://www.google.ru/search?q=741396-7850&amp;newwindow=1&amp;tbm=isch","Еще фото")</f>
        <v>Еще фото</v>
      </c>
      <c r="F3070" s="13"/>
      <c r="G3070" s="11" t="s">
        <v>307</v>
      </c>
      <c r="H3070" s="11" t="s">
        <v>27</v>
      </c>
      <c r="I3070" s="14" t="s">
        <v>308</v>
      </c>
      <c r="J3070" s="14" t="s">
        <v>29</v>
      </c>
      <c r="K3070" s="15" t="s">
        <v>30</v>
      </c>
      <c r="L3070" s="86" t="s">
        <v>3499</v>
      </c>
      <c r="M3070" s="14"/>
      <c r="N3070" s="14" t="s">
        <v>70</v>
      </c>
      <c r="O3070" s="14"/>
      <c r="P3070" s="15" t="s">
        <v>3369</v>
      </c>
      <c r="Q3070" s="16">
        <v>3699</v>
      </c>
      <c r="R3070" s="17">
        <v>45</v>
      </c>
      <c r="S3070" s="18">
        <v>2339.6174999999998</v>
      </c>
      <c r="T3070" s="19" t="s">
        <v>117</v>
      </c>
      <c r="U3070" s="20" t="s">
        <v>2961</v>
      </c>
      <c r="V3070" s="21">
        <v>98</v>
      </c>
      <c r="W3070" s="21">
        <v>1</v>
      </c>
      <c r="X3070" s="22"/>
    </row>
    <row r="3071" spans="1:24" s="1" customFormat="1" ht="17.100000000000001" customHeight="1" x14ac:dyDescent="0.3">
      <c r="A3071" s="23" t="s">
        <v>3129</v>
      </c>
      <c r="B3071" s="23" t="s">
        <v>3497</v>
      </c>
      <c r="C3071" s="12" t="s">
        <v>3500</v>
      </c>
      <c r="D3071" s="84"/>
      <c r="E3071" s="69" t="str">
        <f t="shared" si="127"/>
        <v>Еще фото</v>
      </c>
      <c r="F3071" s="13"/>
      <c r="G3071" s="23" t="s">
        <v>307</v>
      </c>
      <c r="H3071" s="23" t="s">
        <v>27</v>
      </c>
      <c r="I3071" s="23" t="s">
        <v>308</v>
      </c>
      <c r="J3071" s="14" t="s">
        <v>29</v>
      </c>
      <c r="K3071" s="15" t="s">
        <v>30</v>
      </c>
      <c r="L3071" s="87"/>
      <c r="M3071" s="14"/>
      <c r="N3071" s="14" t="s">
        <v>70</v>
      </c>
      <c r="O3071" s="14"/>
      <c r="P3071" s="15" t="s">
        <v>3369</v>
      </c>
      <c r="Q3071" s="16">
        <v>3699</v>
      </c>
      <c r="R3071" s="17">
        <v>45</v>
      </c>
      <c r="S3071" s="18">
        <v>2339.6174999999998</v>
      </c>
      <c r="T3071" s="19" t="s">
        <v>117</v>
      </c>
      <c r="U3071" s="20" t="s">
        <v>94</v>
      </c>
      <c r="V3071" s="21">
        <v>104</v>
      </c>
      <c r="W3071" s="21">
        <v>2</v>
      </c>
      <c r="X3071" s="22"/>
    </row>
    <row r="3072" spans="1:24" s="1" customFormat="1" ht="17.100000000000001" customHeight="1" x14ac:dyDescent="0.3">
      <c r="A3072" s="23" t="s">
        <v>3129</v>
      </c>
      <c r="B3072" s="23" t="s">
        <v>3497</v>
      </c>
      <c r="C3072" s="12" t="s">
        <v>3500</v>
      </c>
      <c r="D3072" s="84"/>
      <c r="E3072" s="69" t="str">
        <f t="shared" si="127"/>
        <v>Еще фото</v>
      </c>
      <c r="F3072" s="13"/>
      <c r="G3072" s="23" t="s">
        <v>307</v>
      </c>
      <c r="H3072" s="23" t="s">
        <v>27</v>
      </c>
      <c r="I3072" s="23" t="s">
        <v>308</v>
      </c>
      <c r="J3072" s="14" t="s">
        <v>29</v>
      </c>
      <c r="K3072" s="15" t="s">
        <v>30</v>
      </c>
      <c r="L3072" s="87"/>
      <c r="M3072" s="14"/>
      <c r="N3072" s="14" t="s">
        <v>70</v>
      </c>
      <c r="O3072" s="14"/>
      <c r="P3072" s="15" t="s">
        <v>3369</v>
      </c>
      <c r="Q3072" s="16">
        <v>3699</v>
      </c>
      <c r="R3072" s="17">
        <v>45</v>
      </c>
      <c r="S3072" s="18">
        <v>2339.6174999999998</v>
      </c>
      <c r="T3072" s="19" t="s">
        <v>117</v>
      </c>
      <c r="U3072" s="20" t="s">
        <v>43</v>
      </c>
      <c r="V3072" s="21">
        <v>110</v>
      </c>
      <c r="W3072" s="21">
        <v>2</v>
      </c>
      <c r="X3072" s="22"/>
    </row>
    <row r="3073" spans="1:24" s="1" customFormat="1" ht="17.100000000000001" customHeight="1" x14ac:dyDescent="0.3">
      <c r="A3073" s="23" t="s">
        <v>3129</v>
      </c>
      <c r="B3073" s="23" t="s">
        <v>3497</v>
      </c>
      <c r="C3073" s="12" t="s">
        <v>3500</v>
      </c>
      <c r="D3073" s="84"/>
      <c r="E3073" s="69" t="str">
        <f t="shared" si="127"/>
        <v>Еще фото</v>
      </c>
      <c r="F3073" s="13"/>
      <c r="G3073" s="23" t="s">
        <v>307</v>
      </c>
      <c r="H3073" s="23" t="s">
        <v>27</v>
      </c>
      <c r="I3073" s="23" t="s">
        <v>308</v>
      </c>
      <c r="J3073" s="14" t="s">
        <v>29</v>
      </c>
      <c r="K3073" s="15" t="s">
        <v>30</v>
      </c>
      <c r="L3073" s="87"/>
      <c r="M3073" s="14"/>
      <c r="N3073" s="14" t="s">
        <v>70</v>
      </c>
      <c r="O3073" s="14"/>
      <c r="P3073" s="15" t="s">
        <v>3369</v>
      </c>
      <c r="Q3073" s="16">
        <v>3699</v>
      </c>
      <c r="R3073" s="17">
        <v>45</v>
      </c>
      <c r="S3073" s="18">
        <v>2339.6174999999998</v>
      </c>
      <c r="T3073" s="19" t="s">
        <v>117</v>
      </c>
      <c r="U3073" s="20" t="s">
        <v>35</v>
      </c>
      <c r="V3073" s="21">
        <v>116</v>
      </c>
      <c r="W3073" s="21">
        <v>2</v>
      </c>
      <c r="X3073" s="22"/>
    </row>
    <row r="3074" spans="1:24" s="1" customFormat="1" ht="17.100000000000001" customHeight="1" x14ac:dyDescent="0.3">
      <c r="A3074" s="23" t="s">
        <v>3129</v>
      </c>
      <c r="B3074" s="23" t="s">
        <v>3497</v>
      </c>
      <c r="C3074" s="12" t="s">
        <v>3500</v>
      </c>
      <c r="D3074" s="84"/>
      <c r="E3074" s="69" t="str">
        <f t="shared" si="127"/>
        <v>Еще фото</v>
      </c>
      <c r="F3074" s="13"/>
      <c r="G3074" s="23" t="s">
        <v>307</v>
      </c>
      <c r="H3074" s="23" t="s">
        <v>27</v>
      </c>
      <c r="I3074" s="23" t="s">
        <v>308</v>
      </c>
      <c r="J3074" s="14" t="s">
        <v>29</v>
      </c>
      <c r="K3074" s="15" t="s">
        <v>30</v>
      </c>
      <c r="L3074" s="87"/>
      <c r="M3074" s="14"/>
      <c r="N3074" s="14" t="s">
        <v>70</v>
      </c>
      <c r="O3074" s="14"/>
      <c r="P3074" s="15" t="s">
        <v>3369</v>
      </c>
      <c r="Q3074" s="16">
        <v>3699</v>
      </c>
      <c r="R3074" s="17">
        <v>45</v>
      </c>
      <c r="S3074" s="18">
        <v>2339.6174999999998</v>
      </c>
      <c r="T3074" s="19" t="s">
        <v>117</v>
      </c>
      <c r="U3074" s="20" t="s">
        <v>36</v>
      </c>
      <c r="V3074" s="21">
        <v>122</v>
      </c>
      <c r="W3074" s="21">
        <v>4</v>
      </c>
      <c r="X3074" s="22"/>
    </row>
    <row r="3075" spans="1:24" s="1" customFormat="1" ht="21.95" customHeight="1" x14ac:dyDescent="0.3">
      <c r="A3075" s="23" t="s">
        <v>3129</v>
      </c>
      <c r="B3075" s="23" t="s">
        <v>3497</v>
      </c>
      <c r="C3075" s="12" t="s">
        <v>3500</v>
      </c>
      <c r="D3075" s="85"/>
      <c r="E3075" s="69" t="str">
        <f t="shared" si="127"/>
        <v>Еще фото</v>
      </c>
      <c r="F3075" s="13"/>
      <c r="G3075" s="23" t="s">
        <v>307</v>
      </c>
      <c r="H3075" s="23" t="s">
        <v>27</v>
      </c>
      <c r="I3075" s="23" t="s">
        <v>308</v>
      </c>
      <c r="J3075" s="14" t="s">
        <v>29</v>
      </c>
      <c r="K3075" s="15" t="s">
        <v>30</v>
      </c>
      <c r="L3075" s="88"/>
      <c r="M3075" s="14"/>
      <c r="N3075" s="14" t="s">
        <v>70</v>
      </c>
      <c r="O3075" s="14"/>
      <c r="P3075" s="15" t="s">
        <v>3369</v>
      </c>
      <c r="Q3075" s="16">
        <v>3699</v>
      </c>
      <c r="R3075" s="17">
        <v>45</v>
      </c>
      <c r="S3075" s="18">
        <v>2339.6174999999998</v>
      </c>
      <c r="T3075" s="19" t="s">
        <v>117</v>
      </c>
      <c r="U3075" s="20" t="s">
        <v>37</v>
      </c>
      <c r="V3075" s="21">
        <v>128</v>
      </c>
      <c r="W3075" s="21">
        <v>2</v>
      </c>
      <c r="X3075" s="22"/>
    </row>
    <row r="3076" spans="1:24" s="1" customFormat="1" ht="108" customHeight="1" x14ac:dyDescent="0.3">
      <c r="A3076" s="11" t="s">
        <v>2957</v>
      </c>
      <c r="B3076" s="11" t="s">
        <v>3501</v>
      </c>
      <c r="C3076" s="12" t="s">
        <v>3502</v>
      </c>
      <c r="D3076" s="24"/>
      <c r="E3076" s="69" t="str">
        <f>HYPERLINK("https://www.google.ru/search?q=527341-6980&amp;newwindow=1&amp;tbm=isch","Еще фото")</f>
        <v>Еще фото</v>
      </c>
      <c r="F3076" s="13"/>
      <c r="G3076" s="11" t="s">
        <v>824</v>
      </c>
      <c r="H3076" s="11" t="s">
        <v>112</v>
      </c>
      <c r="I3076" s="14" t="s">
        <v>825</v>
      </c>
      <c r="J3076" s="14" t="s">
        <v>29</v>
      </c>
      <c r="K3076" s="15" t="s">
        <v>30</v>
      </c>
      <c r="L3076" s="14" t="s">
        <v>3503</v>
      </c>
      <c r="M3076" s="14"/>
      <c r="N3076" s="14" t="s">
        <v>70</v>
      </c>
      <c r="O3076" s="14"/>
      <c r="P3076" s="15" t="s">
        <v>3504</v>
      </c>
      <c r="Q3076" s="16">
        <v>1399</v>
      </c>
      <c r="R3076" s="17">
        <v>67.989999999999995</v>
      </c>
      <c r="S3076" s="29">
        <v>514.93549999999993</v>
      </c>
      <c r="T3076" s="19" t="s">
        <v>117</v>
      </c>
      <c r="U3076" s="20" t="s">
        <v>3505</v>
      </c>
      <c r="V3076" s="21">
        <v>22</v>
      </c>
      <c r="W3076" s="21">
        <v>3</v>
      </c>
      <c r="X3076" s="22"/>
    </row>
    <row r="3077" spans="1:24" s="1" customFormat="1" ht="108" customHeight="1" x14ac:dyDescent="0.3">
      <c r="A3077" s="11" t="s">
        <v>3278</v>
      </c>
      <c r="B3077" s="11" t="s">
        <v>3506</v>
      </c>
      <c r="C3077" s="12" t="s">
        <v>3507</v>
      </c>
      <c r="D3077" s="24"/>
      <c r="E3077" s="69" t="str">
        <f>HYPERLINK("https://www.google.ru/search?q=А004&amp;newwindow=1&amp;tbm=isch","Еще фото")</f>
        <v>Еще фото</v>
      </c>
      <c r="F3077" s="13"/>
      <c r="G3077" s="11" t="s">
        <v>3508</v>
      </c>
      <c r="H3077" s="11" t="s">
        <v>112</v>
      </c>
      <c r="I3077" s="14" t="s">
        <v>825</v>
      </c>
      <c r="J3077" s="14" t="s">
        <v>29</v>
      </c>
      <c r="K3077" s="15" t="s">
        <v>114</v>
      </c>
      <c r="L3077" s="14"/>
      <c r="M3077" s="14"/>
      <c r="N3077" s="14" t="s">
        <v>49</v>
      </c>
      <c r="O3077" s="14"/>
      <c r="P3077" s="15" t="s">
        <v>3509</v>
      </c>
      <c r="Q3077" s="59">
        <v>490</v>
      </c>
      <c r="R3077" s="17">
        <v>61.68</v>
      </c>
      <c r="S3077" s="29">
        <v>215.93549999999999</v>
      </c>
      <c r="T3077" s="19" t="s">
        <v>328</v>
      </c>
      <c r="U3077" s="20" t="s">
        <v>52</v>
      </c>
      <c r="V3077" s="25" t="s">
        <v>67</v>
      </c>
      <c r="W3077" s="21">
        <v>1</v>
      </c>
      <c r="X3077" s="22"/>
    </row>
    <row r="3078" spans="1:24" s="1" customFormat="1" ht="108" customHeight="1" x14ac:dyDescent="0.3">
      <c r="A3078" s="11" t="s">
        <v>2957</v>
      </c>
      <c r="B3078" s="11" t="s">
        <v>3501</v>
      </c>
      <c r="C3078" s="12" t="s">
        <v>3510</v>
      </c>
      <c r="D3078" s="24"/>
      <c r="E3078" s="69" t="str">
        <f>HYPERLINK("https://www.google.ru/search?q=527341-0100&amp;newwindow=1&amp;tbm=isch","Еще фото")</f>
        <v>Еще фото</v>
      </c>
      <c r="F3078" s="13"/>
      <c r="G3078" s="11" t="s">
        <v>824</v>
      </c>
      <c r="H3078" s="11" t="s">
        <v>112</v>
      </c>
      <c r="I3078" s="14" t="s">
        <v>825</v>
      </c>
      <c r="J3078" s="14" t="s">
        <v>29</v>
      </c>
      <c r="K3078" s="15" t="s">
        <v>30</v>
      </c>
      <c r="L3078" s="14" t="s">
        <v>3503</v>
      </c>
      <c r="M3078" s="14"/>
      <c r="N3078" s="14" t="s">
        <v>89</v>
      </c>
      <c r="O3078" s="14"/>
      <c r="P3078" s="15" t="s">
        <v>3504</v>
      </c>
      <c r="Q3078" s="16">
        <v>1399</v>
      </c>
      <c r="R3078" s="17">
        <v>52.27</v>
      </c>
      <c r="S3078" s="29">
        <v>767.93549999999993</v>
      </c>
      <c r="T3078" s="19" t="s">
        <v>117</v>
      </c>
      <c r="U3078" s="20" t="s">
        <v>3505</v>
      </c>
      <c r="V3078" s="21">
        <v>22</v>
      </c>
      <c r="W3078" s="21">
        <v>2</v>
      </c>
      <c r="X3078" s="22"/>
    </row>
    <row r="3079" spans="1:24" s="1" customFormat="1" ht="26.1" customHeight="1" x14ac:dyDescent="0.3">
      <c r="A3079" s="11" t="s">
        <v>3014</v>
      </c>
      <c r="B3079" s="11" t="s">
        <v>3511</v>
      </c>
      <c r="C3079" s="12" t="s">
        <v>3512</v>
      </c>
      <c r="D3079" s="83"/>
      <c r="E3079" s="69" t="str">
        <f>HYPERLINK("https://www.google.ru/search?q=72305204-9370&amp;newwindow=1&amp;tbm=isch","Еще фото")</f>
        <v>Еще фото</v>
      </c>
      <c r="F3079" s="13"/>
      <c r="G3079" s="11" t="s">
        <v>833</v>
      </c>
      <c r="H3079" s="11" t="s">
        <v>112</v>
      </c>
      <c r="I3079" s="14" t="s">
        <v>825</v>
      </c>
      <c r="J3079" s="14" t="s">
        <v>29</v>
      </c>
      <c r="K3079" s="15" t="s">
        <v>30</v>
      </c>
      <c r="L3079" s="86"/>
      <c r="M3079" s="14"/>
      <c r="N3079" s="14" t="s">
        <v>70</v>
      </c>
      <c r="O3079" s="14"/>
      <c r="P3079" s="15" t="s">
        <v>3513</v>
      </c>
      <c r="Q3079" s="59">
        <v>999</v>
      </c>
      <c r="R3079" s="17">
        <v>45</v>
      </c>
      <c r="S3079" s="29">
        <v>631.86749999999995</v>
      </c>
      <c r="T3079" s="19" t="s">
        <v>117</v>
      </c>
      <c r="U3079" s="20" t="s">
        <v>3514</v>
      </c>
      <c r="V3079" s="21">
        <v>23</v>
      </c>
      <c r="W3079" s="21">
        <v>3</v>
      </c>
      <c r="X3079" s="22"/>
    </row>
    <row r="3080" spans="1:24" s="1" customFormat="1" ht="26.1" customHeight="1" x14ac:dyDescent="0.3">
      <c r="A3080" s="23" t="s">
        <v>3014</v>
      </c>
      <c r="B3080" s="23" t="s">
        <v>3511</v>
      </c>
      <c r="C3080" s="12" t="s">
        <v>3512</v>
      </c>
      <c r="D3080" s="84"/>
      <c r="E3080" s="69" t="str">
        <f>HYPERLINK("https://www.google.ru/search?q=72305204-9370&amp;newwindow=1&amp;tbm=isch","Еще фото")</f>
        <v>Еще фото</v>
      </c>
      <c r="F3080" s="13"/>
      <c r="G3080" s="23" t="s">
        <v>833</v>
      </c>
      <c r="H3080" s="23" t="s">
        <v>112</v>
      </c>
      <c r="I3080" s="23" t="s">
        <v>825</v>
      </c>
      <c r="J3080" s="14" t="s">
        <v>29</v>
      </c>
      <c r="K3080" s="15" t="s">
        <v>30</v>
      </c>
      <c r="L3080" s="87"/>
      <c r="M3080" s="14"/>
      <c r="N3080" s="14" t="s">
        <v>70</v>
      </c>
      <c r="O3080" s="14"/>
      <c r="P3080" s="15" t="s">
        <v>3513</v>
      </c>
      <c r="Q3080" s="59">
        <v>999</v>
      </c>
      <c r="R3080" s="17">
        <v>45</v>
      </c>
      <c r="S3080" s="29">
        <v>631.86749999999995</v>
      </c>
      <c r="T3080" s="19" t="s">
        <v>117</v>
      </c>
      <c r="U3080" s="20" t="s">
        <v>3515</v>
      </c>
      <c r="V3080" s="21">
        <v>25</v>
      </c>
      <c r="W3080" s="21">
        <v>3</v>
      </c>
      <c r="X3080" s="22"/>
    </row>
    <row r="3081" spans="1:24" s="1" customFormat="1" ht="26.1" customHeight="1" x14ac:dyDescent="0.3">
      <c r="A3081" s="23" t="s">
        <v>3014</v>
      </c>
      <c r="B3081" s="23" t="s">
        <v>3511</v>
      </c>
      <c r="C3081" s="12" t="s">
        <v>3512</v>
      </c>
      <c r="D3081" s="84"/>
      <c r="E3081" s="69" t="str">
        <f>HYPERLINK("https://www.google.ru/search?q=72305204-9370&amp;newwindow=1&amp;tbm=isch","Еще фото")</f>
        <v>Еще фото</v>
      </c>
      <c r="F3081" s="13"/>
      <c r="G3081" s="23" t="s">
        <v>833</v>
      </c>
      <c r="H3081" s="23" t="s">
        <v>112</v>
      </c>
      <c r="I3081" s="23" t="s">
        <v>825</v>
      </c>
      <c r="J3081" s="14" t="s">
        <v>29</v>
      </c>
      <c r="K3081" s="15" t="s">
        <v>30</v>
      </c>
      <c r="L3081" s="87"/>
      <c r="M3081" s="14"/>
      <c r="N3081" s="14" t="s">
        <v>70</v>
      </c>
      <c r="O3081" s="14"/>
      <c r="P3081" s="15" t="s">
        <v>3513</v>
      </c>
      <c r="Q3081" s="59">
        <v>999</v>
      </c>
      <c r="R3081" s="17">
        <v>45</v>
      </c>
      <c r="S3081" s="29">
        <v>631.86749999999995</v>
      </c>
      <c r="T3081" s="19" t="s">
        <v>117</v>
      </c>
      <c r="U3081" s="20" t="s">
        <v>3246</v>
      </c>
      <c r="V3081" s="21">
        <v>28</v>
      </c>
      <c r="W3081" s="21">
        <v>4</v>
      </c>
      <c r="X3081" s="22"/>
    </row>
    <row r="3082" spans="1:24" s="1" customFormat="1" ht="26.1" customHeight="1" x14ac:dyDescent="0.3">
      <c r="A3082" s="23" t="s">
        <v>3014</v>
      </c>
      <c r="B3082" s="23" t="s">
        <v>3511</v>
      </c>
      <c r="C3082" s="12" t="s">
        <v>3512</v>
      </c>
      <c r="D3082" s="85"/>
      <c r="E3082" s="69" t="str">
        <f>HYPERLINK("https://www.google.ru/search?q=72305204-9370&amp;newwindow=1&amp;tbm=isch","Еще фото")</f>
        <v>Еще фото</v>
      </c>
      <c r="F3082" s="13"/>
      <c r="G3082" s="23" t="s">
        <v>833</v>
      </c>
      <c r="H3082" s="23" t="s">
        <v>112</v>
      </c>
      <c r="I3082" s="23" t="s">
        <v>825</v>
      </c>
      <c r="J3082" s="14" t="s">
        <v>29</v>
      </c>
      <c r="K3082" s="15" t="s">
        <v>30</v>
      </c>
      <c r="L3082" s="88"/>
      <c r="M3082" s="14"/>
      <c r="N3082" s="14" t="s">
        <v>70</v>
      </c>
      <c r="O3082" s="14"/>
      <c r="P3082" s="15" t="s">
        <v>3513</v>
      </c>
      <c r="Q3082" s="59">
        <v>999</v>
      </c>
      <c r="R3082" s="17">
        <v>45</v>
      </c>
      <c r="S3082" s="29">
        <v>631.86749999999995</v>
      </c>
      <c r="T3082" s="19" t="s">
        <v>117</v>
      </c>
      <c r="U3082" s="20" t="s">
        <v>3516</v>
      </c>
      <c r="V3082" s="21">
        <v>37</v>
      </c>
      <c r="W3082" s="21">
        <v>3</v>
      </c>
      <c r="X3082" s="22"/>
    </row>
    <row r="3083" spans="1:24" s="1" customFormat="1" ht="21" customHeight="1" x14ac:dyDescent="0.3">
      <c r="A3083" s="11" t="s">
        <v>3014</v>
      </c>
      <c r="B3083" s="11" t="s">
        <v>3517</v>
      </c>
      <c r="C3083" s="27" t="s">
        <v>3518</v>
      </c>
      <c r="D3083" s="83"/>
      <c r="E3083" s="69" t="str">
        <f>HYPERLINK("https://www.google.ru/search?q=72306104-0790&amp;newwindow=1&amp;tbm=isch","Еще фото")</f>
        <v>Еще фото</v>
      </c>
      <c r="F3083" s="13"/>
      <c r="G3083" s="11" t="s">
        <v>3519</v>
      </c>
      <c r="H3083" s="11" t="s">
        <v>112</v>
      </c>
      <c r="I3083" s="14" t="s">
        <v>825</v>
      </c>
      <c r="J3083" s="14" t="s">
        <v>29</v>
      </c>
      <c r="K3083" s="15" t="s">
        <v>30</v>
      </c>
      <c r="L3083" s="86"/>
      <c r="M3083" s="14"/>
      <c r="N3083" s="14" t="s">
        <v>3520</v>
      </c>
      <c r="O3083" s="14"/>
      <c r="P3083" s="15" t="s">
        <v>3521</v>
      </c>
      <c r="Q3083" s="59">
        <v>999</v>
      </c>
      <c r="R3083" s="17">
        <v>45</v>
      </c>
      <c r="S3083" s="29">
        <v>631.86749999999995</v>
      </c>
      <c r="T3083" s="19" t="s">
        <v>117</v>
      </c>
      <c r="U3083" s="20" t="s">
        <v>3515</v>
      </c>
      <c r="V3083" s="21">
        <v>25</v>
      </c>
      <c r="W3083" s="21">
        <v>4</v>
      </c>
      <c r="X3083" s="22"/>
    </row>
    <row r="3084" spans="1:24" s="1" customFormat="1" ht="21" customHeight="1" x14ac:dyDescent="0.3">
      <c r="A3084" s="23" t="s">
        <v>3014</v>
      </c>
      <c r="B3084" s="23" t="s">
        <v>3517</v>
      </c>
      <c r="C3084" s="28" t="s">
        <v>3518</v>
      </c>
      <c r="D3084" s="84"/>
      <c r="E3084" s="69" t="str">
        <f>HYPERLINK("https://www.google.ru/search?q=72306104-0790&amp;newwindow=1&amp;tbm=isch","Еще фото")</f>
        <v>Еще фото</v>
      </c>
      <c r="F3084" s="13"/>
      <c r="G3084" s="23" t="s">
        <v>3519</v>
      </c>
      <c r="H3084" s="23" t="s">
        <v>112</v>
      </c>
      <c r="I3084" s="23" t="s">
        <v>825</v>
      </c>
      <c r="J3084" s="14" t="s">
        <v>29</v>
      </c>
      <c r="K3084" s="15" t="s">
        <v>30</v>
      </c>
      <c r="L3084" s="87"/>
      <c r="M3084" s="14"/>
      <c r="N3084" s="14" t="s">
        <v>3520</v>
      </c>
      <c r="O3084" s="14"/>
      <c r="P3084" s="15" t="s">
        <v>3521</v>
      </c>
      <c r="Q3084" s="59">
        <v>999</v>
      </c>
      <c r="R3084" s="17">
        <v>45</v>
      </c>
      <c r="S3084" s="29">
        <v>631.86749999999995</v>
      </c>
      <c r="T3084" s="19" t="s">
        <v>117</v>
      </c>
      <c r="U3084" s="20" t="s">
        <v>3246</v>
      </c>
      <c r="V3084" s="21">
        <v>28</v>
      </c>
      <c r="W3084" s="21">
        <v>5</v>
      </c>
      <c r="X3084" s="22"/>
    </row>
    <row r="3085" spans="1:24" s="1" customFormat="1" ht="21" customHeight="1" x14ac:dyDescent="0.3">
      <c r="A3085" s="23" t="s">
        <v>3014</v>
      </c>
      <c r="B3085" s="23" t="s">
        <v>3517</v>
      </c>
      <c r="C3085" s="28" t="s">
        <v>3518</v>
      </c>
      <c r="D3085" s="84"/>
      <c r="E3085" s="69" t="str">
        <f>HYPERLINK("https://www.google.ru/search?q=72306104-0790&amp;newwindow=1&amp;tbm=isch","Еще фото")</f>
        <v>Еще фото</v>
      </c>
      <c r="F3085" s="13"/>
      <c r="G3085" s="23" t="s">
        <v>3519</v>
      </c>
      <c r="H3085" s="23" t="s">
        <v>112</v>
      </c>
      <c r="I3085" s="23" t="s">
        <v>825</v>
      </c>
      <c r="J3085" s="14" t="s">
        <v>29</v>
      </c>
      <c r="K3085" s="15" t="s">
        <v>30</v>
      </c>
      <c r="L3085" s="87"/>
      <c r="M3085" s="14"/>
      <c r="N3085" s="14" t="s">
        <v>3520</v>
      </c>
      <c r="O3085" s="14"/>
      <c r="P3085" s="15" t="s">
        <v>3521</v>
      </c>
      <c r="Q3085" s="59">
        <v>999</v>
      </c>
      <c r="R3085" s="17">
        <v>45</v>
      </c>
      <c r="S3085" s="29">
        <v>631.86749999999995</v>
      </c>
      <c r="T3085" s="19" t="s">
        <v>117</v>
      </c>
      <c r="U3085" s="20" t="s">
        <v>3239</v>
      </c>
      <c r="V3085" s="21">
        <v>31</v>
      </c>
      <c r="W3085" s="21">
        <v>5</v>
      </c>
      <c r="X3085" s="22"/>
    </row>
    <row r="3086" spans="1:24" s="1" customFormat="1" ht="21" customHeight="1" x14ac:dyDescent="0.3">
      <c r="A3086" s="23" t="s">
        <v>3014</v>
      </c>
      <c r="B3086" s="23" t="s">
        <v>3517</v>
      </c>
      <c r="C3086" s="28" t="s">
        <v>3518</v>
      </c>
      <c r="D3086" s="84"/>
      <c r="E3086" s="69" t="str">
        <f>HYPERLINK("https://www.google.ru/search?q=72306104-0790&amp;newwindow=1&amp;tbm=isch","Еще фото")</f>
        <v>Еще фото</v>
      </c>
      <c r="F3086" s="13"/>
      <c r="G3086" s="23" t="s">
        <v>3519</v>
      </c>
      <c r="H3086" s="23" t="s">
        <v>112</v>
      </c>
      <c r="I3086" s="23" t="s">
        <v>825</v>
      </c>
      <c r="J3086" s="14" t="s">
        <v>29</v>
      </c>
      <c r="K3086" s="15" t="s">
        <v>30</v>
      </c>
      <c r="L3086" s="87"/>
      <c r="M3086" s="14"/>
      <c r="N3086" s="14" t="s">
        <v>3520</v>
      </c>
      <c r="O3086" s="14"/>
      <c r="P3086" s="15" t="s">
        <v>3521</v>
      </c>
      <c r="Q3086" s="59">
        <v>999</v>
      </c>
      <c r="R3086" s="17">
        <v>45</v>
      </c>
      <c r="S3086" s="29">
        <v>631.86749999999995</v>
      </c>
      <c r="T3086" s="19" t="s">
        <v>117</v>
      </c>
      <c r="U3086" s="20" t="s">
        <v>3522</v>
      </c>
      <c r="V3086" s="21">
        <v>34</v>
      </c>
      <c r="W3086" s="21">
        <v>3</v>
      </c>
      <c r="X3086" s="22"/>
    </row>
    <row r="3087" spans="1:24" s="1" customFormat="1" ht="32.1" customHeight="1" x14ac:dyDescent="0.3">
      <c r="A3087" s="23" t="s">
        <v>3014</v>
      </c>
      <c r="B3087" s="23" t="s">
        <v>3517</v>
      </c>
      <c r="C3087" s="28" t="s">
        <v>3518</v>
      </c>
      <c r="D3087" s="85"/>
      <c r="E3087" s="69" t="str">
        <f>HYPERLINK("https://www.google.ru/search?q=72306104-0790&amp;newwindow=1&amp;tbm=isch","Еще фото")</f>
        <v>Еще фото</v>
      </c>
      <c r="F3087" s="13"/>
      <c r="G3087" s="23" t="s">
        <v>3519</v>
      </c>
      <c r="H3087" s="23" t="s">
        <v>112</v>
      </c>
      <c r="I3087" s="23" t="s">
        <v>825</v>
      </c>
      <c r="J3087" s="14" t="s">
        <v>29</v>
      </c>
      <c r="K3087" s="15" t="s">
        <v>30</v>
      </c>
      <c r="L3087" s="88"/>
      <c r="M3087" s="14"/>
      <c r="N3087" s="14" t="s">
        <v>3520</v>
      </c>
      <c r="O3087" s="14"/>
      <c r="P3087" s="15" t="s">
        <v>3521</v>
      </c>
      <c r="Q3087" s="59">
        <v>999</v>
      </c>
      <c r="R3087" s="17">
        <v>45</v>
      </c>
      <c r="S3087" s="29">
        <v>631.86749999999995</v>
      </c>
      <c r="T3087" s="19" t="s">
        <v>117</v>
      </c>
      <c r="U3087" s="20" t="s">
        <v>3516</v>
      </c>
      <c r="V3087" s="21">
        <v>37</v>
      </c>
      <c r="W3087" s="21">
        <v>3</v>
      </c>
      <c r="X3087" s="22"/>
    </row>
    <row r="3088" spans="1:24" s="1" customFormat="1" ht="21" customHeight="1" x14ac:dyDescent="0.3">
      <c r="A3088" s="11" t="s">
        <v>3014</v>
      </c>
      <c r="B3088" s="11" t="s">
        <v>3517</v>
      </c>
      <c r="C3088" s="27" t="s">
        <v>3523</v>
      </c>
      <c r="D3088" s="83"/>
      <c r="E3088" s="69" t="str">
        <f>HYPERLINK("https://www.google.ru/search?q=72306104-8520&amp;newwindow=1&amp;tbm=isch","Еще фото")</f>
        <v>Еще фото</v>
      </c>
      <c r="F3088" s="13"/>
      <c r="G3088" s="11" t="s">
        <v>3519</v>
      </c>
      <c r="H3088" s="11" t="s">
        <v>112</v>
      </c>
      <c r="I3088" s="14" t="s">
        <v>825</v>
      </c>
      <c r="J3088" s="14" t="s">
        <v>29</v>
      </c>
      <c r="K3088" s="15" t="s">
        <v>30</v>
      </c>
      <c r="L3088" s="86"/>
      <c r="M3088" s="14"/>
      <c r="N3088" s="14" t="s">
        <v>2620</v>
      </c>
      <c r="O3088" s="14"/>
      <c r="P3088" s="15" t="s">
        <v>3521</v>
      </c>
      <c r="Q3088" s="59">
        <v>999</v>
      </c>
      <c r="R3088" s="17">
        <v>45</v>
      </c>
      <c r="S3088" s="29">
        <v>631.86749999999995</v>
      </c>
      <c r="T3088" s="19" t="s">
        <v>117</v>
      </c>
      <c r="U3088" s="20" t="s">
        <v>3515</v>
      </c>
      <c r="V3088" s="21">
        <v>25</v>
      </c>
      <c r="W3088" s="21">
        <v>1</v>
      </c>
      <c r="X3088" s="22"/>
    </row>
    <row r="3089" spans="1:24" s="1" customFormat="1" ht="21" customHeight="1" x14ac:dyDescent="0.3">
      <c r="A3089" s="23" t="s">
        <v>3014</v>
      </c>
      <c r="B3089" s="23" t="s">
        <v>3517</v>
      </c>
      <c r="C3089" s="28" t="s">
        <v>3523</v>
      </c>
      <c r="D3089" s="84"/>
      <c r="E3089" s="69" t="str">
        <f>HYPERLINK("https://www.google.ru/search?q=72306104-8520&amp;newwindow=1&amp;tbm=isch","Еще фото")</f>
        <v>Еще фото</v>
      </c>
      <c r="F3089" s="13"/>
      <c r="G3089" s="23" t="s">
        <v>3519</v>
      </c>
      <c r="H3089" s="23" t="s">
        <v>112</v>
      </c>
      <c r="I3089" s="23" t="s">
        <v>825</v>
      </c>
      <c r="J3089" s="14" t="s">
        <v>29</v>
      </c>
      <c r="K3089" s="15" t="s">
        <v>30</v>
      </c>
      <c r="L3089" s="87"/>
      <c r="M3089" s="14"/>
      <c r="N3089" s="14" t="s">
        <v>2620</v>
      </c>
      <c r="O3089" s="14"/>
      <c r="P3089" s="15" t="s">
        <v>3521</v>
      </c>
      <c r="Q3089" s="59">
        <v>999</v>
      </c>
      <c r="R3089" s="17">
        <v>45</v>
      </c>
      <c r="S3089" s="29">
        <v>631.86749999999995</v>
      </c>
      <c r="T3089" s="19" t="s">
        <v>117</v>
      </c>
      <c r="U3089" s="20" t="s">
        <v>3246</v>
      </c>
      <c r="V3089" s="21">
        <v>28</v>
      </c>
      <c r="W3089" s="21">
        <v>3</v>
      </c>
      <c r="X3089" s="22"/>
    </row>
    <row r="3090" spans="1:24" s="1" customFormat="1" ht="21" customHeight="1" x14ac:dyDescent="0.3">
      <c r="A3090" s="23" t="s">
        <v>3014</v>
      </c>
      <c r="B3090" s="23" t="s">
        <v>3517</v>
      </c>
      <c r="C3090" s="28" t="s">
        <v>3523</v>
      </c>
      <c r="D3090" s="84"/>
      <c r="E3090" s="69" t="str">
        <f>HYPERLINK("https://www.google.ru/search?q=72306104-8520&amp;newwindow=1&amp;tbm=isch","Еще фото")</f>
        <v>Еще фото</v>
      </c>
      <c r="F3090" s="13"/>
      <c r="G3090" s="23" t="s">
        <v>3519</v>
      </c>
      <c r="H3090" s="23" t="s">
        <v>112</v>
      </c>
      <c r="I3090" s="23" t="s">
        <v>825</v>
      </c>
      <c r="J3090" s="14" t="s">
        <v>29</v>
      </c>
      <c r="K3090" s="15" t="s">
        <v>30</v>
      </c>
      <c r="L3090" s="87"/>
      <c r="M3090" s="14"/>
      <c r="N3090" s="14" t="s">
        <v>2620</v>
      </c>
      <c r="O3090" s="14"/>
      <c r="P3090" s="15" t="s">
        <v>3521</v>
      </c>
      <c r="Q3090" s="59">
        <v>999</v>
      </c>
      <c r="R3090" s="17">
        <v>45</v>
      </c>
      <c r="S3090" s="29">
        <v>631.86749999999995</v>
      </c>
      <c r="T3090" s="19" t="s">
        <v>117</v>
      </c>
      <c r="U3090" s="20" t="s">
        <v>3239</v>
      </c>
      <c r="V3090" s="21">
        <v>31</v>
      </c>
      <c r="W3090" s="21">
        <v>5</v>
      </c>
      <c r="X3090" s="22"/>
    </row>
    <row r="3091" spans="1:24" s="1" customFormat="1" ht="21" customHeight="1" x14ac:dyDescent="0.3">
      <c r="A3091" s="23" t="s">
        <v>3014</v>
      </c>
      <c r="B3091" s="23" t="s">
        <v>3517</v>
      </c>
      <c r="C3091" s="28" t="s">
        <v>3523</v>
      </c>
      <c r="D3091" s="84"/>
      <c r="E3091" s="69" t="str">
        <f>HYPERLINK("https://www.google.ru/search?q=72306104-8520&amp;newwindow=1&amp;tbm=isch","Еще фото")</f>
        <v>Еще фото</v>
      </c>
      <c r="F3091" s="13"/>
      <c r="G3091" s="23" t="s">
        <v>3519</v>
      </c>
      <c r="H3091" s="23" t="s">
        <v>112</v>
      </c>
      <c r="I3091" s="23" t="s">
        <v>825</v>
      </c>
      <c r="J3091" s="14" t="s">
        <v>29</v>
      </c>
      <c r="K3091" s="15" t="s">
        <v>30</v>
      </c>
      <c r="L3091" s="87"/>
      <c r="M3091" s="14"/>
      <c r="N3091" s="14" t="s">
        <v>2620</v>
      </c>
      <c r="O3091" s="14"/>
      <c r="P3091" s="15" t="s">
        <v>3521</v>
      </c>
      <c r="Q3091" s="59">
        <v>999</v>
      </c>
      <c r="R3091" s="17">
        <v>45</v>
      </c>
      <c r="S3091" s="29">
        <v>631.86749999999995</v>
      </c>
      <c r="T3091" s="19" t="s">
        <v>117</v>
      </c>
      <c r="U3091" s="20" t="s">
        <v>3522</v>
      </c>
      <c r="V3091" s="21">
        <v>34</v>
      </c>
      <c r="W3091" s="21">
        <v>2</v>
      </c>
      <c r="X3091" s="22"/>
    </row>
    <row r="3092" spans="1:24" s="1" customFormat="1" ht="32.1" customHeight="1" x14ac:dyDescent="0.3">
      <c r="A3092" s="23" t="s">
        <v>3014</v>
      </c>
      <c r="B3092" s="23" t="s">
        <v>3517</v>
      </c>
      <c r="C3092" s="28" t="s">
        <v>3523</v>
      </c>
      <c r="D3092" s="85"/>
      <c r="E3092" s="69" t="str">
        <f>HYPERLINK("https://www.google.ru/search?q=72306104-8520&amp;newwindow=1&amp;tbm=isch","Еще фото")</f>
        <v>Еще фото</v>
      </c>
      <c r="F3092" s="13"/>
      <c r="G3092" s="23" t="s">
        <v>3519</v>
      </c>
      <c r="H3092" s="23" t="s">
        <v>112</v>
      </c>
      <c r="I3092" s="23" t="s">
        <v>825</v>
      </c>
      <c r="J3092" s="14" t="s">
        <v>29</v>
      </c>
      <c r="K3092" s="15" t="s">
        <v>30</v>
      </c>
      <c r="L3092" s="88"/>
      <c r="M3092" s="14"/>
      <c r="N3092" s="14" t="s">
        <v>2620</v>
      </c>
      <c r="O3092" s="14"/>
      <c r="P3092" s="15" t="s">
        <v>3521</v>
      </c>
      <c r="Q3092" s="59">
        <v>999</v>
      </c>
      <c r="R3092" s="17">
        <v>45</v>
      </c>
      <c r="S3092" s="29">
        <v>631.86749999999995</v>
      </c>
      <c r="T3092" s="19" t="s">
        <v>117</v>
      </c>
      <c r="U3092" s="20" t="s">
        <v>3516</v>
      </c>
      <c r="V3092" s="21">
        <v>37</v>
      </c>
      <c r="W3092" s="21">
        <v>3</v>
      </c>
      <c r="X3092" s="22"/>
    </row>
    <row r="3093" spans="1:24" s="1" customFormat="1" ht="21" customHeight="1" x14ac:dyDescent="0.3">
      <c r="A3093" s="11" t="s">
        <v>3014</v>
      </c>
      <c r="B3093" s="11" t="s">
        <v>3524</v>
      </c>
      <c r="C3093" s="27" t="s">
        <v>3525</v>
      </c>
      <c r="D3093" s="83"/>
      <c r="E3093" s="69" t="str">
        <f>HYPERLINK("https://www.google.ru/search?q=72306105-3340&amp;newwindow=1&amp;tbm=isch","Еще фото")</f>
        <v>Еще фото</v>
      </c>
      <c r="F3093" s="13"/>
      <c r="G3093" s="11" t="s">
        <v>3519</v>
      </c>
      <c r="H3093" s="11" t="s">
        <v>112</v>
      </c>
      <c r="I3093" s="14" t="s">
        <v>825</v>
      </c>
      <c r="J3093" s="14" t="s">
        <v>29</v>
      </c>
      <c r="K3093" s="15" t="s">
        <v>30</v>
      </c>
      <c r="L3093" s="86"/>
      <c r="M3093" s="14"/>
      <c r="N3093" s="14" t="s">
        <v>3526</v>
      </c>
      <c r="O3093" s="14"/>
      <c r="P3093" s="15" t="s">
        <v>3521</v>
      </c>
      <c r="Q3093" s="59">
        <v>999</v>
      </c>
      <c r="R3093" s="17">
        <v>45</v>
      </c>
      <c r="S3093" s="29">
        <v>631.86749999999995</v>
      </c>
      <c r="T3093" s="19" t="s">
        <v>117</v>
      </c>
      <c r="U3093" s="20" t="s">
        <v>3515</v>
      </c>
      <c r="V3093" s="21">
        <v>25</v>
      </c>
      <c r="W3093" s="21">
        <v>4</v>
      </c>
      <c r="X3093" s="22"/>
    </row>
    <row r="3094" spans="1:24" s="1" customFormat="1" ht="21" customHeight="1" x14ac:dyDescent="0.3">
      <c r="A3094" s="23" t="s">
        <v>3014</v>
      </c>
      <c r="B3094" s="23" t="s">
        <v>3524</v>
      </c>
      <c r="C3094" s="28" t="s">
        <v>3525</v>
      </c>
      <c r="D3094" s="84"/>
      <c r="E3094" s="69" t="str">
        <f>HYPERLINK("https://www.google.ru/search?q=72306105-3340&amp;newwindow=1&amp;tbm=isch","Еще фото")</f>
        <v>Еще фото</v>
      </c>
      <c r="F3094" s="13"/>
      <c r="G3094" s="23" t="s">
        <v>3519</v>
      </c>
      <c r="H3094" s="23" t="s">
        <v>112</v>
      </c>
      <c r="I3094" s="23" t="s">
        <v>825</v>
      </c>
      <c r="J3094" s="14" t="s">
        <v>29</v>
      </c>
      <c r="K3094" s="15" t="s">
        <v>30</v>
      </c>
      <c r="L3094" s="87"/>
      <c r="M3094" s="14"/>
      <c r="N3094" s="14" t="s">
        <v>3526</v>
      </c>
      <c r="O3094" s="14"/>
      <c r="P3094" s="15" t="s">
        <v>3521</v>
      </c>
      <c r="Q3094" s="59">
        <v>999</v>
      </c>
      <c r="R3094" s="17">
        <v>45</v>
      </c>
      <c r="S3094" s="29">
        <v>631.86749999999995</v>
      </c>
      <c r="T3094" s="19" t="s">
        <v>117</v>
      </c>
      <c r="U3094" s="20" t="s">
        <v>3246</v>
      </c>
      <c r="V3094" s="21">
        <v>28</v>
      </c>
      <c r="W3094" s="21">
        <v>4</v>
      </c>
      <c r="X3094" s="22"/>
    </row>
    <row r="3095" spans="1:24" s="1" customFormat="1" ht="21" customHeight="1" x14ac:dyDescent="0.3">
      <c r="A3095" s="23" t="s">
        <v>3014</v>
      </c>
      <c r="B3095" s="23" t="s">
        <v>3524</v>
      </c>
      <c r="C3095" s="28" t="s">
        <v>3525</v>
      </c>
      <c r="D3095" s="84"/>
      <c r="E3095" s="69" t="str">
        <f>HYPERLINK("https://www.google.ru/search?q=72306105-3340&amp;newwindow=1&amp;tbm=isch","Еще фото")</f>
        <v>Еще фото</v>
      </c>
      <c r="F3095" s="13"/>
      <c r="G3095" s="23" t="s">
        <v>3519</v>
      </c>
      <c r="H3095" s="23" t="s">
        <v>112</v>
      </c>
      <c r="I3095" s="23" t="s">
        <v>825</v>
      </c>
      <c r="J3095" s="14" t="s">
        <v>29</v>
      </c>
      <c r="K3095" s="15" t="s">
        <v>30</v>
      </c>
      <c r="L3095" s="87"/>
      <c r="M3095" s="14"/>
      <c r="N3095" s="14" t="s">
        <v>3526</v>
      </c>
      <c r="O3095" s="14"/>
      <c r="P3095" s="15" t="s">
        <v>3521</v>
      </c>
      <c r="Q3095" s="59">
        <v>999</v>
      </c>
      <c r="R3095" s="17">
        <v>45</v>
      </c>
      <c r="S3095" s="29">
        <v>631.86749999999995</v>
      </c>
      <c r="T3095" s="19" t="s">
        <v>117</v>
      </c>
      <c r="U3095" s="20" t="s">
        <v>3239</v>
      </c>
      <c r="V3095" s="21">
        <v>31</v>
      </c>
      <c r="W3095" s="21">
        <v>4</v>
      </c>
      <c r="X3095" s="22"/>
    </row>
    <row r="3096" spans="1:24" s="1" customFormat="1" ht="21" customHeight="1" x14ac:dyDescent="0.3">
      <c r="A3096" s="23" t="s">
        <v>3014</v>
      </c>
      <c r="B3096" s="23" t="s">
        <v>3524</v>
      </c>
      <c r="C3096" s="28" t="s">
        <v>3525</v>
      </c>
      <c r="D3096" s="84"/>
      <c r="E3096" s="69" t="str">
        <f>HYPERLINK("https://www.google.ru/search?q=72306105-3340&amp;newwindow=1&amp;tbm=isch","Еще фото")</f>
        <v>Еще фото</v>
      </c>
      <c r="F3096" s="13"/>
      <c r="G3096" s="23" t="s">
        <v>3519</v>
      </c>
      <c r="H3096" s="23" t="s">
        <v>112</v>
      </c>
      <c r="I3096" s="23" t="s">
        <v>825</v>
      </c>
      <c r="J3096" s="14" t="s">
        <v>29</v>
      </c>
      <c r="K3096" s="15" t="s">
        <v>30</v>
      </c>
      <c r="L3096" s="87"/>
      <c r="M3096" s="14"/>
      <c r="N3096" s="14" t="s">
        <v>3526</v>
      </c>
      <c r="O3096" s="14"/>
      <c r="P3096" s="15" t="s">
        <v>3521</v>
      </c>
      <c r="Q3096" s="59">
        <v>999</v>
      </c>
      <c r="R3096" s="17">
        <v>45</v>
      </c>
      <c r="S3096" s="29">
        <v>631.86749999999995</v>
      </c>
      <c r="T3096" s="19" t="s">
        <v>117</v>
      </c>
      <c r="U3096" s="20" t="s">
        <v>3522</v>
      </c>
      <c r="V3096" s="21">
        <v>34</v>
      </c>
      <c r="W3096" s="21">
        <v>4</v>
      </c>
      <c r="X3096" s="22"/>
    </row>
    <row r="3097" spans="1:24" s="1" customFormat="1" ht="32.1" customHeight="1" x14ac:dyDescent="0.3">
      <c r="A3097" s="23" t="s">
        <v>3014</v>
      </c>
      <c r="B3097" s="23" t="s">
        <v>3524</v>
      </c>
      <c r="C3097" s="28" t="s">
        <v>3525</v>
      </c>
      <c r="D3097" s="85"/>
      <c r="E3097" s="69" t="str">
        <f>HYPERLINK("https://www.google.ru/search?q=72306105-3340&amp;newwindow=1&amp;tbm=isch","Еще фото")</f>
        <v>Еще фото</v>
      </c>
      <c r="F3097" s="13"/>
      <c r="G3097" s="23" t="s">
        <v>3519</v>
      </c>
      <c r="H3097" s="23" t="s">
        <v>112</v>
      </c>
      <c r="I3097" s="23" t="s">
        <v>825</v>
      </c>
      <c r="J3097" s="14" t="s">
        <v>29</v>
      </c>
      <c r="K3097" s="15" t="s">
        <v>30</v>
      </c>
      <c r="L3097" s="88"/>
      <c r="M3097" s="14"/>
      <c r="N3097" s="14" t="s">
        <v>3526</v>
      </c>
      <c r="O3097" s="14"/>
      <c r="P3097" s="15" t="s">
        <v>3521</v>
      </c>
      <c r="Q3097" s="59">
        <v>999</v>
      </c>
      <c r="R3097" s="17">
        <v>45</v>
      </c>
      <c r="S3097" s="29">
        <v>631.86749999999995</v>
      </c>
      <c r="T3097" s="19" t="s">
        <v>117</v>
      </c>
      <c r="U3097" s="20" t="s">
        <v>3516</v>
      </c>
      <c r="V3097" s="21">
        <v>37</v>
      </c>
      <c r="W3097" s="21">
        <v>6</v>
      </c>
      <c r="X3097" s="22"/>
    </row>
    <row r="3098" spans="1:24" s="1" customFormat="1" ht="51.95" customHeight="1" x14ac:dyDescent="0.3">
      <c r="A3098" s="11" t="s">
        <v>3014</v>
      </c>
      <c r="B3098" s="11" t="s">
        <v>3527</v>
      </c>
      <c r="C3098" s="12" t="s">
        <v>3528</v>
      </c>
      <c r="D3098" s="89"/>
      <c r="E3098" s="69" t="str">
        <f>HYPERLINK("https://www.google.ru/search?q=72306301-0100&amp;newwindow=1&amp;tbm=isch","Еще фото")</f>
        <v>Еще фото</v>
      </c>
      <c r="F3098" s="13"/>
      <c r="G3098" s="11" t="s">
        <v>824</v>
      </c>
      <c r="H3098" s="11" t="s">
        <v>112</v>
      </c>
      <c r="I3098" s="14" t="s">
        <v>825</v>
      </c>
      <c r="J3098" s="14" t="s">
        <v>29</v>
      </c>
      <c r="K3098" s="15" t="s">
        <v>30</v>
      </c>
      <c r="L3098" s="86"/>
      <c r="M3098" s="14"/>
      <c r="N3098" s="14" t="s">
        <v>89</v>
      </c>
      <c r="O3098" s="14"/>
      <c r="P3098" s="15" t="s">
        <v>3529</v>
      </c>
      <c r="Q3098" s="59">
        <v>799</v>
      </c>
      <c r="R3098" s="17">
        <v>45</v>
      </c>
      <c r="S3098" s="29">
        <v>505.36749999999995</v>
      </c>
      <c r="T3098" s="19" t="s">
        <v>117</v>
      </c>
      <c r="U3098" s="20" t="s">
        <v>3516</v>
      </c>
      <c r="V3098" s="21">
        <v>37</v>
      </c>
      <c r="W3098" s="21">
        <v>4</v>
      </c>
      <c r="X3098" s="22"/>
    </row>
    <row r="3099" spans="1:24" s="1" customFormat="1" ht="60.95" customHeight="1" x14ac:dyDescent="0.3">
      <c r="A3099" s="23" t="s">
        <v>3014</v>
      </c>
      <c r="B3099" s="23" t="s">
        <v>3527</v>
      </c>
      <c r="C3099" s="12" t="s">
        <v>3528</v>
      </c>
      <c r="D3099" s="90"/>
      <c r="E3099" s="69" t="str">
        <f>HYPERLINK("https://www.google.ru/search?q=72306301-0100&amp;newwindow=1&amp;tbm=isch","Еще фото")</f>
        <v>Еще фото</v>
      </c>
      <c r="F3099" s="13"/>
      <c r="G3099" s="23" t="s">
        <v>824</v>
      </c>
      <c r="H3099" s="23" t="s">
        <v>112</v>
      </c>
      <c r="I3099" s="23" t="s">
        <v>825</v>
      </c>
      <c r="J3099" s="14" t="s">
        <v>29</v>
      </c>
      <c r="K3099" s="15" t="s">
        <v>30</v>
      </c>
      <c r="L3099" s="88"/>
      <c r="M3099" s="14"/>
      <c r="N3099" s="14" t="s">
        <v>89</v>
      </c>
      <c r="O3099" s="14"/>
      <c r="P3099" s="15" t="s">
        <v>3529</v>
      </c>
      <c r="Q3099" s="59">
        <v>799</v>
      </c>
      <c r="R3099" s="17">
        <v>45</v>
      </c>
      <c r="S3099" s="29">
        <v>505.36749999999995</v>
      </c>
      <c r="T3099" s="19" t="s">
        <v>117</v>
      </c>
      <c r="U3099" s="20" t="s">
        <v>726</v>
      </c>
      <c r="V3099" s="21">
        <v>40</v>
      </c>
      <c r="W3099" s="21">
        <v>2</v>
      </c>
      <c r="X3099" s="22"/>
    </row>
    <row r="3100" spans="1:24" s="1" customFormat="1" ht="21" customHeight="1" x14ac:dyDescent="0.3">
      <c r="A3100" s="11" t="s">
        <v>3014</v>
      </c>
      <c r="B3100" s="11" t="s">
        <v>3530</v>
      </c>
      <c r="C3100" s="27" t="s">
        <v>3531</v>
      </c>
      <c r="D3100" s="83"/>
      <c r="E3100" s="69" t="str">
        <f>HYPERLINK("https://www.google.ru/search?q=73306302-4040&amp;newwindow=1&amp;tbm=isch","Еще фото")</f>
        <v>Еще фото</v>
      </c>
      <c r="F3100" s="13"/>
      <c r="G3100" s="11" t="s">
        <v>824</v>
      </c>
      <c r="H3100" s="11" t="s">
        <v>112</v>
      </c>
      <c r="I3100" s="14" t="s">
        <v>825</v>
      </c>
      <c r="J3100" s="14" t="s">
        <v>29</v>
      </c>
      <c r="K3100" s="15" t="s">
        <v>30</v>
      </c>
      <c r="L3100" s="86"/>
      <c r="M3100" s="14"/>
      <c r="N3100" s="14" t="s">
        <v>275</v>
      </c>
      <c r="O3100" s="14"/>
      <c r="P3100" s="15" t="s">
        <v>3532</v>
      </c>
      <c r="Q3100" s="59">
        <v>999</v>
      </c>
      <c r="R3100" s="17">
        <v>45</v>
      </c>
      <c r="S3100" s="29">
        <v>631.86749999999995</v>
      </c>
      <c r="T3100" s="19" t="s">
        <v>117</v>
      </c>
      <c r="U3100" s="20" t="s">
        <v>3246</v>
      </c>
      <c r="V3100" s="21">
        <v>28</v>
      </c>
      <c r="W3100" s="21">
        <v>3</v>
      </c>
      <c r="X3100" s="22"/>
    </row>
    <row r="3101" spans="1:24" s="1" customFormat="1" ht="21" customHeight="1" x14ac:dyDescent="0.3">
      <c r="A3101" s="23" t="s">
        <v>3014</v>
      </c>
      <c r="B3101" s="23" t="s">
        <v>3530</v>
      </c>
      <c r="C3101" s="28" t="s">
        <v>3531</v>
      </c>
      <c r="D3101" s="84"/>
      <c r="E3101" s="69" t="str">
        <f>HYPERLINK("https://www.google.ru/search?q=73306302-4040&amp;newwindow=1&amp;tbm=isch","Еще фото")</f>
        <v>Еще фото</v>
      </c>
      <c r="F3101" s="13"/>
      <c r="G3101" s="23" t="s">
        <v>824</v>
      </c>
      <c r="H3101" s="23" t="s">
        <v>112</v>
      </c>
      <c r="I3101" s="23" t="s">
        <v>825</v>
      </c>
      <c r="J3101" s="14" t="s">
        <v>29</v>
      </c>
      <c r="K3101" s="15" t="s">
        <v>30</v>
      </c>
      <c r="L3101" s="87"/>
      <c r="M3101" s="14"/>
      <c r="N3101" s="14" t="s">
        <v>275</v>
      </c>
      <c r="O3101" s="14"/>
      <c r="P3101" s="15" t="s">
        <v>3532</v>
      </c>
      <c r="Q3101" s="59">
        <v>999</v>
      </c>
      <c r="R3101" s="17">
        <v>45</v>
      </c>
      <c r="S3101" s="29">
        <v>631.86749999999995</v>
      </c>
      <c r="T3101" s="19" t="s">
        <v>117</v>
      </c>
      <c r="U3101" s="20" t="s">
        <v>3239</v>
      </c>
      <c r="V3101" s="21">
        <v>31</v>
      </c>
      <c r="W3101" s="21">
        <v>3</v>
      </c>
      <c r="X3101" s="22"/>
    </row>
    <row r="3102" spans="1:24" s="1" customFormat="1" ht="21" customHeight="1" x14ac:dyDescent="0.3">
      <c r="A3102" s="23" t="s">
        <v>3014</v>
      </c>
      <c r="B3102" s="23" t="s">
        <v>3530</v>
      </c>
      <c r="C3102" s="28" t="s">
        <v>3531</v>
      </c>
      <c r="D3102" s="84"/>
      <c r="E3102" s="69" t="str">
        <f>HYPERLINK("https://www.google.ru/search?q=73306302-4040&amp;newwindow=1&amp;tbm=isch","Еще фото")</f>
        <v>Еще фото</v>
      </c>
      <c r="F3102" s="13"/>
      <c r="G3102" s="23" t="s">
        <v>824</v>
      </c>
      <c r="H3102" s="23" t="s">
        <v>112</v>
      </c>
      <c r="I3102" s="23" t="s">
        <v>825</v>
      </c>
      <c r="J3102" s="14" t="s">
        <v>29</v>
      </c>
      <c r="K3102" s="15" t="s">
        <v>30</v>
      </c>
      <c r="L3102" s="87"/>
      <c r="M3102" s="14"/>
      <c r="N3102" s="14" t="s">
        <v>275</v>
      </c>
      <c r="O3102" s="14"/>
      <c r="P3102" s="15" t="s">
        <v>3532</v>
      </c>
      <c r="Q3102" s="59">
        <v>999</v>
      </c>
      <c r="R3102" s="17">
        <v>45</v>
      </c>
      <c r="S3102" s="29">
        <v>631.86749999999995</v>
      </c>
      <c r="T3102" s="19" t="s">
        <v>117</v>
      </c>
      <c r="U3102" s="20" t="s">
        <v>3522</v>
      </c>
      <c r="V3102" s="21">
        <v>34</v>
      </c>
      <c r="W3102" s="21">
        <v>3</v>
      </c>
      <c r="X3102" s="22"/>
    </row>
    <row r="3103" spans="1:24" s="1" customFormat="1" ht="21" customHeight="1" x14ac:dyDescent="0.3">
      <c r="A3103" s="23" t="s">
        <v>3014</v>
      </c>
      <c r="B3103" s="23" t="s">
        <v>3530</v>
      </c>
      <c r="C3103" s="28" t="s">
        <v>3531</v>
      </c>
      <c r="D3103" s="84"/>
      <c r="E3103" s="69" t="str">
        <f>HYPERLINK("https://www.google.ru/search?q=73306302-4040&amp;newwindow=1&amp;tbm=isch","Еще фото")</f>
        <v>Еще фото</v>
      </c>
      <c r="F3103" s="13"/>
      <c r="G3103" s="23" t="s">
        <v>824</v>
      </c>
      <c r="H3103" s="23" t="s">
        <v>112</v>
      </c>
      <c r="I3103" s="23" t="s">
        <v>825</v>
      </c>
      <c r="J3103" s="14" t="s">
        <v>29</v>
      </c>
      <c r="K3103" s="15" t="s">
        <v>30</v>
      </c>
      <c r="L3103" s="87"/>
      <c r="M3103" s="14"/>
      <c r="N3103" s="14" t="s">
        <v>275</v>
      </c>
      <c r="O3103" s="14"/>
      <c r="P3103" s="15" t="s">
        <v>3532</v>
      </c>
      <c r="Q3103" s="59">
        <v>999</v>
      </c>
      <c r="R3103" s="17">
        <v>45</v>
      </c>
      <c r="S3103" s="29">
        <v>631.86749999999995</v>
      </c>
      <c r="T3103" s="19" t="s">
        <v>117</v>
      </c>
      <c r="U3103" s="20" t="s">
        <v>3516</v>
      </c>
      <c r="V3103" s="21">
        <v>37</v>
      </c>
      <c r="W3103" s="21">
        <v>3</v>
      </c>
      <c r="X3103" s="22"/>
    </row>
    <row r="3104" spans="1:24" s="1" customFormat="1" ht="32.1" customHeight="1" x14ac:dyDescent="0.3">
      <c r="A3104" s="23" t="s">
        <v>3014</v>
      </c>
      <c r="B3104" s="23" t="s">
        <v>3530</v>
      </c>
      <c r="C3104" s="28" t="s">
        <v>3531</v>
      </c>
      <c r="D3104" s="85"/>
      <c r="E3104" s="69" t="str">
        <f>HYPERLINK("https://www.google.ru/search?q=73306302-4040&amp;newwindow=1&amp;tbm=isch","Еще фото")</f>
        <v>Еще фото</v>
      </c>
      <c r="F3104" s="13"/>
      <c r="G3104" s="23" t="s">
        <v>824</v>
      </c>
      <c r="H3104" s="23" t="s">
        <v>112</v>
      </c>
      <c r="I3104" s="23" t="s">
        <v>825</v>
      </c>
      <c r="J3104" s="14" t="s">
        <v>29</v>
      </c>
      <c r="K3104" s="15" t="s">
        <v>30</v>
      </c>
      <c r="L3104" s="88"/>
      <c r="M3104" s="14"/>
      <c r="N3104" s="14" t="s">
        <v>275</v>
      </c>
      <c r="O3104" s="14"/>
      <c r="P3104" s="15" t="s">
        <v>3532</v>
      </c>
      <c r="Q3104" s="59">
        <v>999</v>
      </c>
      <c r="R3104" s="17">
        <v>45</v>
      </c>
      <c r="S3104" s="29">
        <v>631.86749999999995</v>
      </c>
      <c r="T3104" s="19" t="s">
        <v>117</v>
      </c>
      <c r="U3104" s="20" t="s">
        <v>726</v>
      </c>
      <c r="V3104" s="21">
        <v>40</v>
      </c>
      <c r="W3104" s="21">
        <v>2</v>
      </c>
      <c r="X3104" s="22"/>
    </row>
    <row r="3105" spans="1:24" s="1" customFormat="1" ht="21" customHeight="1" x14ac:dyDescent="0.3">
      <c r="A3105" s="11" t="s">
        <v>3014</v>
      </c>
      <c r="B3105" s="11" t="s">
        <v>3530</v>
      </c>
      <c r="C3105" s="27" t="s">
        <v>3533</v>
      </c>
      <c r="D3105" s="83"/>
      <c r="E3105" s="69" t="str">
        <f>HYPERLINK("https://www.google.ru/search?q=73306302-9370&amp;newwindow=1&amp;tbm=isch","Еще фото")</f>
        <v>Еще фото</v>
      </c>
      <c r="F3105" s="13"/>
      <c r="G3105" s="11" t="s">
        <v>824</v>
      </c>
      <c r="H3105" s="11" t="s">
        <v>112</v>
      </c>
      <c r="I3105" s="14" t="s">
        <v>825</v>
      </c>
      <c r="J3105" s="14" t="s">
        <v>29</v>
      </c>
      <c r="K3105" s="15" t="s">
        <v>30</v>
      </c>
      <c r="L3105" s="86"/>
      <c r="M3105" s="14"/>
      <c r="N3105" s="14" t="s">
        <v>41</v>
      </c>
      <c r="O3105" s="14"/>
      <c r="P3105" s="15" t="s">
        <v>3532</v>
      </c>
      <c r="Q3105" s="59">
        <v>999</v>
      </c>
      <c r="R3105" s="17">
        <v>45</v>
      </c>
      <c r="S3105" s="29">
        <v>631.86749999999995</v>
      </c>
      <c r="T3105" s="19" t="s">
        <v>117</v>
      </c>
      <c r="U3105" s="20" t="s">
        <v>3246</v>
      </c>
      <c r="V3105" s="21">
        <v>28</v>
      </c>
      <c r="W3105" s="21">
        <v>3</v>
      </c>
      <c r="X3105" s="22"/>
    </row>
    <row r="3106" spans="1:24" s="1" customFormat="1" ht="21" customHeight="1" x14ac:dyDescent="0.3">
      <c r="A3106" s="23" t="s">
        <v>3014</v>
      </c>
      <c r="B3106" s="23" t="s">
        <v>3530</v>
      </c>
      <c r="C3106" s="28" t="s">
        <v>3533</v>
      </c>
      <c r="D3106" s="84"/>
      <c r="E3106" s="69" t="str">
        <f>HYPERLINK("https://www.google.ru/search?q=73306302-9370&amp;newwindow=1&amp;tbm=isch","Еще фото")</f>
        <v>Еще фото</v>
      </c>
      <c r="F3106" s="13"/>
      <c r="G3106" s="23" t="s">
        <v>824</v>
      </c>
      <c r="H3106" s="23" t="s">
        <v>112</v>
      </c>
      <c r="I3106" s="23" t="s">
        <v>825</v>
      </c>
      <c r="J3106" s="14" t="s">
        <v>29</v>
      </c>
      <c r="K3106" s="15" t="s">
        <v>30</v>
      </c>
      <c r="L3106" s="87"/>
      <c r="M3106" s="14"/>
      <c r="N3106" s="14" t="s">
        <v>41</v>
      </c>
      <c r="O3106" s="14"/>
      <c r="P3106" s="15" t="s">
        <v>3532</v>
      </c>
      <c r="Q3106" s="59">
        <v>999</v>
      </c>
      <c r="R3106" s="17">
        <v>45</v>
      </c>
      <c r="S3106" s="29">
        <v>631.86749999999995</v>
      </c>
      <c r="T3106" s="19" t="s">
        <v>117</v>
      </c>
      <c r="U3106" s="20" t="s">
        <v>3239</v>
      </c>
      <c r="V3106" s="21">
        <v>31</v>
      </c>
      <c r="W3106" s="21">
        <v>4</v>
      </c>
      <c r="X3106" s="22"/>
    </row>
    <row r="3107" spans="1:24" s="1" customFormat="1" ht="21" customHeight="1" x14ac:dyDescent="0.3">
      <c r="A3107" s="23" t="s">
        <v>3014</v>
      </c>
      <c r="B3107" s="23" t="s">
        <v>3530</v>
      </c>
      <c r="C3107" s="28" t="s">
        <v>3533</v>
      </c>
      <c r="D3107" s="84"/>
      <c r="E3107" s="69" t="str">
        <f>HYPERLINK("https://www.google.ru/search?q=73306302-9370&amp;newwindow=1&amp;tbm=isch","Еще фото")</f>
        <v>Еще фото</v>
      </c>
      <c r="F3107" s="13"/>
      <c r="G3107" s="23" t="s">
        <v>824</v>
      </c>
      <c r="H3107" s="23" t="s">
        <v>112</v>
      </c>
      <c r="I3107" s="23" t="s">
        <v>825</v>
      </c>
      <c r="J3107" s="14" t="s">
        <v>29</v>
      </c>
      <c r="K3107" s="15" t="s">
        <v>30</v>
      </c>
      <c r="L3107" s="87"/>
      <c r="M3107" s="14"/>
      <c r="N3107" s="14" t="s">
        <v>41</v>
      </c>
      <c r="O3107" s="14"/>
      <c r="P3107" s="15" t="s">
        <v>3532</v>
      </c>
      <c r="Q3107" s="59">
        <v>999</v>
      </c>
      <c r="R3107" s="17">
        <v>45</v>
      </c>
      <c r="S3107" s="29">
        <v>631.86749999999995</v>
      </c>
      <c r="T3107" s="19" t="s">
        <v>117</v>
      </c>
      <c r="U3107" s="20" t="s">
        <v>3522</v>
      </c>
      <c r="V3107" s="21">
        <v>34</v>
      </c>
      <c r="W3107" s="21">
        <v>2</v>
      </c>
      <c r="X3107" s="22"/>
    </row>
    <row r="3108" spans="1:24" s="1" customFormat="1" ht="21" customHeight="1" x14ac:dyDescent="0.3">
      <c r="A3108" s="23" t="s">
        <v>3014</v>
      </c>
      <c r="B3108" s="23" t="s">
        <v>3530</v>
      </c>
      <c r="C3108" s="28" t="s">
        <v>3533</v>
      </c>
      <c r="D3108" s="84"/>
      <c r="E3108" s="69" t="str">
        <f>HYPERLINK("https://www.google.ru/search?q=73306302-9370&amp;newwindow=1&amp;tbm=isch","Еще фото")</f>
        <v>Еще фото</v>
      </c>
      <c r="F3108" s="13"/>
      <c r="G3108" s="23" t="s">
        <v>824</v>
      </c>
      <c r="H3108" s="23" t="s">
        <v>112</v>
      </c>
      <c r="I3108" s="23" t="s">
        <v>825</v>
      </c>
      <c r="J3108" s="14" t="s">
        <v>29</v>
      </c>
      <c r="K3108" s="15" t="s">
        <v>30</v>
      </c>
      <c r="L3108" s="87"/>
      <c r="M3108" s="14"/>
      <c r="N3108" s="14" t="s">
        <v>41</v>
      </c>
      <c r="O3108" s="14"/>
      <c r="P3108" s="15" t="s">
        <v>3532</v>
      </c>
      <c r="Q3108" s="59">
        <v>999</v>
      </c>
      <c r="R3108" s="17">
        <v>45</v>
      </c>
      <c r="S3108" s="29">
        <v>631.86749999999995</v>
      </c>
      <c r="T3108" s="19" t="s">
        <v>117</v>
      </c>
      <c r="U3108" s="20" t="s">
        <v>3516</v>
      </c>
      <c r="V3108" s="21">
        <v>37</v>
      </c>
      <c r="W3108" s="21">
        <v>4</v>
      </c>
      <c r="X3108" s="22"/>
    </row>
    <row r="3109" spans="1:24" s="1" customFormat="1" ht="32.1" customHeight="1" x14ac:dyDescent="0.3">
      <c r="A3109" s="23" t="s">
        <v>3014</v>
      </c>
      <c r="B3109" s="23" t="s">
        <v>3530</v>
      </c>
      <c r="C3109" s="28" t="s">
        <v>3533</v>
      </c>
      <c r="D3109" s="85"/>
      <c r="E3109" s="69" t="str">
        <f>HYPERLINK("https://www.google.ru/search?q=73306302-9370&amp;newwindow=1&amp;tbm=isch","Еще фото")</f>
        <v>Еще фото</v>
      </c>
      <c r="F3109" s="13"/>
      <c r="G3109" s="23" t="s">
        <v>824</v>
      </c>
      <c r="H3109" s="23" t="s">
        <v>112</v>
      </c>
      <c r="I3109" s="23" t="s">
        <v>825</v>
      </c>
      <c r="J3109" s="14" t="s">
        <v>29</v>
      </c>
      <c r="K3109" s="15" t="s">
        <v>30</v>
      </c>
      <c r="L3109" s="88"/>
      <c r="M3109" s="14"/>
      <c r="N3109" s="14" t="s">
        <v>41</v>
      </c>
      <c r="O3109" s="14"/>
      <c r="P3109" s="15" t="s">
        <v>3532</v>
      </c>
      <c r="Q3109" s="59">
        <v>999</v>
      </c>
      <c r="R3109" s="17">
        <v>45</v>
      </c>
      <c r="S3109" s="29">
        <v>631.86749999999995</v>
      </c>
      <c r="T3109" s="19" t="s">
        <v>117</v>
      </c>
      <c r="U3109" s="20" t="s">
        <v>726</v>
      </c>
      <c r="V3109" s="21">
        <v>40</v>
      </c>
      <c r="W3109" s="21">
        <v>2</v>
      </c>
      <c r="X3109" s="22"/>
    </row>
    <row r="3110" spans="1:24" s="1" customFormat="1" ht="26.1" customHeight="1" x14ac:dyDescent="0.3">
      <c r="A3110" s="11" t="s">
        <v>3014</v>
      </c>
      <c r="B3110" s="11" t="s">
        <v>3530</v>
      </c>
      <c r="C3110" s="12" t="s">
        <v>3534</v>
      </c>
      <c r="D3110" s="83"/>
      <c r="E3110" s="69" t="str">
        <f>HYPERLINK("https://www.google.ru/search?q=73306302-9990&amp;newwindow=1&amp;tbm=isch","Еще фото")</f>
        <v>Еще фото</v>
      </c>
      <c r="F3110" s="13"/>
      <c r="G3110" s="11" t="s">
        <v>3519</v>
      </c>
      <c r="H3110" s="11" t="s">
        <v>112</v>
      </c>
      <c r="I3110" s="14" t="s">
        <v>825</v>
      </c>
      <c r="J3110" s="14" t="s">
        <v>29</v>
      </c>
      <c r="K3110" s="15" t="s">
        <v>30</v>
      </c>
      <c r="L3110" s="86"/>
      <c r="M3110" s="14"/>
      <c r="N3110" s="14" t="s">
        <v>1115</v>
      </c>
      <c r="O3110" s="14"/>
      <c r="P3110" s="15" t="s">
        <v>3532</v>
      </c>
      <c r="Q3110" s="59">
        <v>999</v>
      </c>
      <c r="R3110" s="17">
        <v>45</v>
      </c>
      <c r="S3110" s="29">
        <v>631.86749999999995</v>
      </c>
      <c r="T3110" s="19" t="s">
        <v>117</v>
      </c>
      <c r="U3110" s="20" t="s">
        <v>3246</v>
      </c>
      <c r="V3110" s="21">
        <v>28</v>
      </c>
      <c r="W3110" s="21">
        <v>3</v>
      </c>
      <c r="X3110" s="22"/>
    </row>
    <row r="3111" spans="1:24" s="1" customFormat="1" ht="26.1" customHeight="1" x14ac:dyDescent="0.3">
      <c r="A3111" s="23" t="s">
        <v>3014</v>
      </c>
      <c r="B3111" s="23" t="s">
        <v>3530</v>
      </c>
      <c r="C3111" s="12" t="s">
        <v>3534</v>
      </c>
      <c r="D3111" s="84"/>
      <c r="E3111" s="69" t="str">
        <f>HYPERLINK("https://www.google.ru/search?q=73306302-9990&amp;newwindow=1&amp;tbm=isch","Еще фото")</f>
        <v>Еще фото</v>
      </c>
      <c r="F3111" s="13"/>
      <c r="G3111" s="23" t="s">
        <v>3519</v>
      </c>
      <c r="H3111" s="23" t="s">
        <v>112</v>
      </c>
      <c r="I3111" s="23" t="s">
        <v>825</v>
      </c>
      <c r="J3111" s="14" t="s">
        <v>29</v>
      </c>
      <c r="K3111" s="15" t="s">
        <v>30</v>
      </c>
      <c r="L3111" s="87"/>
      <c r="M3111" s="14"/>
      <c r="N3111" s="14" t="s">
        <v>1115</v>
      </c>
      <c r="O3111" s="14"/>
      <c r="P3111" s="15" t="s">
        <v>3532</v>
      </c>
      <c r="Q3111" s="59">
        <v>999</v>
      </c>
      <c r="R3111" s="17">
        <v>45</v>
      </c>
      <c r="S3111" s="29">
        <v>631.86749999999995</v>
      </c>
      <c r="T3111" s="19" t="s">
        <v>117</v>
      </c>
      <c r="U3111" s="20" t="s">
        <v>3239</v>
      </c>
      <c r="V3111" s="21">
        <v>31</v>
      </c>
      <c r="W3111" s="21">
        <v>4</v>
      </c>
      <c r="X3111" s="22"/>
    </row>
    <row r="3112" spans="1:24" s="1" customFormat="1" ht="26.1" customHeight="1" x14ac:dyDescent="0.3">
      <c r="A3112" s="23" t="s">
        <v>3014</v>
      </c>
      <c r="B3112" s="23" t="s">
        <v>3530</v>
      </c>
      <c r="C3112" s="12" t="s">
        <v>3534</v>
      </c>
      <c r="D3112" s="84"/>
      <c r="E3112" s="69" t="str">
        <f>HYPERLINK("https://www.google.ru/search?q=73306302-9990&amp;newwindow=1&amp;tbm=isch","Еще фото")</f>
        <v>Еще фото</v>
      </c>
      <c r="F3112" s="13"/>
      <c r="G3112" s="23" t="s">
        <v>3519</v>
      </c>
      <c r="H3112" s="23" t="s">
        <v>112</v>
      </c>
      <c r="I3112" s="23" t="s">
        <v>825</v>
      </c>
      <c r="J3112" s="14" t="s">
        <v>29</v>
      </c>
      <c r="K3112" s="15" t="s">
        <v>30</v>
      </c>
      <c r="L3112" s="87"/>
      <c r="M3112" s="14"/>
      <c r="N3112" s="14" t="s">
        <v>1115</v>
      </c>
      <c r="O3112" s="14"/>
      <c r="P3112" s="15" t="s">
        <v>3532</v>
      </c>
      <c r="Q3112" s="59">
        <v>999</v>
      </c>
      <c r="R3112" s="17">
        <v>45</v>
      </c>
      <c r="S3112" s="29">
        <v>631.86749999999995</v>
      </c>
      <c r="T3112" s="19" t="s">
        <v>117</v>
      </c>
      <c r="U3112" s="20" t="s">
        <v>3522</v>
      </c>
      <c r="V3112" s="21">
        <v>34</v>
      </c>
      <c r="W3112" s="21">
        <v>4</v>
      </c>
      <c r="X3112" s="22"/>
    </row>
    <row r="3113" spans="1:24" s="1" customFormat="1" ht="26.1" customHeight="1" x14ac:dyDescent="0.3">
      <c r="A3113" s="23" t="s">
        <v>3014</v>
      </c>
      <c r="B3113" s="23" t="s">
        <v>3530</v>
      </c>
      <c r="C3113" s="12" t="s">
        <v>3534</v>
      </c>
      <c r="D3113" s="85"/>
      <c r="E3113" s="69" t="str">
        <f>HYPERLINK("https://www.google.ru/search?q=73306302-9990&amp;newwindow=1&amp;tbm=isch","Еще фото")</f>
        <v>Еще фото</v>
      </c>
      <c r="F3113" s="13"/>
      <c r="G3113" s="23" t="s">
        <v>3519</v>
      </c>
      <c r="H3113" s="23" t="s">
        <v>112</v>
      </c>
      <c r="I3113" s="23" t="s">
        <v>825</v>
      </c>
      <c r="J3113" s="14" t="s">
        <v>29</v>
      </c>
      <c r="K3113" s="15" t="s">
        <v>30</v>
      </c>
      <c r="L3113" s="88"/>
      <c r="M3113" s="14"/>
      <c r="N3113" s="14" t="s">
        <v>1115</v>
      </c>
      <c r="O3113" s="14"/>
      <c r="P3113" s="15" t="s">
        <v>3532</v>
      </c>
      <c r="Q3113" s="59">
        <v>999</v>
      </c>
      <c r="R3113" s="17">
        <v>45</v>
      </c>
      <c r="S3113" s="29">
        <v>631.86749999999995</v>
      </c>
      <c r="T3113" s="19" t="s">
        <v>117</v>
      </c>
      <c r="U3113" s="20" t="s">
        <v>3516</v>
      </c>
      <c r="V3113" s="21">
        <v>37</v>
      </c>
      <c r="W3113" s="21">
        <v>5</v>
      </c>
      <c r="X3113" s="22"/>
    </row>
    <row r="3114" spans="1:24" s="1" customFormat="1" ht="26.1" customHeight="1" x14ac:dyDescent="0.3">
      <c r="A3114" s="11" t="s">
        <v>3014</v>
      </c>
      <c r="B3114" s="11" t="s">
        <v>3535</v>
      </c>
      <c r="C3114" s="12" t="s">
        <v>3536</v>
      </c>
      <c r="D3114" s="83"/>
      <c r="E3114" s="69" t="str">
        <f>HYPERLINK("https://www.google.ru/search?q=73306303-4040&amp;newwindow=1&amp;tbm=isch","Еще фото")</f>
        <v>Еще фото</v>
      </c>
      <c r="F3114" s="13"/>
      <c r="G3114" s="11" t="s">
        <v>3519</v>
      </c>
      <c r="H3114" s="11" t="s">
        <v>112</v>
      </c>
      <c r="I3114" s="14" t="s">
        <v>825</v>
      </c>
      <c r="J3114" s="14" t="s">
        <v>29</v>
      </c>
      <c r="K3114" s="15" t="s">
        <v>30</v>
      </c>
      <c r="L3114" s="86"/>
      <c r="M3114" s="14"/>
      <c r="N3114" s="14" t="s">
        <v>3537</v>
      </c>
      <c r="O3114" s="14"/>
      <c r="P3114" s="15" t="s">
        <v>3538</v>
      </c>
      <c r="Q3114" s="59">
        <v>999</v>
      </c>
      <c r="R3114" s="17">
        <v>45</v>
      </c>
      <c r="S3114" s="29">
        <v>631.86749999999995</v>
      </c>
      <c r="T3114" s="19" t="s">
        <v>117</v>
      </c>
      <c r="U3114" s="20" t="s">
        <v>3246</v>
      </c>
      <c r="V3114" s="21">
        <v>28</v>
      </c>
      <c r="W3114" s="21">
        <v>3</v>
      </c>
      <c r="X3114" s="22"/>
    </row>
    <row r="3115" spans="1:24" s="1" customFormat="1" ht="26.1" customHeight="1" x14ac:dyDescent="0.3">
      <c r="A3115" s="23" t="s">
        <v>3014</v>
      </c>
      <c r="B3115" s="23" t="s">
        <v>3535</v>
      </c>
      <c r="C3115" s="12" t="s">
        <v>3536</v>
      </c>
      <c r="D3115" s="84"/>
      <c r="E3115" s="69" t="str">
        <f>HYPERLINK("https://www.google.ru/search?q=73306303-4040&amp;newwindow=1&amp;tbm=isch","Еще фото")</f>
        <v>Еще фото</v>
      </c>
      <c r="F3115" s="13"/>
      <c r="G3115" s="23" t="s">
        <v>3519</v>
      </c>
      <c r="H3115" s="23" t="s">
        <v>112</v>
      </c>
      <c r="I3115" s="23" t="s">
        <v>825</v>
      </c>
      <c r="J3115" s="14" t="s">
        <v>29</v>
      </c>
      <c r="K3115" s="15" t="s">
        <v>30</v>
      </c>
      <c r="L3115" s="87"/>
      <c r="M3115" s="14"/>
      <c r="N3115" s="14" t="s">
        <v>3537</v>
      </c>
      <c r="O3115" s="14"/>
      <c r="P3115" s="15" t="s">
        <v>3538</v>
      </c>
      <c r="Q3115" s="59">
        <v>999</v>
      </c>
      <c r="R3115" s="17">
        <v>45</v>
      </c>
      <c r="S3115" s="29">
        <v>631.86749999999995</v>
      </c>
      <c r="T3115" s="19" t="s">
        <v>117</v>
      </c>
      <c r="U3115" s="20" t="s">
        <v>3239</v>
      </c>
      <c r="V3115" s="21">
        <v>31</v>
      </c>
      <c r="W3115" s="21">
        <v>3</v>
      </c>
      <c r="X3115" s="22"/>
    </row>
    <row r="3116" spans="1:24" s="1" customFormat="1" ht="26.1" customHeight="1" x14ac:dyDescent="0.3">
      <c r="A3116" s="23" t="s">
        <v>3014</v>
      </c>
      <c r="B3116" s="23" t="s">
        <v>3535</v>
      </c>
      <c r="C3116" s="12" t="s">
        <v>3536</v>
      </c>
      <c r="D3116" s="84"/>
      <c r="E3116" s="69" t="str">
        <f>HYPERLINK("https://www.google.ru/search?q=73306303-4040&amp;newwindow=1&amp;tbm=isch","Еще фото")</f>
        <v>Еще фото</v>
      </c>
      <c r="F3116" s="13"/>
      <c r="G3116" s="23" t="s">
        <v>3519</v>
      </c>
      <c r="H3116" s="23" t="s">
        <v>112</v>
      </c>
      <c r="I3116" s="23" t="s">
        <v>825</v>
      </c>
      <c r="J3116" s="14" t="s">
        <v>29</v>
      </c>
      <c r="K3116" s="15" t="s">
        <v>30</v>
      </c>
      <c r="L3116" s="87"/>
      <c r="M3116" s="14"/>
      <c r="N3116" s="14" t="s">
        <v>3537</v>
      </c>
      <c r="O3116" s="14"/>
      <c r="P3116" s="15" t="s">
        <v>3538</v>
      </c>
      <c r="Q3116" s="59">
        <v>999</v>
      </c>
      <c r="R3116" s="17">
        <v>45</v>
      </c>
      <c r="S3116" s="29">
        <v>631.86749999999995</v>
      </c>
      <c r="T3116" s="19" t="s">
        <v>117</v>
      </c>
      <c r="U3116" s="20" t="s">
        <v>3522</v>
      </c>
      <c r="V3116" s="21">
        <v>34</v>
      </c>
      <c r="W3116" s="21">
        <v>4</v>
      </c>
      <c r="X3116" s="22"/>
    </row>
    <row r="3117" spans="1:24" s="1" customFormat="1" ht="26.1" customHeight="1" x14ac:dyDescent="0.3">
      <c r="A3117" s="23" t="s">
        <v>3014</v>
      </c>
      <c r="B3117" s="23" t="s">
        <v>3535</v>
      </c>
      <c r="C3117" s="12" t="s">
        <v>3536</v>
      </c>
      <c r="D3117" s="85"/>
      <c r="E3117" s="69" t="str">
        <f>HYPERLINK("https://www.google.ru/search?q=73306303-4040&amp;newwindow=1&amp;tbm=isch","Еще фото")</f>
        <v>Еще фото</v>
      </c>
      <c r="F3117" s="13"/>
      <c r="G3117" s="23" t="s">
        <v>3519</v>
      </c>
      <c r="H3117" s="23" t="s">
        <v>112</v>
      </c>
      <c r="I3117" s="23" t="s">
        <v>825</v>
      </c>
      <c r="J3117" s="14" t="s">
        <v>29</v>
      </c>
      <c r="K3117" s="15" t="s">
        <v>30</v>
      </c>
      <c r="L3117" s="88"/>
      <c r="M3117" s="14"/>
      <c r="N3117" s="14" t="s">
        <v>3537</v>
      </c>
      <c r="O3117" s="14"/>
      <c r="P3117" s="15" t="s">
        <v>3538</v>
      </c>
      <c r="Q3117" s="59">
        <v>999</v>
      </c>
      <c r="R3117" s="17">
        <v>45</v>
      </c>
      <c r="S3117" s="29">
        <v>631.86749999999995</v>
      </c>
      <c r="T3117" s="19" t="s">
        <v>117</v>
      </c>
      <c r="U3117" s="20" t="s">
        <v>3516</v>
      </c>
      <c r="V3117" s="21">
        <v>37</v>
      </c>
      <c r="W3117" s="21">
        <v>4</v>
      </c>
      <c r="X3117" s="22"/>
    </row>
    <row r="3118" spans="1:24" s="1" customFormat="1" ht="21" customHeight="1" x14ac:dyDescent="0.3">
      <c r="A3118" s="11" t="s">
        <v>3014</v>
      </c>
      <c r="B3118" s="11" t="s">
        <v>3535</v>
      </c>
      <c r="C3118" s="27" t="s">
        <v>3539</v>
      </c>
      <c r="D3118" s="83"/>
      <c r="E3118" s="69" t="str">
        <f>HYPERLINK("https://www.google.ru/search?q=73306303-6140&amp;newwindow=1&amp;tbm=isch","Еще фото")</f>
        <v>Еще фото</v>
      </c>
      <c r="F3118" s="13"/>
      <c r="G3118" s="11" t="s">
        <v>824</v>
      </c>
      <c r="H3118" s="11" t="s">
        <v>112</v>
      </c>
      <c r="I3118" s="14" t="s">
        <v>825</v>
      </c>
      <c r="J3118" s="14" t="s">
        <v>29</v>
      </c>
      <c r="K3118" s="15" t="s">
        <v>30</v>
      </c>
      <c r="L3118" s="86"/>
      <c r="M3118" s="14"/>
      <c r="N3118" s="14" t="s">
        <v>265</v>
      </c>
      <c r="O3118" s="14"/>
      <c r="P3118" s="15" t="s">
        <v>3540</v>
      </c>
      <c r="Q3118" s="59">
        <v>999</v>
      </c>
      <c r="R3118" s="17">
        <v>45</v>
      </c>
      <c r="S3118" s="29">
        <v>631.86749999999995</v>
      </c>
      <c r="T3118" s="19" t="s">
        <v>117</v>
      </c>
      <c r="U3118" s="20" t="s">
        <v>3246</v>
      </c>
      <c r="V3118" s="21">
        <v>28</v>
      </c>
      <c r="W3118" s="21">
        <v>5</v>
      </c>
      <c r="X3118" s="22"/>
    </row>
    <row r="3119" spans="1:24" s="1" customFormat="1" ht="21" customHeight="1" x14ac:dyDescent="0.3">
      <c r="A3119" s="23" t="s">
        <v>3014</v>
      </c>
      <c r="B3119" s="23" t="s">
        <v>3535</v>
      </c>
      <c r="C3119" s="28" t="s">
        <v>3539</v>
      </c>
      <c r="D3119" s="84"/>
      <c r="E3119" s="69" t="str">
        <f>HYPERLINK("https://www.google.ru/search?q=73306303-6140&amp;newwindow=1&amp;tbm=isch","Еще фото")</f>
        <v>Еще фото</v>
      </c>
      <c r="F3119" s="13"/>
      <c r="G3119" s="23" t="s">
        <v>824</v>
      </c>
      <c r="H3119" s="23" t="s">
        <v>112</v>
      </c>
      <c r="I3119" s="23" t="s">
        <v>825</v>
      </c>
      <c r="J3119" s="14" t="s">
        <v>29</v>
      </c>
      <c r="K3119" s="15" t="s">
        <v>30</v>
      </c>
      <c r="L3119" s="87"/>
      <c r="M3119" s="14"/>
      <c r="N3119" s="14" t="s">
        <v>265</v>
      </c>
      <c r="O3119" s="14"/>
      <c r="P3119" s="15" t="s">
        <v>3540</v>
      </c>
      <c r="Q3119" s="59">
        <v>999</v>
      </c>
      <c r="R3119" s="17">
        <v>45</v>
      </c>
      <c r="S3119" s="29">
        <v>631.86749999999995</v>
      </c>
      <c r="T3119" s="19" t="s">
        <v>117</v>
      </c>
      <c r="U3119" s="20" t="s">
        <v>3239</v>
      </c>
      <c r="V3119" s="21">
        <v>31</v>
      </c>
      <c r="W3119" s="21">
        <v>5</v>
      </c>
      <c r="X3119" s="22"/>
    </row>
    <row r="3120" spans="1:24" s="1" customFormat="1" ht="21" customHeight="1" x14ac:dyDescent="0.3">
      <c r="A3120" s="23" t="s">
        <v>3014</v>
      </c>
      <c r="B3120" s="23" t="s">
        <v>3535</v>
      </c>
      <c r="C3120" s="28" t="s">
        <v>3539</v>
      </c>
      <c r="D3120" s="84"/>
      <c r="E3120" s="69" t="str">
        <f>HYPERLINK("https://www.google.ru/search?q=73306303-6140&amp;newwindow=1&amp;tbm=isch","Еще фото")</f>
        <v>Еще фото</v>
      </c>
      <c r="F3120" s="13"/>
      <c r="G3120" s="23" t="s">
        <v>824</v>
      </c>
      <c r="H3120" s="23" t="s">
        <v>112</v>
      </c>
      <c r="I3120" s="23" t="s">
        <v>825</v>
      </c>
      <c r="J3120" s="14" t="s">
        <v>29</v>
      </c>
      <c r="K3120" s="15" t="s">
        <v>30</v>
      </c>
      <c r="L3120" s="87"/>
      <c r="M3120" s="14"/>
      <c r="N3120" s="14" t="s">
        <v>265</v>
      </c>
      <c r="O3120" s="14"/>
      <c r="P3120" s="15" t="s">
        <v>3540</v>
      </c>
      <c r="Q3120" s="59">
        <v>999</v>
      </c>
      <c r="R3120" s="17">
        <v>45</v>
      </c>
      <c r="S3120" s="29">
        <v>631.86749999999995</v>
      </c>
      <c r="T3120" s="19" t="s">
        <v>117</v>
      </c>
      <c r="U3120" s="20" t="s">
        <v>3522</v>
      </c>
      <c r="V3120" s="21">
        <v>34</v>
      </c>
      <c r="W3120" s="21">
        <v>4</v>
      </c>
      <c r="X3120" s="22"/>
    </row>
    <row r="3121" spans="1:24" s="1" customFormat="1" ht="21" customHeight="1" x14ac:dyDescent="0.3">
      <c r="A3121" s="23" t="s">
        <v>3014</v>
      </c>
      <c r="B3121" s="23" t="s">
        <v>3535</v>
      </c>
      <c r="C3121" s="28" t="s">
        <v>3539</v>
      </c>
      <c r="D3121" s="84"/>
      <c r="E3121" s="69" t="str">
        <f>HYPERLINK("https://www.google.ru/search?q=73306303-6140&amp;newwindow=1&amp;tbm=isch","Еще фото")</f>
        <v>Еще фото</v>
      </c>
      <c r="F3121" s="13"/>
      <c r="G3121" s="23" t="s">
        <v>824</v>
      </c>
      <c r="H3121" s="23" t="s">
        <v>112</v>
      </c>
      <c r="I3121" s="23" t="s">
        <v>825</v>
      </c>
      <c r="J3121" s="14" t="s">
        <v>29</v>
      </c>
      <c r="K3121" s="15" t="s">
        <v>30</v>
      </c>
      <c r="L3121" s="87"/>
      <c r="M3121" s="14"/>
      <c r="N3121" s="14" t="s">
        <v>265</v>
      </c>
      <c r="O3121" s="14"/>
      <c r="P3121" s="15" t="s">
        <v>3540</v>
      </c>
      <c r="Q3121" s="59">
        <v>999</v>
      </c>
      <c r="R3121" s="17">
        <v>45</v>
      </c>
      <c r="S3121" s="29">
        <v>631.86749999999995</v>
      </c>
      <c r="T3121" s="19" t="s">
        <v>117</v>
      </c>
      <c r="U3121" s="20" t="s">
        <v>3516</v>
      </c>
      <c r="V3121" s="21">
        <v>37</v>
      </c>
      <c r="W3121" s="21">
        <v>5</v>
      </c>
      <c r="X3121" s="22"/>
    </row>
    <row r="3122" spans="1:24" s="1" customFormat="1" ht="32.1" customHeight="1" x14ac:dyDescent="0.3">
      <c r="A3122" s="23" t="s">
        <v>3014</v>
      </c>
      <c r="B3122" s="23" t="s">
        <v>3535</v>
      </c>
      <c r="C3122" s="28" t="s">
        <v>3539</v>
      </c>
      <c r="D3122" s="85"/>
      <c r="E3122" s="69" t="str">
        <f>HYPERLINK("https://www.google.ru/search?q=73306303-6140&amp;newwindow=1&amp;tbm=isch","Еще фото")</f>
        <v>Еще фото</v>
      </c>
      <c r="F3122" s="13"/>
      <c r="G3122" s="23" t="s">
        <v>824</v>
      </c>
      <c r="H3122" s="23" t="s">
        <v>112</v>
      </c>
      <c r="I3122" s="23" t="s">
        <v>825</v>
      </c>
      <c r="J3122" s="14" t="s">
        <v>29</v>
      </c>
      <c r="K3122" s="15" t="s">
        <v>30</v>
      </c>
      <c r="L3122" s="88"/>
      <c r="M3122" s="14"/>
      <c r="N3122" s="14" t="s">
        <v>265</v>
      </c>
      <c r="O3122" s="14"/>
      <c r="P3122" s="15" t="s">
        <v>3540</v>
      </c>
      <c r="Q3122" s="59">
        <v>999</v>
      </c>
      <c r="R3122" s="17">
        <v>45</v>
      </c>
      <c r="S3122" s="29">
        <v>631.86749999999995</v>
      </c>
      <c r="T3122" s="19" t="s">
        <v>117</v>
      </c>
      <c r="U3122" s="20" t="s">
        <v>726</v>
      </c>
      <c r="V3122" s="21">
        <v>40</v>
      </c>
      <c r="W3122" s="21">
        <v>2</v>
      </c>
      <c r="X3122" s="22"/>
    </row>
    <row r="3123" spans="1:24" s="1" customFormat="1" ht="26.1" customHeight="1" x14ac:dyDescent="0.3">
      <c r="A3123" s="11" t="s">
        <v>3541</v>
      </c>
      <c r="B3123" s="11" t="s">
        <v>3542</v>
      </c>
      <c r="C3123" s="12" t="s">
        <v>3543</v>
      </c>
      <c r="D3123" s="83"/>
      <c r="E3123" s="69" t="str">
        <f>HYPERLINK("https://www.google.ru/search?q=DR101179107D0267&amp;newwindow=1&amp;tbm=isch","Еще фото")</f>
        <v>Еще фото</v>
      </c>
      <c r="F3123" s="13"/>
      <c r="G3123" s="11" t="s">
        <v>394</v>
      </c>
      <c r="H3123" s="11" t="s">
        <v>151</v>
      </c>
      <c r="I3123" s="14" t="s">
        <v>395</v>
      </c>
      <c r="J3123" s="14" t="s">
        <v>879</v>
      </c>
      <c r="K3123" s="15" t="s">
        <v>47</v>
      </c>
      <c r="L3123" s="86" t="s">
        <v>3544</v>
      </c>
      <c r="M3123" s="14"/>
      <c r="N3123" s="14" t="s">
        <v>265</v>
      </c>
      <c r="O3123" s="14"/>
      <c r="P3123" s="15" t="s">
        <v>3545</v>
      </c>
      <c r="Q3123" s="16">
        <v>29990</v>
      </c>
      <c r="R3123" s="17">
        <v>71.3</v>
      </c>
      <c r="S3123" s="18">
        <v>9898.9354999999996</v>
      </c>
      <c r="T3123" s="19" t="s">
        <v>846</v>
      </c>
      <c r="U3123" s="20" t="s">
        <v>3546</v>
      </c>
      <c r="V3123" s="21">
        <v>40</v>
      </c>
      <c r="W3123" s="21">
        <v>1</v>
      </c>
      <c r="X3123" s="22"/>
    </row>
    <row r="3124" spans="1:24" s="1" customFormat="1" ht="26.1" customHeight="1" x14ac:dyDescent="0.3">
      <c r="A3124" s="23" t="s">
        <v>3541</v>
      </c>
      <c r="B3124" s="23" t="s">
        <v>3542</v>
      </c>
      <c r="C3124" s="12" t="s">
        <v>3543</v>
      </c>
      <c r="D3124" s="84"/>
      <c r="E3124" s="69" t="str">
        <f>HYPERLINK("https://www.google.ru/search?q=DR101179107D0267&amp;newwindow=1&amp;tbm=isch","Еще фото")</f>
        <v>Еще фото</v>
      </c>
      <c r="F3124" s="13"/>
      <c r="G3124" s="23" t="s">
        <v>394</v>
      </c>
      <c r="H3124" s="23" t="s">
        <v>151</v>
      </c>
      <c r="I3124" s="23" t="s">
        <v>395</v>
      </c>
      <c r="J3124" s="14" t="s">
        <v>879</v>
      </c>
      <c r="K3124" s="15" t="s">
        <v>47</v>
      </c>
      <c r="L3124" s="87"/>
      <c r="M3124" s="14"/>
      <c r="N3124" s="14" t="s">
        <v>265</v>
      </c>
      <c r="O3124" s="14"/>
      <c r="P3124" s="15" t="s">
        <v>3545</v>
      </c>
      <c r="Q3124" s="16">
        <v>29990</v>
      </c>
      <c r="R3124" s="17">
        <v>71.3</v>
      </c>
      <c r="S3124" s="18">
        <v>9898.9354999999996</v>
      </c>
      <c r="T3124" s="19" t="s">
        <v>846</v>
      </c>
      <c r="U3124" s="20" t="s">
        <v>157</v>
      </c>
      <c r="V3124" s="21">
        <v>41</v>
      </c>
      <c r="W3124" s="21">
        <v>4</v>
      </c>
      <c r="X3124" s="22"/>
    </row>
    <row r="3125" spans="1:24" s="1" customFormat="1" ht="26.1" customHeight="1" x14ac:dyDescent="0.3">
      <c r="A3125" s="23" t="s">
        <v>3541</v>
      </c>
      <c r="B3125" s="23" t="s">
        <v>3542</v>
      </c>
      <c r="C3125" s="12" t="s">
        <v>3543</v>
      </c>
      <c r="D3125" s="84"/>
      <c r="E3125" s="69" t="str">
        <f>HYPERLINK("https://www.google.ru/search?q=DR101179107D0267&amp;newwindow=1&amp;tbm=isch","Еще фото")</f>
        <v>Еще фото</v>
      </c>
      <c r="F3125" s="13"/>
      <c r="G3125" s="23" t="s">
        <v>394</v>
      </c>
      <c r="H3125" s="23" t="s">
        <v>151</v>
      </c>
      <c r="I3125" s="23" t="s">
        <v>395</v>
      </c>
      <c r="J3125" s="14" t="s">
        <v>879</v>
      </c>
      <c r="K3125" s="15" t="s">
        <v>47</v>
      </c>
      <c r="L3125" s="87"/>
      <c r="M3125" s="14"/>
      <c r="N3125" s="14" t="s">
        <v>265</v>
      </c>
      <c r="O3125" s="14"/>
      <c r="P3125" s="15" t="s">
        <v>3545</v>
      </c>
      <c r="Q3125" s="16">
        <v>29990</v>
      </c>
      <c r="R3125" s="17">
        <v>71.3</v>
      </c>
      <c r="S3125" s="18">
        <v>9898.9354999999996</v>
      </c>
      <c r="T3125" s="19" t="s">
        <v>846</v>
      </c>
      <c r="U3125" s="20" t="s">
        <v>3547</v>
      </c>
      <c r="V3125" s="30">
        <v>41.5</v>
      </c>
      <c r="W3125" s="21">
        <v>4</v>
      </c>
      <c r="X3125" s="22"/>
    </row>
    <row r="3126" spans="1:24" s="1" customFormat="1" ht="26.1" customHeight="1" x14ac:dyDescent="0.3">
      <c r="A3126" s="23" t="s">
        <v>3541</v>
      </c>
      <c r="B3126" s="23" t="s">
        <v>3542</v>
      </c>
      <c r="C3126" s="12" t="s">
        <v>3543</v>
      </c>
      <c r="D3126" s="85"/>
      <c r="E3126" s="69" t="str">
        <f>HYPERLINK("https://www.google.ru/search?q=DR101179107D0267&amp;newwindow=1&amp;tbm=isch","Еще фото")</f>
        <v>Еще фото</v>
      </c>
      <c r="F3126" s="13"/>
      <c r="G3126" s="23" t="s">
        <v>394</v>
      </c>
      <c r="H3126" s="23" t="s">
        <v>151</v>
      </c>
      <c r="I3126" s="23" t="s">
        <v>395</v>
      </c>
      <c r="J3126" s="14" t="s">
        <v>879</v>
      </c>
      <c r="K3126" s="15" t="s">
        <v>47</v>
      </c>
      <c r="L3126" s="88"/>
      <c r="M3126" s="14"/>
      <c r="N3126" s="14" t="s">
        <v>265</v>
      </c>
      <c r="O3126" s="14"/>
      <c r="P3126" s="15" t="s">
        <v>3545</v>
      </c>
      <c r="Q3126" s="16">
        <v>29990</v>
      </c>
      <c r="R3126" s="17">
        <v>71.3</v>
      </c>
      <c r="S3126" s="18">
        <v>9898.9354999999996</v>
      </c>
      <c r="T3126" s="19" t="s">
        <v>846</v>
      </c>
      <c r="U3126" s="20" t="s">
        <v>162</v>
      </c>
      <c r="V3126" s="21">
        <v>42</v>
      </c>
      <c r="W3126" s="21">
        <v>3</v>
      </c>
      <c r="X3126" s="22"/>
    </row>
    <row r="3127" spans="1:24" s="1" customFormat="1" ht="35.1" customHeight="1" x14ac:dyDescent="0.3">
      <c r="A3127" s="11" t="s">
        <v>3541</v>
      </c>
      <c r="B3127" s="11" t="s">
        <v>3548</v>
      </c>
      <c r="C3127" s="12" t="s">
        <v>3549</v>
      </c>
      <c r="D3127" s="83"/>
      <c r="E3127" s="69" t="str">
        <f>HYPERLINK("https://www.google.ru/search?q=DR101179502C1512&amp;newwindow=1&amp;tbm=isch","Еще фото")</f>
        <v>Еще фото</v>
      </c>
      <c r="F3127" s="13"/>
      <c r="G3127" s="11" t="s">
        <v>394</v>
      </c>
      <c r="H3127" s="11" t="s">
        <v>151</v>
      </c>
      <c r="I3127" s="14" t="s">
        <v>395</v>
      </c>
      <c r="J3127" s="14" t="s">
        <v>879</v>
      </c>
      <c r="K3127" s="15" t="s">
        <v>55</v>
      </c>
      <c r="L3127" s="86" t="s">
        <v>3550</v>
      </c>
      <c r="M3127" s="14"/>
      <c r="N3127" s="14" t="s">
        <v>70</v>
      </c>
      <c r="O3127" s="14"/>
      <c r="P3127" s="15" t="s">
        <v>3551</v>
      </c>
      <c r="Q3127" s="16">
        <v>29990</v>
      </c>
      <c r="R3127" s="17">
        <v>69.16</v>
      </c>
      <c r="S3127" s="18">
        <v>10634.9355</v>
      </c>
      <c r="T3127" s="19" t="s">
        <v>846</v>
      </c>
      <c r="U3127" s="20" t="s">
        <v>163</v>
      </c>
      <c r="V3127" s="25" t="s">
        <v>3552</v>
      </c>
      <c r="W3127" s="21">
        <v>1</v>
      </c>
      <c r="X3127" s="22"/>
    </row>
    <row r="3128" spans="1:24" s="1" customFormat="1" ht="35.1" customHeight="1" x14ac:dyDescent="0.3">
      <c r="A3128" s="23" t="s">
        <v>3541</v>
      </c>
      <c r="B3128" s="23" t="s">
        <v>3548</v>
      </c>
      <c r="C3128" s="12" t="s">
        <v>3549</v>
      </c>
      <c r="D3128" s="84"/>
      <c r="E3128" s="69" t="str">
        <f>HYPERLINK("https://www.google.ru/search?q=DR101179502C1512&amp;newwindow=1&amp;tbm=isch","Еще фото")</f>
        <v>Еще фото</v>
      </c>
      <c r="F3128" s="13"/>
      <c r="G3128" s="23" t="s">
        <v>394</v>
      </c>
      <c r="H3128" s="23" t="s">
        <v>151</v>
      </c>
      <c r="I3128" s="23" t="s">
        <v>395</v>
      </c>
      <c r="J3128" s="14" t="s">
        <v>879</v>
      </c>
      <c r="K3128" s="15" t="s">
        <v>55</v>
      </c>
      <c r="L3128" s="87"/>
      <c r="M3128" s="14"/>
      <c r="N3128" s="14" t="s">
        <v>70</v>
      </c>
      <c r="O3128" s="14"/>
      <c r="P3128" s="15" t="s">
        <v>3551</v>
      </c>
      <c r="Q3128" s="16">
        <v>29990</v>
      </c>
      <c r="R3128" s="17">
        <v>69.16</v>
      </c>
      <c r="S3128" s="18">
        <v>10634.9355</v>
      </c>
      <c r="T3128" s="19" t="s">
        <v>846</v>
      </c>
      <c r="U3128" s="20" t="s">
        <v>164</v>
      </c>
      <c r="V3128" s="25" t="s">
        <v>3553</v>
      </c>
      <c r="W3128" s="21">
        <v>2</v>
      </c>
      <c r="X3128" s="22"/>
    </row>
    <row r="3129" spans="1:24" s="1" customFormat="1" ht="36.950000000000003" customHeight="1" x14ac:dyDescent="0.3">
      <c r="A3129" s="23" t="s">
        <v>3541</v>
      </c>
      <c r="B3129" s="23" t="s">
        <v>3548</v>
      </c>
      <c r="C3129" s="12" t="s">
        <v>3549</v>
      </c>
      <c r="D3129" s="85"/>
      <c r="E3129" s="69" t="str">
        <f>HYPERLINK("https://www.google.ru/search?q=DR101179502C1512&amp;newwindow=1&amp;tbm=isch","Еще фото")</f>
        <v>Еще фото</v>
      </c>
      <c r="F3129" s="13"/>
      <c r="G3129" s="23" t="s">
        <v>394</v>
      </c>
      <c r="H3129" s="23" t="s">
        <v>151</v>
      </c>
      <c r="I3129" s="23" t="s">
        <v>395</v>
      </c>
      <c r="J3129" s="14" t="s">
        <v>879</v>
      </c>
      <c r="K3129" s="15" t="s">
        <v>55</v>
      </c>
      <c r="L3129" s="88"/>
      <c r="M3129" s="14"/>
      <c r="N3129" s="14" t="s">
        <v>70</v>
      </c>
      <c r="O3129" s="14"/>
      <c r="P3129" s="15" t="s">
        <v>3551</v>
      </c>
      <c r="Q3129" s="16">
        <v>29990</v>
      </c>
      <c r="R3129" s="17">
        <v>69.16</v>
      </c>
      <c r="S3129" s="18">
        <v>10634.9355</v>
      </c>
      <c r="T3129" s="19" t="s">
        <v>846</v>
      </c>
      <c r="U3129" s="20" t="s">
        <v>1220</v>
      </c>
      <c r="V3129" s="21">
        <v>45</v>
      </c>
      <c r="W3129" s="21">
        <v>1</v>
      </c>
      <c r="X3129" s="22"/>
    </row>
    <row r="3130" spans="1:24" s="1" customFormat="1" ht="21" customHeight="1" x14ac:dyDescent="0.3">
      <c r="A3130" s="11" t="s">
        <v>3541</v>
      </c>
      <c r="B3130" s="11" t="s">
        <v>3554</v>
      </c>
      <c r="C3130" s="27" t="s">
        <v>3555</v>
      </c>
      <c r="D3130" s="83"/>
      <c r="E3130" s="69" t="str">
        <f>HYPERLINK("https://www.google.ru/search?q=DR101179099D0272&amp;newwindow=1&amp;tbm=isch","Еще фото")</f>
        <v>Еще фото</v>
      </c>
      <c r="F3130" s="13"/>
      <c r="G3130" s="11" t="s">
        <v>394</v>
      </c>
      <c r="H3130" s="11" t="s">
        <v>151</v>
      </c>
      <c r="I3130" s="14" t="s">
        <v>395</v>
      </c>
      <c r="J3130" s="14" t="s">
        <v>879</v>
      </c>
      <c r="K3130" s="15" t="s">
        <v>55</v>
      </c>
      <c r="L3130" s="86" t="s">
        <v>3556</v>
      </c>
      <c r="M3130" s="14"/>
      <c r="N3130" s="14" t="s">
        <v>1117</v>
      </c>
      <c r="O3130" s="14"/>
      <c r="P3130" s="15" t="s">
        <v>3545</v>
      </c>
      <c r="Q3130" s="16">
        <v>29990</v>
      </c>
      <c r="R3130" s="17">
        <v>48.86</v>
      </c>
      <c r="S3130" s="18">
        <v>17638.4355</v>
      </c>
      <c r="T3130" s="19" t="s">
        <v>846</v>
      </c>
      <c r="U3130" s="20" t="s">
        <v>3546</v>
      </c>
      <c r="V3130" s="21">
        <v>40</v>
      </c>
      <c r="W3130" s="21">
        <v>1</v>
      </c>
      <c r="X3130" s="22"/>
    </row>
    <row r="3131" spans="1:24" s="1" customFormat="1" ht="21" customHeight="1" x14ac:dyDescent="0.3">
      <c r="A3131" s="23" t="s">
        <v>3541</v>
      </c>
      <c r="B3131" s="23" t="s">
        <v>3554</v>
      </c>
      <c r="C3131" s="28" t="s">
        <v>3555</v>
      </c>
      <c r="D3131" s="84"/>
      <c r="E3131" s="69" t="str">
        <f>HYPERLINK("https://www.google.ru/search?q=DR101179099D0272&amp;newwindow=1&amp;tbm=isch","Еще фото")</f>
        <v>Еще фото</v>
      </c>
      <c r="F3131" s="13"/>
      <c r="G3131" s="23" t="s">
        <v>394</v>
      </c>
      <c r="H3131" s="23" t="s">
        <v>151</v>
      </c>
      <c r="I3131" s="23" t="s">
        <v>395</v>
      </c>
      <c r="J3131" s="14" t="s">
        <v>879</v>
      </c>
      <c r="K3131" s="15" t="s">
        <v>55</v>
      </c>
      <c r="L3131" s="87"/>
      <c r="M3131" s="14"/>
      <c r="N3131" s="14" t="s">
        <v>1117</v>
      </c>
      <c r="O3131" s="14"/>
      <c r="P3131" s="15" t="s">
        <v>3545</v>
      </c>
      <c r="Q3131" s="16">
        <v>29990</v>
      </c>
      <c r="R3131" s="17">
        <v>48.86</v>
      </c>
      <c r="S3131" s="18">
        <v>17638.4355</v>
      </c>
      <c r="T3131" s="19" t="s">
        <v>846</v>
      </c>
      <c r="U3131" s="20" t="s">
        <v>3557</v>
      </c>
      <c r="V3131" s="21">
        <v>43</v>
      </c>
      <c r="W3131" s="21">
        <v>2</v>
      </c>
      <c r="X3131" s="22"/>
    </row>
    <row r="3132" spans="1:24" s="1" customFormat="1" ht="21" customHeight="1" x14ac:dyDescent="0.3">
      <c r="A3132" s="23" t="s">
        <v>3541</v>
      </c>
      <c r="B3132" s="23" t="s">
        <v>3554</v>
      </c>
      <c r="C3132" s="28" t="s">
        <v>3555</v>
      </c>
      <c r="D3132" s="84"/>
      <c r="E3132" s="69" t="str">
        <f>HYPERLINK("https://www.google.ru/search?q=DR101179099D0272&amp;newwindow=1&amp;tbm=isch","Еще фото")</f>
        <v>Еще фото</v>
      </c>
      <c r="F3132" s="13"/>
      <c r="G3132" s="23" t="s">
        <v>394</v>
      </c>
      <c r="H3132" s="23" t="s">
        <v>151</v>
      </c>
      <c r="I3132" s="23" t="s">
        <v>395</v>
      </c>
      <c r="J3132" s="14" t="s">
        <v>879</v>
      </c>
      <c r="K3132" s="15" t="s">
        <v>55</v>
      </c>
      <c r="L3132" s="87"/>
      <c r="M3132" s="14"/>
      <c r="N3132" s="14" t="s">
        <v>1117</v>
      </c>
      <c r="O3132" s="14"/>
      <c r="P3132" s="15" t="s">
        <v>3545</v>
      </c>
      <c r="Q3132" s="16">
        <v>29990</v>
      </c>
      <c r="R3132" s="17">
        <v>48.86</v>
      </c>
      <c r="S3132" s="18">
        <v>17638.4355</v>
      </c>
      <c r="T3132" s="19" t="s">
        <v>846</v>
      </c>
      <c r="U3132" s="20" t="s">
        <v>163</v>
      </c>
      <c r="V3132" s="25" t="s">
        <v>3552</v>
      </c>
      <c r="W3132" s="21">
        <v>3</v>
      </c>
      <c r="X3132" s="22"/>
    </row>
    <row r="3133" spans="1:24" s="1" customFormat="1" ht="21" customHeight="1" x14ac:dyDescent="0.3">
      <c r="A3133" s="23" t="s">
        <v>3541</v>
      </c>
      <c r="B3133" s="23" t="s">
        <v>3554</v>
      </c>
      <c r="C3133" s="28" t="s">
        <v>3555</v>
      </c>
      <c r="D3133" s="84"/>
      <c r="E3133" s="69" t="str">
        <f>HYPERLINK("https://www.google.ru/search?q=DR101179099D0272&amp;newwindow=1&amp;tbm=isch","Еще фото")</f>
        <v>Еще фото</v>
      </c>
      <c r="F3133" s="13"/>
      <c r="G3133" s="23" t="s">
        <v>394</v>
      </c>
      <c r="H3133" s="23" t="s">
        <v>151</v>
      </c>
      <c r="I3133" s="23" t="s">
        <v>395</v>
      </c>
      <c r="J3133" s="14" t="s">
        <v>879</v>
      </c>
      <c r="K3133" s="15" t="s">
        <v>55</v>
      </c>
      <c r="L3133" s="87"/>
      <c r="M3133" s="14"/>
      <c r="N3133" s="14" t="s">
        <v>1117</v>
      </c>
      <c r="O3133" s="14"/>
      <c r="P3133" s="15" t="s">
        <v>3545</v>
      </c>
      <c r="Q3133" s="16">
        <v>29990</v>
      </c>
      <c r="R3133" s="17">
        <v>48.86</v>
      </c>
      <c r="S3133" s="18">
        <v>17638.4355</v>
      </c>
      <c r="T3133" s="19" t="s">
        <v>846</v>
      </c>
      <c r="U3133" s="20" t="s">
        <v>759</v>
      </c>
      <c r="V3133" s="21">
        <v>44</v>
      </c>
      <c r="W3133" s="21">
        <v>2</v>
      </c>
      <c r="X3133" s="22"/>
    </row>
    <row r="3134" spans="1:24" s="1" customFormat="1" ht="32.1" customHeight="1" x14ac:dyDescent="0.3">
      <c r="A3134" s="23" t="s">
        <v>3541</v>
      </c>
      <c r="B3134" s="23" t="s">
        <v>3554</v>
      </c>
      <c r="C3134" s="28" t="s">
        <v>3555</v>
      </c>
      <c r="D3134" s="85"/>
      <c r="E3134" s="69" t="str">
        <f>HYPERLINK("https://www.google.ru/search?q=DR101179099D0272&amp;newwindow=1&amp;tbm=isch","Еще фото")</f>
        <v>Еще фото</v>
      </c>
      <c r="F3134" s="13"/>
      <c r="G3134" s="23" t="s">
        <v>394</v>
      </c>
      <c r="H3134" s="23" t="s">
        <v>151</v>
      </c>
      <c r="I3134" s="23" t="s">
        <v>395</v>
      </c>
      <c r="J3134" s="14" t="s">
        <v>879</v>
      </c>
      <c r="K3134" s="15" t="s">
        <v>55</v>
      </c>
      <c r="L3134" s="88"/>
      <c r="M3134" s="14"/>
      <c r="N3134" s="14" t="s">
        <v>1117</v>
      </c>
      <c r="O3134" s="14"/>
      <c r="P3134" s="15" t="s">
        <v>3545</v>
      </c>
      <c r="Q3134" s="16">
        <v>29990</v>
      </c>
      <c r="R3134" s="17">
        <v>48.86</v>
      </c>
      <c r="S3134" s="18">
        <v>17638.4355</v>
      </c>
      <c r="T3134" s="19" t="s">
        <v>846</v>
      </c>
      <c r="U3134" s="20" t="s">
        <v>1220</v>
      </c>
      <c r="V3134" s="21">
        <v>45</v>
      </c>
      <c r="W3134" s="21">
        <v>1</v>
      </c>
      <c r="X3134" s="22"/>
    </row>
    <row r="3135" spans="1:24" s="1" customFormat="1" ht="26.1" customHeight="1" x14ac:dyDescent="0.3">
      <c r="A3135" s="11" t="s">
        <v>3541</v>
      </c>
      <c r="B3135" s="11" t="s">
        <v>3558</v>
      </c>
      <c r="C3135" s="12" t="s">
        <v>3559</v>
      </c>
      <c r="D3135" s="83"/>
      <c r="E3135" s="69" t="str">
        <f>HYPERLINK("https://www.google.ru/search?q=DR101179106D0261&amp;newwindow=1&amp;tbm=isch","Еще фото")</f>
        <v>Еще фото</v>
      </c>
      <c r="F3135" s="13"/>
      <c r="G3135" s="11" t="s">
        <v>394</v>
      </c>
      <c r="H3135" s="11" t="s">
        <v>151</v>
      </c>
      <c r="I3135" s="14" t="s">
        <v>395</v>
      </c>
      <c r="J3135" s="14" t="s">
        <v>879</v>
      </c>
      <c r="K3135" s="15" t="s">
        <v>55</v>
      </c>
      <c r="L3135" s="86" t="s">
        <v>3544</v>
      </c>
      <c r="M3135" s="14"/>
      <c r="N3135" s="14" t="s">
        <v>763</v>
      </c>
      <c r="O3135" s="14"/>
      <c r="P3135" s="15" t="s">
        <v>3545</v>
      </c>
      <c r="Q3135" s="16">
        <v>29990</v>
      </c>
      <c r="R3135" s="17">
        <v>48.86</v>
      </c>
      <c r="S3135" s="18">
        <v>17638.4355</v>
      </c>
      <c r="T3135" s="19" t="s">
        <v>846</v>
      </c>
      <c r="U3135" s="20" t="s">
        <v>163</v>
      </c>
      <c r="V3135" s="25" t="s">
        <v>3552</v>
      </c>
      <c r="W3135" s="21">
        <v>1</v>
      </c>
      <c r="X3135" s="22"/>
    </row>
    <row r="3136" spans="1:24" s="1" customFormat="1" ht="26.1" customHeight="1" x14ac:dyDescent="0.3">
      <c r="A3136" s="23" t="s">
        <v>3541</v>
      </c>
      <c r="B3136" s="23" t="s">
        <v>3558</v>
      </c>
      <c r="C3136" s="12" t="s">
        <v>3559</v>
      </c>
      <c r="D3136" s="84"/>
      <c r="E3136" s="69" t="str">
        <f>HYPERLINK("https://www.google.ru/search?q=DR101179106D0261&amp;newwindow=1&amp;tbm=isch","Еще фото")</f>
        <v>Еще фото</v>
      </c>
      <c r="F3136" s="13"/>
      <c r="G3136" s="23" t="s">
        <v>394</v>
      </c>
      <c r="H3136" s="23" t="s">
        <v>151</v>
      </c>
      <c r="I3136" s="23" t="s">
        <v>395</v>
      </c>
      <c r="J3136" s="14" t="s">
        <v>879</v>
      </c>
      <c r="K3136" s="15" t="s">
        <v>55</v>
      </c>
      <c r="L3136" s="87"/>
      <c r="M3136" s="14"/>
      <c r="N3136" s="14" t="s">
        <v>763</v>
      </c>
      <c r="O3136" s="14"/>
      <c r="P3136" s="15" t="s">
        <v>3545</v>
      </c>
      <c r="Q3136" s="16">
        <v>29990</v>
      </c>
      <c r="R3136" s="17">
        <v>48.86</v>
      </c>
      <c r="S3136" s="18">
        <v>17638.4355</v>
      </c>
      <c r="T3136" s="19" t="s">
        <v>846</v>
      </c>
      <c r="U3136" s="20" t="s">
        <v>759</v>
      </c>
      <c r="V3136" s="21">
        <v>44</v>
      </c>
      <c r="W3136" s="21">
        <v>1</v>
      </c>
      <c r="X3136" s="22"/>
    </row>
    <row r="3137" spans="1:24" s="1" customFormat="1" ht="26.1" customHeight="1" x14ac:dyDescent="0.3">
      <c r="A3137" s="23" t="s">
        <v>3541</v>
      </c>
      <c r="B3137" s="23" t="s">
        <v>3558</v>
      </c>
      <c r="C3137" s="12" t="s">
        <v>3559</v>
      </c>
      <c r="D3137" s="84"/>
      <c r="E3137" s="69" t="str">
        <f>HYPERLINK("https://www.google.ru/search?q=DR101179106D0261&amp;newwindow=1&amp;tbm=isch","Еще фото")</f>
        <v>Еще фото</v>
      </c>
      <c r="F3137" s="13"/>
      <c r="G3137" s="23" t="s">
        <v>394</v>
      </c>
      <c r="H3137" s="23" t="s">
        <v>151</v>
      </c>
      <c r="I3137" s="23" t="s">
        <v>395</v>
      </c>
      <c r="J3137" s="14" t="s">
        <v>879</v>
      </c>
      <c r="K3137" s="15" t="s">
        <v>55</v>
      </c>
      <c r="L3137" s="87"/>
      <c r="M3137" s="14"/>
      <c r="N3137" s="14" t="s">
        <v>763</v>
      </c>
      <c r="O3137" s="14"/>
      <c r="P3137" s="15" t="s">
        <v>3545</v>
      </c>
      <c r="Q3137" s="16">
        <v>29990</v>
      </c>
      <c r="R3137" s="17">
        <v>48.86</v>
      </c>
      <c r="S3137" s="18">
        <v>17638.4355</v>
      </c>
      <c r="T3137" s="19" t="s">
        <v>846</v>
      </c>
      <c r="U3137" s="20" t="s">
        <v>1220</v>
      </c>
      <c r="V3137" s="21">
        <v>45</v>
      </c>
      <c r="W3137" s="21">
        <v>3</v>
      </c>
      <c r="X3137" s="22"/>
    </row>
    <row r="3138" spans="1:24" s="1" customFormat="1" ht="26.1" customHeight="1" x14ac:dyDescent="0.3">
      <c r="A3138" s="23" t="s">
        <v>3541</v>
      </c>
      <c r="B3138" s="23" t="s">
        <v>3558</v>
      </c>
      <c r="C3138" s="12" t="s">
        <v>3559</v>
      </c>
      <c r="D3138" s="85"/>
      <c r="E3138" s="69" t="str">
        <f>HYPERLINK("https://www.google.ru/search?q=DR101179106D0261&amp;newwindow=1&amp;tbm=isch","Еще фото")</f>
        <v>Еще фото</v>
      </c>
      <c r="F3138" s="13"/>
      <c r="G3138" s="23" t="s">
        <v>394</v>
      </c>
      <c r="H3138" s="23" t="s">
        <v>151</v>
      </c>
      <c r="I3138" s="23" t="s">
        <v>395</v>
      </c>
      <c r="J3138" s="14" t="s">
        <v>879</v>
      </c>
      <c r="K3138" s="15" t="s">
        <v>55</v>
      </c>
      <c r="L3138" s="88"/>
      <c r="M3138" s="14"/>
      <c r="N3138" s="14" t="s">
        <v>763</v>
      </c>
      <c r="O3138" s="14"/>
      <c r="P3138" s="15" t="s">
        <v>3545</v>
      </c>
      <c r="Q3138" s="16">
        <v>29990</v>
      </c>
      <c r="R3138" s="17">
        <v>48.86</v>
      </c>
      <c r="S3138" s="18">
        <v>17638.4355</v>
      </c>
      <c r="T3138" s="19" t="s">
        <v>846</v>
      </c>
      <c r="U3138" s="20" t="s">
        <v>462</v>
      </c>
      <c r="V3138" s="30">
        <v>45.5</v>
      </c>
      <c r="W3138" s="21">
        <v>1</v>
      </c>
      <c r="X3138" s="22"/>
    </row>
    <row r="3139" spans="1:24" s="1" customFormat="1" ht="14.1" customHeight="1" x14ac:dyDescent="0.3">
      <c r="A3139" s="11" t="s">
        <v>3560</v>
      </c>
      <c r="B3139" s="11" t="s">
        <v>3561</v>
      </c>
      <c r="C3139" s="12" t="s">
        <v>3562</v>
      </c>
      <c r="D3139" s="83"/>
      <c r="E3139" s="69" t="str">
        <f t="shared" ref="E3139:E3145" si="128">HYPERLINK("https://www.google.ru/search?q=N2BTRW1-001&amp;newwindow=1&amp;tbm=isch","Еще фото")</f>
        <v>Еще фото</v>
      </c>
      <c r="F3139" s="13"/>
      <c r="G3139" s="11" t="s">
        <v>394</v>
      </c>
      <c r="H3139" s="11" t="s">
        <v>151</v>
      </c>
      <c r="I3139" s="14" t="s">
        <v>395</v>
      </c>
      <c r="J3139" s="14" t="s">
        <v>406</v>
      </c>
      <c r="K3139" s="15" t="s">
        <v>114</v>
      </c>
      <c r="L3139" s="86" t="s">
        <v>3563</v>
      </c>
      <c r="M3139" s="14" t="s">
        <v>509</v>
      </c>
      <c r="N3139" s="14" t="s">
        <v>1115</v>
      </c>
      <c r="O3139" s="14"/>
      <c r="P3139" s="15" t="s">
        <v>3564</v>
      </c>
      <c r="Q3139" s="16">
        <v>22999</v>
      </c>
      <c r="R3139" s="17">
        <v>48.83</v>
      </c>
      <c r="S3139" s="18">
        <v>13532.9355</v>
      </c>
      <c r="T3139" s="19" t="s">
        <v>84</v>
      </c>
      <c r="U3139" s="20" t="s">
        <v>157</v>
      </c>
      <c r="V3139" s="21">
        <v>40</v>
      </c>
      <c r="W3139" s="21">
        <v>1</v>
      </c>
      <c r="X3139" s="22"/>
    </row>
    <row r="3140" spans="1:24" s="1" customFormat="1" ht="14.1" customHeight="1" x14ac:dyDescent="0.3">
      <c r="A3140" s="23" t="s">
        <v>3560</v>
      </c>
      <c r="B3140" s="23" t="s">
        <v>3561</v>
      </c>
      <c r="C3140" s="12" t="s">
        <v>3562</v>
      </c>
      <c r="D3140" s="84"/>
      <c r="E3140" s="69" t="str">
        <f t="shared" si="128"/>
        <v>Еще фото</v>
      </c>
      <c r="F3140" s="13"/>
      <c r="G3140" s="23" t="s">
        <v>394</v>
      </c>
      <c r="H3140" s="23" t="s">
        <v>151</v>
      </c>
      <c r="I3140" s="23" t="s">
        <v>395</v>
      </c>
      <c r="J3140" s="14" t="s">
        <v>406</v>
      </c>
      <c r="K3140" s="15" t="s">
        <v>114</v>
      </c>
      <c r="L3140" s="87"/>
      <c r="M3140" s="14" t="s">
        <v>509</v>
      </c>
      <c r="N3140" s="14" t="s">
        <v>1115</v>
      </c>
      <c r="O3140" s="14"/>
      <c r="P3140" s="15" t="s">
        <v>3564</v>
      </c>
      <c r="Q3140" s="16">
        <v>22999</v>
      </c>
      <c r="R3140" s="17">
        <v>48.83</v>
      </c>
      <c r="S3140" s="18">
        <v>13532.9355</v>
      </c>
      <c r="T3140" s="19" t="s">
        <v>84</v>
      </c>
      <c r="U3140" s="20" t="s">
        <v>435</v>
      </c>
      <c r="V3140" s="21">
        <v>41</v>
      </c>
      <c r="W3140" s="21">
        <v>1</v>
      </c>
      <c r="X3140" s="22"/>
    </row>
    <row r="3141" spans="1:24" s="1" customFormat="1" ht="14.1" customHeight="1" x14ac:dyDescent="0.3">
      <c r="A3141" s="23" t="s">
        <v>3560</v>
      </c>
      <c r="B3141" s="23" t="s">
        <v>3561</v>
      </c>
      <c r="C3141" s="12" t="s">
        <v>3562</v>
      </c>
      <c r="D3141" s="84"/>
      <c r="E3141" s="69" t="str">
        <f t="shared" si="128"/>
        <v>Еще фото</v>
      </c>
      <c r="F3141" s="13"/>
      <c r="G3141" s="23" t="s">
        <v>394</v>
      </c>
      <c r="H3141" s="23" t="s">
        <v>151</v>
      </c>
      <c r="I3141" s="23" t="s">
        <v>395</v>
      </c>
      <c r="J3141" s="14" t="s">
        <v>406</v>
      </c>
      <c r="K3141" s="15" t="s">
        <v>114</v>
      </c>
      <c r="L3141" s="87"/>
      <c r="M3141" s="14" t="s">
        <v>509</v>
      </c>
      <c r="N3141" s="14" t="s">
        <v>1115</v>
      </c>
      <c r="O3141" s="14"/>
      <c r="P3141" s="15" t="s">
        <v>3564</v>
      </c>
      <c r="Q3141" s="16">
        <v>22999</v>
      </c>
      <c r="R3141" s="17">
        <v>48.83</v>
      </c>
      <c r="S3141" s="18">
        <v>13532.9355</v>
      </c>
      <c r="T3141" s="19" t="s">
        <v>84</v>
      </c>
      <c r="U3141" s="20" t="s">
        <v>162</v>
      </c>
      <c r="V3141" s="30">
        <v>41.5</v>
      </c>
      <c r="W3141" s="21">
        <v>1</v>
      </c>
      <c r="X3141" s="22"/>
    </row>
    <row r="3142" spans="1:24" s="1" customFormat="1" ht="14.1" customHeight="1" x14ac:dyDescent="0.3">
      <c r="A3142" s="23" t="s">
        <v>3560</v>
      </c>
      <c r="B3142" s="23" t="s">
        <v>3561</v>
      </c>
      <c r="C3142" s="12" t="s">
        <v>3562</v>
      </c>
      <c r="D3142" s="84"/>
      <c r="E3142" s="69" t="str">
        <f t="shared" si="128"/>
        <v>Еще фото</v>
      </c>
      <c r="F3142" s="13"/>
      <c r="G3142" s="23" t="s">
        <v>394</v>
      </c>
      <c r="H3142" s="23" t="s">
        <v>151</v>
      </c>
      <c r="I3142" s="23" t="s">
        <v>395</v>
      </c>
      <c r="J3142" s="14" t="s">
        <v>406</v>
      </c>
      <c r="K3142" s="15" t="s">
        <v>114</v>
      </c>
      <c r="L3142" s="87"/>
      <c r="M3142" s="14" t="s">
        <v>509</v>
      </c>
      <c r="N3142" s="14" t="s">
        <v>1115</v>
      </c>
      <c r="O3142" s="14"/>
      <c r="P3142" s="15" t="s">
        <v>3564</v>
      </c>
      <c r="Q3142" s="16">
        <v>22999</v>
      </c>
      <c r="R3142" s="17">
        <v>48.83</v>
      </c>
      <c r="S3142" s="18">
        <v>13532.9355</v>
      </c>
      <c r="T3142" s="19" t="s">
        <v>84</v>
      </c>
      <c r="U3142" s="20" t="s">
        <v>436</v>
      </c>
      <c r="V3142" s="21">
        <v>42</v>
      </c>
      <c r="W3142" s="21">
        <v>1</v>
      </c>
      <c r="X3142" s="22"/>
    </row>
    <row r="3143" spans="1:24" s="1" customFormat="1" ht="14.1" customHeight="1" x14ac:dyDescent="0.3">
      <c r="A3143" s="23" t="s">
        <v>3560</v>
      </c>
      <c r="B3143" s="23" t="s">
        <v>3561</v>
      </c>
      <c r="C3143" s="12" t="s">
        <v>3562</v>
      </c>
      <c r="D3143" s="84"/>
      <c r="E3143" s="69" t="str">
        <f t="shared" si="128"/>
        <v>Еще фото</v>
      </c>
      <c r="F3143" s="13"/>
      <c r="G3143" s="23" t="s">
        <v>394</v>
      </c>
      <c r="H3143" s="23" t="s">
        <v>151</v>
      </c>
      <c r="I3143" s="23" t="s">
        <v>395</v>
      </c>
      <c r="J3143" s="14" t="s">
        <v>406</v>
      </c>
      <c r="K3143" s="15" t="s">
        <v>114</v>
      </c>
      <c r="L3143" s="87"/>
      <c r="M3143" s="14" t="s">
        <v>509</v>
      </c>
      <c r="N3143" s="14" t="s">
        <v>1115</v>
      </c>
      <c r="O3143" s="14"/>
      <c r="P3143" s="15" t="s">
        <v>3564</v>
      </c>
      <c r="Q3143" s="16">
        <v>22999</v>
      </c>
      <c r="R3143" s="17">
        <v>48.83</v>
      </c>
      <c r="S3143" s="18">
        <v>13532.9355</v>
      </c>
      <c r="T3143" s="19" t="s">
        <v>84</v>
      </c>
      <c r="U3143" s="20" t="s">
        <v>163</v>
      </c>
      <c r="V3143" s="21">
        <v>43</v>
      </c>
      <c r="W3143" s="21">
        <v>1</v>
      </c>
      <c r="X3143" s="22"/>
    </row>
    <row r="3144" spans="1:24" s="1" customFormat="1" ht="14.1" customHeight="1" x14ac:dyDescent="0.3">
      <c r="A3144" s="23" t="s">
        <v>3560</v>
      </c>
      <c r="B3144" s="23" t="s">
        <v>3561</v>
      </c>
      <c r="C3144" s="12" t="s">
        <v>3562</v>
      </c>
      <c r="D3144" s="84"/>
      <c r="E3144" s="69" t="str">
        <f t="shared" si="128"/>
        <v>Еще фото</v>
      </c>
      <c r="F3144" s="13"/>
      <c r="G3144" s="23" t="s">
        <v>394</v>
      </c>
      <c r="H3144" s="23" t="s">
        <v>151</v>
      </c>
      <c r="I3144" s="23" t="s">
        <v>395</v>
      </c>
      <c r="J3144" s="14" t="s">
        <v>406</v>
      </c>
      <c r="K3144" s="15" t="s">
        <v>114</v>
      </c>
      <c r="L3144" s="87"/>
      <c r="M3144" s="14" t="s">
        <v>509</v>
      </c>
      <c r="N3144" s="14" t="s">
        <v>1115</v>
      </c>
      <c r="O3144" s="14"/>
      <c r="P3144" s="15" t="s">
        <v>3564</v>
      </c>
      <c r="Q3144" s="16">
        <v>22999</v>
      </c>
      <c r="R3144" s="17">
        <v>48.83</v>
      </c>
      <c r="S3144" s="18">
        <v>13532.9355</v>
      </c>
      <c r="T3144" s="19" t="s">
        <v>84</v>
      </c>
      <c r="U3144" s="20" t="s">
        <v>907</v>
      </c>
      <c r="V3144" s="30">
        <v>43.5</v>
      </c>
      <c r="W3144" s="21">
        <v>1</v>
      </c>
      <c r="X3144" s="22"/>
    </row>
    <row r="3145" spans="1:24" s="1" customFormat="1" ht="17.100000000000001" customHeight="1" x14ac:dyDescent="0.3">
      <c r="A3145" s="23" t="s">
        <v>3560</v>
      </c>
      <c r="B3145" s="23" t="s">
        <v>3561</v>
      </c>
      <c r="C3145" s="12" t="s">
        <v>3562</v>
      </c>
      <c r="D3145" s="85"/>
      <c r="E3145" s="69" t="str">
        <f t="shared" si="128"/>
        <v>Еще фото</v>
      </c>
      <c r="F3145" s="13"/>
      <c r="G3145" s="23" t="s">
        <v>394</v>
      </c>
      <c r="H3145" s="23" t="s">
        <v>151</v>
      </c>
      <c r="I3145" s="23" t="s">
        <v>395</v>
      </c>
      <c r="J3145" s="14" t="s">
        <v>406</v>
      </c>
      <c r="K3145" s="15" t="s">
        <v>114</v>
      </c>
      <c r="L3145" s="88"/>
      <c r="M3145" s="14" t="s">
        <v>509</v>
      </c>
      <c r="N3145" s="14" t="s">
        <v>1115</v>
      </c>
      <c r="O3145" s="14"/>
      <c r="P3145" s="15" t="s">
        <v>3564</v>
      </c>
      <c r="Q3145" s="16">
        <v>22999</v>
      </c>
      <c r="R3145" s="17">
        <v>48.83</v>
      </c>
      <c r="S3145" s="18">
        <v>13532.9355</v>
      </c>
      <c r="T3145" s="19" t="s">
        <v>84</v>
      </c>
      <c r="U3145" s="20" t="s">
        <v>164</v>
      </c>
      <c r="V3145" s="21">
        <v>44</v>
      </c>
      <c r="W3145" s="21">
        <v>2</v>
      </c>
      <c r="X3145" s="22"/>
    </row>
    <row r="3146" spans="1:24" s="1" customFormat="1" ht="12.95" customHeight="1" x14ac:dyDescent="0.3">
      <c r="A3146" s="11" t="s">
        <v>3560</v>
      </c>
      <c r="B3146" s="11" t="s">
        <v>3565</v>
      </c>
      <c r="C3146" s="12" t="s">
        <v>3566</v>
      </c>
      <c r="D3146" s="83"/>
      <c r="E3146" s="69" t="str">
        <f t="shared" ref="E3146:E3153" si="129">HYPERLINK("https://www.google.ru/search?q=N2BTRW1-002&amp;newwindow=1&amp;tbm=isch","Еще фото")</f>
        <v>Еще фото</v>
      </c>
      <c r="F3146" s="13"/>
      <c r="G3146" s="11" t="s">
        <v>394</v>
      </c>
      <c r="H3146" s="11" t="s">
        <v>151</v>
      </c>
      <c r="I3146" s="14" t="s">
        <v>395</v>
      </c>
      <c r="J3146" s="14" t="s">
        <v>406</v>
      </c>
      <c r="K3146" s="15" t="s">
        <v>114</v>
      </c>
      <c r="L3146" s="86" t="s">
        <v>3563</v>
      </c>
      <c r="M3146" s="14" t="s">
        <v>509</v>
      </c>
      <c r="N3146" s="14" t="s">
        <v>3567</v>
      </c>
      <c r="O3146" s="14"/>
      <c r="P3146" s="15" t="s">
        <v>3564</v>
      </c>
      <c r="Q3146" s="16">
        <v>22999</v>
      </c>
      <c r="R3146" s="17">
        <v>48.83</v>
      </c>
      <c r="S3146" s="18">
        <v>13532.9355</v>
      </c>
      <c r="T3146" s="19" t="s">
        <v>84</v>
      </c>
      <c r="U3146" s="26" t="s">
        <v>162</v>
      </c>
      <c r="V3146" s="30">
        <v>41.5</v>
      </c>
      <c r="W3146" s="21">
        <v>1</v>
      </c>
      <c r="X3146" s="22"/>
    </row>
    <row r="3147" spans="1:24" s="1" customFormat="1" ht="12.95" customHeight="1" x14ac:dyDescent="0.3">
      <c r="A3147" s="23" t="s">
        <v>3560</v>
      </c>
      <c r="B3147" s="23" t="s">
        <v>3565</v>
      </c>
      <c r="C3147" s="12" t="s">
        <v>3566</v>
      </c>
      <c r="D3147" s="84"/>
      <c r="E3147" s="69" t="str">
        <f t="shared" si="129"/>
        <v>Еще фото</v>
      </c>
      <c r="F3147" s="13"/>
      <c r="G3147" s="23" t="s">
        <v>394</v>
      </c>
      <c r="H3147" s="23" t="s">
        <v>151</v>
      </c>
      <c r="I3147" s="23" t="s">
        <v>395</v>
      </c>
      <c r="J3147" s="14" t="s">
        <v>406</v>
      </c>
      <c r="K3147" s="15" t="s">
        <v>114</v>
      </c>
      <c r="L3147" s="87"/>
      <c r="M3147" s="14" t="s">
        <v>509</v>
      </c>
      <c r="N3147" s="14" t="s">
        <v>3567</v>
      </c>
      <c r="O3147" s="14"/>
      <c r="P3147" s="15" t="s">
        <v>3564</v>
      </c>
      <c r="Q3147" s="16">
        <v>22999</v>
      </c>
      <c r="R3147" s="17">
        <v>48.83</v>
      </c>
      <c r="S3147" s="18">
        <v>13532.9355</v>
      </c>
      <c r="T3147" s="19" t="s">
        <v>84</v>
      </c>
      <c r="U3147" s="20" t="s">
        <v>436</v>
      </c>
      <c r="V3147" s="21">
        <v>42</v>
      </c>
      <c r="W3147" s="21">
        <v>3</v>
      </c>
      <c r="X3147" s="22"/>
    </row>
    <row r="3148" spans="1:24" s="1" customFormat="1" ht="12.95" customHeight="1" x14ac:dyDescent="0.3">
      <c r="A3148" s="23" t="s">
        <v>3560</v>
      </c>
      <c r="B3148" s="23" t="s">
        <v>3565</v>
      </c>
      <c r="C3148" s="12" t="s">
        <v>3566</v>
      </c>
      <c r="D3148" s="84"/>
      <c r="E3148" s="69" t="str">
        <f t="shared" si="129"/>
        <v>Еще фото</v>
      </c>
      <c r="F3148" s="13"/>
      <c r="G3148" s="23" t="s">
        <v>394</v>
      </c>
      <c r="H3148" s="23" t="s">
        <v>151</v>
      </c>
      <c r="I3148" s="23" t="s">
        <v>395</v>
      </c>
      <c r="J3148" s="14" t="s">
        <v>406</v>
      </c>
      <c r="K3148" s="15" t="s">
        <v>114</v>
      </c>
      <c r="L3148" s="87"/>
      <c r="M3148" s="14" t="s">
        <v>509</v>
      </c>
      <c r="N3148" s="14" t="s">
        <v>3567</v>
      </c>
      <c r="O3148" s="14"/>
      <c r="P3148" s="15" t="s">
        <v>3564</v>
      </c>
      <c r="Q3148" s="16">
        <v>22999</v>
      </c>
      <c r="R3148" s="17">
        <v>48.83</v>
      </c>
      <c r="S3148" s="18">
        <v>13532.9355</v>
      </c>
      <c r="T3148" s="19" t="s">
        <v>84</v>
      </c>
      <c r="U3148" s="20" t="s">
        <v>163</v>
      </c>
      <c r="V3148" s="21">
        <v>43</v>
      </c>
      <c r="W3148" s="21">
        <v>4</v>
      </c>
      <c r="X3148" s="22"/>
    </row>
    <row r="3149" spans="1:24" s="1" customFormat="1" ht="12.95" customHeight="1" x14ac:dyDescent="0.3">
      <c r="A3149" s="23" t="s">
        <v>3560</v>
      </c>
      <c r="B3149" s="23" t="s">
        <v>3565</v>
      </c>
      <c r="C3149" s="12" t="s">
        <v>3566</v>
      </c>
      <c r="D3149" s="84"/>
      <c r="E3149" s="69" t="str">
        <f t="shared" si="129"/>
        <v>Еще фото</v>
      </c>
      <c r="F3149" s="13"/>
      <c r="G3149" s="23" t="s">
        <v>394</v>
      </c>
      <c r="H3149" s="23" t="s">
        <v>151</v>
      </c>
      <c r="I3149" s="23" t="s">
        <v>395</v>
      </c>
      <c r="J3149" s="14" t="s">
        <v>406</v>
      </c>
      <c r="K3149" s="15" t="s">
        <v>114</v>
      </c>
      <c r="L3149" s="87"/>
      <c r="M3149" s="14" t="s">
        <v>509</v>
      </c>
      <c r="N3149" s="14" t="s">
        <v>3567</v>
      </c>
      <c r="O3149" s="14"/>
      <c r="P3149" s="15" t="s">
        <v>3564</v>
      </c>
      <c r="Q3149" s="16">
        <v>22999</v>
      </c>
      <c r="R3149" s="17">
        <v>48.83</v>
      </c>
      <c r="S3149" s="18">
        <v>13532.9355</v>
      </c>
      <c r="T3149" s="19" t="s">
        <v>84</v>
      </c>
      <c r="U3149" s="20" t="s">
        <v>907</v>
      </c>
      <c r="V3149" s="30">
        <v>43.5</v>
      </c>
      <c r="W3149" s="21">
        <v>4</v>
      </c>
      <c r="X3149" s="22"/>
    </row>
    <row r="3150" spans="1:24" s="1" customFormat="1" ht="12.95" customHeight="1" x14ac:dyDescent="0.3">
      <c r="A3150" s="23" t="s">
        <v>3560</v>
      </c>
      <c r="B3150" s="23" t="s">
        <v>3565</v>
      </c>
      <c r="C3150" s="12" t="s">
        <v>3566</v>
      </c>
      <c r="D3150" s="84"/>
      <c r="E3150" s="69" t="str">
        <f t="shared" si="129"/>
        <v>Еще фото</v>
      </c>
      <c r="F3150" s="13"/>
      <c r="G3150" s="23" t="s">
        <v>394</v>
      </c>
      <c r="H3150" s="23" t="s">
        <v>151</v>
      </c>
      <c r="I3150" s="23" t="s">
        <v>395</v>
      </c>
      <c r="J3150" s="14" t="s">
        <v>406</v>
      </c>
      <c r="K3150" s="15" t="s">
        <v>114</v>
      </c>
      <c r="L3150" s="87"/>
      <c r="M3150" s="14" t="s">
        <v>509</v>
      </c>
      <c r="N3150" s="14" t="s">
        <v>3567</v>
      </c>
      <c r="O3150" s="14"/>
      <c r="P3150" s="15" t="s">
        <v>3564</v>
      </c>
      <c r="Q3150" s="16">
        <v>22999</v>
      </c>
      <c r="R3150" s="17">
        <v>48.83</v>
      </c>
      <c r="S3150" s="18">
        <v>13532.9355</v>
      </c>
      <c r="T3150" s="19" t="s">
        <v>84</v>
      </c>
      <c r="U3150" s="20" t="s">
        <v>164</v>
      </c>
      <c r="V3150" s="21">
        <v>44</v>
      </c>
      <c r="W3150" s="21">
        <v>6</v>
      </c>
      <c r="X3150" s="22"/>
    </row>
    <row r="3151" spans="1:24" s="1" customFormat="1" ht="12.95" customHeight="1" x14ac:dyDescent="0.3">
      <c r="A3151" s="23" t="s">
        <v>3560</v>
      </c>
      <c r="B3151" s="23" t="s">
        <v>3565</v>
      </c>
      <c r="C3151" s="12" t="s">
        <v>3566</v>
      </c>
      <c r="D3151" s="84"/>
      <c r="E3151" s="69" t="str">
        <f t="shared" si="129"/>
        <v>Еще фото</v>
      </c>
      <c r="F3151" s="13"/>
      <c r="G3151" s="23" t="s">
        <v>394</v>
      </c>
      <c r="H3151" s="23" t="s">
        <v>151</v>
      </c>
      <c r="I3151" s="23" t="s">
        <v>395</v>
      </c>
      <c r="J3151" s="14" t="s">
        <v>406</v>
      </c>
      <c r="K3151" s="15" t="s">
        <v>114</v>
      </c>
      <c r="L3151" s="87"/>
      <c r="M3151" s="14" t="s">
        <v>509</v>
      </c>
      <c r="N3151" s="14" t="s">
        <v>3567</v>
      </c>
      <c r="O3151" s="14"/>
      <c r="P3151" s="15" t="s">
        <v>3564</v>
      </c>
      <c r="Q3151" s="16">
        <v>22999</v>
      </c>
      <c r="R3151" s="17">
        <v>48.83</v>
      </c>
      <c r="S3151" s="18">
        <v>13532.9355</v>
      </c>
      <c r="T3151" s="19" t="s">
        <v>84</v>
      </c>
      <c r="U3151" s="20" t="s">
        <v>941</v>
      </c>
      <c r="V3151" s="21">
        <v>45</v>
      </c>
      <c r="W3151" s="21">
        <v>4</v>
      </c>
      <c r="X3151" s="22"/>
    </row>
    <row r="3152" spans="1:24" s="1" customFormat="1" ht="12.95" customHeight="1" x14ac:dyDescent="0.3">
      <c r="A3152" s="23" t="s">
        <v>3560</v>
      </c>
      <c r="B3152" s="23" t="s">
        <v>3565</v>
      </c>
      <c r="C3152" s="12" t="s">
        <v>3566</v>
      </c>
      <c r="D3152" s="84"/>
      <c r="E3152" s="69" t="str">
        <f t="shared" si="129"/>
        <v>Еще фото</v>
      </c>
      <c r="F3152" s="13"/>
      <c r="G3152" s="23" t="s">
        <v>394</v>
      </c>
      <c r="H3152" s="23" t="s">
        <v>151</v>
      </c>
      <c r="I3152" s="23" t="s">
        <v>395</v>
      </c>
      <c r="J3152" s="14" t="s">
        <v>406</v>
      </c>
      <c r="K3152" s="15" t="s">
        <v>114</v>
      </c>
      <c r="L3152" s="87"/>
      <c r="M3152" s="14" t="s">
        <v>509</v>
      </c>
      <c r="N3152" s="14" t="s">
        <v>3567</v>
      </c>
      <c r="O3152" s="14"/>
      <c r="P3152" s="15" t="s">
        <v>3564</v>
      </c>
      <c r="Q3152" s="16">
        <v>22999</v>
      </c>
      <c r="R3152" s="17">
        <v>48.83</v>
      </c>
      <c r="S3152" s="18">
        <v>13532.9355</v>
      </c>
      <c r="T3152" s="19" t="s">
        <v>84</v>
      </c>
      <c r="U3152" s="20" t="s">
        <v>462</v>
      </c>
      <c r="V3152" s="30">
        <v>45.5</v>
      </c>
      <c r="W3152" s="21">
        <v>2</v>
      </c>
      <c r="X3152" s="22"/>
    </row>
    <row r="3153" spans="1:24" s="1" customFormat="1" ht="18" customHeight="1" x14ac:dyDescent="0.3">
      <c r="A3153" s="23" t="s">
        <v>3560</v>
      </c>
      <c r="B3153" s="23" t="s">
        <v>3565</v>
      </c>
      <c r="C3153" s="12" t="s">
        <v>3566</v>
      </c>
      <c r="D3153" s="85"/>
      <c r="E3153" s="69" t="str">
        <f t="shared" si="129"/>
        <v>Еще фото</v>
      </c>
      <c r="F3153" s="13"/>
      <c r="G3153" s="23" t="s">
        <v>394</v>
      </c>
      <c r="H3153" s="23" t="s">
        <v>151</v>
      </c>
      <c r="I3153" s="23" t="s">
        <v>395</v>
      </c>
      <c r="J3153" s="14" t="s">
        <v>406</v>
      </c>
      <c r="K3153" s="15" t="s">
        <v>114</v>
      </c>
      <c r="L3153" s="88"/>
      <c r="M3153" s="14" t="s">
        <v>509</v>
      </c>
      <c r="N3153" s="14" t="s">
        <v>3567</v>
      </c>
      <c r="O3153" s="14"/>
      <c r="P3153" s="15" t="s">
        <v>3564</v>
      </c>
      <c r="Q3153" s="16">
        <v>22999</v>
      </c>
      <c r="R3153" s="17">
        <v>48.83</v>
      </c>
      <c r="S3153" s="18">
        <v>13532.9355</v>
      </c>
      <c r="T3153" s="19" t="s">
        <v>84</v>
      </c>
      <c r="U3153" s="20" t="s">
        <v>3568</v>
      </c>
      <c r="V3153" s="21">
        <v>46</v>
      </c>
      <c r="W3153" s="21">
        <v>2</v>
      </c>
      <c r="X3153" s="22"/>
    </row>
    <row r="3154" spans="1:24" s="1" customFormat="1" ht="11.1" customHeight="1" x14ac:dyDescent="0.3">
      <c r="A3154" s="11" t="s">
        <v>3560</v>
      </c>
      <c r="B3154" s="11" t="s">
        <v>3569</v>
      </c>
      <c r="C3154" s="12" t="s">
        <v>3570</v>
      </c>
      <c r="D3154" s="83"/>
      <c r="E3154" s="69" t="str">
        <f t="shared" ref="E3154:E3163" si="130">HYPERLINK("https://www.google.ru/search?q=N2BTR02-001&amp;newwindow=1&amp;tbm=isch","Еще фото")</f>
        <v>Еще фото</v>
      </c>
      <c r="F3154" s="13"/>
      <c r="G3154" s="11" t="s">
        <v>394</v>
      </c>
      <c r="H3154" s="11" t="s">
        <v>151</v>
      </c>
      <c r="I3154" s="14" t="s">
        <v>395</v>
      </c>
      <c r="J3154" s="14" t="s">
        <v>406</v>
      </c>
      <c r="K3154" s="15" t="s">
        <v>114</v>
      </c>
      <c r="L3154" s="86" t="s">
        <v>3571</v>
      </c>
      <c r="M3154" s="14"/>
      <c r="N3154" s="14" t="s">
        <v>49</v>
      </c>
      <c r="O3154" s="14"/>
      <c r="P3154" s="15" t="s">
        <v>3564</v>
      </c>
      <c r="Q3154" s="16">
        <v>20999</v>
      </c>
      <c r="R3154" s="17">
        <v>48.82</v>
      </c>
      <c r="S3154" s="18">
        <v>12359.9355</v>
      </c>
      <c r="T3154" s="19" t="s">
        <v>84</v>
      </c>
      <c r="U3154" s="20" t="s">
        <v>157</v>
      </c>
      <c r="V3154" s="21">
        <v>40</v>
      </c>
      <c r="W3154" s="21">
        <v>1</v>
      </c>
      <c r="X3154" s="22"/>
    </row>
    <row r="3155" spans="1:24" s="1" customFormat="1" ht="11.1" customHeight="1" x14ac:dyDescent="0.3">
      <c r="A3155" s="23" t="s">
        <v>3560</v>
      </c>
      <c r="B3155" s="23" t="s">
        <v>3569</v>
      </c>
      <c r="C3155" s="12" t="s">
        <v>3570</v>
      </c>
      <c r="D3155" s="84"/>
      <c r="E3155" s="69" t="str">
        <f t="shared" si="130"/>
        <v>Еще фото</v>
      </c>
      <c r="F3155" s="13"/>
      <c r="G3155" s="23" t="s">
        <v>394</v>
      </c>
      <c r="H3155" s="23" t="s">
        <v>151</v>
      </c>
      <c r="I3155" s="23" t="s">
        <v>395</v>
      </c>
      <c r="J3155" s="14" t="s">
        <v>406</v>
      </c>
      <c r="K3155" s="15" t="s">
        <v>114</v>
      </c>
      <c r="L3155" s="87"/>
      <c r="M3155" s="14"/>
      <c r="N3155" s="14" t="s">
        <v>49</v>
      </c>
      <c r="O3155" s="14"/>
      <c r="P3155" s="15" t="s">
        <v>3564</v>
      </c>
      <c r="Q3155" s="16">
        <v>20999</v>
      </c>
      <c r="R3155" s="17">
        <v>48.82</v>
      </c>
      <c r="S3155" s="18">
        <v>12359.9355</v>
      </c>
      <c r="T3155" s="19" t="s">
        <v>84</v>
      </c>
      <c r="U3155" s="20" t="s">
        <v>435</v>
      </c>
      <c r="V3155" s="21">
        <v>41</v>
      </c>
      <c r="W3155" s="21">
        <v>4</v>
      </c>
      <c r="X3155" s="22"/>
    </row>
    <row r="3156" spans="1:24" s="1" customFormat="1" ht="11.1" customHeight="1" x14ac:dyDescent="0.3">
      <c r="A3156" s="23" t="s">
        <v>3560</v>
      </c>
      <c r="B3156" s="23" t="s">
        <v>3569</v>
      </c>
      <c r="C3156" s="12" t="s">
        <v>3570</v>
      </c>
      <c r="D3156" s="84"/>
      <c r="E3156" s="69" t="str">
        <f t="shared" si="130"/>
        <v>Еще фото</v>
      </c>
      <c r="F3156" s="13"/>
      <c r="G3156" s="23" t="s">
        <v>394</v>
      </c>
      <c r="H3156" s="23" t="s">
        <v>151</v>
      </c>
      <c r="I3156" s="23" t="s">
        <v>395</v>
      </c>
      <c r="J3156" s="14" t="s">
        <v>406</v>
      </c>
      <c r="K3156" s="15" t="s">
        <v>114</v>
      </c>
      <c r="L3156" s="87"/>
      <c r="M3156" s="14"/>
      <c r="N3156" s="14" t="s">
        <v>49</v>
      </c>
      <c r="O3156" s="14"/>
      <c r="P3156" s="15" t="s">
        <v>3564</v>
      </c>
      <c r="Q3156" s="16">
        <v>20999</v>
      </c>
      <c r="R3156" s="17">
        <v>48.82</v>
      </c>
      <c r="S3156" s="18">
        <v>12359.9355</v>
      </c>
      <c r="T3156" s="19" t="s">
        <v>84</v>
      </c>
      <c r="U3156" s="20" t="s">
        <v>162</v>
      </c>
      <c r="V3156" s="30">
        <v>41.5</v>
      </c>
      <c r="W3156" s="21">
        <v>3</v>
      </c>
      <c r="X3156" s="22"/>
    </row>
    <row r="3157" spans="1:24" s="1" customFormat="1" ht="11.1" customHeight="1" x14ac:dyDescent="0.3">
      <c r="A3157" s="23" t="s">
        <v>3560</v>
      </c>
      <c r="B3157" s="23" t="s">
        <v>3569</v>
      </c>
      <c r="C3157" s="12" t="s">
        <v>3570</v>
      </c>
      <c r="D3157" s="84"/>
      <c r="E3157" s="69" t="str">
        <f t="shared" si="130"/>
        <v>Еще фото</v>
      </c>
      <c r="F3157" s="13"/>
      <c r="G3157" s="23" t="s">
        <v>394</v>
      </c>
      <c r="H3157" s="23" t="s">
        <v>151</v>
      </c>
      <c r="I3157" s="23" t="s">
        <v>395</v>
      </c>
      <c r="J3157" s="14" t="s">
        <v>406</v>
      </c>
      <c r="K3157" s="15" t="s">
        <v>114</v>
      </c>
      <c r="L3157" s="87"/>
      <c r="M3157" s="14"/>
      <c r="N3157" s="14" t="s">
        <v>49</v>
      </c>
      <c r="O3157" s="14"/>
      <c r="P3157" s="15" t="s">
        <v>3564</v>
      </c>
      <c r="Q3157" s="16">
        <v>20999</v>
      </c>
      <c r="R3157" s="17">
        <v>48.82</v>
      </c>
      <c r="S3157" s="18">
        <v>12359.9355</v>
      </c>
      <c r="T3157" s="19" t="s">
        <v>84</v>
      </c>
      <c r="U3157" s="20" t="s">
        <v>436</v>
      </c>
      <c r="V3157" s="21">
        <v>42</v>
      </c>
      <c r="W3157" s="21">
        <v>5</v>
      </c>
      <c r="X3157" s="22"/>
    </row>
    <row r="3158" spans="1:24" s="1" customFormat="1" ht="11.1" customHeight="1" x14ac:dyDescent="0.3">
      <c r="A3158" s="23" t="s">
        <v>3560</v>
      </c>
      <c r="B3158" s="23" t="s">
        <v>3569</v>
      </c>
      <c r="C3158" s="12" t="s">
        <v>3570</v>
      </c>
      <c r="D3158" s="84"/>
      <c r="E3158" s="69" t="str">
        <f t="shared" si="130"/>
        <v>Еще фото</v>
      </c>
      <c r="F3158" s="13"/>
      <c r="G3158" s="23" t="s">
        <v>394</v>
      </c>
      <c r="H3158" s="23" t="s">
        <v>151</v>
      </c>
      <c r="I3158" s="23" t="s">
        <v>395</v>
      </c>
      <c r="J3158" s="14" t="s">
        <v>406</v>
      </c>
      <c r="K3158" s="15" t="s">
        <v>114</v>
      </c>
      <c r="L3158" s="87"/>
      <c r="M3158" s="14"/>
      <c r="N3158" s="14" t="s">
        <v>49</v>
      </c>
      <c r="O3158" s="14"/>
      <c r="P3158" s="15" t="s">
        <v>3564</v>
      </c>
      <c r="Q3158" s="16">
        <v>20999</v>
      </c>
      <c r="R3158" s="17">
        <v>48.82</v>
      </c>
      <c r="S3158" s="18">
        <v>12359.9355</v>
      </c>
      <c r="T3158" s="19" t="s">
        <v>84</v>
      </c>
      <c r="U3158" s="20" t="s">
        <v>163</v>
      </c>
      <c r="V3158" s="21">
        <v>43</v>
      </c>
      <c r="W3158" s="21">
        <v>6</v>
      </c>
      <c r="X3158" s="22"/>
    </row>
    <row r="3159" spans="1:24" s="1" customFormat="1" ht="11.1" customHeight="1" x14ac:dyDescent="0.3">
      <c r="A3159" s="23" t="s">
        <v>3560</v>
      </c>
      <c r="B3159" s="23" t="s">
        <v>3569</v>
      </c>
      <c r="C3159" s="12" t="s">
        <v>3570</v>
      </c>
      <c r="D3159" s="84"/>
      <c r="E3159" s="69" t="str">
        <f t="shared" si="130"/>
        <v>Еще фото</v>
      </c>
      <c r="F3159" s="13"/>
      <c r="G3159" s="23" t="s">
        <v>394</v>
      </c>
      <c r="H3159" s="23" t="s">
        <v>151</v>
      </c>
      <c r="I3159" s="23" t="s">
        <v>395</v>
      </c>
      <c r="J3159" s="14" t="s">
        <v>406</v>
      </c>
      <c r="K3159" s="15" t="s">
        <v>114</v>
      </c>
      <c r="L3159" s="87"/>
      <c r="M3159" s="14"/>
      <c r="N3159" s="14" t="s">
        <v>49</v>
      </c>
      <c r="O3159" s="14"/>
      <c r="P3159" s="15" t="s">
        <v>3564</v>
      </c>
      <c r="Q3159" s="16">
        <v>20999</v>
      </c>
      <c r="R3159" s="17">
        <v>48.82</v>
      </c>
      <c r="S3159" s="18">
        <v>12359.9355</v>
      </c>
      <c r="T3159" s="19" t="s">
        <v>84</v>
      </c>
      <c r="U3159" s="20" t="s">
        <v>907</v>
      </c>
      <c r="V3159" s="30">
        <v>43.5</v>
      </c>
      <c r="W3159" s="21">
        <v>6</v>
      </c>
      <c r="X3159" s="22"/>
    </row>
    <row r="3160" spans="1:24" s="1" customFormat="1" ht="11.1" customHeight="1" x14ac:dyDescent="0.3">
      <c r="A3160" s="23" t="s">
        <v>3560</v>
      </c>
      <c r="B3160" s="23" t="s">
        <v>3569</v>
      </c>
      <c r="C3160" s="12" t="s">
        <v>3570</v>
      </c>
      <c r="D3160" s="84"/>
      <c r="E3160" s="69" t="str">
        <f t="shared" si="130"/>
        <v>Еще фото</v>
      </c>
      <c r="F3160" s="13"/>
      <c r="G3160" s="23" t="s">
        <v>394</v>
      </c>
      <c r="H3160" s="23" t="s">
        <v>151</v>
      </c>
      <c r="I3160" s="23" t="s">
        <v>395</v>
      </c>
      <c r="J3160" s="14" t="s">
        <v>406</v>
      </c>
      <c r="K3160" s="15" t="s">
        <v>114</v>
      </c>
      <c r="L3160" s="87"/>
      <c r="M3160" s="14"/>
      <c r="N3160" s="14" t="s">
        <v>49</v>
      </c>
      <c r="O3160" s="14"/>
      <c r="P3160" s="15" t="s">
        <v>3564</v>
      </c>
      <c r="Q3160" s="16">
        <v>20999</v>
      </c>
      <c r="R3160" s="17">
        <v>48.82</v>
      </c>
      <c r="S3160" s="18">
        <v>12359.9355</v>
      </c>
      <c r="T3160" s="19" t="s">
        <v>84</v>
      </c>
      <c r="U3160" s="20" t="s">
        <v>164</v>
      </c>
      <c r="V3160" s="21">
        <v>44</v>
      </c>
      <c r="W3160" s="21">
        <v>6</v>
      </c>
      <c r="X3160" s="22"/>
    </row>
    <row r="3161" spans="1:24" s="1" customFormat="1" ht="11.1" customHeight="1" x14ac:dyDescent="0.3">
      <c r="A3161" s="23" t="s">
        <v>3560</v>
      </c>
      <c r="B3161" s="23" t="s">
        <v>3569</v>
      </c>
      <c r="C3161" s="12" t="s">
        <v>3570</v>
      </c>
      <c r="D3161" s="84"/>
      <c r="E3161" s="69" t="str">
        <f t="shared" si="130"/>
        <v>Еще фото</v>
      </c>
      <c r="F3161" s="13"/>
      <c r="G3161" s="23" t="s">
        <v>394</v>
      </c>
      <c r="H3161" s="23" t="s">
        <v>151</v>
      </c>
      <c r="I3161" s="23" t="s">
        <v>395</v>
      </c>
      <c r="J3161" s="14" t="s">
        <v>406</v>
      </c>
      <c r="K3161" s="15" t="s">
        <v>114</v>
      </c>
      <c r="L3161" s="87"/>
      <c r="M3161" s="14"/>
      <c r="N3161" s="14" t="s">
        <v>49</v>
      </c>
      <c r="O3161" s="14"/>
      <c r="P3161" s="15" t="s">
        <v>3564</v>
      </c>
      <c r="Q3161" s="16">
        <v>20999</v>
      </c>
      <c r="R3161" s="17">
        <v>48.82</v>
      </c>
      <c r="S3161" s="18">
        <v>12359.9355</v>
      </c>
      <c r="T3161" s="19" t="s">
        <v>84</v>
      </c>
      <c r="U3161" s="20" t="s">
        <v>941</v>
      </c>
      <c r="V3161" s="21">
        <v>45</v>
      </c>
      <c r="W3161" s="21">
        <v>4</v>
      </c>
      <c r="X3161" s="22"/>
    </row>
    <row r="3162" spans="1:24" s="1" customFormat="1" ht="11.1" customHeight="1" x14ac:dyDescent="0.3">
      <c r="A3162" s="23" t="s">
        <v>3560</v>
      </c>
      <c r="B3162" s="23" t="s">
        <v>3569</v>
      </c>
      <c r="C3162" s="12" t="s">
        <v>3570</v>
      </c>
      <c r="D3162" s="84"/>
      <c r="E3162" s="69" t="str">
        <f t="shared" si="130"/>
        <v>Еще фото</v>
      </c>
      <c r="F3162" s="13"/>
      <c r="G3162" s="23" t="s">
        <v>394</v>
      </c>
      <c r="H3162" s="23" t="s">
        <v>151</v>
      </c>
      <c r="I3162" s="23" t="s">
        <v>395</v>
      </c>
      <c r="J3162" s="14" t="s">
        <v>406</v>
      </c>
      <c r="K3162" s="15" t="s">
        <v>114</v>
      </c>
      <c r="L3162" s="87"/>
      <c r="M3162" s="14"/>
      <c r="N3162" s="14" t="s">
        <v>49</v>
      </c>
      <c r="O3162" s="14"/>
      <c r="P3162" s="15" t="s">
        <v>3564</v>
      </c>
      <c r="Q3162" s="16">
        <v>20999</v>
      </c>
      <c r="R3162" s="17">
        <v>48.82</v>
      </c>
      <c r="S3162" s="18">
        <v>12359.9355</v>
      </c>
      <c r="T3162" s="19" t="s">
        <v>84</v>
      </c>
      <c r="U3162" s="20" t="s">
        <v>462</v>
      </c>
      <c r="V3162" s="30">
        <v>45.5</v>
      </c>
      <c r="W3162" s="21">
        <v>3</v>
      </c>
      <c r="X3162" s="22"/>
    </row>
    <row r="3163" spans="1:24" s="1" customFormat="1" ht="11.1" customHeight="1" x14ac:dyDescent="0.3">
      <c r="A3163" s="14" t="s">
        <v>3560</v>
      </c>
      <c r="B3163" s="14" t="s">
        <v>3569</v>
      </c>
      <c r="C3163" s="12" t="s">
        <v>3570</v>
      </c>
      <c r="D3163" s="85"/>
      <c r="E3163" s="69" t="str">
        <f t="shared" si="130"/>
        <v>Еще фото</v>
      </c>
      <c r="F3163" s="36"/>
      <c r="G3163" s="14" t="s">
        <v>394</v>
      </c>
      <c r="H3163" s="14" t="s">
        <v>151</v>
      </c>
      <c r="I3163" s="14" t="s">
        <v>395</v>
      </c>
      <c r="J3163" s="14" t="s">
        <v>406</v>
      </c>
      <c r="K3163" s="14" t="s">
        <v>114</v>
      </c>
      <c r="L3163" s="88"/>
      <c r="M3163" s="14"/>
      <c r="N3163" s="14" t="s">
        <v>49</v>
      </c>
      <c r="O3163" s="14"/>
      <c r="P3163" s="14" t="s">
        <v>3564</v>
      </c>
      <c r="Q3163" s="33">
        <v>20999</v>
      </c>
      <c r="R3163" s="34">
        <v>48.82</v>
      </c>
      <c r="S3163" s="35">
        <v>12359.9355</v>
      </c>
      <c r="T3163" s="19" t="s">
        <v>84</v>
      </c>
      <c r="U3163" s="20" t="s">
        <v>3568</v>
      </c>
      <c r="V3163" s="21">
        <v>46</v>
      </c>
      <c r="W3163" s="21">
        <v>2</v>
      </c>
      <c r="X3163" s="22"/>
    </row>
    <row r="3164" spans="1:24" s="1" customFormat="1" ht="12.95" customHeight="1" x14ac:dyDescent="0.3">
      <c r="A3164" s="11" t="s">
        <v>3560</v>
      </c>
      <c r="B3164" s="11" t="s">
        <v>3572</v>
      </c>
      <c r="C3164" s="12" t="s">
        <v>3573</v>
      </c>
      <c r="D3164" s="83"/>
      <c r="E3164" s="69" t="str">
        <f t="shared" ref="E3164:E3171" si="131">HYPERLINK("https://www.google.ru/search?q=N2BTR02-002&amp;newwindow=1&amp;tbm=isch","Еще фото")</f>
        <v>Еще фото</v>
      </c>
      <c r="F3164" s="13"/>
      <c r="G3164" s="11" t="s">
        <v>394</v>
      </c>
      <c r="H3164" s="11" t="s">
        <v>151</v>
      </c>
      <c r="I3164" s="14" t="s">
        <v>395</v>
      </c>
      <c r="J3164" s="14" t="s">
        <v>406</v>
      </c>
      <c r="K3164" s="15" t="s">
        <v>114</v>
      </c>
      <c r="L3164" s="86" t="s">
        <v>3571</v>
      </c>
      <c r="M3164" s="14"/>
      <c r="N3164" s="14" t="s">
        <v>242</v>
      </c>
      <c r="O3164" s="14"/>
      <c r="P3164" s="15" t="s">
        <v>3564</v>
      </c>
      <c r="Q3164" s="16">
        <v>20999</v>
      </c>
      <c r="R3164" s="17">
        <v>48.82</v>
      </c>
      <c r="S3164" s="18">
        <v>12359.9355</v>
      </c>
      <c r="T3164" s="19" t="s">
        <v>84</v>
      </c>
      <c r="U3164" s="26" t="s">
        <v>157</v>
      </c>
      <c r="V3164" s="21">
        <v>40</v>
      </c>
      <c r="W3164" s="21">
        <v>1</v>
      </c>
      <c r="X3164" s="22"/>
    </row>
    <row r="3165" spans="1:24" s="1" customFormat="1" ht="12.95" customHeight="1" x14ac:dyDescent="0.3">
      <c r="A3165" s="23" t="s">
        <v>3560</v>
      </c>
      <c r="B3165" s="23" t="s">
        <v>3572</v>
      </c>
      <c r="C3165" s="12" t="s">
        <v>3573</v>
      </c>
      <c r="D3165" s="84"/>
      <c r="E3165" s="69" t="str">
        <f t="shared" si="131"/>
        <v>Еще фото</v>
      </c>
      <c r="F3165" s="13"/>
      <c r="G3165" s="23" t="s">
        <v>394</v>
      </c>
      <c r="H3165" s="23" t="s">
        <v>151</v>
      </c>
      <c r="I3165" s="23" t="s">
        <v>395</v>
      </c>
      <c r="J3165" s="14" t="s">
        <v>406</v>
      </c>
      <c r="K3165" s="15" t="s">
        <v>114</v>
      </c>
      <c r="L3165" s="87"/>
      <c r="M3165" s="14"/>
      <c r="N3165" s="14" t="s">
        <v>242</v>
      </c>
      <c r="O3165" s="14"/>
      <c r="P3165" s="15" t="s">
        <v>3564</v>
      </c>
      <c r="Q3165" s="16">
        <v>20999</v>
      </c>
      <c r="R3165" s="17">
        <v>48.82</v>
      </c>
      <c r="S3165" s="18">
        <v>12359.9355</v>
      </c>
      <c r="T3165" s="19" t="s">
        <v>84</v>
      </c>
      <c r="U3165" s="20" t="s">
        <v>435</v>
      </c>
      <c r="V3165" s="21">
        <v>41</v>
      </c>
      <c r="W3165" s="21">
        <v>1</v>
      </c>
      <c r="X3165" s="22"/>
    </row>
    <row r="3166" spans="1:24" s="1" customFormat="1" ht="12.95" customHeight="1" x14ac:dyDescent="0.3">
      <c r="A3166" s="23" t="s">
        <v>3560</v>
      </c>
      <c r="B3166" s="23" t="s">
        <v>3572</v>
      </c>
      <c r="C3166" s="12" t="s">
        <v>3573</v>
      </c>
      <c r="D3166" s="84"/>
      <c r="E3166" s="69" t="str">
        <f t="shared" si="131"/>
        <v>Еще фото</v>
      </c>
      <c r="F3166" s="13"/>
      <c r="G3166" s="23" t="s">
        <v>394</v>
      </c>
      <c r="H3166" s="23" t="s">
        <v>151</v>
      </c>
      <c r="I3166" s="23" t="s">
        <v>395</v>
      </c>
      <c r="J3166" s="14" t="s">
        <v>406</v>
      </c>
      <c r="K3166" s="15" t="s">
        <v>114</v>
      </c>
      <c r="L3166" s="87"/>
      <c r="M3166" s="14"/>
      <c r="N3166" s="14" t="s">
        <v>242</v>
      </c>
      <c r="O3166" s="14"/>
      <c r="P3166" s="15" t="s">
        <v>3564</v>
      </c>
      <c r="Q3166" s="16">
        <v>20999</v>
      </c>
      <c r="R3166" s="17">
        <v>48.82</v>
      </c>
      <c r="S3166" s="18">
        <v>12359.9355</v>
      </c>
      <c r="T3166" s="19" t="s">
        <v>84</v>
      </c>
      <c r="U3166" s="20" t="s">
        <v>162</v>
      </c>
      <c r="V3166" s="30">
        <v>41.5</v>
      </c>
      <c r="W3166" s="21">
        <v>2</v>
      </c>
      <c r="X3166" s="22"/>
    </row>
    <row r="3167" spans="1:24" s="1" customFormat="1" ht="12.95" customHeight="1" x14ac:dyDescent="0.3">
      <c r="A3167" s="23" t="s">
        <v>3560</v>
      </c>
      <c r="B3167" s="23" t="s">
        <v>3572</v>
      </c>
      <c r="C3167" s="12" t="s">
        <v>3573</v>
      </c>
      <c r="D3167" s="84"/>
      <c r="E3167" s="69" t="str">
        <f t="shared" si="131"/>
        <v>Еще фото</v>
      </c>
      <c r="F3167" s="13"/>
      <c r="G3167" s="23" t="s">
        <v>394</v>
      </c>
      <c r="H3167" s="23" t="s">
        <v>151</v>
      </c>
      <c r="I3167" s="23" t="s">
        <v>395</v>
      </c>
      <c r="J3167" s="14" t="s">
        <v>406</v>
      </c>
      <c r="K3167" s="15" t="s">
        <v>114</v>
      </c>
      <c r="L3167" s="87"/>
      <c r="M3167" s="14"/>
      <c r="N3167" s="14" t="s">
        <v>242</v>
      </c>
      <c r="O3167" s="14"/>
      <c r="P3167" s="15" t="s">
        <v>3564</v>
      </c>
      <c r="Q3167" s="16">
        <v>20999</v>
      </c>
      <c r="R3167" s="17">
        <v>48.82</v>
      </c>
      <c r="S3167" s="18">
        <v>12359.9355</v>
      </c>
      <c r="T3167" s="19" t="s">
        <v>84</v>
      </c>
      <c r="U3167" s="20" t="s">
        <v>436</v>
      </c>
      <c r="V3167" s="21">
        <v>42</v>
      </c>
      <c r="W3167" s="21">
        <v>2</v>
      </c>
      <c r="X3167" s="22"/>
    </row>
    <row r="3168" spans="1:24" s="1" customFormat="1" ht="12.95" customHeight="1" x14ac:dyDescent="0.3">
      <c r="A3168" s="23" t="s">
        <v>3560</v>
      </c>
      <c r="B3168" s="23" t="s">
        <v>3572</v>
      </c>
      <c r="C3168" s="12" t="s">
        <v>3573</v>
      </c>
      <c r="D3168" s="84"/>
      <c r="E3168" s="69" t="str">
        <f t="shared" si="131"/>
        <v>Еще фото</v>
      </c>
      <c r="F3168" s="13"/>
      <c r="G3168" s="23" t="s">
        <v>394</v>
      </c>
      <c r="H3168" s="23" t="s">
        <v>151</v>
      </c>
      <c r="I3168" s="23" t="s">
        <v>395</v>
      </c>
      <c r="J3168" s="14" t="s">
        <v>406</v>
      </c>
      <c r="K3168" s="15" t="s">
        <v>114</v>
      </c>
      <c r="L3168" s="87"/>
      <c r="M3168" s="14"/>
      <c r="N3168" s="14" t="s">
        <v>242</v>
      </c>
      <c r="O3168" s="14"/>
      <c r="P3168" s="15" t="s">
        <v>3564</v>
      </c>
      <c r="Q3168" s="16">
        <v>20999</v>
      </c>
      <c r="R3168" s="17">
        <v>48.82</v>
      </c>
      <c r="S3168" s="18">
        <v>12359.9355</v>
      </c>
      <c r="T3168" s="19" t="s">
        <v>84</v>
      </c>
      <c r="U3168" s="20" t="s">
        <v>163</v>
      </c>
      <c r="V3168" s="21">
        <v>43</v>
      </c>
      <c r="W3168" s="21">
        <v>1</v>
      </c>
      <c r="X3168" s="22"/>
    </row>
    <row r="3169" spans="1:24" s="1" customFormat="1" ht="12.95" customHeight="1" x14ac:dyDescent="0.3">
      <c r="A3169" s="23" t="s">
        <v>3560</v>
      </c>
      <c r="B3169" s="23" t="s">
        <v>3572</v>
      </c>
      <c r="C3169" s="12" t="s">
        <v>3573</v>
      </c>
      <c r="D3169" s="84"/>
      <c r="E3169" s="69" t="str">
        <f t="shared" si="131"/>
        <v>Еще фото</v>
      </c>
      <c r="F3169" s="13"/>
      <c r="G3169" s="23" t="s">
        <v>394</v>
      </c>
      <c r="H3169" s="23" t="s">
        <v>151</v>
      </c>
      <c r="I3169" s="23" t="s">
        <v>395</v>
      </c>
      <c r="J3169" s="14" t="s">
        <v>406</v>
      </c>
      <c r="K3169" s="15" t="s">
        <v>114</v>
      </c>
      <c r="L3169" s="87"/>
      <c r="M3169" s="14"/>
      <c r="N3169" s="14" t="s">
        <v>242</v>
      </c>
      <c r="O3169" s="14"/>
      <c r="P3169" s="15" t="s">
        <v>3564</v>
      </c>
      <c r="Q3169" s="16">
        <v>20999</v>
      </c>
      <c r="R3169" s="17">
        <v>48.82</v>
      </c>
      <c r="S3169" s="18">
        <v>12359.9355</v>
      </c>
      <c r="T3169" s="19" t="s">
        <v>84</v>
      </c>
      <c r="U3169" s="20" t="s">
        <v>907</v>
      </c>
      <c r="V3169" s="30">
        <v>43.5</v>
      </c>
      <c r="W3169" s="21">
        <v>1</v>
      </c>
      <c r="X3169" s="22"/>
    </row>
    <row r="3170" spans="1:24" s="1" customFormat="1" ht="12.95" customHeight="1" x14ac:dyDescent="0.3">
      <c r="A3170" s="23" t="s">
        <v>3560</v>
      </c>
      <c r="B3170" s="23" t="s">
        <v>3572</v>
      </c>
      <c r="C3170" s="12" t="s">
        <v>3573</v>
      </c>
      <c r="D3170" s="84"/>
      <c r="E3170" s="69" t="str">
        <f t="shared" si="131"/>
        <v>Еще фото</v>
      </c>
      <c r="F3170" s="13"/>
      <c r="G3170" s="23" t="s">
        <v>394</v>
      </c>
      <c r="H3170" s="23" t="s">
        <v>151</v>
      </c>
      <c r="I3170" s="23" t="s">
        <v>395</v>
      </c>
      <c r="J3170" s="14" t="s">
        <v>406</v>
      </c>
      <c r="K3170" s="15" t="s">
        <v>114</v>
      </c>
      <c r="L3170" s="87"/>
      <c r="M3170" s="14"/>
      <c r="N3170" s="14" t="s">
        <v>242</v>
      </c>
      <c r="O3170" s="14"/>
      <c r="P3170" s="15" t="s">
        <v>3564</v>
      </c>
      <c r="Q3170" s="16">
        <v>20999</v>
      </c>
      <c r="R3170" s="17">
        <v>48.82</v>
      </c>
      <c r="S3170" s="18">
        <v>12359.9355</v>
      </c>
      <c r="T3170" s="19" t="s">
        <v>84</v>
      </c>
      <c r="U3170" s="20" t="s">
        <v>164</v>
      </c>
      <c r="V3170" s="21">
        <v>44</v>
      </c>
      <c r="W3170" s="21">
        <v>2</v>
      </c>
      <c r="X3170" s="22"/>
    </row>
    <row r="3171" spans="1:24" s="1" customFormat="1" ht="18" customHeight="1" x14ac:dyDescent="0.3">
      <c r="A3171" s="23" t="s">
        <v>3560</v>
      </c>
      <c r="B3171" s="23" t="s">
        <v>3572</v>
      </c>
      <c r="C3171" s="12" t="s">
        <v>3573</v>
      </c>
      <c r="D3171" s="85"/>
      <c r="E3171" s="69" t="str">
        <f t="shared" si="131"/>
        <v>Еще фото</v>
      </c>
      <c r="F3171" s="13"/>
      <c r="G3171" s="23" t="s">
        <v>394</v>
      </c>
      <c r="H3171" s="23" t="s">
        <v>151</v>
      </c>
      <c r="I3171" s="23" t="s">
        <v>395</v>
      </c>
      <c r="J3171" s="14" t="s">
        <v>406</v>
      </c>
      <c r="K3171" s="15" t="s">
        <v>114</v>
      </c>
      <c r="L3171" s="88"/>
      <c r="M3171" s="14"/>
      <c r="N3171" s="14" t="s">
        <v>242</v>
      </c>
      <c r="O3171" s="14"/>
      <c r="P3171" s="15" t="s">
        <v>3564</v>
      </c>
      <c r="Q3171" s="16">
        <v>20999</v>
      </c>
      <c r="R3171" s="17">
        <v>48.82</v>
      </c>
      <c r="S3171" s="18">
        <v>12359.9355</v>
      </c>
      <c r="T3171" s="19" t="s">
        <v>84</v>
      </c>
      <c r="U3171" s="20" t="s">
        <v>941</v>
      </c>
      <c r="V3171" s="21">
        <v>45</v>
      </c>
      <c r="W3171" s="21">
        <v>1</v>
      </c>
      <c r="X3171" s="22"/>
    </row>
    <row r="3172" spans="1:24" s="1" customFormat="1" ht="14.1" customHeight="1" x14ac:dyDescent="0.3">
      <c r="A3172" s="11" t="s">
        <v>3560</v>
      </c>
      <c r="B3172" s="11" t="s">
        <v>3574</v>
      </c>
      <c r="C3172" s="12" t="s">
        <v>3575</v>
      </c>
      <c r="D3172" s="83"/>
      <c r="E3172" s="69" t="str">
        <f t="shared" ref="E3172:E3178" si="132">HYPERLINK("https://www.google.ru/search?q=N2ZTR02-010&amp;newwindow=1&amp;tbm=isch","Еще фото")</f>
        <v>Еще фото</v>
      </c>
      <c r="F3172" s="13"/>
      <c r="G3172" s="11" t="s">
        <v>394</v>
      </c>
      <c r="H3172" s="11" t="s">
        <v>151</v>
      </c>
      <c r="I3172" s="14" t="s">
        <v>395</v>
      </c>
      <c r="J3172" s="14" t="s">
        <v>406</v>
      </c>
      <c r="K3172" s="15" t="s">
        <v>114</v>
      </c>
      <c r="L3172" s="86" t="s">
        <v>3576</v>
      </c>
      <c r="M3172" s="14"/>
      <c r="N3172" s="14" t="s">
        <v>636</v>
      </c>
      <c r="O3172" s="14"/>
      <c r="P3172" s="15" t="s">
        <v>3564</v>
      </c>
      <c r="Q3172" s="16">
        <v>20999</v>
      </c>
      <c r="R3172" s="17">
        <v>48.82</v>
      </c>
      <c r="S3172" s="18">
        <v>12359.9355</v>
      </c>
      <c r="T3172" s="19" t="s">
        <v>84</v>
      </c>
      <c r="U3172" s="20" t="s">
        <v>435</v>
      </c>
      <c r="V3172" s="21">
        <v>41</v>
      </c>
      <c r="W3172" s="21">
        <v>2</v>
      </c>
      <c r="X3172" s="22"/>
    </row>
    <row r="3173" spans="1:24" s="1" customFormat="1" ht="14.1" customHeight="1" x14ac:dyDescent="0.3">
      <c r="A3173" s="23" t="s">
        <v>3560</v>
      </c>
      <c r="B3173" s="23" t="s">
        <v>3574</v>
      </c>
      <c r="C3173" s="12" t="s">
        <v>3575</v>
      </c>
      <c r="D3173" s="84"/>
      <c r="E3173" s="69" t="str">
        <f t="shared" si="132"/>
        <v>Еще фото</v>
      </c>
      <c r="F3173" s="13"/>
      <c r="G3173" s="23" t="s">
        <v>394</v>
      </c>
      <c r="H3173" s="23" t="s">
        <v>151</v>
      </c>
      <c r="I3173" s="23" t="s">
        <v>395</v>
      </c>
      <c r="J3173" s="14" t="s">
        <v>406</v>
      </c>
      <c r="K3173" s="15" t="s">
        <v>114</v>
      </c>
      <c r="L3173" s="87"/>
      <c r="M3173" s="14"/>
      <c r="N3173" s="14" t="s">
        <v>636</v>
      </c>
      <c r="O3173" s="14"/>
      <c r="P3173" s="15" t="s">
        <v>3564</v>
      </c>
      <c r="Q3173" s="16">
        <v>20999</v>
      </c>
      <c r="R3173" s="17">
        <v>48.82</v>
      </c>
      <c r="S3173" s="18">
        <v>12359.9355</v>
      </c>
      <c r="T3173" s="19" t="s">
        <v>84</v>
      </c>
      <c r="U3173" s="20" t="s">
        <v>436</v>
      </c>
      <c r="V3173" s="21">
        <v>42</v>
      </c>
      <c r="W3173" s="21">
        <v>4</v>
      </c>
      <c r="X3173" s="22"/>
    </row>
    <row r="3174" spans="1:24" s="1" customFormat="1" ht="14.1" customHeight="1" x14ac:dyDescent="0.3">
      <c r="A3174" s="23" t="s">
        <v>3560</v>
      </c>
      <c r="B3174" s="23" t="s">
        <v>3574</v>
      </c>
      <c r="C3174" s="12" t="s">
        <v>3575</v>
      </c>
      <c r="D3174" s="84"/>
      <c r="E3174" s="69" t="str">
        <f t="shared" si="132"/>
        <v>Еще фото</v>
      </c>
      <c r="F3174" s="13"/>
      <c r="G3174" s="23" t="s">
        <v>394</v>
      </c>
      <c r="H3174" s="23" t="s">
        <v>151</v>
      </c>
      <c r="I3174" s="23" t="s">
        <v>395</v>
      </c>
      <c r="J3174" s="14" t="s">
        <v>406</v>
      </c>
      <c r="K3174" s="15" t="s">
        <v>114</v>
      </c>
      <c r="L3174" s="87"/>
      <c r="M3174" s="14"/>
      <c r="N3174" s="14" t="s">
        <v>636</v>
      </c>
      <c r="O3174" s="14"/>
      <c r="P3174" s="15" t="s">
        <v>3564</v>
      </c>
      <c r="Q3174" s="16">
        <v>20999</v>
      </c>
      <c r="R3174" s="17">
        <v>48.82</v>
      </c>
      <c r="S3174" s="18">
        <v>12359.9355</v>
      </c>
      <c r="T3174" s="19" t="s">
        <v>84</v>
      </c>
      <c r="U3174" s="20" t="s">
        <v>163</v>
      </c>
      <c r="V3174" s="21">
        <v>43</v>
      </c>
      <c r="W3174" s="21">
        <v>4</v>
      </c>
      <c r="X3174" s="22"/>
    </row>
    <row r="3175" spans="1:24" s="1" customFormat="1" ht="14.1" customHeight="1" x14ac:dyDescent="0.3">
      <c r="A3175" s="23" t="s">
        <v>3560</v>
      </c>
      <c r="B3175" s="23" t="s">
        <v>3574</v>
      </c>
      <c r="C3175" s="12" t="s">
        <v>3575</v>
      </c>
      <c r="D3175" s="84"/>
      <c r="E3175" s="69" t="str">
        <f t="shared" si="132"/>
        <v>Еще фото</v>
      </c>
      <c r="F3175" s="13"/>
      <c r="G3175" s="23" t="s">
        <v>394</v>
      </c>
      <c r="H3175" s="23" t="s">
        <v>151</v>
      </c>
      <c r="I3175" s="23" t="s">
        <v>395</v>
      </c>
      <c r="J3175" s="14" t="s">
        <v>406</v>
      </c>
      <c r="K3175" s="15" t="s">
        <v>114</v>
      </c>
      <c r="L3175" s="87"/>
      <c r="M3175" s="14"/>
      <c r="N3175" s="14" t="s">
        <v>636</v>
      </c>
      <c r="O3175" s="14"/>
      <c r="P3175" s="15" t="s">
        <v>3564</v>
      </c>
      <c r="Q3175" s="16">
        <v>20999</v>
      </c>
      <c r="R3175" s="17">
        <v>48.82</v>
      </c>
      <c r="S3175" s="18">
        <v>12359.9355</v>
      </c>
      <c r="T3175" s="19" t="s">
        <v>84</v>
      </c>
      <c r="U3175" s="20" t="s">
        <v>907</v>
      </c>
      <c r="V3175" s="30">
        <v>43.5</v>
      </c>
      <c r="W3175" s="21">
        <v>5</v>
      </c>
      <c r="X3175" s="22"/>
    </row>
    <row r="3176" spans="1:24" s="1" customFormat="1" ht="14.1" customHeight="1" x14ac:dyDescent="0.3">
      <c r="A3176" s="23" t="s">
        <v>3560</v>
      </c>
      <c r="B3176" s="23" t="s">
        <v>3574</v>
      </c>
      <c r="C3176" s="12" t="s">
        <v>3575</v>
      </c>
      <c r="D3176" s="84"/>
      <c r="E3176" s="69" t="str">
        <f t="shared" si="132"/>
        <v>Еще фото</v>
      </c>
      <c r="F3176" s="13"/>
      <c r="G3176" s="23" t="s">
        <v>394</v>
      </c>
      <c r="H3176" s="23" t="s">
        <v>151</v>
      </c>
      <c r="I3176" s="23" t="s">
        <v>395</v>
      </c>
      <c r="J3176" s="14" t="s">
        <v>406</v>
      </c>
      <c r="K3176" s="15" t="s">
        <v>114</v>
      </c>
      <c r="L3176" s="87"/>
      <c r="M3176" s="14"/>
      <c r="N3176" s="14" t="s">
        <v>636</v>
      </c>
      <c r="O3176" s="14"/>
      <c r="P3176" s="15" t="s">
        <v>3564</v>
      </c>
      <c r="Q3176" s="16">
        <v>20999</v>
      </c>
      <c r="R3176" s="17">
        <v>48.82</v>
      </c>
      <c r="S3176" s="18">
        <v>12359.9355</v>
      </c>
      <c r="T3176" s="19" t="s">
        <v>84</v>
      </c>
      <c r="U3176" s="20" t="s">
        <v>164</v>
      </c>
      <c r="V3176" s="21">
        <v>44</v>
      </c>
      <c r="W3176" s="21">
        <v>5</v>
      </c>
      <c r="X3176" s="22"/>
    </row>
    <row r="3177" spans="1:24" s="1" customFormat="1" ht="14.1" customHeight="1" x14ac:dyDescent="0.3">
      <c r="A3177" s="23" t="s">
        <v>3560</v>
      </c>
      <c r="B3177" s="23" t="s">
        <v>3574</v>
      </c>
      <c r="C3177" s="12" t="s">
        <v>3575</v>
      </c>
      <c r="D3177" s="84"/>
      <c r="E3177" s="69" t="str">
        <f t="shared" si="132"/>
        <v>Еще фото</v>
      </c>
      <c r="F3177" s="13"/>
      <c r="G3177" s="23" t="s">
        <v>394</v>
      </c>
      <c r="H3177" s="23" t="s">
        <v>151</v>
      </c>
      <c r="I3177" s="23" t="s">
        <v>395</v>
      </c>
      <c r="J3177" s="14" t="s">
        <v>406</v>
      </c>
      <c r="K3177" s="15" t="s">
        <v>114</v>
      </c>
      <c r="L3177" s="87"/>
      <c r="M3177" s="14"/>
      <c r="N3177" s="14" t="s">
        <v>636</v>
      </c>
      <c r="O3177" s="14"/>
      <c r="P3177" s="15" t="s">
        <v>3564</v>
      </c>
      <c r="Q3177" s="16">
        <v>20999</v>
      </c>
      <c r="R3177" s="17">
        <v>48.82</v>
      </c>
      <c r="S3177" s="18">
        <v>12359.9355</v>
      </c>
      <c r="T3177" s="19" t="s">
        <v>84</v>
      </c>
      <c r="U3177" s="20" t="s">
        <v>941</v>
      </c>
      <c r="V3177" s="21">
        <v>45</v>
      </c>
      <c r="W3177" s="21">
        <v>3</v>
      </c>
      <c r="X3177" s="22"/>
    </row>
    <row r="3178" spans="1:24" s="1" customFormat="1" ht="17.100000000000001" customHeight="1" x14ac:dyDescent="0.3">
      <c r="A3178" s="23" t="s">
        <v>3560</v>
      </c>
      <c r="B3178" s="23" t="s">
        <v>3574</v>
      </c>
      <c r="C3178" s="12" t="s">
        <v>3575</v>
      </c>
      <c r="D3178" s="85"/>
      <c r="E3178" s="69" t="str">
        <f t="shared" si="132"/>
        <v>Еще фото</v>
      </c>
      <c r="F3178" s="13"/>
      <c r="G3178" s="23" t="s">
        <v>394</v>
      </c>
      <c r="H3178" s="23" t="s">
        <v>151</v>
      </c>
      <c r="I3178" s="23" t="s">
        <v>395</v>
      </c>
      <c r="J3178" s="14" t="s">
        <v>406</v>
      </c>
      <c r="K3178" s="15" t="s">
        <v>114</v>
      </c>
      <c r="L3178" s="88"/>
      <c r="M3178" s="14"/>
      <c r="N3178" s="14" t="s">
        <v>636</v>
      </c>
      <c r="O3178" s="14"/>
      <c r="P3178" s="15" t="s">
        <v>3564</v>
      </c>
      <c r="Q3178" s="16">
        <v>20999</v>
      </c>
      <c r="R3178" s="17">
        <v>48.82</v>
      </c>
      <c r="S3178" s="18">
        <v>12359.9355</v>
      </c>
      <c r="T3178" s="19" t="s">
        <v>84</v>
      </c>
      <c r="U3178" s="20" t="s">
        <v>462</v>
      </c>
      <c r="V3178" s="30">
        <v>45.5</v>
      </c>
      <c r="W3178" s="21">
        <v>1</v>
      </c>
      <c r="X3178" s="22"/>
    </row>
    <row r="3179" spans="1:24" s="1" customFormat="1" ht="108" customHeight="1" x14ac:dyDescent="0.3">
      <c r="A3179" s="11" t="s">
        <v>3541</v>
      </c>
      <c r="B3179" s="11" t="s">
        <v>3554</v>
      </c>
      <c r="C3179" s="12" t="s">
        <v>3577</v>
      </c>
      <c r="D3179" s="24"/>
      <c r="E3179" s="69" t="str">
        <f>HYPERLINK("https://www.google.ru/search?q=DR101179099D0261&amp;newwindow=1&amp;tbm=isch","Еще фото")</f>
        <v>Еще фото</v>
      </c>
      <c r="F3179" s="13"/>
      <c r="G3179" s="11" t="s">
        <v>394</v>
      </c>
      <c r="H3179" s="11" t="s">
        <v>151</v>
      </c>
      <c r="I3179" s="14" t="s">
        <v>395</v>
      </c>
      <c r="J3179" s="14" t="s">
        <v>879</v>
      </c>
      <c r="K3179" s="15" t="s">
        <v>55</v>
      </c>
      <c r="L3179" s="14" t="s">
        <v>3556</v>
      </c>
      <c r="M3179" s="14"/>
      <c r="N3179" s="14" t="s">
        <v>763</v>
      </c>
      <c r="O3179" s="14"/>
      <c r="P3179" s="15" t="s">
        <v>3545</v>
      </c>
      <c r="Q3179" s="16">
        <v>29990</v>
      </c>
      <c r="R3179" s="17">
        <v>45.32</v>
      </c>
      <c r="S3179" s="18">
        <v>18859.988499999999</v>
      </c>
      <c r="T3179" s="19" t="s">
        <v>846</v>
      </c>
      <c r="U3179" s="20" t="s">
        <v>1220</v>
      </c>
      <c r="V3179" s="21">
        <v>45</v>
      </c>
      <c r="W3179" s="21">
        <v>1</v>
      </c>
      <c r="X3179" s="22"/>
    </row>
    <row r="3180" spans="1:24" s="1" customFormat="1" ht="35.1" customHeight="1" x14ac:dyDescent="0.3">
      <c r="A3180" s="11" t="s">
        <v>3541</v>
      </c>
      <c r="B3180" s="11" t="s">
        <v>3578</v>
      </c>
      <c r="C3180" s="12" t="s">
        <v>3579</v>
      </c>
      <c r="D3180" s="83"/>
      <c r="E3180" s="69" t="str">
        <f>HYPERLINK("https://www.google.ru/search?q=DR101179103D0267&amp;newwindow=1&amp;tbm=isch","Еще фото")</f>
        <v>Еще фото</v>
      </c>
      <c r="F3180" s="13"/>
      <c r="G3180" s="11" t="s">
        <v>394</v>
      </c>
      <c r="H3180" s="11" t="s">
        <v>151</v>
      </c>
      <c r="I3180" s="14" t="s">
        <v>395</v>
      </c>
      <c r="J3180" s="14" t="s">
        <v>879</v>
      </c>
      <c r="K3180" s="15" t="s">
        <v>47</v>
      </c>
      <c r="L3180" s="86" t="s">
        <v>3580</v>
      </c>
      <c r="M3180" s="14"/>
      <c r="N3180" s="14" t="s">
        <v>265</v>
      </c>
      <c r="O3180" s="14"/>
      <c r="P3180" s="15" t="s">
        <v>3545</v>
      </c>
      <c r="Q3180" s="16">
        <v>29990</v>
      </c>
      <c r="R3180" s="17">
        <v>45.32</v>
      </c>
      <c r="S3180" s="18">
        <v>18859.988499999999</v>
      </c>
      <c r="T3180" s="19" t="s">
        <v>846</v>
      </c>
      <c r="U3180" s="20" t="s">
        <v>157</v>
      </c>
      <c r="V3180" s="21">
        <v>41</v>
      </c>
      <c r="W3180" s="21">
        <v>2</v>
      </c>
      <c r="X3180" s="22"/>
    </row>
    <row r="3181" spans="1:24" s="1" customFormat="1" ht="35.1" customHeight="1" x14ac:dyDescent="0.3">
      <c r="A3181" s="23" t="s">
        <v>3541</v>
      </c>
      <c r="B3181" s="23" t="s">
        <v>3578</v>
      </c>
      <c r="C3181" s="12" t="s">
        <v>3579</v>
      </c>
      <c r="D3181" s="84"/>
      <c r="E3181" s="69" t="str">
        <f>HYPERLINK("https://www.google.ru/search?q=DR101179103D0267&amp;newwindow=1&amp;tbm=isch","Еще фото")</f>
        <v>Еще фото</v>
      </c>
      <c r="F3181" s="13"/>
      <c r="G3181" s="23" t="s">
        <v>394</v>
      </c>
      <c r="H3181" s="23" t="s">
        <v>151</v>
      </c>
      <c r="I3181" s="23" t="s">
        <v>395</v>
      </c>
      <c r="J3181" s="14" t="s">
        <v>879</v>
      </c>
      <c r="K3181" s="15" t="s">
        <v>47</v>
      </c>
      <c r="L3181" s="87"/>
      <c r="M3181" s="14"/>
      <c r="N3181" s="14" t="s">
        <v>265</v>
      </c>
      <c r="O3181" s="14"/>
      <c r="P3181" s="15" t="s">
        <v>3545</v>
      </c>
      <c r="Q3181" s="16">
        <v>29990</v>
      </c>
      <c r="R3181" s="17">
        <v>45.32</v>
      </c>
      <c r="S3181" s="18">
        <v>18859.988499999999</v>
      </c>
      <c r="T3181" s="19" t="s">
        <v>846</v>
      </c>
      <c r="U3181" s="20" t="s">
        <v>3547</v>
      </c>
      <c r="V3181" s="30">
        <v>41.5</v>
      </c>
      <c r="W3181" s="21">
        <v>1</v>
      </c>
      <c r="X3181" s="22"/>
    </row>
    <row r="3182" spans="1:24" s="1" customFormat="1" ht="36.950000000000003" customHeight="1" x14ac:dyDescent="0.3">
      <c r="A3182" s="23" t="s">
        <v>3541</v>
      </c>
      <c r="B3182" s="23" t="s">
        <v>3578</v>
      </c>
      <c r="C3182" s="12" t="s">
        <v>3579</v>
      </c>
      <c r="D3182" s="85"/>
      <c r="E3182" s="69" t="str">
        <f>HYPERLINK("https://www.google.ru/search?q=DR101179103D0267&amp;newwindow=1&amp;tbm=isch","Еще фото")</f>
        <v>Еще фото</v>
      </c>
      <c r="F3182" s="13"/>
      <c r="G3182" s="23" t="s">
        <v>394</v>
      </c>
      <c r="H3182" s="23" t="s">
        <v>151</v>
      </c>
      <c r="I3182" s="23" t="s">
        <v>395</v>
      </c>
      <c r="J3182" s="14" t="s">
        <v>879</v>
      </c>
      <c r="K3182" s="15" t="s">
        <v>47</v>
      </c>
      <c r="L3182" s="88"/>
      <c r="M3182" s="14"/>
      <c r="N3182" s="14" t="s">
        <v>265</v>
      </c>
      <c r="O3182" s="14"/>
      <c r="P3182" s="15" t="s">
        <v>3545</v>
      </c>
      <c r="Q3182" s="16">
        <v>29990</v>
      </c>
      <c r="R3182" s="17">
        <v>45.32</v>
      </c>
      <c r="S3182" s="18">
        <v>18859.988499999999</v>
      </c>
      <c r="T3182" s="19" t="s">
        <v>846</v>
      </c>
      <c r="U3182" s="20" t="s">
        <v>162</v>
      </c>
      <c r="V3182" s="21">
        <v>42</v>
      </c>
      <c r="W3182" s="21">
        <v>2</v>
      </c>
      <c r="X3182" s="22"/>
    </row>
    <row r="3183" spans="1:24" s="1" customFormat="1" ht="108" customHeight="1" x14ac:dyDescent="0.3">
      <c r="A3183" s="11" t="s">
        <v>3541</v>
      </c>
      <c r="B3183" s="11" t="s">
        <v>3581</v>
      </c>
      <c r="C3183" s="12" t="s">
        <v>3582</v>
      </c>
      <c r="D3183" s="24"/>
      <c r="E3183" s="69" t="str">
        <f>HYPERLINK("https://www.google.ru/search?q=DR101179504D0620&amp;newwindow=1&amp;tbm=isch","Еще фото")</f>
        <v>Еще фото</v>
      </c>
      <c r="F3183" s="13"/>
      <c r="G3183" s="11" t="s">
        <v>394</v>
      </c>
      <c r="H3183" s="11" t="s">
        <v>151</v>
      </c>
      <c r="I3183" s="14" t="s">
        <v>395</v>
      </c>
      <c r="J3183" s="14" t="s">
        <v>879</v>
      </c>
      <c r="K3183" s="15" t="s">
        <v>55</v>
      </c>
      <c r="L3183" s="14" t="s">
        <v>3583</v>
      </c>
      <c r="M3183" s="14"/>
      <c r="N3183" s="14" t="s">
        <v>767</v>
      </c>
      <c r="O3183" s="14"/>
      <c r="P3183" s="15" t="s">
        <v>3584</v>
      </c>
      <c r="Q3183" s="16">
        <v>29990</v>
      </c>
      <c r="R3183" s="17">
        <v>45.32</v>
      </c>
      <c r="S3183" s="18">
        <v>18859.988499999999</v>
      </c>
      <c r="T3183" s="19" t="s">
        <v>846</v>
      </c>
      <c r="U3183" s="20" t="s">
        <v>157</v>
      </c>
      <c r="V3183" s="21">
        <v>41</v>
      </c>
      <c r="W3183" s="21">
        <v>1</v>
      </c>
      <c r="X3183" s="22"/>
    </row>
    <row r="3184" spans="1:24" s="1" customFormat="1" ht="108" customHeight="1" x14ac:dyDescent="0.3">
      <c r="A3184" s="11" t="s">
        <v>3560</v>
      </c>
      <c r="B3184" s="11" t="s">
        <v>3585</v>
      </c>
      <c r="C3184" s="12" t="s">
        <v>3586</v>
      </c>
      <c r="D3184" s="24"/>
      <c r="E3184" s="69" t="str">
        <f>HYPERLINK("https://www.google.ru/search?q=N1ZKSM1-001&amp;newwindow=1&amp;tbm=isch","Еще фото")</f>
        <v>Еще фото</v>
      </c>
      <c r="F3184" s="13"/>
      <c r="G3184" s="11" t="s">
        <v>394</v>
      </c>
      <c r="H3184" s="11" t="s">
        <v>151</v>
      </c>
      <c r="I3184" s="14" t="s">
        <v>395</v>
      </c>
      <c r="J3184" s="14" t="s">
        <v>406</v>
      </c>
      <c r="K3184" s="15" t="s">
        <v>114</v>
      </c>
      <c r="L3184" s="14" t="s">
        <v>3587</v>
      </c>
      <c r="M3184" s="14"/>
      <c r="N3184" s="14" t="s">
        <v>89</v>
      </c>
      <c r="O3184" s="14"/>
      <c r="P3184" s="15" t="s">
        <v>3564</v>
      </c>
      <c r="Q3184" s="16">
        <v>24999</v>
      </c>
      <c r="R3184" s="17">
        <v>45.2</v>
      </c>
      <c r="S3184" s="18">
        <v>15754.988499999998</v>
      </c>
      <c r="T3184" s="19" t="s">
        <v>84</v>
      </c>
      <c r="U3184" s="20" t="s">
        <v>435</v>
      </c>
      <c r="V3184" s="21">
        <v>41</v>
      </c>
      <c r="W3184" s="21">
        <v>1</v>
      </c>
      <c r="X3184" s="22"/>
    </row>
    <row r="3185" spans="1:24" s="1" customFormat="1" ht="51.95" customHeight="1" x14ac:dyDescent="0.3">
      <c r="A3185" s="11" t="s">
        <v>3560</v>
      </c>
      <c r="B3185" s="11" t="s">
        <v>3588</v>
      </c>
      <c r="C3185" s="12" t="s">
        <v>3589</v>
      </c>
      <c r="D3185" s="89"/>
      <c r="E3185" s="69" t="str">
        <f>HYPERLINK("https://www.google.ru/search?q=N1ZKSM1-002&amp;newwindow=1&amp;tbm=isch","Еще фото")</f>
        <v>Еще фото</v>
      </c>
      <c r="F3185" s="13"/>
      <c r="G3185" s="11" t="s">
        <v>394</v>
      </c>
      <c r="H3185" s="11" t="s">
        <v>151</v>
      </c>
      <c r="I3185" s="14" t="s">
        <v>395</v>
      </c>
      <c r="J3185" s="14" t="s">
        <v>406</v>
      </c>
      <c r="K3185" s="15" t="s">
        <v>114</v>
      </c>
      <c r="L3185" s="86" t="s">
        <v>3587</v>
      </c>
      <c r="M3185" s="14"/>
      <c r="N3185" s="14" t="s">
        <v>49</v>
      </c>
      <c r="O3185" s="14"/>
      <c r="P3185" s="15" t="s">
        <v>3564</v>
      </c>
      <c r="Q3185" s="16">
        <v>24999</v>
      </c>
      <c r="R3185" s="17">
        <v>45.2</v>
      </c>
      <c r="S3185" s="18">
        <v>15754.988499999998</v>
      </c>
      <c r="T3185" s="19" t="s">
        <v>84</v>
      </c>
      <c r="U3185" s="20" t="s">
        <v>157</v>
      </c>
      <c r="V3185" s="21">
        <v>40</v>
      </c>
      <c r="W3185" s="21">
        <v>1</v>
      </c>
      <c r="X3185" s="22"/>
    </row>
    <row r="3186" spans="1:24" s="1" customFormat="1" ht="60.95" customHeight="1" x14ac:dyDescent="0.3">
      <c r="A3186" s="23" t="s">
        <v>3560</v>
      </c>
      <c r="B3186" s="23" t="s">
        <v>3588</v>
      </c>
      <c r="C3186" s="12" t="s">
        <v>3589</v>
      </c>
      <c r="D3186" s="90"/>
      <c r="E3186" s="69" t="str">
        <f>HYPERLINK("https://www.google.ru/search?q=N1ZKSM1-002&amp;newwindow=1&amp;tbm=isch","Еще фото")</f>
        <v>Еще фото</v>
      </c>
      <c r="F3186" s="13"/>
      <c r="G3186" s="23" t="s">
        <v>394</v>
      </c>
      <c r="H3186" s="23" t="s">
        <v>151</v>
      </c>
      <c r="I3186" s="23" t="s">
        <v>395</v>
      </c>
      <c r="J3186" s="14" t="s">
        <v>406</v>
      </c>
      <c r="K3186" s="15" t="s">
        <v>114</v>
      </c>
      <c r="L3186" s="88"/>
      <c r="M3186" s="14"/>
      <c r="N3186" s="14" t="s">
        <v>49</v>
      </c>
      <c r="O3186" s="14"/>
      <c r="P3186" s="15" t="s">
        <v>3564</v>
      </c>
      <c r="Q3186" s="16">
        <v>24999</v>
      </c>
      <c r="R3186" s="17">
        <v>45.2</v>
      </c>
      <c r="S3186" s="18">
        <v>15754.988499999998</v>
      </c>
      <c r="T3186" s="19" t="s">
        <v>84</v>
      </c>
      <c r="U3186" s="20" t="s">
        <v>907</v>
      </c>
      <c r="V3186" s="30">
        <v>43.5</v>
      </c>
      <c r="W3186" s="21">
        <v>1</v>
      </c>
      <c r="X3186" s="22"/>
    </row>
    <row r="3187" spans="1:24" s="1" customFormat="1" ht="108" customHeight="1" x14ac:dyDescent="0.3">
      <c r="A3187" s="11" t="s">
        <v>3541</v>
      </c>
      <c r="B3187" s="11" t="s">
        <v>3590</v>
      </c>
      <c r="C3187" s="12" t="s">
        <v>3591</v>
      </c>
      <c r="D3187" s="24"/>
      <c r="E3187" s="69" t="str">
        <f>HYPERLINK("https://www.google.ru/search?q=DR101179551D0491&amp;newwindow=1&amp;tbm=isch","Еще фото")</f>
        <v>Еще фото</v>
      </c>
      <c r="F3187" s="13"/>
      <c r="G3187" s="11" t="s">
        <v>394</v>
      </c>
      <c r="H3187" s="11" t="s">
        <v>151</v>
      </c>
      <c r="I3187" s="14" t="s">
        <v>395</v>
      </c>
      <c r="J3187" s="14" t="s">
        <v>406</v>
      </c>
      <c r="K3187" s="15" t="s">
        <v>55</v>
      </c>
      <c r="L3187" s="14" t="s">
        <v>3592</v>
      </c>
      <c r="M3187" s="14"/>
      <c r="N3187" s="14" t="s">
        <v>41</v>
      </c>
      <c r="O3187" s="14"/>
      <c r="P3187" s="15" t="s">
        <v>3593</v>
      </c>
      <c r="Q3187" s="16">
        <v>22990</v>
      </c>
      <c r="R3187" s="17">
        <v>45.19</v>
      </c>
      <c r="S3187" s="18">
        <v>14489.988499999999</v>
      </c>
      <c r="T3187" s="19" t="s">
        <v>846</v>
      </c>
      <c r="U3187" s="20" t="s">
        <v>3547</v>
      </c>
      <c r="V3187" s="25" t="s">
        <v>3594</v>
      </c>
      <c r="W3187" s="21">
        <v>1</v>
      </c>
      <c r="X3187" s="22"/>
    </row>
    <row r="3188" spans="1:24" s="1" customFormat="1" ht="108" customHeight="1" x14ac:dyDescent="0.3">
      <c r="A3188" s="11" t="s">
        <v>3541</v>
      </c>
      <c r="B3188" s="11" t="s">
        <v>3595</v>
      </c>
      <c r="C3188" s="12" t="s">
        <v>3596</v>
      </c>
      <c r="D3188" s="24"/>
      <c r="E3188" s="69" t="str">
        <f>HYPERLINK("https://www.google.ru/search?q=DR101179508D0257&amp;newwindow=1&amp;tbm=isch","Еще фото")</f>
        <v>Еще фото</v>
      </c>
      <c r="F3188" s="13"/>
      <c r="G3188" s="11" t="s">
        <v>394</v>
      </c>
      <c r="H3188" s="11" t="s">
        <v>151</v>
      </c>
      <c r="I3188" s="14" t="s">
        <v>395</v>
      </c>
      <c r="J3188" s="14" t="s">
        <v>879</v>
      </c>
      <c r="K3188" s="15" t="s">
        <v>47</v>
      </c>
      <c r="L3188" s="14" t="s">
        <v>3597</v>
      </c>
      <c r="M3188" s="14"/>
      <c r="N3188" s="14" t="s">
        <v>3598</v>
      </c>
      <c r="O3188" s="14"/>
      <c r="P3188" s="15" t="s">
        <v>3599</v>
      </c>
      <c r="Q3188" s="16">
        <v>28990</v>
      </c>
      <c r="R3188" s="17">
        <v>45.15</v>
      </c>
      <c r="S3188" s="18">
        <v>18284.988499999999</v>
      </c>
      <c r="T3188" s="19" t="s">
        <v>846</v>
      </c>
      <c r="U3188" s="20" t="s">
        <v>3547</v>
      </c>
      <c r="V3188" s="30">
        <v>41.5</v>
      </c>
      <c r="W3188" s="21">
        <v>1</v>
      </c>
      <c r="X3188" s="22"/>
    </row>
    <row r="3189" spans="1:24" s="1" customFormat="1" ht="51.95" customHeight="1" x14ac:dyDescent="0.3">
      <c r="A3189" s="11" t="s">
        <v>3194</v>
      </c>
      <c r="B3189" s="11" t="s">
        <v>3600</v>
      </c>
      <c r="C3189" s="12" t="s">
        <v>3601</v>
      </c>
      <c r="D3189" s="89"/>
      <c r="E3189" s="69" t="str">
        <f>HYPERLINK("https://www.google.ru/search?q=101188126&amp;newwindow=1&amp;tbm=isch","Еще фото")</f>
        <v>Еще фото</v>
      </c>
      <c r="F3189" s="13"/>
      <c r="G3189" s="11" t="s">
        <v>150</v>
      </c>
      <c r="H3189" s="11" t="s">
        <v>151</v>
      </c>
      <c r="I3189" s="14" t="s">
        <v>395</v>
      </c>
      <c r="J3189" s="14" t="s">
        <v>1164</v>
      </c>
      <c r="K3189" s="15" t="s">
        <v>55</v>
      </c>
      <c r="L3189" s="86"/>
      <c r="M3189" s="14"/>
      <c r="N3189" s="14" t="s">
        <v>49</v>
      </c>
      <c r="O3189" s="14"/>
      <c r="P3189" s="15" t="s">
        <v>3230</v>
      </c>
      <c r="Q3189" s="16">
        <v>9999</v>
      </c>
      <c r="R3189" s="17">
        <v>45</v>
      </c>
      <c r="S3189" s="18">
        <v>6324.3674999999994</v>
      </c>
      <c r="T3189" s="19" t="s">
        <v>328</v>
      </c>
      <c r="U3189" s="20" t="s">
        <v>399</v>
      </c>
      <c r="V3189" s="21">
        <v>39</v>
      </c>
      <c r="W3189" s="21">
        <v>3</v>
      </c>
      <c r="X3189" s="22"/>
    </row>
    <row r="3190" spans="1:24" s="1" customFormat="1" ht="60.95" customHeight="1" x14ac:dyDescent="0.3">
      <c r="A3190" s="23" t="s">
        <v>3194</v>
      </c>
      <c r="B3190" s="23" t="s">
        <v>3600</v>
      </c>
      <c r="C3190" s="12" t="s">
        <v>3601</v>
      </c>
      <c r="D3190" s="90"/>
      <c r="E3190" s="69" t="str">
        <f>HYPERLINK("https://www.google.ru/search?q=101188126&amp;newwindow=1&amp;tbm=isch","Еще фото")</f>
        <v>Еще фото</v>
      </c>
      <c r="F3190" s="13"/>
      <c r="G3190" s="23" t="s">
        <v>150</v>
      </c>
      <c r="H3190" s="23" t="s">
        <v>151</v>
      </c>
      <c r="I3190" s="23" t="s">
        <v>395</v>
      </c>
      <c r="J3190" s="14" t="s">
        <v>1164</v>
      </c>
      <c r="K3190" s="15" t="s">
        <v>55</v>
      </c>
      <c r="L3190" s="88"/>
      <c r="M3190" s="14"/>
      <c r="N3190" s="14" t="s">
        <v>49</v>
      </c>
      <c r="O3190" s="14"/>
      <c r="P3190" s="15" t="s">
        <v>3230</v>
      </c>
      <c r="Q3190" s="16">
        <v>9999</v>
      </c>
      <c r="R3190" s="17">
        <v>45</v>
      </c>
      <c r="S3190" s="18">
        <v>6324.3674999999994</v>
      </c>
      <c r="T3190" s="19" t="s">
        <v>328</v>
      </c>
      <c r="U3190" s="20" t="s">
        <v>400</v>
      </c>
      <c r="V3190" s="21">
        <v>40</v>
      </c>
      <c r="W3190" s="21">
        <v>2</v>
      </c>
      <c r="X3190" s="22"/>
    </row>
    <row r="3191" spans="1:24" s="1" customFormat="1" ht="51.95" customHeight="1" x14ac:dyDescent="0.3">
      <c r="A3191" s="11" t="s">
        <v>3194</v>
      </c>
      <c r="B3191" s="11" t="s">
        <v>3600</v>
      </c>
      <c r="C3191" s="12" t="s">
        <v>3602</v>
      </c>
      <c r="D3191" s="89"/>
      <c r="E3191" s="69" t="str">
        <f>HYPERLINK("https://www.google.ru/search?q=101188128&amp;newwindow=1&amp;tbm=isch","Еще фото")</f>
        <v>Еще фото</v>
      </c>
      <c r="F3191" s="13"/>
      <c r="G3191" s="11" t="s">
        <v>150</v>
      </c>
      <c r="H3191" s="11" t="s">
        <v>151</v>
      </c>
      <c r="I3191" s="14" t="s">
        <v>395</v>
      </c>
      <c r="J3191" s="14" t="s">
        <v>1164</v>
      </c>
      <c r="K3191" s="15" t="s">
        <v>55</v>
      </c>
      <c r="L3191" s="86"/>
      <c r="M3191" s="14"/>
      <c r="N3191" s="14" t="s">
        <v>49</v>
      </c>
      <c r="O3191" s="14"/>
      <c r="P3191" s="15" t="s">
        <v>3230</v>
      </c>
      <c r="Q3191" s="16">
        <v>9999</v>
      </c>
      <c r="R3191" s="17">
        <v>45</v>
      </c>
      <c r="S3191" s="18">
        <v>6324.3674999999994</v>
      </c>
      <c r="T3191" s="19" t="s">
        <v>328</v>
      </c>
      <c r="U3191" s="20" t="s">
        <v>400</v>
      </c>
      <c r="V3191" s="21">
        <v>40</v>
      </c>
      <c r="W3191" s="21">
        <v>1</v>
      </c>
      <c r="X3191" s="22"/>
    </row>
    <row r="3192" spans="1:24" s="1" customFormat="1" ht="60.95" customHeight="1" x14ac:dyDescent="0.3">
      <c r="A3192" s="23" t="s">
        <v>3194</v>
      </c>
      <c r="B3192" s="23" t="s">
        <v>3600</v>
      </c>
      <c r="C3192" s="12" t="s">
        <v>3602</v>
      </c>
      <c r="D3192" s="90"/>
      <c r="E3192" s="69" t="str">
        <f>HYPERLINK("https://www.google.ru/search?q=101188128&amp;newwindow=1&amp;tbm=isch","Еще фото")</f>
        <v>Еще фото</v>
      </c>
      <c r="F3192" s="13"/>
      <c r="G3192" s="23" t="s">
        <v>150</v>
      </c>
      <c r="H3192" s="23" t="s">
        <v>151</v>
      </c>
      <c r="I3192" s="23" t="s">
        <v>395</v>
      </c>
      <c r="J3192" s="14" t="s">
        <v>1164</v>
      </c>
      <c r="K3192" s="15" t="s">
        <v>55</v>
      </c>
      <c r="L3192" s="88"/>
      <c r="M3192" s="14"/>
      <c r="N3192" s="14" t="s">
        <v>49</v>
      </c>
      <c r="O3192" s="14"/>
      <c r="P3192" s="15" t="s">
        <v>3230</v>
      </c>
      <c r="Q3192" s="16">
        <v>9999</v>
      </c>
      <c r="R3192" s="17">
        <v>45</v>
      </c>
      <c r="S3192" s="18">
        <v>6324.3674999999994</v>
      </c>
      <c r="T3192" s="19" t="s">
        <v>328</v>
      </c>
      <c r="U3192" s="20" t="s">
        <v>457</v>
      </c>
      <c r="V3192" s="21">
        <v>41</v>
      </c>
      <c r="W3192" s="21">
        <v>1</v>
      </c>
      <c r="X3192" s="22"/>
    </row>
    <row r="3193" spans="1:24" s="1" customFormat="1" ht="51.95" customHeight="1" x14ac:dyDescent="0.3">
      <c r="A3193" s="11" t="s">
        <v>3194</v>
      </c>
      <c r="B3193" s="11" t="s">
        <v>3600</v>
      </c>
      <c r="C3193" s="12" t="s">
        <v>3603</v>
      </c>
      <c r="D3193" s="89"/>
      <c r="E3193" s="69" t="str">
        <f>HYPERLINK("https://www.google.ru/search?q=101188130&amp;newwindow=1&amp;tbm=isch","Еще фото")</f>
        <v>Еще фото</v>
      </c>
      <c r="F3193" s="13"/>
      <c r="G3193" s="11" t="s">
        <v>150</v>
      </c>
      <c r="H3193" s="11" t="s">
        <v>151</v>
      </c>
      <c r="I3193" s="14" t="s">
        <v>395</v>
      </c>
      <c r="J3193" s="14" t="s">
        <v>1164</v>
      </c>
      <c r="K3193" s="15" t="s">
        <v>55</v>
      </c>
      <c r="L3193" s="86"/>
      <c r="M3193" s="14"/>
      <c r="N3193" s="14" t="s">
        <v>154</v>
      </c>
      <c r="O3193" s="14"/>
      <c r="P3193" s="15" t="s">
        <v>3230</v>
      </c>
      <c r="Q3193" s="16">
        <v>9999</v>
      </c>
      <c r="R3193" s="17">
        <v>45</v>
      </c>
      <c r="S3193" s="18">
        <v>6324.3674999999994</v>
      </c>
      <c r="T3193" s="19" t="s">
        <v>328</v>
      </c>
      <c r="U3193" s="20" t="s">
        <v>400</v>
      </c>
      <c r="V3193" s="21">
        <v>40</v>
      </c>
      <c r="W3193" s="21">
        <v>6</v>
      </c>
      <c r="X3193" s="22"/>
    </row>
    <row r="3194" spans="1:24" s="1" customFormat="1" ht="60.95" customHeight="1" x14ac:dyDescent="0.3">
      <c r="A3194" s="23" t="s">
        <v>3194</v>
      </c>
      <c r="B3194" s="23" t="s">
        <v>3600</v>
      </c>
      <c r="C3194" s="12" t="s">
        <v>3603</v>
      </c>
      <c r="D3194" s="90"/>
      <c r="E3194" s="69" t="str">
        <f>HYPERLINK("https://www.google.ru/search?q=101188130&amp;newwindow=1&amp;tbm=isch","Еще фото")</f>
        <v>Еще фото</v>
      </c>
      <c r="F3194" s="13"/>
      <c r="G3194" s="23" t="s">
        <v>150</v>
      </c>
      <c r="H3194" s="23" t="s">
        <v>151</v>
      </c>
      <c r="I3194" s="23" t="s">
        <v>395</v>
      </c>
      <c r="J3194" s="14" t="s">
        <v>1164</v>
      </c>
      <c r="K3194" s="15" t="s">
        <v>55</v>
      </c>
      <c r="L3194" s="88"/>
      <c r="M3194" s="14"/>
      <c r="N3194" s="14" t="s">
        <v>154</v>
      </c>
      <c r="O3194" s="14"/>
      <c r="P3194" s="15" t="s">
        <v>3230</v>
      </c>
      <c r="Q3194" s="16">
        <v>9999</v>
      </c>
      <c r="R3194" s="17">
        <v>45</v>
      </c>
      <c r="S3194" s="18">
        <v>6324.3674999999994</v>
      </c>
      <c r="T3194" s="19" t="s">
        <v>328</v>
      </c>
      <c r="U3194" s="20" t="s">
        <v>457</v>
      </c>
      <c r="V3194" s="21">
        <v>41</v>
      </c>
      <c r="W3194" s="21">
        <v>8</v>
      </c>
      <c r="X3194" s="22"/>
    </row>
    <row r="3195" spans="1:24" s="1" customFormat="1" ht="51.95" customHeight="1" x14ac:dyDescent="0.3">
      <c r="A3195" s="11" t="s">
        <v>3194</v>
      </c>
      <c r="B3195" s="11" t="s">
        <v>3604</v>
      </c>
      <c r="C3195" s="12" t="s">
        <v>3605</v>
      </c>
      <c r="D3195" s="89"/>
      <c r="E3195" s="69" t="str">
        <f>HYPERLINK("https://www.google.ru/search?q=101681901&amp;newwindow=1&amp;tbm=isch","Еще фото")</f>
        <v>Еще фото</v>
      </c>
      <c r="F3195" s="13"/>
      <c r="G3195" s="11" t="s">
        <v>150</v>
      </c>
      <c r="H3195" s="11" t="s">
        <v>151</v>
      </c>
      <c r="I3195" s="14" t="s">
        <v>395</v>
      </c>
      <c r="J3195" s="14" t="s">
        <v>1164</v>
      </c>
      <c r="K3195" s="15" t="s">
        <v>55</v>
      </c>
      <c r="L3195" s="86"/>
      <c r="M3195" s="14"/>
      <c r="N3195" s="14" t="s">
        <v>49</v>
      </c>
      <c r="O3195" s="14"/>
      <c r="P3195" s="15" t="s">
        <v>3606</v>
      </c>
      <c r="Q3195" s="16">
        <v>9999</v>
      </c>
      <c r="R3195" s="17">
        <v>45</v>
      </c>
      <c r="S3195" s="18">
        <v>6324.3674999999994</v>
      </c>
      <c r="T3195" s="19" t="s">
        <v>328</v>
      </c>
      <c r="U3195" s="20" t="s">
        <v>400</v>
      </c>
      <c r="V3195" s="21">
        <v>40</v>
      </c>
      <c r="W3195" s="21">
        <v>1</v>
      </c>
      <c r="X3195" s="22"/>
    </row>
    <row r="3196" spans="1:24" s="1" customFormat="1" ht="60.95" customHeight="1" x14ac:dyDescent="0.3">
      <c r="A3196" s="23" t="s">
        <v>3194</v>
      </c>
      <c r="B3196" s="23" t="s">
        <v>3604</v>
      </c>
      <c r="C3196" s="12" t="s">
        <v>3605</v>
      </c>
      <c r="D3196" s="90"/>
      <c r="E3196" s="69" t="str">
        <f>HYPERLINK("https://www.google.ru/search?q=101681901&amp;newwindow=1&amp;tbm=isch","Еще фото")</f>
        <v>Еще фото</v>
      </c>
      <c r="F3196" s="13"/>
      <c r="G3196" s="23" t="s">
        <v>150</v>
      </c>
      <c r="H3196" s="23" t="s">
        <v>151</v>
      </c>
      <c r="I3196" s="23" t="s">
        <v>395</v>
      </c>
      <c r="J3196" s="14" t="s">
        <v>1164</v>
      </c>
      <c r="K3196" s="15" t="s">
        <v>55</v>
      </c>
      <c r="L3196" s="88"/>
      <c r="M3196" s="14"/>
      <c r="N3196" s="14" t="s">
        <v>49</v>
      </c>
      <c r="O3196" s="14"/>
      <c r="P3196" s="15" t="s">
        <v>3606</v>
      </c>
      <c r="Q3196" s="16">
        <v>9999</v>
      </c>
      <c r="R3196" s="17">
        <v>45</v>
      </c>
      <c r="S3196" s="18">
        <v>6324.3674999999994</v>
      </c>
      <c r="T3196" s="19" t="s">
        <v>328</v>
      </c>
      <c r="U3196" s="20" t="s">
        <v>457</v>
      </c>
      <c r="V3196" s="21">
        <v>41</v>
      </c>
      <c r="W3196" s="21">
        <v>8</v>
      </c>
      <c r="X3196" s="22"/>
    </row>
    <row r="3197" spans="1:24" s="1" customFormat="1" ht="26.1" customHeight="1" x14ac:dyDescent="0.3">
      <c r="A3197" s="11" t="s">
        <v>3194</v>
      </c>
      <c r="B3197" s="11" t="s">
        <v>3607</v>
      </c>
      <c r="C3197" s="12" t="s">
        <v>3608</v>
      </c>
      <c r="D3197" s="83"/>
      <c r="E3197" s="69" t="str">
        <f>HYPERLINK("https://www.google.ru/search?q=101681964&amp;newwindow=1&amp;tbm=isch","Еще фото")</f>
        <v>Еще фото</v>
      </c>
      <c r="F3197" s="13"/>
      <c r="G3197" s="11" t="s">
        <v>150</v>
      </c>
      <c r="H3197" s="11" t="s">
        <v>151</v>
      </c>
      <c r="I3197" s="14" t="s">
        <v>395</v>
      </c>
      <c r="J3197" s="14" t="s">
        <v>1164</v>
      </c>
      <c r="K3197" s="15" t="s">
        <v>55</v>
      </c>
      <c r="L3197" s="86"/>
      <c r="M3197" s="14"/>
      <c r="N3197" s="14" t="s">
        <v>154</v>
      </c>
      <c r="O3197" s="14"/>
      <c r="P3197" s="15" t="s">
        <v>3606</v>
      </c>
      <c r="Q3197" s="16">
        <v>9999</v>
      </c>
      <c r="R3197" s="17">
        <v>45</v>
      </c>
      <c r="S3197" s="18">
        <v>6324.3674999999994</v>
      </c>
      <c r="T3197" s="19" t="s">
        <v>328</v>
      </c>
      <c r="U3197" s="20" t="s">
        <v>399</v>
      </c>
      <c r="V3197" s="21">
        <v>39</v>
      </c>
      <c r="W3197" s="21">
        <v>2</v>
      </c>
      <c r="X3197" s="22"/>
    </row>
    <row r="3198" spans="1:24" s="1" customFormat="1" ht="26.1" customHeight="1" x14ac:dyDescent="0.3">
      <c r="A3198" s="23" t="s">
        <v>3194</v>
      </c>
      <c r="B3198" s="23" t="s">
        <v>3607</v>
      </c>
      <c r="C3198" s="12" t="s">
        <v>3608</v>
      </c>
      <c r="D3198" s="84"/>
      <c r="E3198" s="69" t="str">
        <f>HYPERLINK("https://www.google.ru/search?q=101681964&amp;newwindow=1&amp;tbm=isch","Еще фото")</f>
        <v>Еще фото</v>
      </c>
      <c r="F3198" s="13"/>
      <c r="G3198" s="23" t="s">
        <v>150</v>
      </c>
      <c r="H3198" s="23" t="s">
        <v>151</v>
      </c>
      <c r="I3198" s="23" t="s">
        <v>395</v>
      </c>
      <c r="J3198" s="14" t="s">
        <v>1164</v>
      </c>
      <c r="K3198" s="15" t="s">
        <v>55</v>
      </c>
      <c r="L3198" s="87"/>
      <c r="M3198" s="14"/>
      <c r="N3198" s="14" t="s">
        <v>154</v>
      </c>
      <c r="O3198" s="14"/>
      <c r="P3198" s="15" t="s">
        <v>3606</v>
      </c>
      <c r="Q3198" s="16">
        <v>9999</v>
      </c>
      <c r="R3198" s="17">
        <v>45</v>
      </c>
      <c r="S3198" s="18">
        <v>6324.3674999999994</v>
      </c>
      <c r="T3198" s="19" t="s">
        <v>328</v>
      </c>
      <c r="U3198" s="20" t="s">
        <v>400</v>
      </c>
      <c r="V3198" s="21">
        <v>40</v>
      </c>
      <c r="W3198" s="21">
        <v>11</v>
      </c>
      <c r="X3198" s="22"/>
    </row>
    <row r="3199" spans="1:24" s="1" customFormat="1" ht="26.1" customHeight="1" x14ac:dyDescent="0.3">
      <c r="A3199" s="23" t="s">
        <v>3194</v>
      </c>
      <c r="B3199" s="23" t="s">
        <v>3607</v>
      </c>
      <c r="C3199" s="12" t="s">
        <v>3608</v>
      </c>
      <c r="D3199" s="84"/>
      <c r="E3199" s="69" t="str">
        <f>HYPERLINK("https://www.google.ru/search?q=101681964&amp;newwindow=1&amp;tbm=isch","Еще фото")</f>
        <v>Еще фото</v>
      </c>
      <c r="F3199" s="13"/>
      <c r="G3199" s="23" t="s">
        <v>150</v>
      </c>
      <c r="H3199" s="23" t="s">
        <v>151</v>
      </c>
      <c r="I3199" s="23" t="s">
        <v>395</v>
      </c>
      <c r="J3199" s="14" t="s">
        <v>1164</v>
      </c>
      <c r="K3199" s="15" t="s">
        <v>55</v>
      </c>
      <c r="L3199" s="87"/>
      <c r="M3199" s="14"/>
      <c r="N3199" s="14" t="s">
        <v>154</v>
      </c>
      <c r="O3199" s="14"/>
      <c r="P3199" s="15" t="s">
        <v>3606</v>
      </c>
      <c r="Q3199" s="16">
        <v>9999</v>
      </c>
      <c r="R3199" s="17">
        <v>45</v>
      </c>
      <c r="S3199" s="18">
        <v>6324.3674999999994</v>
      </c>
      <c r="T3199" s="19" t="s">
        <v>328</v>
      </c>
      <c r="U3199" s="20" t="s">
        <v>457</v>
      </c>
      <c r="V3199" s="21">
        <v>41</v>
      </c>
      <c r="W3199" s="21">
        <v>12</v>
      </c>
      <c r="X3199" s="22"/>
    </row>
    <row r="3200" spans="1:24" s="1" customFormat="1" ht="26.1" customHeight="1" x14ac:dyDescent="0.3">
      <c r="A3200" s="23" t="s">
        <v>3194</v>
      </c>
      <c r="B3200" s="23" t="s">
        <v>3607</v>
      </c>
      <c r="C3200" s="12" t="s">
        <v>3608</v>
      </c>
      <c r="D3200" s="85"/>
      <c r="E3200" s="69" t="str">
        <f>HYPERLINK("https://www.google.ru/search?q=101681964&amp;newwindow=1&amp;tbm=isch","Еще фото")</f>
        <v>Еще фото</v>
      </c>
      <c r="F3200" s="13"/>
      <c r="G3200" s="23" t="s">
        <v>150</v>
      </c>
      <c r="H3200" s="23" t="s">
        <v>151</v>
      </c>
      <c r="I3200" s="23" t="s">
        <v>395</v>
      </c>
      <c r="J3200" s="14" t="s">
        <v>1164</v>
      </c>
      <c r="K3200" s="15" t="s">
        <v>55</v>
      </c>
      <c r="L3200" s="88"/>
      <c r="M3200" s="14"/>
      <c r="N3200" s="14" t="s">
        <v>154</v>
      </c>
      <c r="O3200" s="14"/>
      <c r="P3200" s="15" t="s">
        <v>3606</v>
      </c>
      <c r="Q3200" s="16">
        <v>9999</v>
      </c>
      <c r="R3200" s="17">
        <v>45</v>
      </c>
      <c r="S3200" s="18">
        <v>6324.3674999999994</v>
      </c>
      <c r="T3200" s="19" t="s">
        <v>328</v>
      </c>
      <c r="U3200" s="20" t="s">
        <v>401</v>
      </c>
      <c r="V3200" s="21">
        <v>42</v>
      </c>
      <c r="W3200" s="21">
        <v>9</v>
      </c>
      <c r="X3200" s="22"/>
    </row>
    <row r="3201" spans="1:24" s="1" customFormat="1" ht="21" customHeight="1" x14ac:dyDescent="0.3">
      <c r="A3201" s="11" t="s">
        <v>3194</v>
      </c>
      <c r="B3201" s="11" t="s">
        <v>3609</v>
      </c>
      <c r="C3201" s="27" t="s">
        <v>3610</v>
      </c>
      <c r="D3201" s="83"/>
      <c r="E3201" s="69" t="str">
        <f>HYPERLINK("https://www.google.ru/search?q=101988031&amp;newwindow=1&amp;tbm=isch","Еще фото")</f>
        <v>Еще фото</v>
      </c>
      <c r="F3201" s="13"/>
      <c r="G3201" s="11" t="s">
        <v>394</v>
      </c>
      <c r="H3201" s="11" t="s">
        <v>151</v>
      </c>
      <c r="I3201" s="14" t="s">
        <v>395</v>
      </c>
      <c r="J3201" s="14" t="s">
        <v>1164</v>
      </c>
      <c r="K3201" s="15" t="s">
        <v>55</v>
      </c>
      <c r="L3201" s="86"/>
      <c r="M3201" s="14"/>
      <c r="N3201" s="14" t="s">
        <v>49</v>
      </c>
      <c r="O3201" s="14"/>
      <c r="P3201" s="15" t="s">
        <v>3611</v>
      </c>
      <c r="Q3201" s="16">
        <v>13999</v>
      </c>
      <c r="R3201" s="17">
        <v>45</v>
      </c>
      <c r="S3201" s="18">
        <v>8854.3674999999985</v>
      </c>
      <c r="T3201" s="19" t="s">
        <v>328</v>
      </c>
      <c r="U3201" s="20" t="s">
        <v>399</v>
      </c>
      <c r="V3201" s="21">
        <v>39</v>
      </c>
      <c r="W3201" s="21">
        <v>5</v>
      </c>
      <c r="X3201" s="22"/>
    </row>
    <row r="3202" spans="1:24" s="1" customFormat="1" ht="21" customHeight="1" x14ac:dyDescent="0.3">
      <c r="A3202" s="23" t="s">
        <v>3194</v>
      </c>
      <c r="B3202" s="23" t="s">
        <v>3609</v>
      </c>
      <c r="C3202" s="28" t="s">
        <v>3610</v>
      </c>
      <c r="D3202" s="84"/>
      <c r="E3202" s="69" t="str">
        <f>HYPERLINK("https://www.google.ru/search?q=101988031&amp;newwindow=1&amp;tbm=isch","Еще фото")</f>
        <v>Еще фото</v>
      </c>
      <c r="F3202" s="13"/>
      <c r="G3202" s="23" t="s">
        <v>394</v>
      </c>
      <c r="H3202" s="23" t="s">
        <v>151</v>
      </c>
      <c r="I3202" s="23" t="s">
        <v>395</v>
      </c>
      <c r="J3202" s="14" t="s">
        <v>1164</v>
      </c>
      <c r="K3202" s="15" t="s">
        <v>55</v>
      </c>
      <c r="L3202" s="87"/>
      <c r="M3202" s="14"/>
      <c r="N3202" s="14" t="s">
        <v>49</v>
      </c>
      <c r="O3202" s="14"/>
      <c r="P3202" s="15" t="s">
        <v>3611</v>
      </c>
      <c r="Q3202" s="16">
        <v>13999</v>
      </c>
      <c r="R3202" s="17">
        <v>45</v>
      </c>
      <c r="S3202" s="18">
        <v>8854.3674999999985</v>
      </c>
      <c r="T3202" s="19" t="s">
        <v>328</v>
      </c>
      <c r="U3202" s="20" t="s">
        <v>400</v>
      </c>
      <c r="V3202" s="21">
        <v>40</v>
      </c>
      <c r="W3202" s="21">
        <v>8</v>
      </c>
      <c r="X3202" s="22"/>
    </row>
    <row r="3203" spans="1:24" s="1" customFormat="1" ht="21" customHeight="1" x14ac:dyDescent="0.3">
      <c r="A3203" s="23" t="s">
        <v>3194</v>
      </c>
      <c r="B3203" s="23" t="s">
        <v>3609</v>
      </c>
      <c r="C3203" s="28" t="s">
        <v>3610</v>
      </c>
      <c r="D3203" s="84"/>
      <c r="E3203" s="69" t="str">
        <f>HYPERLINK("https://www.google.ru/search?q=101988031&amp;newwindow=1&amp;tbm=isch","Еще фото")</f>
        <v>Еще фото</v>
      </c>
      <c r="F3203" s="13"/>
      <c r="G3203" s="23" t="s">
        <v>394</v>
      </c>
      <c r="H3203" s="23" t="s">
        <v>151</v>
      </c>
      <c r="I3203" s="23" t="s">
        <v>395</v>
      </c>
      <c r="J3203" s="14" t="s">
        <v>1164</v>
      </c>
      <c r="K3203" s="15" t="s">
        <v>55</v>
      </c>
      <c r="L3203" s="87"/>
      <c r="M3203" s="14"/>
      <c r="N3203" s="14" t="s">
        <v>49</v>
      </c>
      <c r="O3203" s="14"/>
      <c r="P3203" s="15" t="s">
        <v>3611</v>
      </c>
      <c r="Q3203" s="16">
        <v>13999</v>
      </c>
      <c r="R3203" s="17">
        <v>45</v>
      </c>
      <c r="S3203" s="18">
        <v>8854.3674999999985</v>
      </c>
      <c r="T3203" s="19" t="s">
        <v>328</v>
      </c>
      <c r="U3203" s="20" t="s">
        <v>457</v>
      </c>
      <c r="V3203" s="21">
        <v>41</v>
      </c>
      <c r="W3203" s="21">
        <v>9</v>
      </c>
      <c r="X3203" s="22"/>
    </row>
    <row r="3204" spans="1:24" s="1" customFormat="1" ht="21" customHeight="1" x14ac:dyDescent="0.3">
      <c r="A3204" s="23" t="s">
        <v>3194</v>
      </c>
      <c r="B3204" s="23" t="s">
        <v>3609</v>
      </c>
      <c r="C3204" s="28" t="s">
        <v>3610</v>
      </c>
      <c r="D3204" s="84"/>
      <c r="E3204" s="69" t="str">
        <f>HYPERLINK("https://www.google.ru/search?q=101988031&amp;newwindow=1&amp;tbm=isch","Еще фото")</f>
        <v>Еще фото</v>
      </c>
      <c r="F3204" s="13"/>
      <c r="G3204" s="23" t="s">
        <v>394</v>
      </c>
      <c r="H3204" s="23" t="s">
        <v>151</v>
      </c>
      <c r="I3204" s="23" t="s">
        <v>395</v>
      </c>
      <c r="J3204" s="14" t="s">
        <v>1164</v>
      </c>
      <c r="K3204" s="15" t="s">
        <v>55</v>
      </c>
      <c r="L3204" s="87"/>
      <c r="M3204" s="14"/>
      <c r="N3204" s="14" t="s">
        <v>49</v>
      </c>
      <c r="O3204" s="14"/>
      <c r="P3204" s="15" t="s">
        <v>3611</v>
      </c>
      <c r="Q3204" s="16">
        <v>13999</v>
      </c>
      <c r="R3204" s="17">
        <v>45</v>
      </c>
      <c r="S3204" s="18">
        <v>8854.3674999999985</v>
      </c>
      <c r="T3204" s="19" t="s">
        <v>328</v>
      </c>
      <c r="U3204" s="20" t="s">
        <v>401</v>
      </c>
      <c r="V3204" s="21">
        <v>42</v>
      </c>
      <c r="W3204" s="21">
        <v>10</v>
      </c>
      <c r="X3204" s="22"/>
    </row>
    <row r="3205" spans="1:24" s="1" customFormat="1" ht="32.1" customHeight="1" x14ac:dyDescent="0.3">
      <c r="A3205" s="23" t="s">
        <v>3194</v>
      </c>
      <c r="B3205" s="23" t="s">
        <v>3609</v>
      </c>
      <c r="C3205" s="28" t="s">
        <v>3610</v>
      </c>
      <c r="D3205" s="85"/>
      <c r="E3205" s="69" t="str">
        <f>HYPERLINK("https://www.google.ru/search?q=101988031&amp;newwindow=1&amp;tbm=isch","Еще фото")</f>
        <v>Еще фото</v>
      </c>
      <c r="F3205" s="13"/>
      <c r="G3205" s="23" t="s">
        <v>394</v>
      </c>
      <c r="H3205" s="23" t="s">
        <v>151</v>
      </c>
      <c r="I3205" s="23" t="s">
        <v>395</v>
      </c>
      <c r="J3205" s="14" t="s">
        <v>1164</v>
      </c>
      <c r="K3205" s="15" t="s">
        <v>55</v>
      </c>
      <c r="L3205" s="88"/>
      <c r="M3205" s="14"/>
      <c r="N3205" s="14" t="s">
        <v>49</v>
      </c>
      <c r="O3205" s="14"/>
      <c r="P3205" s="15" t="s">
        <v>3611</v>
      </c>
      <c r="Q3205" s="16">
        <v>13999</v>
      </c>
      <c r="R3205" s="17">
        <v>45</v>
      </c>
      <c r="S3205" s="18">
        <v>8854.3674999999985</v>
      </c>
      <c r="T3205" s="19" t="s">
        <v>328</v>
      </c>
      <c r="U3205" s="20" t="s">
        <v>402</v>
      </c>
      <c r="V3205" s="21">
        <v>43</v>
      </c>
      <c r="W3205" s="21">
        <v>1</v>
      </c>
      <c r="X3205" s="22"/>
    </row>
    <row r="3206" spans="1:24" s="1" customFormat="1" ht="51.95" customHeight="1" x14ac:dyDescent="0.3">
      <c r="A3206" s="11" t="s">
        <v>3541</v>
      </c>
      <c r="B3206" s="11" t="s">
        <v>3612</v>
      </c>
      <c r="C3206" s="12" t="s">
        <v>3613</v>
      </c>
      <c r="D3206" s="89"/>
      <c r="E3206" s="69" t="str">
        <f>HYPERLINK("https://www.google.ru/search?q=DR101179076C0200&amp;newwindow=1&amp;tbm=isch","Еще фото")</f>
        <v>Еще фото</v>
      </c>
      <c r="F3206" s="13"/>
      <c r="G3206" s="11" t="s">
        <v>394</v>
      </c>
      <c r="H3206" s="11" t="s">
        <v>151</v>
      </c>
      <c r="I3206" s="14" t="s">
        <v>395</v>
      </c>
      <c r="J3206" s="14" t="s">
        <v>406</v>
      </c>
      <c r="K3206" s="15" t="s">
        <v>55</v>
      </c>
      <c r="L3206" s="86" t="s">
        <v>3614</v>
      </c>
      <c r="M3206" s="14"/>
      <c r="N3206" s="14" t="s">
        <v>49</v>
      </c>
      <c r="O3206" s="14"/>
      <c r="P3206" s="15" t="s">
        <v>3615</v>
      </c>
      <c r="Q3206" s="16">
        <v>7499</v>
      </c>
      <c r="R3206" s="17">
        <v>45</v>
      </c>
      <c r="S3206" s="18">
        <v>4743.1174999999994</v>
      </c>
      <c r="T3206" s="19" t="s">
        <v>846</v>
      </c>
      <c r="U3206" s="20" t="s">
        <v>163</v>
      </c>
      <c r="V3206" s="25" t="s">
        <v>3552</v>
      </c>
      <c r="W3206" s="21">
        <v>1</v>
      </c>
      <c r="X3206" s="22"/>
    </row>
    <row r="3207" spans="1:24" s="1" customFormat="1" ht="60.95" customHeight="1" x14ac:dyDescent="0.3">
      <c r="A3207" s="23" t="s">
        <v>3541</v>
      </c>
      <c r="B3207" s="23" t="s">
        <v>3612</v>
      </c>
      <c r="C3207" s="12" t="s">
        <v>3613</v>
      </c>
      <c r="D3207" s="90"/>
      <c r="E3207" s="69" t="str">
        <f>HYPERLINK("https://www.google.ru/search?q=DR101179076C0200&amp;newwindow=1&amp;tbm=isch","Еще фото")</f>
        <v>Еще фото</v>
      </c>
      <c r="F3207" s="13"/>
      <c r="G3207" s="23" t="s">
        <v>394</v>
      </c>
      <c r="H3207" s="23" t="s">
        <v>151</v>
      </c>
      <c r="I3207" s="23" t="s">
        <v>395</v>
      </c>
      <c r="J3207" s="14" t="s">
        <v>406</v>
      </c>
      <c r="K3207" s="15" t="s">
        <v>55</v>
      </c>
      <c r="L3207" s="88"/>
      <c r="M3207" s="14"/>
      <c r="N3207" s="14" t="s">
        <v>49</v>
      </c>
      <c r="O3207" s="14"/>
      <c r="P3207" s="15" t="s">
        <v>3615</v>
      </c>
      <c r="Q3207" s="16">
        <v>7499</v>
      </c>
      <c r="R3207" s="17">
        <v>45</v>
      </c>
      <c r="S3207" s="18">
        <v>4743.1174999999994</v>
      </c>
      <c r="T3207" s="19" t="s">
        <v>846</v>
      </c>
      <c r="U3207" s="20" t="s">
        <v>759</v>
      </c>
      <c r="V3207" s="21">
        <v>44</v>
      </c>
      <c r="W3207" s="21">
        <v>2</v>
      </c>
      <c r="X3207" s="22"/>
    </row>
    <row r="3208" spans="1:24" s="1" customFormat="1" ht="26.1" customHeight="1" x14ac:dyDescent="0.3">
      <c r="A3208" s="11" t="s">
        <v>3541</v>
      </c>
      <c r="B3208" s="11" t="s">
        <v>3554</v>
      </c>
      <c r="C3208" s="12" t="s">
        <v>3616</v>
      </c>
      <c r="D3208" s="83"/>
      <c r="E3208" s="69" t="str">
        <f>HYPERLINK("https://www.google.ru/search?q=DR101179099D0273&amp;newwindow=1&amp;tbm=isch","Еще фото")</f>
        <v>Еще фото</v>
      </c>
      <c r="F3208" s="13"/>
      <c r="G3208" s="11" t="s">
        <v>394</v>
      </c>
      <c r="H3208" s="11" t="s">
        <v>151</v>
      </c>
      <c r="I3208" s="14" t="s">
        <v>395</v>
      </c>
      <c r="J3208" s="14" t="s">
        <v>879</v>
      </c>
      <c r="K3208" s="15" t="s">
        <v>55</v>
      </c>
      <c r="L3208" s="86" t="s">
        <v>3580</v>
      </c>
      <c r="M3208" s="14"/>
      <c r="N3208" s="14" t="s">
        <v>313</v>
      </c>
      <c r="O3208" s="14"/>
      <c r="P3208" s="15" t="s">
        <v>3545</v>
      </c>
      <c r="Q3208" s="16">
        <v>29990</v>
      </c>
      <c r="R3208" s="17">
        <v>45</v>
      </c>
      <c r="S3208" s="18">
        <v>18968.674999999999</v>
      </c>
      <c r="T3208" s="19" t="s">
        <v>846</v>
      </c>
      <c r="U3208" s="20" t="s">
        <v>3557</v>
      </c>
      <c r="V3208" s="21">
        <v>43</v>
      </c>
      <c r="W3208" s="21">
        <v>1</v>
      </c>
      <c r="X3208" s="22"/>
    </row>
    <row r="3209" spans="1:24" s="1" customFormat="1" ht="26.1" customHeight="1" x14ac:dyDescent="0.3">
      <c r="A3209" s="23" t="s">
        <v>3541</v>
      </c>
      <c r="B3209" s="23" t="s">
        <v>3554</v>
      </c>
      <c r="C3209" s="12" t="s">
        <v>3616</v>
      </c>
      <c r="D3209" s="84"/>
      <c r="E3209" s="69" t="str">
        <f>HYPERLINK("https://www.google.ru/search?q=DR101179099D0273&amp;newwindow=1&amp;tbm=isch","Еще фото")</f>
        <v>Еще фото</v>
      </c>
      <c r="F3209" s="13"/>
      <c r="G3209" s="23" t="s">
        <v>394</v>
      </c>
      <c r="H3209" s="23" t="s">
        <v>151</v>
      </c>
      <c r="I3209" s="23" t="s">
        <v>395</v>
      </c>
      <c r="J3209" s="14" t="s">
        <v>879</v>
      </c>
      <c r="K3209" s="15" t="s">
        <v>55</v>
      </c>
      <c r="L3209" s="87"/>
      <c r="M3209" s="14"/>
      <c r="N3209" s="14" t="s">
        <v>313</v>
      </c>
      <c r="O3209" s="14"/>
      <c r="P3209" s="15" t="s">
        <v>3545</v>
      </c>
      <c r="Q3209" s="16">
        <v>29990</v>
      </c>
      <c r="R3209" s="17">
        <v>45</v>
      </c>
      <c r="S3209" s="18">
        <v>18968.674999999999</v>
      </c>
      <c r="T3209" s="19" t="s">
        <v>846</v>
      </c>
      <c r="U3209" s="20" t="s">
        <v>163</v>
      </c>
      <c r="V3209" s="25" t="s">
        <v>3552</v>
      </c>
      <c r="W3209" s="21">
        <v>1</v>
      </c>
      <c r="X3209" s="22"/>
    </row>
    <row r="3210" spans="1:24" s="1" customFormat="1" ht="26.1" customHeight="1" x14ac:dyDescent="0.3">
      <c r="A3210" s="23" t="s">
        <v>3541</v>
      </c>
      <c r="B3210" s="23" t="s">
        <v>3554</v>
      </c>
      <c r="C3210" s="12" t="s">
        <v>3616</v>
      </c>
      <c r="D3210" s="84"/>
      <c r="E3210" s="69" t="str">
        <f>HYPERLINK("https://www.google.ru/search?q=DR101179099D0273&amp;newwindow=1&amp;tbm=isch","Еще фото")</f>
        <v>Еще фото</v>
      </c>
      <c r="F3210" s="13"/>
      <c r="G3210" s="23" t="s">
        <v>394</v>
      </c>
      <c r="H3210" s="23" t="s">
        <v>151</v>
      </c>
      <c r="I3210" s="23" t="s">
        <v>395</v>
      </c>
      <c r="J3210" s="14" t="s">
        <v>879</v>
      </c>
      <c r="K3210" s="15" t="s">
        <v>55</v>
      </c>
      <c r="L3210" s="87"/>
      <c r="M3210" s="14"/>
      <c r="N3210" s="14" t="s">
        <v>313</v>
      </c>
      <c r="O3210" s="14"/>
      <c r="P3210" s="15" t="s">
        <v>3545</v>
      </c>
      <c r="Q3210" s="16">
        <v>29990</v>
      </c>
      <c r="R3210" s="17">
        <v>45</v>
      </c>
      <c r="S3210" s="18">
        <v>18968.674999999999</v>
      </c>
      <c r="T3210" s="19" t="s">
        <v>846</v>
      </c>
      <c r="U3210" s="20" t="s">
        <v>759</v>
      </c>
      <c r="V3210" s="21">
        <v>44</v>
      </c>
      <c r="W3210" s="21">
        <v>2</v>
      </c>
      <c r="X3210" s="22"/>
    </row>
    <row r="3211" spans="1:24" s="1" customFormat="1" ht="26.1" customHeight="1" x14ac:dyDescent="0.3">
      <c r="A3211" s="23" t="s">
        <v>3541</v>
      </c>
      <c r="B3211" s="23" t="s">
        <v>3554</v>
      </c>
      <c r="C3211" s="12" t="s">
        <v>3616</v>
      </c>
      <c r="D3211" s="85"/>
      <c r="E3211" s="69" t="str">
        <f>HYPERLINK("https://www.google.ru/search?q=DR101179099D0273&amp;newwindow=1&amp;tbm=isch","Еще фото")</f>
        <v>Еще фото</v>
      </c>
      <c r="F3211" s="13"/>
      <c r="G3211" s="23" t="s">
        <v>394</v>
      </c>
      <c r="H3211" s="23" t="s">
        <v>151</v>
      </c>
      <c r="I3211" s="23" t="s">
        <v>395</v>
      </c>
      <c r="J3211" s="14" t="s">
        <v>879</v>
      </c>
      <c r="K3211" s="15" t="s">
        <v>55</v>
      </c>
      <c r="L3211" s="88"/>
      <c r="M3211" s="14"/>
      <c r="N3211" s="14" t="s">
        <v>313</v>
      </c>
      <c r="O3211" s="14"/>
      <c r="P3211" s="15" t="s">
        <v>3545</v>
      </c>
      <c r="Q3211" s="16">
        <v>29990</v>
      </c>
      <c r="R3211" s="17">
        <v>45</v>
      </c>
      <c r="S3211" s="18">
        <v>18968.674999999999</v>
      </c>
      <c r="T3211" s="19" t="s">
        <v>846</v>
      </c>
      <c r="U3211" s="20" t="s">
        <v>164</v>
      </c>
      <c r="V3211" s="25" t="s">
        <v>3553</v>
      </c>
      <c r="W3211" s="21">
        <v>1</v>
      </c>
      <c r="X3211" s="22"/>
    </row>
    <row r="3212" spans="1:24" s="1" customFormat="1" ht="21" customHeight="1" x14ac:dyDescent="0.3">
      <c r="A3212" s="11" t="s">
        <v>3541</v>
      </c>
      <c r="B3212" s="11" t="s">
        <v>3558</v>
      </c>
      <c r="C3212" s="27" t="s">
        <v>3617</v>
      </c>
      <c r="D3212" s="83"/>
      <c r="E3212" s="69" t="str">
        <f>HYPERLINK("https://www.google.ru/search?q=DR101179106D0272&amp;newwindow=1&amp;tbm=isch","Еще фото")</f>
        <v>Еще фото</v>
      </c>
      <c r="F3212" s="13" t="s">
        <v>507</v>
      </c>
      <c r="G3212" s="11" t="s">
        <v>394</v>
      </c>
      <c r="H3212" s="11" t="s">
        <v>151</v>
      </c>
      <c r="I3212" s="14" t="s">
        <v>395</v>
      </c>
      <c r="J3212" s="14" t="s">
        <v>879</v>
      </c>
      <c r="K3212" s="15" t="s">
        <v>55</v>
      </c>
      <c r="L3212" s="86" t="s">
        <v>3618</v>
      </c>
      <c r="M3212" s="14"/>
      <c r="N3212" s="14" t="s">
        <v>1117</v>
      </c>
      <c r="O3212" s="14"/>
      <c r="P3212" s="15" t="s">
        <v>3545</v>
      </c>
      <c r="Q3212" s="16">
        <v>29990</v>
      </c>
      <c r="R3212" s="17">
        <v>45</v>
      </c>
      <c r="S3212" s="18">
        <v>18968.674999999999</v>
      </c>
      <c r="T3212" s="19" t="s">
        <v>846</v>
      </c>
      <c r="U3212" s="20" t="s">
        <v>157</v>
      </c>
      <c r="V3212" s="21">
        <v>41</v>
      </c>
      <c r="W3212" s="21">
        <v>1</v>
      </c>
      <c r="X3212" s="22"/>
    </row>
    <row r="3213" spans="1:24" s="1" customFormat="1" ht="21" customHeight="1" x14ac:dyDescent="0.3">
      <c r="A3213" s="23" t="s">
        <v>3541</v>
      </c>
      <c r="B3213" s="23" t="s">
        <v>3558</v>
      </c>
      <c r="C3213" s="28" t="s">
        <v>3617</v>
      </c>
      <c r="D3213" s="84"/>
      <c r="E3213" s="69" t="str">
        <f>HYPERLINK("https://www.google.ru/search?q=DR101179106D0272&amp;newwindow=1&amp;tbm=isch","Еще фото")</f>
        <v>Еще фото</v>
      </c>
      <c r="F3213" s="13" t="s">
        <v>507</v>
      </c>
      <c r="G3213" s="23" t="s">
        <v>394</v>
      </c>
      <c r="H3213" s="23" t="s">
        <v>151</v>
      </c>
      <c r="I3213" s="23" t="s">
        <v>395</v>
      </c>
      <c r="J3213" s="14" t="s">
        <v>879</v>
      </c>
      <c r="K3213" s="15" t="s">
        <v>55</v>
      </c>
      <c r="L3213" s="87"/>
      <c r="M3213" s="14"/>
      <c r="N3213" s="14" t="s">
        <v>1117</v>
      </c>
      <c r="O3213" s="14"/>
      <c r="P3213" s="15" t="s">
        <v>3545</v>
      </c>
      <c r="Q3213" s="16">
        <v>29990</v>
      </c>
      <c r="R3213" s="17">
        <v>45</v>
      </c>
      <c r="S3213" s="18">
        <v>18968.674999999999</v>
      </c>
      <c r="T3213" s="19" t="s">
        <v>846</v>
      </c>
      <c r="U3213" s="20" t="s">
        <v>162</v>
      </c>
      <c r="V3213" s="21">
        <v>42</v>
      </c>
      <c r="W3213" s="21">
        <v>1</v>
      </c>
      <c r="X3213" s="22"/>
    </row>
    <row r="3214" spans="1:24" s="1" customFormat="1" ht="21" customHeight="1" x14ac:dyDescent="0.3">
      <c r="A3214" s="23" t="s">
        <v>3541</v>
      </c>
      <c r="B3214" s="23" t="s">
        <v>3558</v>
      </c>
      <c r="C3214" s="28" t="s">
        <v>3617</v>
      </c>
      <c r="D3214" s="84"/>
      <c r="E3214" s="69" t="str">
        <f>HYPERLINK("https://www.google.ru/search?q=DR101179106D0272&amp;newwindow=1&amp;tbm=isch","Еще фото")</f>
        <v>Еще фото</v>
      </c>
      <c r="F3214" s="13" t="s">
        <v>507</v>
      </c>
      <c r="G3214" s="23" t="s">
        <v>394</v>
      </c>
      <c r="H3214" s="23" t="s">
        <v>151</v>
      </c>
      <c r="I3214" s="23" t="s">
        <v>395</v>
      </c>
      <c r="J3214" s="14" t="s">
        <v>879</v>
      </c>
      <c r="K3214" s="15" t="s">
        <v>55</v>
      </c>
      <c r="L3214" s="87"/>
      <c r="M3214" s="14"/>
      <c r="N3214" s="14" t="s">
        <v>1117</v>
      </c>
      <c r="O3214" s="14"/>
      <c r="P3214" s="15" t="s">
        <v>3545</v>
      </c>
      <c r="Q3214" s="16">
        <v>29990</v>
      </c>
      <c r="R3214" s="17">
        <v>45</v>
      </c>
      <c r="S3214" s="18">
        <v>18968.674999999999</v>
      </c>
      <c r="T3214" s="19" t="s">
        <v>846</v>
      </c>
      <c r="U3214" s="20" t="s">
        <v>163</v>
      </c>
      <c r="V3214" s="25" t="s">
        <v>3552</v>
      </c>
      <c r="W3214" s="21">
        <v>3</v>
      </c>
      <c r="X3214" s="22"/>
    </row>
    <row r="3215" spans="1:24" s="1" customFormat="1" ht="21" customHeight="1" x14ac:dyDescent="0.3">
      <c r="A3215" s="23" t="s">
        <v>3541</v>
      </c>
      <c r="B3215" s="23" t="s">
        <v>3558</v>
      </c>
      <c r="C3215" s="28" t="s">
        <v>3617</v>
      </c>
      <c r="D3215" s="84"/>
      <c r="E3215" s="69" t="str">
        <f>HYPERLINK("https://www.google.ru/search?q=DR101179106D0272&amp;newwindow=1&amp;tbm=isch","Еще фото")</f>
        <v>Еще фото</v>
      </c>
      <c r="F3215" s="13" t="s">
        <v>507</v>
      </c>
      <c r="G3215" s="23" t="s">
        <v>394</v>
      </c>
      <c r="H3215" s="23" t="s">
        <v>151</v>
      </c>
      <c r="I3215" s="23" t="s">
        <v>395</v>
      </c>
      <c r="J3215" s="14" t="s">
        <v>879</v>
      </c>
      <c r="K3215" s="15" t="s">
        <v>55</v>
      </c>
      <c r="L3215" s="87"/>
      <c r="M3215" s="14"/>
      <c r="N3215" s="14" t="s">
        <v>1117</v>
      </c>
      <c r="O3215" s="14"/>
      <c r="P3215" s="15" t="s">
        <v>3545</v>
      </c>
      <c r="Q3215" s="16">
        <v>29990</v>
      </c>
      <c r="R3215" s="17">
        <v>45</v>
      </c>
      <c r="S3215" s="18">
        <v>18968.674999999999</v>
      </c>
      <c r="T3215" s="19" t="s">
        <v>846</v>
      </c>
      <c r="U3215" s="20" t="s">
        <v>164</v>
      </c>
      <c r="V3215" s="25" t="s">
        <v>3553</v>
      </c>
      <c r="W3215" s="21">
        <v>3</v>
      </c>
      <c r="X3215" s="22"/>
    </row>
    <row r="3216" spans="1:24" s="1" customFormat="1" ht="32.1" customHeight="1" x14ac:dyDescent="0.3">
      <c r="A3216" s="23" t="s">
        <v>3541</v>
      </c>
      <c r="B3216" s="23" t="s">
        <v>3558</v>
      </c>
      <c r="C3216" s="28" t="s">
        <v>3617</v>
      </c>
      <c r="D3216" s="85"/>
      <c r="E3216" s="69" t="str">
        <f>HYPERLINK("https://www.google.ru/search?q=DR101179106D0272&amp;newwindow=1&amp;tbm=isch","Еще фото")</f>
        <v>Еще фото</v>
      </c>
      <c r="F3216" s="13" t="s">
        <v>507</v>
      </c>
      <c r="G3216" s="23" t="s">
        <v>394</v>
      </c>
      <c r="H3216" s="23" t="s">
        <v>151</v>
      </c>
      <c r="I3216" s="23" t="s">
        <v>395</v>
      </c>
      <c r="J3216" s="14" t="s">
        <v>879</v>
      </c>
      <c r="K3216" s="15" t="s">
        <v>55</v>
      </c>
      <c r="L3216" s="88"/>
      <c r="M3216" s="14"/>
      <c r="N3216" s="14" t="s">
        <v>1117</v>
      </c>
      <c r="O3216" s="14"/>
      <c r="P3216" s="15" t="s">
        <v>3545</v>
      </c>
      <c r="Q3216" s="16">
        <v>29990</v>
      </c>
      <c r="R3216" s="17">
        <v>45</v>
      </c>
      <c r="S3216" s="18">
        <v>18968.674999999999</v>
      </c>
      <c r="T3216" s="19" t="s">
        <v>846</v>
      </c>
      <c r="U3216" s="20" t="s">
        <v>1220</v>
      </c>
      <c r="V3216" s="21">
        <v>45</v>
      </c>
      <c r="W3216" s="21">
        <v>2</v>
      </c>
      <c r="X3216" s="22"/>
    </row>
    <row r="3217" spans="1:24" s="1" customFormat="1" ht="35.1" customHeight="1" x14ac:dyDescent="0.3">
      <c r="A3217" s="11" t="s">
        <v>3541</v>
      </c>
      <c r="B3217" s="11" t="s">
        <v>3619</v>
      </c>
      <c r="C3217" s="12" t="s">
        <v>3620</v>
      </c>
      <c r="D3217" s="83"/>
      <c r="E3217" s="69" t="str">
        <f>HYPERLINK("https://www.google.ru/search?q=DR101179506D0257&amp;newwindow=1&amp;tbm=isch","Еще фото")</f>
        <v>Еще фото</v>
      </c>
      <c r="F3217" s="13"/>
      <c r="G3217" s="11" t="s">
        <v>394</v>
      </c>
      <c r="H3217" s="11" t="s">
        <v>151</v>
      </c>
      <c r="I3217" s="14" t="s">
        <v>395</v>
      </c>
      <c r="J3217" s="14" t="s">
        <v>879</v>
      </c>
      <c r="K3217" s="15" t="s">
        <v>47</v>
      </c>
      <c r="L3217" s="86" t="s">
        <v>3621</v>
      </c>
      <c r="M3217" s="14"/>
      <c r="N3217" s="14" t="s">
        <v>3598</v>
      </c>
      <c r="O3217" s="14"/>
      <c r="P3217" s="15" t="s">
        <v>3622</v>
      </c>
      <c r="Q3217" s="16">
        <v>28990</v>
      </c>
      <c r="R3217" s="17">
        <v>45</v>
      </c>
      <c r="S3217" s="18">
        <v>18336.174999999999</v>
      </c>
      <c r="T3217" s="19" t="s">
        <v>846</v>
      </c>
      <c r="U3217" s="20" t="s">
        <v>821</v>
      </c>
      <c r="V3217" s="25" t="s">
        <v>3623</v>
      </c>
      <c r="W3217" s="21">
        <v>1</v>
      </c>
      <c r="X3217" s="22"/>
    </row>
    <row r="3218" spans="1:24" s="1" customFormat="1" ht="35.1" customHeight="1" x14ac:dyDescent="0.3">
      <c r="A3218" s="23" t="s">
        <v>3541</v>
      </c>
      <c r="B3218" s="23" t="s">
        <v>3619</v>
      </c>
      <c r="C3218" s="12" t="s">
        <v>3620</v>
      </c>
      <c r="D3218" s="84"/>
      <c r="E3218" s="69" t="str">
        <f>HYPERLINK("https://www.google.ru/search?q=DR101179506D0257&amp;newwindow=1&amp;tbm=isch","Еще фото")</f>
        <v>Еще фото</v>
      </c>
      <c r="F3218" s="13"/>
      <c r="G3218" s="23" t="s">
        <v>394</v>
      </c>
      <c r="H3218" s="23" t="s">
        <v>151</v>
      </c>
      <c r="I3218" s="23" t="s">
        <v>395</v>
      </c>
      <c r="J3218" s="14" t="s">
        <v>879</v>
      </c>
      <c r="K3218" s="15" t="s">
        <v>47</v>
      </c>
      <c r="L3218" s="87"/>
      <c r="M3218" s="14"/>
      <c r="N3218" s="14" t="s">
        <v>3598</v>
      </c>
      <c r="O3218" s="14"/>
      <c r="P3218" s="15" t="s">
        <v>3622</v>
      </c>
      <c r="Q3218" s="16">
        <v>28990</v>
      </c>
      <c r="R3218" s="17">
        <v>45</v>
      </c>
      <c r="S3218" s="18">
        <v>18336.174999999999</v>
      </c>
      <c r="T3218" s="19" t="s">
        <v>846</v>
      </c>
      <c r="U3218" s="20" t="s">
        <v>403</v>
      </c>
      <c r="V3218" s="21">
        <v>36</v>
      </c>
      <c r="W3218" s="21">
        <v>1</v>
      </c>
      <c r="X3218" s="22"/>
    </row>
    <row r="3219" spans="1:24" s="1" customFormat="1" ht="36.950000000000003" customHeight="1" x14ac:dyDescent="0.3">
      <c r="A3219" s="23" t="s">
        <v>3541</v>
      </c>
      <c r="B3219" s="23" t="s">
        <v>3619</v>
      </c>
      <c r="C3219" s="12" t="s">
        <v>3620</v>
      </c>
      <c r="D3219" s="85"/>
      <c r="E3219" s="69" t="str">
        <f>HYPERLINK("https://www.google.ru/search?q=DR101179506D0257&amp;newwindow=1&amp;tbm=isch","Еще фото")</f>
        <v>Еще фото</v>
      </c>
      <c r="F3219" s="13"/>
      <c r="G3219" s="23" t="s">
        <v>394</v>
      </c>
      <c r="H3219" s="23" t="s">
        <v>151</v>
      </c>
      <c r="I3219" s="23" t="s">
        <v>395</v>
      </c>
      <c r="J3219" s="14" t="s">
        <v>879</v>
      </c>
      <c r="K3219" s="15" t="s">
        <v>47</v>
      </c>
      <c r="L3219" s="88"/>
      <c r="M3219" s="14"/>
      <c r="N3219" s="14" t="s">
        <v>3598</v>
      </c>
      <c r="O3219" s="14"/>
      <c r="P3219" s="15" t="s">
        <v>3622</v>
      </c>
      <c r="Q3219" s="16">
        <v>28990</v>
      </c>
      <c r="R3219" s="17">
        <v>45</v>
      </c>
      <c r="S3219" s="18">
        <v>18336.174999999999</v>
      </c>
      <c r="T3219" s="19" t="s">
        <v>846</v>
      </c>
      <c r="U3219" s="20" t="s">
        <v>3546</v>
      </c>
      <c r="V3219" s="21">
        <v>40</v>
      </c>
      <c r="W3219" s="21">
        <v>1</v>
      </c>
      <c r="X3219" s="22"/>
    </row>
    <row r="3220" spans="1:24" s="1" customFormat="1" ht="51.95" customHeight="1" x14ac:dyDescent="0.3">
      <c r="A3220" s="11" t="s">
        <v>3541</v>
      </c>
      <c r="B3220" s="11" t="s">
        <v>3624</v>
      </c>
      <c r="C3220" s="12" t="s">
        <v>3625</v>
      </c>
      <c r="D3220" s="89"/>
      <c r="E3220" s="69" t="str">
        <f>HYPERLINK("https://www.google.ru/search?q=DR101179507D0274&amp;newwindow=1&amp;tbm=isch","Еще фото")</f>
        <v>Еще фото</v>
      </c>
      <c r="F3220" s="13"/>
      <c r="G3220" s="11" t="s">
        <v>394</v>
      </c>
      <c r="H3220" s="11" t="s">
        <v>151</v>
      </c>
      <c r="I3220" s="14" t="s">
        <v>395</v>
      </c>
      <c r="J3220" s="14" t="s">
        <v>879</v>
      </c>
      <c r="K3220" s="15" t="s">
        <v>55</v>
      </c>
      <c r="L3220" s="86" t="s">
        <v>3621</v>
      </c>
      <c r="M3220" s="14"/>
      <c r="N3220" s="14" t="s">
        <v>89</v>
      </c>
      <c r="O3220" s="14"/>
      <c r="P3220" s="15" t="s">
        <v>3622</v>
      </c>
      <c r="Q3220" s="16">
        <v>28990</v>
      </c>
      <c r="R3220" s="17">
        <v>45</v>
      </c>
      <c r="S3220" s="18">
        <v>18336.174999999999</v>
      </c>
      <c r="T3220" s="19" t="s">
        <v>846</v>
      </c>
      <c r="U3220" s="20" t="s">
        <v>3547</v>
      </c>
      <c r="V3220" s="25" t="s">
        <v>3594</v>
      </c>
      <c r="W3220" s="21">
        <v>1</v>
      </c>
      <c r="X3220" s="22"/>
    </row>
    <row r="3221" spans="1:24" s="1" customFormat="1" ht="60.95" customHeight="1" x14ac:dyDescent="0.3">
      <c r="A3221" s="23" t="s">
        <v>3541</v>
      </c>
      <c r="B3221" s="23" t="s">
        <v>3624</v>
      </c>
      <c r="C3221" s="12" t="s">
        <v>3625</v>
      </c>
      <c r="D3221" s="90"/>
      <c r="E3221" s="69" t="str">
        <f>HYPERLINK("https://www.google.ru/search?q=DR101179507D0274&amp;newwindow=1&amp;tbm=isch","Еще фото")</f>
        <v>Еще фото</v>
      </c>
      <c r="F3221" s="13"/>
      <c r="G3221" s="23" t="s">
        <v>394</v>
      </c>
      <c r="H3221" s="23" t="s">
        <v>151</v>
      </c>
      <c r="I3221" s="23" t="s">
        <v>395</v>
      </c>
      <c r="J3221" s="14" t="s">
        <v>879</v>
      </c>
      <c r="K3221" s="15" t="s">
        <v>55</v>
      </c>
      <c r="L3221" s="88"/>
      <c r="M3221" s="14"/>
      <c r="N3221" s="14" t="s">
        <v>89</v>
      </c>
      <c r="O3221" s="14"/>
      <c r="P3221" s="15" t="s">
        <v>3622</v>
      </c>
      <c r="Q3221" s="16">
        <v>28990</v>
      </c>
      <c r="R3221" s="17">
        <v>45</v>
      </c>
      <c r="S3221" s="18">
        <v>18336.174999999999</v>
      </c>
      <c r="T3221" s="19" t="s">
        <v>846</v>
      </c>
      <c r="U3221" s="20" t="s">
        <v>3557</v>
      </c>
      <c r="V3221" s="21">
        <v>43</v>
      </c>
      <c r="W3221" s="21">
        <v>1</v>
      </c>
      <c r="X3221" s="22"/>
    </row>
    <row r="3222" spans="1:24" s="1" customFormat="1" ht="11.1" customHeight="1" x14ac:dyDescent="0.3">
      <c r="A3222" s="11" t="s">
        <v>3560</v>
      </c>
      <c r="B3222" s="11" t="s">
        <v>3626</v>
      </c>
      <c r="C3222" s="12" t="s">
        <v>3627</v>
      </c>
      <c r="D3222" s="83"/>
      <c r="E3222" s="69" t="str">
        <f t="shared" ref="E3222:E3230" si="133">HYPERLINK("https://www.google.ru/search?q=N1ZKGM1-005&amp;newwindow=1&amp;tbm=isch","Еще фото")</f>
        <v>Еще фото</v>
      </c>
      <c r="F3222" s="13"/>
      <c r="G3222" s="11" t="s">
        <v>394</v>
      </c>
      <c r="H3222" s="11" t="s">
        <v>151</v>
      </c>
      <c r="I3222" s="14" t="s">
        <v>395</v>
      </c>
      <c r="J3222" s="14" t="s">
        <v>406</v>
      </c>
      <c r="K3222" s="15" t="s">
        <v>114</v>
      </c>
      <c r="L3222" s="86" t="s">
        <v>3628</v>
      </c>
      <c r="M3222" s="14"/>
      <c r="N3222" s="14" t="s">
        <v>326</v>
      </c>
      <c r="O3222" s="14"/>
      <c r="P3222" s="15" t="s">
        <v>3564</v>
      </c>
      <c r="Q3222" s="16">
        <v>22999</v>
      </c>
      <c r="R3222" s="17">
        <v>45</v>
      </c>
      <c r="S3222" s="18">
        <v>14546.8675</v>
      </c>
      <c r="T3222" s="19" t="s">
        <v>84</v>
      </c>
      <c r="U3222" s="20" t="s">
        <v>156</v>
      </c>
      <c r="V3222" s="30">
        <v>39.5</v>
      </c>
      <c r="W3222" s="21">
        <v>1</v>
      </c>
      <c r="X3222" s="22"/>
    </row>
    <row r="3223" spans="1:24" s="1" customFormat="1" ht="11.1" customHeight="1" x14ac:dyDescent="0.3">
      <c r="A3223" s="23" t="s">
        <v>3560</v>
      </c>
      <c r="B3223" s="23" t="s">
        <v>3626</v>
      </c>
      <c r="C3223" s="12" t="s">
        <v>3627</v>
      </c>
      <c r="D3223" s="84"/>
      <c r="E3223" s="69" t="str">
        <f t="shared" si="133"/>
        <v>Еще фото</v>
      </c>
      <c r="F3223" s="13"/>
      <c r="G3223" s="23" t="s">
        <v>394</v>
      </c>
      <c r="H3223" s="23" t="s">
        <v>151</v>
      </c>
      <c r="I3223" s="23" t="s">
        <v>395</v>
      </c>
      <c r="J3223" s="14" t="s">
        <v>406</v>
      </c>
      <c r="K3223" s="15" t="s">
        <v>114</v>
      </c>
      <c r="L3223" s="87"/>
      <c r="M3223" s="14"/>
      <c r="N3223" s="14" t="s">
        <v>326</v>
      </c>
      <c r="O3223" s="14"/>
      <c r="P3223" s="15" t="s">
        <v>3564</v>
      </c>
      <c r="Q3223" s="16">
        <v>22999</v>
      </c>
      <c r="R3223" s="17">
        <v>45</v>
      </c>
      <c r="S3223" s="18">
        <v>14546.8675</v>
      </c>
      <c r="T3223" s="19" t="s">
        <v>84</v>
      </c>
      <c r="U3223" s="20" t="s">
        <v>157</v>
      </c>
      <c r="V3223" s="21">
        <v>40</v>
      </c>
      <c r="W3223" s="21">
        <v>1</v>
      </c>
      <c r="X3223" s="22"/>
    </row>
    <row r="3224" spans="1:24" s="1" customFormat="1" ht="11.1" customHeight="1" x14ac:dyDescent="0.3">
      <c r="A3224" s="23" t="s">
        <v>3560</v>
      </c>
      <c r="B3224" s="23" t="s">
        <v>3626</v>
      </c>
      <c r="C3224" s="12" t="s">
        <v>3627</v>
      </c>
      <c r="D3224" s="84"/>
      <c r="E3224" s="69" t="str">
        <f t="shared" si="133"/>
        <v>Еще фото</v>
      </c>
      <c r="F3224" s="13"/>
      <c r="G3224" s="23" t="s">
        <v>394</v>
      </c>
      <c r="H3224" s="23" t="s">
        <v>151</v>
      </c>
      <c r="I3224" s="23" t="s">
        <v>395</v>
      </c>
      <c r="J3224" s="14" t="s">
        <v>406</v>
      </c>
      <c r="K3224" s="15" t="s">
        <v>114</v>
      </c>
      <c r="L3224" s="87"/>
      <c r="M3224" s="14"/>
      <c r="N3224" s="14" t="s">
        <v>326</v>
      </c>
      <c r="O3224" s="14"/>
      <c r="P3224" s="15" t="s">
        <v>3564</v>
      </c>
      <c r="Q3224" s="16">
        <v>22999</v>
      </c>
      <c r="R3224" s="17">
        <v>45</v>
      </c>
      <c r="S3224" s="18">
        <v>14546.8675</v>
      </c>
      <c r="T3224" s="19" t="s">
        <v>84</v>
      </c>
      <c r="U3224" s="20" t="s">
        <v>435</v>
      </c>
      <c r="V3224" s="21">
        <v>41</v>
      </c>
      <c r="W3224" s="21">
        <v>2</v>
      </c>
      <c r="X3224" s="22"/>
    </row>
    <row r="3225" spans="1:24" s="1" customFormat="1" ht="11.1" customHeight="1" x14ac:dyDescent="0.3">
      <c r="A3225" s="23" t="s">
        <v>3560</v>
      </c>
      <c r="B3225" s="23" t="s">
        <v>3626</v>
      </c>
      <c r="C3225" s="12" t="s">
        <v>3627</v>
      </c>
      <c r="D3225" s="84"/>
      <c r="E3225" s="69" t="str">
        <f t="shared" si="133"/>
        <v>Еще фото</v>
      </c>
      <c r="F3225" s="13"/>
      <c r="G3225" s="23" t="s">
        <v>394</v>
      </c>
      <c r="H3225" s="23" t="s">
        <v>151</v>
      </c>
      <c r="I3225" s="23" t="s">
        <v>395</v>
      </c>
      <c r="J3225" s="14" t="s">
        <v>406</v>
      </c>
      <c r="K3225" s="15" t="s">
        <v>114</v>
      </c>
      <c r="L3225" s="87"/>
      <c r="M3225" s="14"/>
      <c r="N3225" s="14" t="s">
        <v>326</v>
      </c>
      <c r="O3225" s="14"/>
      <c r="P3225" s="15" t="s">
        <v>3564</v>
      </c>
      <c r="Q3225" s="16">
        <v>22999</v>
      </c>
      <c r="R3225" s="17">
        <v>45</v>
      </c>
      <c r="S3225" s="18">
        <v>14546.8675</v>
      </c>
      <c r="T3225" s="19" t="s">
        <v>84</v>
      </c>
      <c r="U3225" s="20" t="s">
        <v>436</v>
      </c>
      <c r="V3225" s="21">
        <v>42</v>
      </c>
      <c r="W3225" s="21">
        <v>1</v>
      </c>
      <c r="X3225" s="22"/>
    </row>
    <row r="3226" spans="1:24" s="1" customFormat="1" ht="11.1" customHeight="1" x14ac:dyDescent="0.3">
      <c r="A3226" s="23" t="s">
        <v>3560</v>
      </c>
      <c r="B3226" s="23" t="s">
        <v>3626</v>
      </c>
      <c r="C3226" s="12" t="s">
        <v>3627</v>
      </c>
      <c r="D3226" s="84"/>
      <c r="E3226" s="69" t="str">
        <f t="shared" si="133"/>
        <v>Еще фото</v>
      </c>
      <c r="F3226" s="13"/>
      <c r="G3226" s="23" t="s">
        <v>394</v>
      </c>
      <c r="H3226" s="23" t="s">
        <v>151</v>
      </c>
      <c r="I3226" s="23" t="s">
        <v>395</v>
      </c>
      <c r="J3226" s="14" t="s">
        <v>406</v>
      </c>
      <c r="K3226" s="15" t="s">
        <v>114</v>
      </c>
      <c r="L3226" s="87"/>
      <c r="M3226" s="14"/>
      <c r="N3226" s="14" t="s">
        <v>326</v>
      </c>
      <c r="O3226" s="14"/>
      <c r="P3226" s="15" t="s">
        <v>3564</v>
      </c>
      <c r="Q3226" s="16">
        <v>22999</v>
      </c>
      <c r="R3226" s="17">
        <v>45</v>
      </c>
      <c r="S3226" s="18">
        <v>14546.8675</v>
      </c>
      <c r="T3226" s="19" t="s">
        <v>84</v>
      </c>
      <c r="U3226" s="20" t="s">
        <v>163</v>
      </c>
      <c r="V3226" s="21">
        <v>43</v>
      </c>
      <c r="W3226" s="21">
        <v>1</v>
      </c>
      <c r="X3226" s="22"/>
    </row>
    <row r="3227" spans="1:24" s="1" customFormat="1" ht="11.1" customHeight="1" x14ac:dyDescent="0.3">
      <c r="A3227" s="23" t="s">
        <v>3560</v>
      </c>
      <c r="B3227" s="23" t="s">
        <v>3626</v>
      </c>
      <c r="C3227" s="12" t="s">
        <v>3627</v>
      </c>
      <c r="D3227" s="84"/>
      <c r="E3227" s="69" t="str">
        <f t="shared" si="133"/>
        <v>Еще фото</v>
      </c>
      <c r="F3227" s="13"/>
      <c r="G3227" s="23" t="s">
        <v>394</v>
      </c>
      <c r="H3227" s="23" t="s">
        <v>151</v>
      </c>
      <c r="I3227" s="23" t="s">
        <v>395</v>
      </c>
      <c r="J3227" s="14" t="s">
        <v>406</v>
      </c>
      <c r="K3227" s="15" t="s">
        <v>114</v>
      </c>
      <c r="L3227" s="87"/>
      <c r="M3227" s="14"/>
      <c r="N3227" s="14" t="s">
        <v>326</v>
      </c>
      <c r="O3227" s="14"/>
      <c r="P3227" s="15" t="s">
        <v>3564</v>
      </c>
      <c r="Q3227" s="16">
        <v>22999</v>
      </c>
      <c r="R3227" s="17">
        <v>45</v>
      </c>
      <c r="S3227" s="18">
        <v>14546.8675</v>
      </c>
      <c r="T3227" s="19" t="s">
        <v>84</v>
      </c>
      <c r="U3227" s="20" t="s">
        <v>907</v>
      </c>
      <c r="V3227" s="30">
        <v>43.5</v>
      </c>
      <c r="W3227" s="21">
        <v>1</v>
      </c>
      <c r="X3227" s="22"/>
    </row>
    <row r="3228" spans="1:24" s="1" customFormat="1" ht="11.1" customHeight="1" x14ac:dyDescent="0.3">
      <c r="A3228" s="23" t="s">
        <v>3560</v>
      </c>
      <c r="B3228" s="23" t="s">
        <v>3626</v>
      </c>
      <c r="C3228" s="12" t="s">
        <v>3627</v>
      </c>
      <c r="D3228" s="84"/>
      <c r="E3228" s="69" t="str">
        <f t="shared" si="133"/>
        <v>Еще фото</v>
      </c>
      <c r="F3228" s="13"/>
      <c r="G3228" s="23" t="s">
        <v>394</v>
      </c>
      <c r="H3228" s="23" t="s">
        <v>151</v>
      </c>
      <c r="I3228" s="23" t="s">
        <v>395</v>
      </c>
      <c r="J3228" s="14" t="s">
        <v>406</v>
      </c>
      <c r="K3228" s="15" t="s">
        <v>114</v>
      </c>
      <c r="L3228" s="87"/>
      <c r="M3228" s="14"/>
      <c r="N3228" s="14" t="s">
        <v>326</v>
      </c>
      <c r="O3228" s="14"/>
      <c r="P3228" s="15" t="s">
        <v>3564</v>
      </c>
      <c r="Q3228" s="16">
        <v>22999</v>
      </c>
      <c r="R3228" s="17">
        <v>45</v>
      </c>
      <c r="S3228" s="18">
        <v>14546.8675</v>
      </c>
      <c r="T3228" s="19" t="s">
        <v>84</v>
      </c>
      <c r="U3228" s="20" t="s">
        <v>164</v>
      </c>
      <c r="V3228" s="21">
        <v>44</v>
      </c>
      <c r="W3228" s="21">
        <v>1</v>
      </c>
      <c r="X3228" s="22"/>
    </row>
    <row r="3229" spans="1:24" s="1" customFormat="1" ht="11.1" customHeight="1" x14ac:dyDescent="0.3">
      <c r="A3229" s="23" t="s">
        <v>3560</v>
      </c>
      <c r="B3229" s="23" t="s">
        <v>3626</v>
      </c>
      <c r="C3229" s="12" t="s">
        <v>3627</v>
      </c>
      <c r="D3229" s="84"/>
      <c r="E3229" s="69" t="str">
        <f t="shared" si="133"/>
        <v>Еще фото</v>
      </c>
      <c r="F3229" s="13"/>
      <c r="G3229" s="23" t="s">
        <v>394</v>
      </c>
      <c r="H3229" s="23" t="s">
        <v>151</v>
      </c>
      <c r="I3229" s="23" t="s">
        <v>395</v>
      </c>
      <c r="J3229" s="14" t="s">
        <v>406</v>
      </c>
      <c r="K3229" s="15" t="s">
        <v>114</v>
      </c>
      <c r="L3229" s="87"/>
      <c r="M3229" s="14"/>
      <c r="N3229" s="14" t="s">
        <v>326</v>
      </c>
      <c r="O3229" s="14"/>
      <c r="P3229" s="15" t="s">
        <v>3564</v>
      </c>
      <c r="Q3229" s="16">
        <v>22999</v>
      </c>
      <c r="R3229" s="17">
        <v>45</v>
      </c>
      <c r="S3229" s="18">
        <v>14546.8675</v>
      </c>
      <c r="T3229" s="19" t="s">
        <v>84</v>
      </c>
      <c r="U3229" s="20" t="s">
        <v>941</v>
      </c>
      <c r="V3229" s="21">
        <v>45</v>
      </c>
      <c r="W3229" s="21">
        <v>1</v>
      </c>
      <c r="X3229" s="22"/>
    </row>
    <row r="3230" spans="1:24" s="1" customFormat="1" ht="11.1" customHeight="1" x14ac:dyDescent="0.3">
      <c r="A3230" s="23" t="s">
        <v>3560</v>
      </c>
      <c r="B3230" s="23" t="s">
        <v>3626</v>
      </c>
      <c r="C3230" s="12" t="s">
        <v>3627</v>
      </c>
      <c r="D3230" s="85"/>
      <c r="E3230" s="69" t="str">
        <f t="shared" si="133"/>
        <v>Еще фото</v>
      </c>
      <c r="F3230" s="13"/>
      <c r="G3230" s="23" t="s">
        <v>394</v>
      </c>
      <c r="H3230" s="23" t="s">
        <v>151</v>
      </c>
      <c r="I3230" s="23" t="s">
        <v>395</v>
      </c>
      <c r="J3230" s="14" t="s">
        <v>406</v>
      </c>
      <c r="K3230" s="15" t="s">
        <v>114</v>
      </c>
      <c r="L3230" s="88"/>
      <c r="M3230" s="14"/>
      <c r="N3230" s="14" t="s">
        <v>326</v>
      </c>
      <c r="O3230" s="14"/>
      <c r="P3230" s="15" t="s">
        <v>3564</v>
      </c>
      <c r="Q3230" s="16">
        <v>22999</v>
      </c>
      <c r="R3230" s="17">
        <v>45</v>
      </c>
      <c r="S3230" s="18">
        <v>14546.8675</v>
      </c>
      <c r="T3230" s="19" t="s">
        <v>84</v>
      </c>
      <c r="U3230" s="20" t="s">
        <v>462</v>
      </c>
      <c r="V3230" s="30">
        <v>45.5</v>
      </c>
      <c r="W3230" s="21">
        <v>3</v>
      </c>
      <c r="X3230" s="22"/>
    </row>
    <row r="3231" spans="1:24" s="1" customFormat="1" ht="51.95" customHeight="1" x14ac:dyDescent="0.3">
      <c r="A3231" s="11" t="s">
        <v>3560</v>
      </c>
      <c r="B3231" s="11" t="s">
        <v>3629</v>
      </c>
      <c r="C3231" s="12" t="s">
        <v>3630</v>
      </c>
      <c r="D3231" s="89"/>
      <c r="E3231" s="69" t="str">
        <f>HYPERLINK("https://www.google.ru/search?q=N2ZTR01-001&amp;newwindow=1&amp;tbm=isch","Еще фото")</f>
        <v>Еще фото</v>
      </c>
      <c r="F3231" s="13"/>
      <c r="G3231" s="11" t="s">
        <v>394</v>
      </c>
      <c r="H3231" s="11" t="s">
        <v>151</v>
      </c>
      <c r="I3231" s="14" t="s">
        <v>395</v>
      </c>
      <c r="J3231" s="14" t="s">
        <v>406</v>
      </c>
      <c r="K3231" s="15" t="s">
        <v>114</v>
      </c>
      <c r="L3231" s="86" t="s">
        <v>3631</v>
      </c>
      <c r="M3231" s="14"/>
      <c r="N3231" s="14" t="s">
        <v>3632</v>
      </c>
      <c r="O3231" s="14"/>
      <c r="P3231" s="15" t="s">
        <v>3564</v>
      </c>
      <c r="Q3231" s="16">
        <v>17999</v>
      </c>
      <c r="R3231" s="17">
        <v>45</v>
      </c>
      <c r="S3231" s="18">
        <v>11384.3675</v>
      </c>
      <c r="T3231" s="19" t="s">
        <v>84</v>
      </c>
      <c r="U3231" s="20" t="s">
        <v>162</v>
      </c>
      <c r="V3231" s="30">
        <v>41.5</v>
      </c>
      <c r="W3231" s="21">
        <v>1</v>
      </c>
      <c r="X3231" s="22"/>
    </row>
    <row r="3232" spans="1:24" s="1" customFormat="1" ht="60.95" customHeight="1" x14ac:dyDescent="0.3">
      <c r="A3232" s="23" t="s">
        <v>3560</v>
      </c>
      <c r="B3232" s="23" t="s">
        <v>3629</v>
      </c>
      <c r="C3232" s="12" t="s">
        <v>3630</v>
      </c>
      <c r="D3232" s="90"/>
      <c r="E3232" s="69" t="str">
        <f>HYPERLINK("https://www.google.ru/search?q=N2ZTR01-001&amp;newwindow=1&amp;tbm=isch","Еще фото")</f>
        <v>Еще фото</v>
      </c>
      <c r="F3232" s="13"/>
      <c r="G3232" s="23" t="s">
        <v>394</v>
      </c>
      <c r="H3232" s="23" t="s">
        <v>151</v>
      </c>
      <c r="I3232" s="23" t="s">
        <v>395</v>
      </c>
      <c r="J3232" s="14" t="s">
        <v>406</v>
      </c>
      <c r="K3232" s="15" t="s">
        <v>114</v>
      </c>
      <c r="L3232" s="88"/>
      <c r="M3232" s="14"/>
      <c r="N3232" s="14" t="s">
        <v>3632</v>
      </c>
      <c r="O3232" s="14"/>
      <c r="P3232" s="15" t="s">
        <v>3564</v>
      </c>
      <c r="Q3232" s="16">
        <v>17999</v>
      </c>
      <c r="R3232" s="17">
        <v>45</v>
      </c>
      <c r="S3232" s="18">
        <v>11384.3675</v>
      </c>
      <c r="T3232" s="19" t="s">
        <v>84</v>
      </c>
      <c r="U3232" s="20" t="s">
        <v>164</v>
      </c>
      <c r="V3232" s="21">
        <v>44</v>
      </c>
      <c r="W3232" s="21">
        <v>1</v>
      </c>
      <c r="X3232" s="22"/>
    </row>
    <row r="3233" spans="1:24" s="1" customFormat="1" ht="35.1" customHeight="1" x14ac:dyDescent="0.3">
      <c r="A3233" s="11" t="s">
        <v>3560</v>
      </c>
      <c r="B3233" s="11" t="s">
        <v>3633</v>
      </c>
      <c r="C3233" s="12" t="s">
        <v>3634</v>
      </c>
      <c r="D3233" s="83"/>
      <c r="E3233" s="69" t="str">
        <f>HYPERLINK("https://www.google.ru/search?q=N2ZTR01-002&amp;newwindow=1&amp;tbm=isch","Еще фото")</f>
        <v>Еще фото</v>
      </c>
      <c r="F3233" s="13"/>
      <c r="G3233" s="11" t="s">
        <v>394</v>
      </c>
      <c r="H3233" s="11" t="s">
        <v>151</v>
      </c>
      <c r="I3233" s="14" t="s">
        <v>395</v>
      </c>
      <c r="J3233" s="14" t="s">
        <v>406</v>
      </c>
      <c r="K3233" s="15" t="s">
        <v>114</v>
      </c>
      <c r="L3233" s="86" t="s">
        <v>3631</v>
      </c>
      <c r="M3233" s="14"/>
      <c r="N3233" s="14" t="s">
        <v>3635</v>
      </c>
      <c r="O3233" s="14"/>
      <c r="P3233" s="15" t="s">
        <v>3564</v>
      </c>
      <c r="Q3233" s="16">
        <v>17999</v>
      </c>
      <c r="R3233" s="17">
        <v>45</v>
      </c>
      <c r="S3233" s="18">
        <v>11384.3675</v>
      </c>
      <c r="T3233" s="19" t="s">
        <v>84</v>
      </c>
      <c r="U3233" s="20" t="s">
        <v>436</v>
      </c>
      <c r="V3233" s="21">
        <v>42</v>
      </c>
      <c r="W3233" s="21">
        <v>1</v>
      </c>
      <c r="X3233" s="22"/>
    </row>
    <row r="3234" spans="1:24" s="1" customFormat="1" ht="35.1" customHeight="1" x14ac:dyDescent="0.3">
      <c r="A3234" s="23" t="s">
        <v>3560</v>
      </c>
      <c r="B3234" s="23" t="s">
        <v>3633</v>
      </c>
      <c r="C3234" s="12" t="s">
        <v>3634</v>
      </c>
      <c r="D3234" s="84"/>
      <c r="E3234" s="69" t="str">
        <f>HYPERLINK("https://www.google.ru/search?q=N2ZTR01-002&amp;newwindow=1&amp;tbm=isch","Еще фото")</f>
        <v>Еще фото</v>
      </c>
      <c r="F3234" s="13"/>
      <c r="G3234" s="23" t="s">
        <v>394</v>
      </c>
      <c r="H3234" s="23" t="s">
        <v>151</v>
      </c>
      <c r="I3234" s="23" t="s">
        <v>395</v>
      </c>
      <c r="J3234" s="14" t="s">
        <v>406</v>
      </c>
      <c r="K3234" s="15" t="s">
        <v>114</v>
      </c>
      <c r="L3234" s="87"/>
      <c r="M3234" s="14"/>
      <c r="N3234" s="14" t="s">
        <v>3635</v>
      </c>
      <c r="O3234" s="14"/>
      <c r="P3234" s="15" t="s">
        <v>3564</v>
      </c>
      <c r="Q3234" s="16">
        <v>17999</v>
      </c>
      <c r="R3234" s="17">
        <v>45</v>
      </c>
      <c r="S3234" s="18">
        <v>11384.3675</v>
      </c>
      <c r="T3234" s="19" t="s">
        <v>84</v>
      </c>
      <c r="U3234" s="20" t="s">
        <v>163</v>
      </c>
      <c r="V3234" s="21">
        <v>43</v>
      </c>
      <c r="W3234" s="21">
        <v>1</v>
      </c>
      <c r="X3234" s="22"/>
    </row>
    <row r="3235" spans="1:24" s="1" customFormat="1" ht="36.950000000000003" customHeight="1" x14ac:dyDescent="0.3">
      <c r="A3235" s="23" t="s">
        <v>3560</v>
      </c>
      <c r="B3235" s="23" t="s">
        <v>3633</v>
      </c>
      <c r="C3235" s="12" t="s">
        <v>3634</v>
      </c>
      <c r="D3235" s="85"/>
      <c r="E3235" s="69" t="str">
        <f>HYPERLINK("https://www.google.ru/search?q=N2ZTR01-002&amp;newwindow=1&amp;tbm=isch","Еще фото")</f>
        <v>Еще фото</v>
      </c>
      <c r="F3235" s="13"/>
      <c r="G3235" s="23" t="s">
        <v>394</v>
      </c>
      <c r="H3235" s="23" t="s">
        <v>151</v>
      </c>
      <c r="I3235" s="23" t="s">
        <v>395</v>
      </c>
      <c r="J3235" s="14" t="s">
        <v>406</v>
      </c>
      <c r="K3235" s="15" t="s">
        <v>114</v>
      </c>
      <c r="L3235" s="88"/>
      <c r="M3235" s="14"/>
      <c r="N3235" s="14" t="s">
        <v>3635</v>
      </c>
      <c r="O3235" s="14"/>
      <c r="P3235" s="15" t="s">
        <v>3564</v>
      </c>
      <c r="Q3235" s="16">
        <v>17999</v>
      </c>
      <c r="R3235" s="17">
        <v>45</v>
      </c>
      <c r="S3235" s="18">
        <v>11384.3675</v>
      </c>
      <c r="T3235" s="19" t="s">
        <v>84</v>
      </c>
      <c r="U3235" s="20" t="s">
        <v>164</v>
      </c>
      <c r="V3235" s="21">
        <v>44</v>
      </c>
      <c r="W3235" s="21">
        <v>2</v>
      </c>
      <c r="X3235" s="22"/>
    </row>
    <row r="3236" spans="1:24" s="1" customFormat="1" ht="17.100000000000001" customHeight="1" x14ac:dyDescent="0.3">
      <c r="A3236" s="11" t="s">
        <v>3560</v>
      </c>
      <c r="B3236" s="11" t="s">
        <v>3636</v>
      </c>
      <c r="C3236" s="12" t="s">
        <v>3637</v>
      </c>
      <c r="D3236" s="83"/>
      <c r="E3236" s="69" t="str">
        <f t="shared" ref="E3236:E3241" si="134">HYPERLINK("https://www.google.ru/search?q=N2ZTR02-005&amp;newwindow=1&amp;tbm=isch","Еще фото")</f>
        <v>Еще фото</v>
      </c>
      <c r="F3236" s="13"/>
      <c r="G3236" s="11" t="s">
        <v>394</v>
      </c>
      <c r="H3236" s="11" t="s">
        <v>151</v>
      </c>
      <c r="I3236" s="14" t="s">
        <v>395</v>
      </c>
      <c r="J3236" s="14" t="s">
        <v>406</v>
      </c>
      <c r="K3236" s="15" t="s">
        <v>114</v>
      </c>
      <c r="L3236" s="86" t="s">
        <v>3576</v>
      </c>
      <c r="M3236" s="14"/>
      <c r="N3236" s="14" t="s">
        <v>49</v>
      </c>
      <c r="O3236" s="14"/>
      <c r="P3236" s="15" t="s">
        <v>3564</v>
      </c>
      <c r="Q3236" s="16">
        <v>20999</v>
      </c>
      <c r="R3236" s="17">
        <v>45</v>
      </c>
      <c r="S3236" s="18">
        <v>13281.8675</v>
      </c>
      <c r="T3236" s="19" t="s">
        <v>84</v>
      </c>
      <c r="U3236" s="20" t="s">
        <v>818</v>
      </c>
      <c r="V3236" s="21">
        <v>36</v>
      </c>
      <c r="W3236" s="21">
        <v>1</v>
      </c>
      <c r="X3236" s="22"/>
    </row>
    <row r="3237" spans="1:24" s="1" customFormat="1" ht="17.100000000000001" customHeight="1" x14ac:dyDescent="0.3">
      <c r="A3237" s="23" t="s">
        <v>3560</v>
      </c>
      <c r="B3237" s="23" t="s">
        <v>3636</v>
      </c>
      <c r="C3237" s="12" t="s">
        <v>3637</v>
      </c>
      <c r="D3237" s="84"/>
      <c r="E3237" s="69" t="str">
        <f t="shared" si="134"/>
        <v>Еще фото</v>
      </c>
      <c r="F3237" s="13"/>
      <c r="G3237" s="23" t="s">
        <v>394</v>
      </c>
      <c r="H3237" s="23" t="s">
        <v>151</v>
      </c>
      <c r="I3237" s="23" t="s">
        <v>395</v>
      </c>
      <c r="J3237" s="14" t="s">
        <v>406</v>
      </c>
      <c r="K3237" s="15" t="s">
        <v>114</v>
      </c>
      <c r="L3237" s="87"/>
      <c r="M3237" s="14"/>
      <c r="N3237" s="14" t="s">
        <v>49</v>
      </c>
      <c r="O3237" s="14"/>
      <c r="P3237" s="15" t="s">
        <v>3564</v>
      </c>
      <c r="Q3237" s="16">
        <v>20999</v>
      </c>
      <c r="R3237" s="17">
        <v>45</v>
      </c>
      <c r="S3237" s="18">
        <v>13281.8675</v>
      </c>
      <c r="T3237" s="19" t="s">
        <v>84</v>
      </c>
      <c r="U3237" s="20" t="s">
        <v>848</v>
      </c>
      <c r="V3237" s="21">
        <v>37</v>
      </c>
      <c r="W3237" s="21">
        <v>2</v>
      </c>
      <c r="X3237" s="22"/>
    </row>
    <row r="3238" spans="1:24" s="1" customFormat="1" ht="17.100000000000001" customHeight="1" x14ac:dyDescent="0.3">
      <c r="A3238" s="23" t="s">
        <v>3560</v>
      </c>
      <c r="B3238" s="23" t="s">
        <v>3636</v>
      </c>
      <c r="C3238" s="12" t="s">
        <v>3637</v>
      </c>
      <c r="D3238" s="84"/>
      <c r="E3238" s="69" t="str">
        <f t="shared" si="134"/>
        <v>Еще фото</v>
      </c>
      <c r="F3238" s="13"/>
      <c r="G3238" s="23" t="s">
        <v>394</v>
      </c>
      <c r="H3238" s="23" t="s">
        <v>151</v>
      </c>
      <c r="I3238" s="23" t="s">
        <v>395</v>
      </c>
      <c r="J3238" s="14" t="s">
        <v>406</v>
      </c>
      <c r="K3238" s="15" t="s">
        <v>114</v>
      </c>
      <c r="L3238" s="87"/>
      <c r="M3238" s="14"/>
      <c r="N3238" s="14" t="s">
        <v>49</v>
      </c>
      <c r="O3238" s="14"/>
      <c r="P3238" s="15" t="s">
        <v>3564</v>
      </c>
      <c r="Q3238" s="16">
        <v>20999</v>
      </c>
      <c r="R3238" s="17">
        <v>45</v>
      </c>
      <c r="S3238" s="18">
        <v>13281.8675</v>
      </c>
      <c r="T3238" s="19" t="s">
        <v>84</v>
      </c>
      <c r="U3238" s="20" t="s">
        <v>157</v>
      </c>
      <c r="V3238" s="21">
        <v>40</v>
      </c>
      <c r="W3238" s="21">
        <v>2</v>
      </c>
      <c r="X3238" s="22"/>
    </row>
    <row r="3239" spans="1:24" s="1" customFormat="1" ht="17.100000000000001" customHeight="1" x14ac:dyDescent="0.3">
      <c r="A3239" s="23" t="s">
        <v>3560</v>
      </c>
      <c r="B3239" s="23" t="s">
        <v>3636</v>
      </c>
      <c r="C3239" s="12" t="s">
        <v>3637</v>
      </c>
      <c r="D3239" s="84"/>
      <c r="E3239" s="69" t="str">
        <f t="shared" si="134"/>
        <v>Еще фото</v>
      </c>
      <c r="F3239" s="13"/>
      <c r="G3239" s="23" t="s">
        <v>394</v>
      </c>
      <c r="H3239" s="23" t="s">
        <v>151</v>
      </c>
      <c r="I3239" s="23" t="s">
        <v>395</v>
      </c>
      <c r="J3239" s="14" t="s">
        <v>406</v>
      </c>
      <c r="K3239" s="15" t="s">
        <v>114</v>
      </c>
      <c r="L3239" s="87"/>
      <c r="M3239" s="14"/>
      <c r="N3239" s="14" t="s">
        <v>49</v>
      </c>
      <c r="O3239" s="14"/>
      <c r="P3239" s="15" t="s">
        <v>3564</v>
      </c>
      <c r="Q3239" s="16">
        <v>20999</v>
      </c>
      <c r="R3239" s="17">
        <v>45</v>
      </c>
      <c r="S3239" s="18">
        <v>13281.8675</v>
      </c>
      <c r="T3239" s="19" t="s">
        <v>84</v>
      </c>
      <c r="U3239" s="20" t="s">
        <v>162</v>
      </c>
      <c r="V3239" s="30">
        <v>41.5</v>
      </c>
      <c r="W3239" s="21">
        <v>2</v>
      </c>
      <c r="X3239" s="22"/>
    </row>
    <row r="3240" spans="1:24" s="1" customFormat="1" ht="17.100000000000001" customHeight="1" x14ac:dyDescent="0.3">
      <c r="A3240" s="23" t="s">
        <v>3560</v>
      </c>
      <c r="B3240" s="23" t="s">
        <v>3636</v>
      </c>
      <c r="C3240" s="12" t="s">
        <v>3637</v>
      </c>
      <c r="D3240" s="84"/>
      <c r="E3240" s="69" t="str">
        <f t="shared" si="134"/>
        <v>Еще фото</v>
      </c>
      <c r="F3240" s="13"/>
      <c r="G3240" s="23" t="s">
        <v>394</v>
      </c>
      <c r="H3240" s="23" t="s">
        <v>151</v>
      </c>
      <c r="I3240" s="23" t="s">
        <v>395</v>
      </c>
      <c r="J3240" s="14" t="s">
        <v>406</v>
      </c>
      <c r="K3240" s="15" t="s">
        <v>114</v>
      </c>
      <c r="L3240" s="87"/>
      <c r="M3240" s="14"/>
      <c r="N3240" s="14" t="s">
        <v>49</v>
      </c>
      <c r="O3240" s="14"/>
      <c r="P3240" s="15" t="s">
        <v>3564</v>
      </c>
      <c r="Q3240" s="16">
        <v>20999</v>
      </c>
      <c r="R3240" s="17">
        <v>45</v>
      </c>
      <c r="S3240" s="18">
        <v>13281.8675</v>
      </c>
      <c r="T3240" s="19" t="s">
        <v>84</v>
      </c>
      <c r="U3240" s="20" t="s">
        <v>164</v>
      </c>
      <c r="V3240" s="21">
        <v>44</v>
      </c>
      <c r="W3240" s="21">
        <v>4</v>
      </c>
      <c r="X3240" s="22"/>
    </row>
    <row r="3241" spans="1:24" s="1" customFormat="1" ht="21.95" customHeight="1" x14ac:dyDescent="0.3">
      <c r="A3241" s="23" t="s">
        <v>3560</v>
      </c>
      <c r="B3241" s="23" t="s">
        <v>3636</v>
      </c>
      <c r="C3241" s="12" t="s">
        <v>3637</v>
      </c>
      <c r="D3241" s="85"/>
      <c r="E3241" s="69" t="str">
        <f t="shared" si="134"/>
        <v>Еще фото</v>
      </c>
      <c r="F3241" s="13"/>
      <c r="G3241" s="23" t="s">
        <v>394</v>
      </c>
      <c r="H3241" s="23" t="s">
        <v>151</v>
      </c>
      <c r="I3241" s="23" t="s">
        <v>395</v>
      </c>
      <c r="J3241" s="14" t="s">
        <v>406</v>
      </c>
      <c r="K3241" s="15" t="s">
        <v>114</v>
      </c>
      <c r="L3241" s="88"/>
      <c r="M3241" s="14"/>
      <c r="N3241" s="14" t="s">
        <v>49</v>
      </c>
      <c r="O3241" s="14"/>
      <c r="P3241" s="15" t="s">
        <v>3564</v>
      </c>
      <c r="Q3241" s="16">
        <v>20999</v>
      </c>
      <c r="R3241" s="17">
        <v>45</v>
      </c>
      <c r="S3241" s="18">
        <v>13281.8675</v>
      </c>
      <c r="T3241" s="19" t="s">
        <v>84</v>
      </c>
      <c r="U3241" s="20" t="s">
        <v>462</v>
      </c>
      <c r="V3241" s="30">
        <v>45.5</v>
      </c>
      <c r="W3241" s="21">
        <v>1</v>
      </c>
      <c r="X3241" s="22"/>
    </row>
    <row r="3242" spans="1:24" s="1" customFormat="1" ht="51.95" customHeight="1" x14ac:dyDescent="0.3">
      <c r="A3242" s="11" t="s">
        <v>3560</v>
      </c>
      <c r="B3242" s="11" t="s">
        <v>3638</v>
      </c>
      <c r="C3242" s="12" t="s">
        <v>3639</v>
      </c>
      <c r="D3242" s="89"/>
      <c r="E3242" s="69" t="str">
        <f>HYPERLINK("https://www.google.ru/search?q=N2ZTR02-014&amp;newwindow=1&amp;tbm=isch","Еще фото")</f>
        <v>Еще фото</v>
      </c>
      <c r="F3242" s="13"/>
      <c r="G3242" s="11" t="s">
        <v>394</v>
      </c>
      <c r="H3242" s="11" t="s">
        <v>151</v>
      </c>
      <c r="I3242" s="14" t="s">
        <v>395</v>
      </c>
      <c r="J3242" s="14" t="s">
        <v>406</v>
      </c>
      <c r="K3242" s="15" t="s">
        <v>114</v>
      </c>
      <c r="L3242" s="86" t="s">
        <v>3576</v>
      </c>
      <c r="M3242" s="14"/>
      <c r="N3242" s="14" t="s">
        <v>1076</v>
      </c>
      <c r="O3242" s="14"/>
      <c r="P3242" s="15" t="s">
        <v>3564</v>
      </c>
      <c r="Q3242" s="16">
        <v>20999</v>
      </c>
      <c r="R3242" s="17">
        <v>45</v>
      </c>
      <c r="S3242" s="18">
        <v>13281.8675</v>
      </c>
      <c r="T3242" s="19" t="s">
        <v>84</v>
      </c>
      <c r="U3242" s="20" t="s">
        <v>907</v>
      </c>
      <c r="V3242" s="30">
        <v>43.5</v>
      </c>
      <c r="W3242" s="21">
        <v>1</v>
      </c>
      <c r="X3242" s="22"/>
    </row>
    <row r="3243" spans="1:24" s="1" customFormat="1" ht="60.95" customHeight="1" x14ac:dyDescent="0.3">
      <c r="A3243" s="23" t="s">
        <v>3560</v>
      </c>
      <c r="B3243" s="23" t="s">
        <v>3638</v>
      </c>
      <c r="C3243" s="12" t="s">
        <v>3639</v>
      </c>
      <c r="D3243" s="90"/>
      <c r="E3243" s="69" t="str">
        <f>HYPERLINK("https://www.google.ru/search?q=N2ZTR02-014&amp;newwindow=1&amp;tbm=isch","Еще фото")</f>
        <v>Еще фото</v>
      </c>
      <c r="F3243" s="13"/>
      <c r="G3243" s="23" t="s">
        <v>394</v>
      </c>
      <c r="H3243" s="23" t="s">
        <v>151</v>
      </c>
      <c r="I3243" s="23" t="s">
        <v>395</v>
      </c>
      <c r="J3243" s="14" t="s">
        <v>406</v>
      </c>
      <c r="K3243" s="15" t="s">
        <v>114</v>
      </c>
      <c r="L3243" s="88"/>
      <c r="M3243" s="14"/>
      <c r="N3243" s="14" t="s">
        <v>1076</v>
      </c>
      <c r="O3243" s="14"/>
      <c r="P3243" s="15" t="s">
        <v>3564</v>
      </c>
      <c r="Q3243" s="16">
        <v>20999</v>
      </c>
      <c r="R3243" s="17">
        <v>45</v>
      </c>
      <c r="S3243" s="18">
        <v>13281.8675</v>
      </c>
      <c r="T3243" s="19" t="s">
        <v>84</v>
      </c>
      <c r="U3243" s="20" t="s">
        <v>164</v>
      </c>
      <c r="V3243" s="21">
        <v>44</v>
      </c>
      <c r="W3243" s="21">
        <v>3</v>
      </c>
      <c r="X3243" s="22"/>
    </row>
    <row r="3244" spans="1:24" s="1" customFormat="1" ht="35.1" customHeight="1" x14ac:dyDescent="0.3">
      <c r="A3244" s="11" t="s">
        <v>3014</v>
      </c>
      <c r="B3244" s="11" t="s">
        <v>3640</v>
      </c>
      <c r="C3244" s="12" t="s">
        <v>3641</v>
      </c>
      <c r="D3244" s="83"/>
      <c r="E3244" s="69" t="str">
        <f>HYPERLINK("https://www.google.ru/search?q=7300076A-4160&amp;newwindow=1&amp;tbm=isch","Еще фото")</f>
        <v>Еще фото</v>
      </c>
      <c r="F3244" s="13"/>
      <c r="G3244" s="11" t="s">
        <v>3642</v>
      </c>
      <c r="H3244" s="11" t="s">
        <v>112</v>
      </c>
      <c r="I3244" s="14" t="s">
        <v>1210</v>
      </c>
      <c r="J3244" s="14" t="s">
        <v>29</v>
      </c>
      <c r="K3244" s="15" t="s">
        <v>30</v>
      </c>
      <c r="L3244" s="86" t="s">
        <v>3643</v>
      </c>
      <c r="M3244" s="14"/>
      <c r="N3244" s="14" t="s">
        <v>275</v>
      </c>
      <c r="O3244" s="14"/>
      <c r="P3244" s="15" t="s">
        <v>3644</v>
      </c>
      <c r="Q3244" s="16">
        <v>2499</v>
      </c>
      <c r="R3244" s="17">
        <v>48</v>
      </c>
      <c r="S3244" s="18">
        <v>1494.4019999999998</v>
      </c>
      <c r="T3244" s="19" t="s">
        <v>117</v>
      </c>
      <c r="U3244" s="20" t="s">
        <v>3645</v>
      </c>
      <c r="V3244" s="21">
        <v>1</v>
      </c>
      <c r="W3244" s="21">
        <v>1</v>
      </c>
      <c r="X3244" s="22"/>
    </row>
    <row r="3245" spans="1:24" s="1" customFormat="1" ht="35.1" customHeight="1" x14ac:dyDescent="0.3">
      <c r="A3245" s="23" t="s">
        <v>3014</v>
      </c>
      <c r="B3245" s="23" t="s">
        <v>3640</v>
      </c>
      <c r="C3245" s="12" t="s">
        <v>3641</v>
      </c>
      <c r="D3245" s="84"/>
      <c r="E3245" s="69" t="str">
        <f>HYPERLINK("https://www.google.ru/search?q=7300076A-4160&amp;newwindow=1&amp;tbm=isch","Еще фото")</f>
        <v>Еще фото</v>
      </c>
      <c r="F3245" s="13"/>
      <c r="G3245" s="23" t="s">
        <v>3642</v>
      </c>
      <c r="H3245" s="23" t="s">
        <v>112</v>
      </c>
      <c r="I3245" s="23" t="s">
        <v>1210</v>
      </c>
      <c r="J3245" s="14" t="s">
        <v>29</v>
      </c>
      <c r="K3245" s="15" t="s">
        <v>30</v>
      </c>
      <c r="L3245" s="87"/>
      <c r="M3245" s="14"/>
      <c r="N3245" s="14" t="s">
        <v>275</v>
      </c>
      <c r="O3245" s="14"/>
      <c r="P3245" s="15" t="s">
        <v>3644</v>
      </c>
      <c r="Q3245" s="16">
        <v>2499</v>
      </c>
      <c r="R3245" s="17">
        <v>48</v>
      </c>
      <c r="S3245" s="18">
        <v>1494.4019999999998</v>
      </c>
      <c r="T3245" s="19" t="s">
        <v>117</v>
      </c>
      <c r="U3245" s="20" t="s">
        <v>3646</v>
      </c>
      <c r="V3245" s="21">
        <v>3</v>
      </c>
      <c r="W3245" s="21">
        <v>2</v>
      </c>
      <c r="X3245" s="22"/>
    </row>
    <row r="3246" spans="1:24" s="1" customFormat="1" ht="36.950000000000003" customHeight="1" x14ac:dyDescent="0.3">
      <c r="A3246" s="23" t="s">
        <v>3014</v>
      </c>
      <c r="B3246" s="23" t="s">
        <v>3640</v>
      </c>
      <c r="C3246" s="12" t="s">
        <v>3641</v>
      </c>
      <c r="D3246" s="85"/>
      <c r="E3246" s="69" t="str">
        <f>HYPERLINK("https://www.google.ru/search?q=7300076A-4160&amp;newwindow=1&amp;tbm=isch","Еще фото")</f>
        <v>Еще фото</v>
      </c>
      <c r="F3246" s="13"/>
      <c r="G3246" s="23" t="s">
        <v>3642</v>
      </c>
      <c r="H3246" s="23" t="s">
        <v>112</v>
      </c>
      <c r="I3246" s="23" t="s">
        <v>1210</v>
      </c>
      <c r="J3246" s="14" t="s">
        <v>29</v>
      </c>
      <c r="K3246" s="15" t="s">
        <v>30</v>
      </c>
      <c r="L3246" s="88"/>
      <c r="M3246" s="14"/>
      <c r="N3246" s="14" t="s">
        <v>275</v>
      </c>
      <c r="O3246" s="14"/>
      <c r="P3246" s="15" t="s">
        <v>3644</v>
      </c>
      <c r="Q3246" s="16">
        <v>2499</v>
      </c>
      <c r="R3246" s="17">
        <v>48</v>
      </c>
      <c r="S3246" s="18">
        <v>1494.4019999999998</v>
      </c>
      <c r="T3246" s="19" t="s">
        <v>117</v>
      </c>
      <c r="U3246" s="20" t="s">
        <v>3647</v>
      </c>
      <c r="V3246" s="21">
        <v>5</v>
      </c>
      <c r="W3246" s="21">
        <v>2</v>
      </c>
      <c r="X3246" s="22"/>
    </row>
    <row r="3247" spans="1:24" s="1" customFormat="1" ht="51.95" customHeight="1" x14ac:dyDescent="0.3">
      <c r="A3247" s="11" t="s">
        <v>3014</v>
      </c>
      <c r="B3247" s="11" t="s">
        <v>3640</v>
      </c>
      <c r="C3247" s="12" t="s">
        <v>3648</v>
      </c>
      <c r="D3247" s="89"/>
      <c r="E3247" s="69" t="str">
        <f>HYPERLINK("https://www.google.ru/search?q=7300076A-9090&amp;newwindow=1&amp;tbm=isch","Еще фото")</f>
        <v>Еще фото</v>
      </c>
      <c r="F3247" s="13"/>
      <c r="G3247" s="11" t="s">
        <v>3642</v>
      </c>
      <c r="H3247" s="11" t="s">
        <v>112</v>
      </c>
      <c r="I3247" s="14" t="s">
        <v>1210</v>
      </c>
      <c r="J3247" s="14" t="s">
        <v>29</v>
      </c>
      <c r="K3247" s="15" t="s">
        <v>30</v>
      </c>
      <c r="L3247" s="86" t="s">
        <v>3649</v>
      </c>
      <c r="M3247" s="14"/>
      <c r="N3247" s="14" t="s">
        <v>41</v>
      </c>
      <c r="O3247" s="14"/>
      <c r="P3247" s="15" t="s">
        <v>3644</v>
      </c>
      <c r="Q3247" s="16">
        <v>2499</v>
      </c>
      <c r="R3247" s="17">
        <v>48</v>
      </c>
      <c r="S3247" s="18">
        <v>1494.4019999999998</v>
      </c>
      <c r="T3247" s="19" t="s">
        <v>117</v>
      </c>
      <c r="U3247" s="20" t="s">
        <v>3645</v>
      </c>
      <c r="V3247" s="21">
        <v>1</v>
      </c>
      <c r="W3247" s="21">
        <v>1</v>
      </c>
      <c r="X3247" s="22"/>
    </row>
    <row r="3248" spans="1:24" s="1" customFormat="1" ht="60.95" customHeight="1" x14ac:dyDescent="0.3">
      <c r="A3248" s="23" t="s">
        <v>3014</v>
      </c>
      <c r="B3248" s="23" t="s">
        <v>3640</v>
      </c>
      <c r="C3248" s="12" t="s">
        <v>3648</v>
      </c>
      <c r="D3248" s="90"/>
      <c r="E3248" s="69" t="str">
        <f>HYPERLINK("https://www.google.ru/search?q=7300076A-9090&amp;newwindow=1&amp;tbm=isch","Еще фото")</f>
        <v>Еще фото</v>
      </c>
      <c r="F3248" s="13"/>
      <c r="G3248" s="23" t="s">
        <v>3642</v>
      </c>
      <c r="H3248" s="23" t="s">
        <v>112</v>
      </c>
      <c r="I3248" s="23" t="s">
        <v>1210</v>
      </c>
      <c r="J3248" s="14" t="s">
        <v>29</v>
      </c>
      <c r="K3248" s="15" t="s">
        <v>30</v>
      </c>
      <c r="L3248" s="88"/>
      <c r="M3248" s="14"/>
      <c r="N3248" s="14" t="s">
        <v>41</v>
      </c>
      <c r="O3248" s="14"/>
      <c r="P3248" s="15" t="s">
        <v>3644</v>
      </c>
      <c r="Q3248" s="16">
        <v>2499</v>
      </c>
      <c r="R3248" s="17">
        <v>48</v>
      </c>
      <c r="S3248" s="18">
        <v>1494.4019999999998</v>
      </c>
      <c r="T3248" s="19" t="s">
        <v>117</v>
      </c>
      <c r="U3248" s="20" t="s">
        <v>3646</v>
      </c>
      <c r="V3248" s="21">
        <v>3</v>
      </c>
      <c r="W3248" s="21">
        <v>1</v>
      </c>
      <c r="X3248" s="22"/>
    </row>
    <row r="3249" spans="1:24" s="1" customFormat="1" ht="51.95" customHeight="1" x14ac:dyDescent="0.3">
      <c r="A3249" s="11" t="s">
        <v>3014</v>
      </c>
      <c r="B3249" s="11" t="s">
        <v>3640</v>
      </c>
      <c r="C3249" s="12" t="s">
        <v>3650</v>
      </c>
      <c r="D3249" s="89"/>
      <c r="E3249" s="69" t="str">
        <f>HYPERLINK("https://www.google.ru/search?q=7300076A-6961&amp;newwindow=1&amp;tbm=isch","Еще фото")</f>
        <v>Еще фото</v>
      </c>
      <c r="F3249" s="13"/>
      <c r="G3249" s="11" t="s">
        <v>3642</v>
      </c>
      <c r="H3249" s="11" t="s">
        <v>112</v>
      </c>
      <c r="I3249" s="14" t="s">
        <v>1210</v>
      </c>
      <c r="J3249" s="14" t="s">
        <v>29</v>
      </c>
      <c r="K3249" s="15" t="s">
        <v>30</v>
      </c>
      <c r="L3249" s="86" t="s">
        <v>3651</v>
      </c>
      <c r="M3249" s="14"/>
      <c r="N3249" s="14" t="s">
        <v>70</v>
      </c>
      <c r="O3249" s="14"/>
      <c r="P3249" s="15" t="s">
        <v>3644</v>
      </c>
      <c r="Q3249" s="16">
        <v>2499</v>
      </c>
      <c r="R3249" s="17">
        <v>45</v>
      </c>
      <c r="S3249" s="18">
        <v>1580.6174999999998</v>
      </c>
      <c r="T3249" s="19" t="s">
        <v>117</v>
      </c>
      <c r="U3249" s="20" t="s">
        <v>3645</v>
      </c>
      <c r="V3249" s="21">
        <v>1</v>
      </c>
      <c r="W3249" s="21">
        <v>2</v>
      </c>
      <c r="X3249" s="22"/>
    </row>
    <row r="3250" spans="1:24" s="1" customFormat="1" ht="60.95" customHeight="1" x14ac:dyDescent="0.3">
      <c r="A3250" s="23" t="s">
        <v>3014</v>
      </c>
      <c r="B3250" s="23" t="s">
        <v>3640</v>
      </c>
      <c r="C3250" s="12" t="s">
        <v>3650</v>
      </c>
      <c r="D3250" s="90"/>
      <c r="E3250" s="69" t="str">
        <f>HYPERLINK("https://www.google.ru/search?q=7300076A-6961&amp;newwindow=1&amp;tbm=isch","Еще фото")</f>
        <v>Еще фото</v>
      </c>
      <c r="F3250" s="13"/>
      <c r="G3250" s="23" t="s">
        <v>3642</v>
      </c>
      <c r="H3250" s="23" t="s">
        <v>112</v>
      </c>
      <c r="I3250" s="23" t="s">
        <v>1210</v>
      </c>
      <c r="J3250" s="14" t="s">
        <v>29</v>
      </c>
      <c r="K3250" s="15" t="s">
        <v>30</v>
      </c>
      <c r="L3250" s="88"/>
      <c r="M3250" s="14"/>
      <c r="N3250" s="14" t="s">
        <v>70</v>
      </c>
      <c r="O3250" s="14"/>
      <c r="P3250" s="15" t="s">
        <v>3644</v>
      </c>
      <c r="Q3250" s="16">
        <v>2499</v>
      </c>
      <c r="R3250" s="17">
        <v>45</v>
      </c>
      <c r="S3250" s="18">
        <v>1580.6174999999998</v>
      </c>
      <c r="T3250" s="19" t="s">
        <v>117</v>
      </c>
      <c r="U3250" s="20" t="s">
        <v>3647</v>
      </c>
      <c r="V3250" s="21">
        <v>5</v>
      </c>
      <c r="W3250" s="21">
        <v>1</v>
      </c>
      <c r="X3250" s="22"/>
    </row>
    <row r="3251" spans="1:24" s="1" customFormat="1" ht="14.1" customHeight="1" x14ac:dyDescent="0.3">
      <c r="A3251" s="11" t="s">
        <v>3183</v>
      </c>
      <c r="B3251" s="11" t="s">
        <v>3652</v>
      </c>
      <c r="C3251" s="12" t="s">
        <v>3653</v>
      </c>
      <c r="D3251" s="83"/>
      <c r="E3251" s="69" t="str">
        <f t="shared" ref="E3251:E3257" si="135">HYPERLINK("https://www.google.ru/search?q=U56M2C0EK3RC0517&amp;newwindow=1&amp;tbm=isch","Еще фото")</f>
        <v>Еще фото</v>
      </c>
      <c r="F3251" s="13"/>
      <c r="G3251" s="11" t="s">
        <v>394</v>
      </c>
      <c r="H3251" s="11" t="s">
        <v>151</v>
      </c>
      <c r="I3251" s="14" t="s">
        <v>424</v>
      </c>
      <c r="J3251" s="14" t="s">
        <v>29</v>
      </c>
      <c r="K3251" s="15" t="s">
        <v>55</v>
      </c>
      <c r="L3251" s="86" t="s">
        <v>3654</v>
      </c>
      <c r="M3251" s="14"/>
      <c r="N3251" s="14" t="s">
        <v>3655</v>
      </c>
      <c r="O3251" s="14"/>
      <c r="P3251" s="15" t="s">
        <v>3656</v>
      </c>
      <c r="Q3251" s="16">
        <v>22390</v>
      </c>
      <c r="R3251" s="17">
        <v>71.959999999999994</v>
      </c>
      <c r="S3251" s="18">
        <v>7219.4354999999996</v>
      </c>
      <c r="T3251" s="19" t="s">
        <v>328</v>
      </c>
      <c r="U3251" s="20" t="s">
        <v>413</v>
      </c>
      <c r="V3251" s="21">
        <v>39</v>
      </c>
      <c r="W3251" s="21">
        <v>2</v>
      </c>
      <c r="X3251" s="22"/>
    </row>
    <row r="3252" spans="1:24" s="1" customFormat="1" ht="14.1" customHeight="1" x14ac:dyDescent="0.3">
      <c r="A3252" s="23" t="s">
        <v>3183</v>
      </c>
      <c r="B3252" s="23" t="s">
        <v>3652</v>
      </c>
      <c r="C3252" s="12" t="s">
        <v>3653</v>
      </c>
      <c r="D3252" s="84"/>
      <c r="E3252" s="69" t="str">
        <f t="shared" si="135"/>
        <v>Еще фото</v>
      </c>
      <c r="F3252" s="13"/>
      <c r="G3252" s="23" t="s">
        <v>394</v>
      </c>
      <c r="H3252" s="23" t="s">
        <v>151</v>
      </c>
      <c r="I3252" s="23" t="s">
        <v>424</v>
      </c>
      <c r="J3252" s="14" t="s">
        <v>29</v>
      </c>
      <c r="K3252" s="15" t="s">
        <v>55</v>
      </c>
      <c r="L3252" s="87"/>
      <c r="M3252" s="14"/>
      <c r="N3252" s="14" t="s">
        <v>3655</v>
      </c>
      <c r="O3252" s="14"/>
      <c r="P3252" s="15" t="s">
        <v>3656</v>
      </c>
      <c r="Q3252" s="16">
        <v>22390</v>
      </c>
      <c r="R3252" s="17">
        <v>71.959999999999994</v>
      </c>
      <c r="S3252" s="18">
        <v>7219.4354999999996</v>
      </c>
      <c r="T3252" s="19" t="s">
        <v>328</v>
      </c>
      <c r="U3252" s="20" t="s">
        <v>399</v>
      </c>
      <c r="V3252" s="21">
        <v>40</v>
      </c>
      <c r="W3252" s="21">
        <v>6</v>
      </c>
      <c r="X3252" s="22"/>
    </row>
    <row r="3253" spans="1:24" s="1" customFormat="1" ht="14.1" customHeight="1" x14ac:dyDescent="0.3">
      <c r="A3253" s="23" t="s">
        <v>3183</v>
      </c>
      <c r="B3253" s="23" t="s">
        <v>3652</v>
      </c>
      <c r="C3253" s="12" t="s">
        <v>3653</v>
      </c>
      <c r="D3253" s="84"/>
      <c r="E3253" s="69" t="str">
        <f t="shared" si="135"/>
        <v>Еще фото</v>
      </c>
      <c r="F3253" s="13"/>
      <c r="G3253" s="23" t="s">
        <v>394</v>
      </c>
      <c r="H3253" s="23" t="s">
        <v>151</v>
      </c>
      <c r="I3253" s="23" t="s">
        <v>424</v>
      </c>
      <c r="J3253" s="14" t="s">
        <v>29</v>
      </c>
      <c r="K3253" s="15" t="s">
        <v>55</v>
      </c>
      <c r="L3253" s="87"/>
      <c r="M3253" s="14"/>
      <c r="N3253" s="14" t="s">
        <v>3655</v>
      </c>
      <c r="O3253" s="14"/>
      <c r="P3253" s="15" t="s">
        <v>3656</v>
      </c>
      <c r="Q3253" s="16">
        <v>22390</v>
      </c>
      <c r="R3253" s="17">
        <v>71.959999999999994</v>
      </c>
      <c r="S3253" s="18">
        <v>7219.4354999999996</v>
      </c>
      <c r="T3253" s="19" t="s">
        <v>328</v>
      </c>
      <c r="U3253" s="20" t="s">
        <v>400</v>
      </c>
      <c r="V3253" s="21">
        <v>41</v>
      </c>
      <c r="W3253" s="21">
        <v>4</v>
      </c>
      <c r="X3253" s="22"/>
    </row>
    <row r="3254" spans="1:24" s="1" customFormat="1" ht="14.1" customHeight="1" x14ac:dyDescent="0.3">
      <c r="A3254" s="23" t="s">
        <v>3183</v>
      </c>
      <c r="B3254" s="23" t="s">
        <v>3652</v>
      </c>
      <c r="C3254" s="12" t="s">
        <v>3653</v>
      </c>
      <c r="D3254" s="84"/>
      <c r="E3254" s="69" t="str">
        <f t="shared" si="135"/>
        <v>Еще фото</v>
      </c>
      <c r="F3254" s="13"/>
      <c r="G3254" s="23" t="s">
        <v>394</v>
      </c>
      <c r="H3254" s="23" t="s">
        <v>151</v>
      </c>
      <c r="I3254" s="23" t="s">
        <v>424</v>
      </c>
      <c r="J3254" s="14" t="s">
        <v>29</v>
      </c>
      <c r="K3254" s="15" t="s">
        <v>55</v>
      </c>
      <c r="L3254" s="87"/>
      <c r="M3254" s="14"/>
      <c r="N3254" s="14" t="s">
        <v>3655</v>
      </c>
      <c r="O3254" s="14"/>
      <c r="P3254" s="15" t="s">
        <v>3656</v>
      </c>
      <c r="Q3254" s="16">
        <v>22390</v>
      </c>
      <c r="R3254" s="17">
        <v>71.959999999999994</v>
      </c>
      <c r="S3254" s="18">
        <v>7219.4354999999996</v>
      </c>
      <c r="T3254" s="19" t="s">
        <v>328</v>
      </c>
      <c r="U3254" s="20" t="s">
        <v>457</v>
      </c>
      <c r="V3254" s="21">
        <v>42</v>
      </c>
      <c r="W3254" s="21">
        <v>8</v>
      </c>
      <c r="X3254" s="22"/>
    </row>
    <row r="3255" spans="1:24" s="1" customFormat="1" ht="14.1" customHeight="1" x14ac:dyDescent="0.3">
      <c r="A3255" s="23" t="s">
        <v>3183</v>
      </c>
      <c r="B3255" s="23" t="s">
        <v>3652</v>
      </c>
      <c r="C3255" s="12" t="s">
        <v>3653</v>
      </c>
      <c r="D3255" s="84"/>
      <c r="E3255" s="69" t="str">
        <f t="shared" si="135"/>
        <v>Еще фото</v>
      </c>
      <c r="F3255" s="13"/>
      <c r="G3255" s="23" t="s">
        <v>394</v>
      </c>
      <c r="H3255" s="23" t="s">
        <v>151</v>
      </c>
      <c r="I3255" s="23" t="s">
        <v>424</v>
      </c>
      <c r="J3255" s="14" t="s">
        <v>29</v>
      </c>
      <c r="K3255" s="15" t="s">
        <v>55</v>
      </c>
      <c r="L3255" s="87"/>
      <c r="M3255" s="14"/>
      <c r="N3255" s="14" t="s">
        <v>3655</v>
      </c>
      <c r="O3255" s="14"/>
      <c r="P3255" s="15" t="s">
        <v>3656</v>
      </c>
      <c r="Q3255" s="16">
        <v>22390</v>
      </c>
      <c r="R3255" s="17">
        <v>71.959999999999994</v>
      </c>
      <c r="S3255" s="18">
        <v>7219.4354999999996</v>
      </c>
      <c r="T3255" s="19" t="s">
        <v>328</v>
      </c>
      <c r="U3255" s="20" t="s">
        <v>401</v>
      </c>
      <c r="V3255" s="21">
        <v>43</v>
      </c>
      <c r="W3255" s="21">
        <v>1</v>
      </c>
      <c r="X3255" s="22"/>
    </row>
    <row r="3256" spans="1:24" s="1" customFormat="1" ht="14.1" customHeight="1" x14ac:dyDescent="0.3">
      <c r="A3256" s="23" t="s">
        <v>3183</v>
      </c>
      <c r="B3256" s="23" t="s">
        <v>3652</v>
      </c>
      <c r="C3256" s="12" t="s">
        <v>3653</v>
      </c>
      <c r="D3256" s="84"/>
      <c r="E3256" s="69" t="str">
        <f t="shared" si="135"/>
        <v>Еще фото</v>
      </c>
      <c r="F3256" s="13"/>
      <c r="G3256" s="23" t="s">
        <v>394</v>
      </c>
      <c r="H3256" s="23" t="s">
        <v>151</v>
      </c>
      <c r="I3256" s="23" t="s">
        <v>424</v>
      </c>
      <c r="J3256" s="14" t="s">
        <v>29</v>
      </c>
      <c r="K3256" s="15" t="s">
        <v>55</v>
      </c>
      <c r="L3256" s="87"/>
      <c r="M3256" s="14"/>
      <c r="N3256" s="14" t="s">
        <v>3655</v>
      </c>
      <c r="O3256" s="14"/>
      <c r="P3256" s="15" t="s">
        <v>3656</v>
      </c>
      <c r="Q3256" s="16">
        <v>22390</v>
      </c>
      <c r="R3256" s="17">
        <v>71.959999999999994</v>
      </c>
      <c r="S3256" s="18">
        <v>7219.4354999999996</v>
      </c>
      <c r="T3256" s="19" t="s">
        <v>328</v>
      </c>
      <c r="U3256" s="20" t="s">
        <v>402</v>
      </c>
      <c r="V3256" s="21">
        <v>44</v>
      </c>
      <c r="W3256" s="21">
        <v>8</v>
      </c>
      <c r="X3256" s="22"/>
    </row>
    <row r="3257" spans="1:24" s="1" customFormat="1" ht="17.100000000000001" customHeight="1" x14ac:dyDescent="0.3">
      <c r="A3257" s="23" t="s">
        <v>3183</v>
      </c>
      <c r="B3257" s="23" t="s">
        <v>3652</v>
      </c>
      <c r="C3257" s="12" t="s">
        <v>3653</v>
      </c>
      <c r="D3257" s="85"/>
      <c r="E3257" s="69" t="str">
        <f t="shared" si="135"/>
        <v>Еще фото</v>
      </c>
      <c r="F3257" s="13"/>
      <c r="G3257" s="23" t="s">
        <v>394</v>
      </c>
      <c r="H3257" s="23" t="s">
        <v>151</v>
      </c>
      <c r="I3257" s="23" t="s">
        <v>424</v>
      </c>
      <c r="J3257" s="14" t="s">
        <v>29</v>
      </c>
      <c r="K3257" s="15" t="s">
        <v>55</v>
      </c>
      <c r="L3257" s="88"/>
      <c r="M3257" s="14"/>
      <c r="N3257" s="14" t="s">
        <v>3655</v>
      </c>
      <c r="O3257" s="14"/>
      <c r="P3257" s="15" t="s">
        <v>3656</v>
      </c>
      <c r="Q3257" s="16">
        <v>22390</v>
      </c>
      <c r="R3257" s="17">
        <v>71.959999999999994</v>
      </c>
      <c r="S3257" s="18">
        <v>7219.4354999999996</v>
      </c>
      <c r="T3257" s="19" t="s">
        <v>328</v>
      </c>
      <c r="U3257" s="20" t="s">
        <v>403</v>
      </c>
      <c r="V3257" s="21">
        <v>45</v>
      </c>
      <c r="W3257" s="21">
        <v>2</v>
      </c>
      <c r="X3257" s="22"/>
    </row>
    <row r="3258" spans="1:24" s="1" customFormat="1" ht="14.1" customHeight="1" x14ac:dyDescent="0.3">
      <c r="A3258" s="11" t="s">
        <v>3183</v>
      </c>
      <c r="B3258" s="11" t="s">
        <v>3657</v>
      </c>
      <c r="C3258" s="12" t="s">
        <v>3658</v>
      </c>
      <c r="D3258" s="83"/>
      <c r="E3258" s="69" t="str">
        <f t="shared" ref="E3258:E3264" si="136">HYPERLINK("https://www.google.ru/search?q=J569QJ000BCC9999&amp;newwindow=1&amp;tbm=isch","Еще фото")</f>
        <v>Еще фото</v>
      </c>
      <c r="F3258" s="13"/>
      <c r="G3258" s="11" t="s">
        <v>3659</v>
      </c>
      <c r="H3258" s="11" t="s">
        <v>151</v>
      </c>
      <c r="I3258" s="14" t="s">
        <v>424</v>
      </c>
      <c r="J3258" s="14" t="s">
        <v>138</v>
      </c>
      <c r="K3258" s="15" t="s">
        <v>30</v>
      </c>
      <c r="L3258" s="86" t="s">
        <v>3660</v>
      </c>
      <c r="M3258" s="14"/>
      <c r="N3258" s="14" t="s">
        <v>3661</v>
      </c>
      <c r="O3258" s="14"/>
      <c r="P3258" s="15" t="s">
        <v>3662</v>
      </c>
      <c r="Q3258" s="16">
        <v>12890</v>
      </c>
      <c r="R3258" s="17">
        <v>71.930000000000007</v>
      </c>
      <c r="S3258" s="18">
        <v>4160.4354999999996</v>
      </c>
      <c r="T3258" s="19" t="s">
        <v>328</v>
      </c>
      <c r="U3258" s="20" t="s">
        <v>3190</v>
      </c>
      <c r="V3258" s="21">
        <v>31</v>
      </c>
      <c r="W3258" s="21">
        <v>1</v>
      </c>
      <c r="X3258" s="22"/>
    </row>
    <row r="3259" spans="1:24" s="1" customFormat="1" ht="14.1" customHeight="1" x14ac:dyDescent="0.3">
      <c r="A3259" s="23" t="s">
        <v>3183</v>
      </c>
      <c r="B3259" s="23" t="s">
        <v>3657</v>
      </c>
      <c r="C3259" s="12" t="s">
        <v>3658</v>
      </c>
      <c r="D3259" s="84"/>
      <c r="E3259" s="69" t="str">
        <f t="shared" si="136"/>
        <v>Еще фото</v>
      </c>
      <c r="F3259" s="13"/>
      <c r="G3259" s="23" t="s">
        <v>3659</v>
      </c>
      <c r="H3259" s="23" t="s">
        <v>151</v>
      </c>
      <c r="I3259" s="23" t="s">
        <v>424</v>
      </c>
      <c r="J3259" s="14" t="s">
        <v>138</v>
      </c>
      <c r="K3259" s="15" t="s">
        <v>30</v>
      </c>
      <c r="L3259" s="87"/>
      <c r="M3259" s="14"/>
      <c r="N3259" s="14" t="s">
        <v>3661</v>
      </c>
      <c r="O3259" s="14"/>
      <c r="P3259" s="15" t="s">
        <v>3662</v>
      </c>
      <c r="Q3259" s="16">
        <v>12890</v>
      </c>
      <c r="R3259" s="17">
        <v>71.930000000000007</v>
      </c>
      <c r="S3259" s="18">
        <v>4160.4354999999996</v>
      </c>
      <c r="T3259" s="19" t="s">
        <v>328</v>
      </c>
      <c r="U3259" s="20" t="s">
        <v>552</v>
      </c>
      <c r="V3259" s="21">
        <v>32</v>
      </c>
      <c r="W3259" s="21">
        <v>3</v>
      </c>
      <c r="X3259" s="22"/>
    </row>
    <row r="3260" spans="1:24" s="1" customFormat="1" ht="14.1" customHeight="1" x14ac:dyDescent="0.3">
      <c r="A3260" s="23" t="s">
        <v>3183</v>
      </c>
      <c r="B3260" s="23" t="s">
        <v>3657</v>
      </c>
      <c r="C3260" s="12" t="s">
        <v>3658</v>
      </c>
      <c r="D3260" s="84"/>
      <c r="E3260" s="69" t="str">
        <f t="shared" si="136"/>
        <v>Еще фото</v>
      </c>
      <c r="F3260" s="13"/>
      <c r="G3260" s="23" t="s">
        <v>3659</v>
      </c>
      <c r="H3260" s="23" t="s">
        <v>151</v>
      </c>
      <c r="I3260" s="23" t="s">
        <v>424</v>
      </c>
      <c r="J3260" s="14" t="s">
        <v>138</v>
      </c>
      <c r="K3260" s="15" t="s">
        <v>30</v>
      </c>
      <c r="L3260" s="87"/>
      <c r="M3260" s="14"/>
      <c r="N3260" s="14" t="s">
        <v>3661</v>
      </c>
      <c r="O3260" s="14"/>
      <c r="P3260" s="15" t="s">
        <v>3662</v>
      </c>
      <c r="Q3260" s="16">
        <v>12890</v>
      </c>
      <c r="R3260" s="17">
        <v>71.930000000000007</v>
      </c>
      <c r="S3260" s="18">
        <v>4160.4354999999996</v>
      </c>
      <c r="T3260" s="19" t="s">
        <v>328</v>
      </c>
      <c r="U3260" s="20" t="s">
        <v>553</v>
      </c>
      <c r="V3260" s="21">
        <v>33</v>
      </c>
      <c r="W3260" s="21">
        <v>3</v>
      </c>
      <c r="X3260" s="22"/>
    </row>
    <row r="3261" spans="1:24" s="1" customFormat="1" ht="14.1" customHeight="1" x14ac:dyDescent="0.3">
      <c r="A3261" s="23" t="s">
        <v>3183</v>
      </c>
      <c r="B3261" s="23" t="s">
        <v>3657</v>
      </c>
      <c r="C3261" s="12" t="s">
        <v>3658</v>
      </c>
      <c r="D3261" s="84"/>
      <c r="E3261" s="69" t="str">
        <f t="shared" si="136"/>
        <v>Еще фото</v>
      </c>
      <c r="F3261" s="13"/>
      <c r="G3261" s="23" t="s">
        <v>3659</v>
      </c>
      <c r="H3261" s="23" t="s">
        <v>151</v>
      </c>
      <c r="I3261" s="23" t="s">
        <v>424</v>
      </c>
      <c r="J3261" s="14" t="s">
        <v>138</v>
      </c>
      <c r="K3261" s="15" t="s">
        <v>30</v>
      </c>
      <c r="L3261" s="87"/>
      <c r="M3261" s="14"/>
      <c r="N3261" s="14" t="s">
        <v>3661</v>
      </c>
      <c r="O3261" s="14"/>
      <c r="P3261" s="15" t="s">
        <v>3662</v>
      </c>
      <c r="Q3261" s="16">
        <v>12890</v>
      </c>
      <c r="R3261" s="17">
        <v>71.930000000000007</v>
      </c>
      <c r="S3261" s="18">
        <v>4160.4354999999996</v>
      </c>
      <c r="T3261" s="19" t="s">
        <v>328</v>
      </c>
      <c r="U3261" s="20" t="s">
        <v>554</v>
      </c>
      <c r="V3261" s="21">
        <v>34</v>
      </c>
      <c r="W3261" s="21">
        <v>2</v>
      </c>
      <c r="X3261" s="22"/>
    </row>
    <row r="3262" spans="1:24" s="1" customFormat="1" ht="14.1" customHeight="1" x14ac:dyDescent="0.3">
      <c r="A3262" s="23" t="s">
        <v>3183</v>
      </c>
      <c r="B3262" s="23" t="s">
        <v>3657</v>
      </c>
      <c r="C3262" s="12" t="s">
        <v>3658</v>
      </c>
      <c r="D3262" s="84"/>
      <c r="E3262" s="69" t="str">
        <f t="shared" si="136"/>
        <v>Еще фото</v>
      </c>
      <c r="F3262" s="13"/>
      <c r="G3262" s="23" t="s">
        <v>3659</v>
      </c>
      <c r="H3262" s="23" t="s">
        <v>151</v>
      </c>
      <c r="I3262" s="23" t="s">
        <v>424</v>
      </c>
      <c r="J3262" s="14" t="s">
        <v>138</v>
      </c>
      <c r="K3262" s="15" t="s">
        <v>30</v>
      </c>
      <c r="L3262" s="87"/>
      <c r="M3262" s="14"/>
      <c r="N3262" s="14" t="s">
        <v>3661</v>
      </c>
      <c r="O3262" s="14"/>
      <c r="P3262" s="15" t="s">
        <v>3662</v>
      </c>
      <c r="Q3262" s="16">
        <v>12890</v>
      </c>
      <c r="R3262" s="17">
        <v>71.930000000000007</v>
      </c>
      <c r="S3262" s="18">
        <v>4160.4354999999996</v>
      </c>
      <c r="T3262" s="19" t="s">
        <v>328</v>
      </c>
      <c r="U3262" s="20" t="s">
        <v>431</v>
      </c>
      <c r="V3262" s="21">
        <v>35</v>
      </c>
      <c r="W3262" s="21">
        <v>5</v>
      </c>
      <c r="X3262" s="22"/>
    </row>
    <row r="3263" spans="1:24" s="1" customFormat="1" ht="14.1" customHeight="1" x14ac:dyDescent="0.3">
      <c r="A3263" s="23" t="s">
        <v>3183</v>
      </c>
      <c r="B3263" s="23" t="s">
        <v>3657</v>
      </c>
      <c r="C3263" s="12" t="s">
        <v>3658</v>
      </c>
      <c r="D3263" s="84"/>
      <c r="E3263" s="69" t="str">
        <f t="shared" si="136"/>
        <v>Еще фото</v>
      </c>
      <c r="F3263" s="13"/>
      <c r="G3263" s="23" t="s">
        <v>3659</v>
      </c>
      <c r="H3263" s="23" t="s">
        <v>151</v>
      </c>
      <c r="I3263" s="23" t="s">
        <v>424</v>
      </c>
      <c r="J3263" s="14" t="s">
        <v>138</v>
      </c>
      <c r="K3263" s="15" t="s">
        <v>30</v>
      </c>
      <c r="L3263" s="87"/>
      <c r="M3263" s="14"/>
      <c r="N3263" s="14" t="s">
        <v>3661</v>
      </c>
      <c r="O3263" s="14"/>
      <c r="P3263" s="15" t="s">
        <v>3662</v>
      </c>
      <c r="Q3263" s="16">
        <v>12890</v>
      </c>
      <c r="R3263" s="17">
        <v>71.930000000000007</v>
      </c>
      <c r="S3263" s="18">
        <v>4160.4354999999996</v>
      </c>
      <c r="T3263" s="19" t="s">
        <v>328</v>
      </c>
      <c r="U3263" s="20" t="s">
        <v>1503</v>
      </c>
      <c r="V3263" s="21">
        <v>36</v>
      </c>
      <c r="W3263" s="21">
        <v>6</v>
      </c>
      <c r="X3263" s="22"/>
    </row>
    <row r="3264" spans="1:24" s="1" customFormat="1" ht="17.100000000000001" customHeight="1" x14ac:dyDescent="0.3">
      <c r="A3264" s="23" t="s">
        <v>3183</v>
      </c>
      <c r="B3264" s="23" t="s">
        <v>3657</v>
      </c>
      <c r="C3264" s="12" t="s">
        <v>3658</v>
      </c>
      <c r="D3264" s="85"/>
      <c r="E3264" s="69" t="str">
        <f t="shared" si="136"/>
        <v>Еще фото</v>
      </c>
      <c r="F3264" s="13"/>
      <c r="G3264" s="23" t="s">
        <v>3659</v>
      </c>
      <c r="H3264" s="23" t="s">
        <v>151</v>
      </c>
      <c r="I3264" s="23" t="s">
        <v>424</v>
      </c>
      <c r="J3264" s="14" t="s">
        <v>138</v>
      </c>
      <c r="K3264" s="15" t="s">
        <v>30</v>
      </c>
      <c r="L3264" s="88"/>
      <c r="M3264" s="14"/>
      <c r="N3264" s="14" t="s">
        <v>3661</v>
      </c>
      <c r="O3264" s="14"/>
      <c r="P3264" s="15" t="s">
        <v>3662</v>
      </c>
      <c r="Q3264" s="16">
        <v>12890</v>
      </c>
      <c r="R3264" s="17">
        <v>71.930000000000007</v>
      </c>
      <c r="S3264" s="18">
        <v>4160.4354999999996</v>
      </c>
      <c r="T3264" s="19" t="s">
        <v>328</v>
      </c>
      <c r="U3264" s="20" t="s">
        <v>409</v>
      </c>
      <c r="V3264" s="21">
        <v>37</v>
      </c>
      <c r="W3264" s="21">
        <v>8</v>
      </c>
      <c r="X3264" s="22"/>
    </row>
    <row r="3265" spans="1:24" s="1" customFormat="1" ht="26.1" customHeight="1" x14ac:dyDescent="0.3">
      <c r="A3265" s="11" t="s">
        <v>3183</v>
      </c>
      <c r="B3265" s="11" t="s">
        <v>3663</v>
      </c>
      <c r="C3265" s="12" t="s">
        <v>3664</v>
      </c>
      <c r="D3265" s="83"/>
      <c r="E3265" s="69" t="str">
        <f>HYPERLINK("https://www.google.ru/search?q=D565GC00046C6006&amp;newwindow=1&amp;tbm=isch","Еще фото")</f>
        <v>Еще фото</v>
      </c>
      <c r="F3265" s="13"/>
      <c r="G3265" s="11" t="s">
        <v>3659</v>
      </c>
      <c r="H3265" s="11" t="s">
        <v>151</v>
      </c>
      <c r="I3265" s="14" t="s">
        <v>424</v>
      </c>
      <c r="J3265" s="14" t="s">
        <v>138</v>
      </c>
      <c r="K3265" s="15" t="s">
        <v>47</v>
      </c>
      <c r="L3265" s="86" t="s">
        <v>3665</v>
      </c>
      <c r="M3265" s="14"/>
      <c r="N3265" s="14" t="s">
        <v>3666</v>
      </c>
      <c r="O3265" s="14"/>
      <c r="P3265" s="15" t="s">
        <v>3667</v>
      </c>
      <c r="Q3265" s="16">
        <v>22790</v>
      </c>
      <c r="R3265" s="17">
        <v>71.930000000000007</v>
      </c>
      <c r="S3265" s="18">
        <v>7357.4354999999996</v>
      </c>
      <c r="T3265" s="19" t="s">
        <v>328</v>
      </c>
      <c r="U3265" s="20" t="s">
        <v>1503</v>
      </c>
      <c r="V3265" s="21">
        <v>36</v>
      </c>
      <c r="W3265" s="21">
        <v>2</v>
      </c>
      <c r="X3265" s="22"/>
    </row>
    <row r="3266" spans="1:24" s="1" customFormat="1" ht="26.1" customHeight="1" x14ac:dyDescent="0.3">
      <c r="A3266" s="23" t="s">
        <v>3183</v>
      </c>
      <c r="B3266" s="23" t="s">
        <v>3663</v>
      </c>
      <c r="C3266" s="12" t="s">
        <v>3664</v>
      </c>
      <c r="D3266" s="84"/>
      <c r="E3266" s="69" t="str">
        <f>HYPERLINK("https://www.google.ru/search?q=D565GC00046C6006&amp;newwindow=1&amp;tbm=isch","Еще фото")</f>
        <v>Еще фото</v>
      </c>
      <c r="F3266" s="13"/>
      <c r="G3266" s="23" t="s">
        <v>3659</v>
      </c>
      <c r="H3266" s="23" t="s">
        <v>151</v>
      </c>
      <c r="I3266" s="23" t="s">
        <v>424</v>
      </c>
      <c r="J3266" s="14" t="s">
        <v>138</v>
      </c>
      <c r="K3266" s="15" t="s">
        <v>47</v>
      </c>
      <c r="L3266" s="87"/>
      <c r="M3266" s="14"/>
      <c r="N3266" s="14" t="s">
        <v>3666</v>
      </c>
      <c r="O3266" s="14"/>
      <c r="P3266" s="15" t="s">
        <v>3667</v>
      </c>
      <c r="Q3266" s="16">
        <v>22790</v>
      </c>
      <c r="R3266" s="17">
        <v>71.930000000000007</v>
      </c>
      <c r="S3266" s="18">
        <v>7357.4354999999996</v>
      </c>
      <c r="T3266" s="19" t="s">
        <v>328</v>
      </c>
      <c r="U3266" s="20" t="s">
        <v>409</v>
      </c>
      <c r="V3266" s="21">
        <v>37</v>
      </c>
      <c r="W3266" s="21">
        <v>2</v>
      </c>
      <c r="X3266" s="22"/>
    </row>
    <row r="3267" spans="1:24" s="1" customFormat="1" ht="26.1" customHeight="1" x14ac:dyDescent="0.3">
      <c r="A3267" s="23" t="s">
        <v>3183</v>
      </c>
      <c r="B3267" s="23" t="s">
        <v>3663</v>
      </c>
      <c r="C3267" s="12" t="s">
        <v>3664</v>
      </c>
      <c r="D3267" s="84"/>
      <c r="E3267" s="69" t="str">
        <f>HYPERLINK("https://www.google.ru/search?q=D565GC00046C6006&amp;newwindow=1&amp;tbm=isch","Еще фото")</f>
        <v>Еще фото</v>
      </c>
      <c r="F3267" s="13"/>
      <c r="G3267" s="23" t="s">
        <v>3659</v>
      </c>
      <c r="H3267" s="23" t="s">
        <v>151</v>
      </c>
      <c r="I3267" s="23" t="s">
        <v>424</v>
      </c>
      <c r="J3267" s="14" t="s">
        <v>138</v>
      </c>
      <c r="K3267" s="15" t="s">
        <v>47</v>
      </c>
      <c r="L3267" s="87"/>
      <c r="M3267" s="14"/>
      <c r="N3267" s="14" t="s">
        <v>3666</v>
      </c>
      <c r="O3267" s="14"/>
      <c r="P3267" s="15" t="s">
        <v>3667</v>
      </c>
      <c r="Q3267" s="16">
        <v>22790</v>
      </c>
      <c r="R3267" s="17">
        <v>71.930000000000007</v>
      </c>
      <c r="S3267" s="18">
        <v>7357.4354999999996</v>
      </c>
      <c r="T3267" s="19" t="s">
        <v>328</v>
      </c>
      <c r="U3267" s="20" t="s">
        <v>399</v>
      </c>
      <c r="V3267" s="21">
        <v>40</v>
      </c>
      <c r="W3267" s="21">
        <v>1</v>
      </c>
      <c r="X3267" s="22"/>
    </row>
    <row r="3268" spans="1:24" s="1" customFormat="1" ht="26.1" customHeight="1" x14ac:dyDescent="0.3">
      <c r="A3268" s="23" t="s">
        <v>3183</v>
      </c>
      <c r="B3268" s="23" t="s">
        <v>3663</v>
      </c>
      <c r="C3268" s="12" t="s">
        <v>3664</v>
      </c>
      <c r="D3268" s="85"/>
      <c r="E3268" s="69" t="str">
        <f>HYPERLINK("https://www.google.ru/search?q=D565GC00046C6006&amp;newwindow=1&amp;tbm=isch","Еще фото")</f>
        <v>Еще фото</v>
      </c>
      <c r="F3268" s="13"/>
      <c r="G3268" s="23" t="s">
        <v>3659</v>
      </c>
      <c r="H3268" s="23" t="s">
        <v>151</v>
      </c>
      <c r="I3268" s="23" t="s">
        <v>424</v>
      </c>
      <c r="J3268" s="14" t="s">
        <v>138</v>
      </c>
      <c r="K3268" s="15" t="s">
        <v>47</v>
      </c>
      <c r="L3268" s="88"/>
      <c r="M3268" s="14"/>
      <c r="N3268" s="14" t="s">
        <v>3666</v>
      </c>
      <c r="O3268" s="14"/>
      <c r="P3268" s="15" t="s">
        <v>3667</v>
      </c>
      <c r="Q3268" s="16">
        <v>22790</v>
      </c>
      <c r="R3268" s="17">
        <v>71.930000000000007</v>
      </c>
      <c r="S3268" s="18">
        <v>7357.4354999999996</v>
      </c>
      <c r="T3268" s="19" t="s">
        <v>328</v>
      </c>
      <c r="U3268" s="20" t="s">
        <v>431</v>
      </c>
      <c r="V3268" s="21">
        <v>35</v>
      </c>
      <c r="W3268" s="21">
        <v>1</v>
      </c>
      <c r="X3268" s="22"/>
    </row>
    <row r="3269" spans="1:24" s="1" customFormat="1" ht="17.100000000000001" customHeight="1" x14ac:dyDescent="0.3">
      <c r="A3269" s="11" t="s">
        <v>3183</v>
      </c>
      <c r="B3269" s="11" t="s">
        <v>3663</v>
      </c>
      <c r="C3269" s="12" t="s">
        <v>3668</v>
      </c>
      <c r="D3269" s="83"/>
      <c r="E3269" s="69" t="str">
        <f t="shared" ref="E3269:E3274" si="137">HYPERLINK("https://www.google.ru/search?q=D565GC00046C9999&amp;newwindow=1&amp;tbm=isch","Еще фото")</f>
        <v>Еще фото</v>
      </c>
      <c r="F3269" s="13"/>
      <c r="G3269" s="11" t="s">
        <v>3659</v>
      </c>
      <c r="H3269" s="11" t="s">
        <v>151</v>
      </c>
      <c r="I3269" s="14" t="s">
        <v>424</v>
      </c>
      <c r="J3269" s="14" t="s">
        <v>138</v>
      </c>
      <c r="K3269" s="15" t="s">
        <v>47</v>
      </c>
      <c r="L3269" s="86" t="s">
        <v>3665</v>
      </c>
      <c r="M3269" s="14"/>
      <c r="N3269" s="14" t="s">
        <v>3661</v>
      </c>
      <c r="O3269" s="14"/>
      <c r="P3269" s="15" t="s">
        <v>3667</v>
      </c>
      <c r="Q3269" s="16">
        <v>22790</v>
      </c>
      <c r="R3269" s="17">
        <v>71.930000000000007</v>
      </c>
      <c r="S3269" s="18">
        <v>7357.4354999999996</v>
      </c>
      <c r="T3269" s="19" t="s">
        <v>328</v>
      </c>
      <c r="U3269" s="20" t="s">
        <v>1503</v>
      </c>
      <c r="V3269" s="21">
        <v>36</v>
      </c>
      <c r="W3269" s="21">
        <v>9</v>
      </c>
      <c r="X3269" s="22"/>
    </row>
    <row r="3270" spans="1:24" s="1" customFormat="1" ht="17.100000000000001" customHeight="1" x14ac:dyDescent="0.3">
      <c r="A3270" s="23" t="s">
        <v>3183</v>
      </c>
      <c r="B3270" s="23" t="s">
        <v>3663</v>
      </c>
      <c r="C3270" s="12" t="s">
        <v>3668</v>
      </c>
      <c r="D3270" s="84"/>
      <c r="E3270" s="69" t="str">
        <f t="shared" si="137"/>
        <v>Еще фото</v>
      </c>
      <c r="F3270" s="13"/>
      <c r="G3270" s="23" t="s">
        <v>3659</v>
      </c>
      <c r="H3270" s="23" t="s">
        <v>151</v>
      </c>
      <c r="I3270" s="23" t="s">
        <v>424</v>
      </c>
      <c r="J3270" s="14" t="s">
        <v>138</v>
      </c>
      <c r="K3270" s="15" t="s">
        <v>47</v>
      </c>
      <c r="L3270" s="87"/>
      <c r="M3270" s="14"/>
      <c r="N3270" s="14" t="s">
        <v>3661</v>
      </c>
      <c r="O3270" s="14"/>
      <c r="P3270" s="15" t="s">
        <v>3667</v>
      </c>
      <c r="Q3270" s="16">
        <v>22790</v>
      </c>
      <c r="R3270" s="17">
        <v>71.930000000000007</v>
      </c>
      <c r="S3270" s="18">
        <v>7357.4354999999996</v>
      </c>
      <c r="T3270" s="19" t="s">
        <v>328</v>
      </c>
      <c r="U3270" s="20" t="s">
        <v>409</v>
      </c>
      <c r="V3270" s="21">
        <v>37</v>
      </c>
      <c r="W3270" s="21">
        <v>11</v>
      </c>
      <c r="X3270" s="22"/>
    </row>
    <row r="3271" spans="1:24" s="1" customFormat="1" ht="17.100000000000001" customHeight="1" x14ac:dyDescent="0.3">
      <c r="A3271" s="23" t="s">
        <v>3183</v>
      </c>
      <c r="B3271" s="23" t="s">
        <v>3663</v>
      </c>
      <c r="C3271" s="12" t="s">
        <v>3668</v>
      </c>
      <c r="D3271" s="84"/>
      <c r="E3271" s="69" t="str">
        <f t="shared" si="137"/>
        <v>Еще фото</v>
      </c>
      <c r="F3271" s="13"/>
      <c r="G3271" s="23" t="s">
        <v>3659</v>
      </c>
      <c r="H3271" s="23" t="s">
        <v>151</v>
      </c>
      <c r="I3271" s="23" t="s">
        <v>424</v>
      </c>
      <c r="J3271" s="14" t="s">
        <v>138</v>
      </c>
      <c r="K3271" s="15" t="s">
        <v>47</v>
      </c>
      <c r="L3271" s="87"/>
      <c r="M3271" s="14"/>
      <c r="N3271" s="14" t="s">
        <v>3661</v>
      </c>
      <c r="O3271" s="14"/>
      <c r="P3271" s="15" t="s">
        <v>3667</v>
      </c>
      <c r="Q3271" s="16">
        <v>22790</v>
      </c>
      <c r="R3271" s="17">
        <v>71.930000000000007</v>
      </c>
      <c r="S3271" s="18">
        <v>7357.4354999999996</v>
      </c>
      <c r="T3271" s="19" t="s">
        <v>328</v>
      </c>
      <c r="U3271" s="20" t="s">
        <v>426</v>
      </c>
      <c r="V3271" s="21">
        <v>38</v>
      </c>
      <c r="W3271" s="21">
        <v>11</v>
      </c>
      <c r="X3271" s="22"/>
    </row>
    <row r="3272" spans="1:24" s="1" customFormat="1" ht="17.100000000000001" customHeight="1" x14ac:dyDescent="0.3">
      <c r="A3272" s="23" t="s">
        <v>3183</v>
      </c>
      <c r="B3272" s="23" t="s">
        <v>3663</v>
      </c>
      <c r="C3272" s="12" t="s">
        <v>3668</v>
      </c>
      <c r="D3272" s="84"/>
      <c r="E3272" s="69" t="str">
        <f t="shared" si="137"/>
        <v>Еще фото</v>
      </c>
      <c r="F3272" s="13"/>
      <c r="G3272" s="23" t="s">
        <v>3659</v>
      </c>
      <c r="H3272" s="23" t="s">
        <v>151</v>
      </c>
      <c r="I3272" s="23" t="s">
        <v>424</v>
      </c>
      <c r="J3272" s="14" t="s">
        <v>138</v>
      </c>
      <c r="K3272" s="15" t="s">
        <v>47</v>
      </c>
      <c r="L3272" s="87"/>
      <c r="M3272" s="14"/>
      <c r="N3272" s="14" t="s">
        <v>3661</v>
      </c>
      <c r="O3272" s="14"/>
      <c r="P3272" s="15" t="s">
        <v>3667</v>
      </c>
      <c r="Q3272" s="16">
        <v>22790</v>
      </c>
      <c r="R3272" s="17">
        <v>71.930000000000007</v>
      </c>
      <c r="S3272" s="18">
        <v>7357.4354999999996</v>
      </c>
      <c r="T3272" s="19" t="s">
        <v>328</v>
      </c>
      <c r="U3272" s="20" t="s">
        <v>413</v>
      </c>
      <c r="V3272" s="21">
        <v>39</v>
      </c>
      <c r="W3272" s="21">
        <v>13</v>
      </c>
      <c r="X3272" s="22"/>
    </row>
    <row r="3273" spans="1:24" s="1" customFormat="1" ht="17.100000000000001" customHeight="1" x14ac:dyDescent="0.3">
      <c r="A3273" s="23" t="s">
        <v>3183</v>
      </c>
      <c r="B3273" s="23" t="s">
        <v>3663</v>
      </c>
      <c r="C3273" s="12" t="s">
        <v>3668</v>
      </c>
      <c r="D3273" s="84"/>
      <c r="E3273" s="69" t="str">
        <f t="shared" si="137"/>
        <v>Еще фото</v>
      </c>
      <c r="F3273" s="13"/>
      <c r="G3273" s="23" t="s">
        <v>3659</v>
      </c>
      <c r="H3273" s="23" t="s">
        <v>151</v>
      </c>
      <c r="I3273" s="23" t="s">
        <v>424</v>
      </c>
      <c r="J3273" s="14" t="s">
        <v>138</v>
      </c>
      <c r="K3273" s="15" t="s">
        <v>47</v>
      </c>
      <c r="L3273" s="87"/>
      <c r="M3273" s="14"/>
      <c r="N3273" s="14" t="s">
        <v>3661</v>
      </c>
      <c r="O3273" s="14"/>
      <c r="P3273" s="15" t="s">
        <v>3667</v>
      </c>
      <c r="Q3273" s="16">
        <v>22790</v>
      </c>
      <c r="R3273" s="17">
        <v>71.930000000000007</v>
      </c>
      <c r="S3273" s="18">
        <v>7357.4354999999996</v>
      </c>
      <c r="T3273" s="19" t="s">
        <v>328</v>
      </c>
      <c r="U3273" s="20" t="s">
        <v>399</v>
      </c>
      <c r="V3273" s="21">
        <v>40</v>
      </c>
      <c r="W3273" s="21">
        <v>1</v>
      </c>
      <c r="X3273" s="22"/>
    </row>
    <row r="3274" spans="1:24" s="1" customFormat="1" ht="21.95" customHeight="1" x14ac:dyDescent="0.3">
      <c r="A3274" s="23" t="s">
        <v>3183</v>
      </c>
      <c r="B3274" s="23" t="s">
        <v>3663</v>
      </c>
      <c r="C3274" s="12" t="s">
        <v>3668</v>
      </c>
      <c r="D3274" s="85"/>
      <c r="E3274" s="69" t="str">
        <f t="shared" si="137"/>
        <v>Еще фото</v>
      </c>
      <c r="F3274" s="13"/>
      <c r="G3274" s="23" t="s">
        <v>3659</v>
      </c>
      <c r="H3274" s="23" t="s">
        <v>151</v>
      </c>
      <c r="I3274" s="23" t="s">
        <v>424</v>
      </c>
      <c r="J3274" s="14" t="s">
        <v>138</v>
      </c>
      <c r="K3274" s="15" t="s">
        <v>47</v>
      </c>
      <c r="L3274" s="88"/>
      <c r="M3274" s="14"/>
      <c r="N3274" s="14" t="s">
        <v>3661</v>
      </c>
      <c r="O3274" s="14"/>
      <c r="P3274" s="15" t="s">
        <v>3667</v>
      </c>
      <c r="Q3274" s="16">
        <v>22790</v>
      </c>
      <c r="R3274" s="17">
        <v>71.930000000000007</v>
      </c>
      <c r="S3274" s="18">
        <v>7357.4354999999996</v>
      </c>
      <c r="T3274" s="19" t="s">
        <v>328</v>
      </c>
      <c r="U3274" s="20" t="s">
        <v>400</v>
      </c>
      <c r="V3274" s="21">
        <v>41</v>
      </c>
      <c r="W3274" s="21">
        <v>3</v>
      </c>
      <c r="X3274" s="22"/>
    </row>
    <row r="3275" spans="1:24" s="1" customFormat="1" ht="21" customHeight="1" x14ac:dyDescent="0.3">
      <c r="A3275" s="11" t="s">
        <v>3183</v>
      </c>
      <c r="B3275" s="11" t="s">
        <v>3663</v>
      </c>
      <c r="C3275" s="27" t="s">
        <v>3669</v>
      </c>
      <c r="D3275" s="83"/>
      <c r="E3275" s="69" t="str">
        <f>HYPERLINK("https://www.google.ru/search?q=D565GE00043C9999&amp;newwindow=1&amp;tbm=isch","Еще фото")</f>
        <v>Еще фото</v>
      </c>
      <c r="F3275" s="13"/>
      <c r="G3275" s="11" t="s">
        <v>3659</v>
      </c>
      <c r="H3275" s="11" t="s">
        <v>151</v>
      </c>
      <c r="I3275" s="14" t="s">
        <v>424</v>
      </c>
      <c r="J3275" s="14" t="s">
        <v>138</v>
      </c>
      <c r="K3275" s="15" t="s">
        <v>47</v>
      </c>
      <c r="L3275" s="86" t="s">
        <v>3670</v>
      </c>
      <c r="M3275" s="14"/>
      <c r="N3275" s="14" t="s">
        <v>3661</v>
      </c>
      <c r="O3275" s="14"/>
      <c r="P3275" s="15" t="s">
        <v>3671</v>
      </c>
      <c r="Q3275" s="16">
        <v>23990</v>
      </c>
      <c r="R3275" s="17">
        <v>71.91</v>
      </c>
      <c r="S3275" s="18">
        <v>7748.4354999999996</v>
      </c>
      <c r="T3275" s="19" t="s">
        <v>328</v>
      </c>
      <c r="U3275" s="20" t="s">
        <v>1503</v>
      </c>
      <c r="V3275" s="21">
        <v>36</v>
      </c>
      <c r="W3275" s="21">
        <v>6</v>
      </c>
      <c r="X3275" s="22"/>
    </row>
    <row r="3276" spans="1:24" s="1" customFormat="1" ht="21" customHeight="1" x14ac:dyDescent="0.3">
      <c r="A3276" s="23" t="s">
        <v>3183</v>
      </c>
      <c r="B3276" s="23" t="s">
        <v>3663</v>
      </c>
      <c r="C3276" s="28" t="s">
        <v>3669</v>
      </c>
      <c r="D3276" s="84"/>
      <c r="E3276" s="69" t="str">
        <f>HYPERLINK("https://www.google.ru/search?q=D565GE00043C9999&amp;newwindow=1&amp;tbm=isch","Еще фото")</f>
        <v>Еще фото</v>
      </c>
      <c r="F3276" s="13"/>
      <c r="G3276" s="23" t="s">
        <v>3659</v>
      </c>
      <c r="H3276" s="23" t="s">
        <v>151</v>
      </c>
      <c r="I3276" s="23" t="s">
        <v>424</v>
      </c>
      <c r="J3276" s="14" t="s">
        <v>138</v>
      </c>
      <c r="K3276" s="15" t="s">
        <v>47</v>
      </c>
      <c r="L3276" s="87"/>
      <c r="M3276" s="14"/>
      <c r="N3276" s="14" t="s">
        <v>3661</v>
      </c>
      <c r="O3276" s="14"/>
      <c r="P3276" s="15" t="s">
        <v>3671</v>
      </c>
      <c r="Q3276" s="16">
        <v>23990</v>
      </c>
      <c r="R3276" s="17">
        <v>71.91</v>
      </c>
      <c r="S3276" s="18">
        <v>7748.4354999999996</v>
      </c>
      <c r="T3276" s="19" t="s">
        <v>328</v>
      </c>
      <c r="U3276" s="20" t="s">
        <v>409</v>
      </c>
      <c r="V3276" s="21">
        <v>37</v>
      </c>
      <c r="W3276" s="21">
        <v>11</v>
      </c>
      <c r="X3276" s="22"/>
    </row>
    <row r="3277" spans="1:24" s="1" customFormat="1" ht="21" customHeight="1" x14ac:dyDescent="0.3">
      <c r="A3277" s="23" t="s">
        <v>3183</v>
      </c>
      <c r="B3277" s="23" t="s">
        <v>3663</v>
      </c>
      <c r="C3277" s="28" t="s">
        <v>3669</v>
      </c>
      <c r="D3277" s="84"/>
      <c r="E3277" s="69" t="str">
        <f>HYPERLINK("https://www.google.ru/search?q=D565GE00043C9999&amp;newwindow=1&amp;tbm=isch","Еще фото")</f>
        <v>Еще фото</v>
      </c>
      <c r="F3277" s="13"/>
      <c r="G3277" s="23" t="s">
        <v>3659</v>
      </c>
      <c r="H3277" s="23" t="s">
        <v>151</v>
      </c>
      <c r="I3277" s="23" t="s">
        <v>424</v>
      </c>
      <c r="J3277" s="14" t="s">
        <v>138</v>
      </c>
      <c r="K3277" s="15" t="s">
        <v>47</v>
      </c>
      <c r="L3277" s="87"/>
      <c r="M3277" s="14"/>
      <c r="N3277" s="14" t="s">
        <v>3661</v>
      </c>
      <c r="O3277" s="14"/>
      <c r="P3277" s="15" t="s">
        <v>3671</v>
      </c>
      <c r="Q3277" s="16">
        <v>23990</v>
      </c>
      <c r="R3277" s="17">
        <v>71.91</v>
      </c>
      <c r="S3277" s="18">
        <v>7748.4354999999996</v>
      </c>
      <c r="T3277" s="19" t="s">
        <v>328</v>
      </c>
      <c r="U3277" s="20" t="s">
        <v>426</v>
      </c>
      <c r="V3277" s="21">
        <v>38</v>
      </c>
      <c r="W3277" s="21">
        <v>2</v>
      </c>
      <c r="X3277" s="22"/>
    </row>
    <row r="3278" spans="1:24" s="1" customFormat="1" ht="21" customHeight="1" x14ac:dyDescent="0.3">
      <c r="A3278" s="23" t="s">
        <v>3183</v>
      </c>
      <c r="B3278" s="23" t="s">
        <v>3663</v>
      </c>
      <c r="C3278" s="28" t="s">
        <v>3669</v>
      </c>
      <c r="D3278" s="84"/>
      <c r="E3278" s="69" t="str">
        <f>HYPERLINK("https://www.google.ru/search?q=D565GE00043C9999&amp;newwindow=1&amp;tbm=isch","Еще фото")</f>
        <v>Еще фото</v>
      </c>
      <c r="F3278" s="13"/>
      <c r="G3278" s="23" t="s">
        <v>3659</v>
      </c>
      <c r="H3278" s="23" t="s">
        <v>151</v>
      </c>
      <c r="I3278" s="23" t="s">
        <v>424</v>
      </c>
      <c r="J3278" s="14" t="s">
        <v>138</v>
      </c>
      <c r="K3278" s="15" t="s">
        <v>47</v>
      </c>
      <c r="L3278" s="87"/>
      <c r="M3278" s="14"/>
      <c r="N3278" s="14" t="s">
        <v>3661</v>
      </c>
      <c r="O3278" s="14"/>
      <c r="P3278" s="15" t="s">
        <v>3671</v>
      </c>
      <c r="Q3278" s="16">
        <v>23990</v>
      </c>
      <c r="R3278" s="17">
        <v>71.91</v>
      </c>
      <c r="S3278" s="18">
        <v>7748.4354999999996</v>
      </c>
      <c r="T3278" s="19" t="s">
        <v>328</v>
      </c>
      <c r="U3278" s="20" t="s">
        <v>399</v>
      </c>
      <c r="V3278" s="21">
        <v>40</v>
      </c>
      <c r="W3278" s="21">
        <v>5</v>
      </c>
      <c r="X3278" s="22"/>
    </row>
    <row r="3279" spans="1:24" s="1" customFormat="1" ht="32.1" customHeight="1" x14ac:dyDescent="0.3">
      <c r="A3279" s="23" t="s">
        <v>3183</v>
      </c>
      <c r="B3279" s="23" t="s">
        <v>3663</v>
      </c>
      <c r="C3279" s="28" t="s">
        <v>3669</v>
      </c>
      <c r="D3279" s="85"/>
      <c r="E3279" s="69" t="str">
        <f>HYPERLINK("https://www.google.ru/search?q=D565GE00043C9999&amp;newwindow=1&amp;tbm=isch","Еще фото")</f>
        <v>Еще фото</v>
      </c>
      <c r="F3279" s="13"/>
      <c r="G3279" s="23" t="s">
        <v>3659</v>
      </c>
      <c r="H3279" s="23" t="s">
        <v>151</v>
      </c>
      <c r="I3279" s="23" t="s">
        <v>424</v>
      </c>
      <c r="J3279" s="14" t="s">
        <v>138</v>
      </c>
      <c r="K3279" s="15" t="s">
        <v>47</v>
      </c>
      <c r="L3279" s="88"/>
      <c r="M3279" s="14"/>
      <c r="N3279" s="14" t="s">
        <v>3661</v>
      </c>
      <c r="O3279" s="14"/>
      <c r="P3279" s="15" t="s">
        <v>3671</v>
      </c>
      <c r="Q3279" s="16">
        <v>23990</v>
      </c>
      <c r="R3279" s="17">
        <v>71.91</v>
      </c>
      <c r="S3279" s="18">
        <v>7748.4354999999996</v>
      </c>
      <c r="T3279" s="19" t="s">
        <v>328</v>
      </c>
      <c r="U3279" s="20" t="s">
        <v>400</v>
      </c>
      <c r="V3279" s="21">
        <v>41</v>
      </c>
      <c r="W3279" s="21">
        <v>1</v>
      </c>
      <c r="X3279" s="22"/>
    </row>
    <row r="3280" spans="1:24" s="1" customFormat="1" ht="11.1" customHeight="1" x14ac:dyDescent="0.3">
      <c r="A3280" s="11" t="s">
        <v>3183</v>
      </c>
      <c r="B3280" s="11" t="s">
        <v>3657</v>
      </c>
      <c r="C3280" s="12" t="s">
        <v>3672</v>
      </c>
      <c r="D3280" s="83"/>
      <c r="E3280" s="69" t="str">
        <f t="shared" ref="E3280:E3289" si="138">HYPERLINK("https://www.google.ru/search?q=J049QD000BCC9999&amp;newwindow=1&amp;tbm=isch","Еще фото")</f>
        <v>Еще фото</v>
      </c>
      <c r="F3280" s="13"/>
      <c r="G3280" s="11" t="s">
        <v>3659</v>
      </c>
      <c r="H3280" s="11" t="s">
        <v>151</v>
      </c>
      <c r="I3280" s="14" t="s">
        <v>424</v>
      </c>
      <c r="J3280" s="14" t="s">
        <v>138</v>
      </c>
      <c r="K3280" s="15" t="s">
        <v>30</v>
      </c>
      <c r="L3280" s="86" t="s">
        <v>3673</v>
      </c>
      <c r="M3280" s="14"/>
      <c r="N3280" s="14" t="s">
        <v>3661</v>
      </c>
      <c r="O3280" s="14"/>
      <c r="P3280" s="15" t="s">
        <v>3674</v>
      </c>
      <c r="Q3280" s="16">
        <v>10690</v>
      </c>
      <c r="R3280" s="17">
        <v>71.86</v>
      </c>
      <c r="S3280" s="18">
        <v>3458.9354999999996</v>
      </c>
      <c r="T3280" s="19" t="s">
        <v>328</v>
      </c>
      <c r="U3280" s="20" t="s">
        <v>3189</v>
      </c>
      <c r="V3280" s="21">
        <v>30</v>
      </c>
      <c r="W3280" s="21">
        <v>4</v>
      </c>
      <c r="X3280" s="22"/>
    </row>
    <row r="3281" spans="1:24" s="1" customFormat="1" ht="11.1" customHeight="1" x14ac:dyDescent="0.3">
      <c r="A3281" s="23" t="s">
        <v>3183</v>
      </c>
      <c r="B3281" s="23" t="s">
        <v>3657</v>
      </c>
      <c r="C3281" s="12" t="s">
        <v>3672</v>
      </c>
      <c r="D3281" s="84"/>
      <c r="E3281" s="69" t="str">
        <f t="shared" si="138"/>
        <v>Еще фото</v>
      </c>
      <c r="F3281" s="13"/>
      <c r="G3281" s="23" t="s">
        <v>3659</v>
      </c>
      <c r="H3281" s="23" t="s">
        <v>151</v>
      </c>
      <c r="I3281" s="23" t="s">
        <v>424</v>
      </c>
      <c r="J3281" s="14" t="s">
        <v>138</v>
      </c>
      <c r="K3281" s="15" t="s">
        <v>30</v>
      </c>
      <c r="L3281" s="87"/>
      <c r="M3281" s="14"/>
      <c r="N3281" s="14" t="s">
        <v>3661</v>
      </c>
      <c r="O3281" s="14"/>
      <c r="P3281" s="15" t="s">
        <v>3674</v>
      </c>
      <c r="Q3281" s="16">
        <v>10690</v>
      </c>
      <c r="R3281" s="17">
        <v>71.86</v>
      </c>
      <c r="S3281" s="18">
        <v>3458.9354999999996</v>
      </c>
      <c r="T3281" s="19" t="s">
        <v>328</v>
      </c>
      <c r="U3281" s="20" t="s">
        <v>3190</v>
      </c>
      <c r="V3281" s="21">
        <v>31</v>
      </c>
      <c r="W3281" s="21">
        <v>3</v>
      </c>
      <c r="X3281" s="22"/>
    </row>
    <row r="3282" spans="1:24" s="1" customFormat="1" ht="11.1" customHeight="1" x14ac:dyDescent="0.3">
      <c r="A3282" s="23" t="s">
        <v>3183</v>
      </c>
      <c r="B3282" s="23" t="s">
        <v>3657</v>
      </c>
      <c r="C3282" s="12" t="s">
        <v>3672</v>
      </c>
      <c r="D3282" s="84"/>
      <c r="E3282" s="69" t="str">
        <f t="shared" si="138"/>
        <v>Еще фото</v>
      </c>
      <c r="F3282" s="13"/>
      <c r="G3282" s="23" t="s">
        <v>3659</v>
      </c>
      <c r="H3282" s="23" t="s">
        <v>151</v>
      </c>
      <c r="I3282" s="23" t="s">
        <v>424</v>
      </c>
      <c r="J3282" s="14" t="s">
        <v>138</v>
      </c>
      <c r="K3282" s="15" t="s">
        <v>30</v>
      </c>
      <c r="L3282" s="87"/>
      <c r="M3282" s="14"/>
      <c r="N3282" s="14" t="s">
        <v>3661</v>
      </c>
      <c r="O3282" s="14"/>
      <c r="P3282" s="15" t="s">
        <v>3674</v>
      </c>
      <c r="Q3282" s="16">
        <v>10690</v>
      </c>
      <c r="R3282" s="17">
        <v>71.86</v>
      </c>
      <c r="S3282" s="18">
        <v>3458.9354999999996</v>
      </c>
      <c r="T3282" s="19" t="s">
        <v>328</v>
      </c>
      <c r="U3282" s="20" t="s">
        <v>552</v>
      </c>
      <c r="V3282" s="21">
        <v>32</v>
      </c>
      <c r="W3282" s="21">
        <v>7</v>
      </c>
      <c r="X3282" s="22"/>
    </row>
    <row r="3283" spans="1:24" s="1" customFormat="1" ht="11.1" customHeight="1" x14ac:dyDescent="0.3">
      <c r="A3283" s="23" t="s">
        <v>3183</v>
      </c>
      <c r="B3283" s="23" t="s">
        <v>3657</v>
      </c>
      <c r="C3283" s="12" t="s">
        <v>3672</v>
      </c>
      <c r="D3283" s="84"/>
      <c r="E3283" s="69" t="str">
        <f t="shared" si="138"/>
        <v>Еще фото</v>
      </c>
      <c r="F3283" s="13"/>
      <c r="G3283" s="23" t="s">
        <v>3659</v>
      </c>
      <c r="H3283" s="23" t="s">
        <v>151</v>
      </c>
      <c r="I3283" s="23" t="s">
        <v>424</v>
      </c>
      <c r="J3283" s="14" t="s">
        <v>138</v>
      </c>
      <c r="K3283" s="15" t="s">
        <v>30</v>
      </c>
      <c r="L3283" s="87"/>
      <c r="M3283" s="14"/>
      <c r="N3283" s="14" t="s">
        <v>3661</v>
      </c>
      <c r="O3283" s="14"/>
      <c r="P3283" s="15" t="s">
        <v>3674</v>
      </c>
      <c r="Q3283" s="16">
        <v>10690</v>
      </c>
      <c r="R3283" s="17">
        <v>71.86</v>
      </c>
      <c r="S3283" s="18">
        <v>3458.9354999999996</v>
      </c>
      <c r="T3283" s="19" t="s">
        <v>328</v>
      </c>
      <c r="U3283" s="20" t="s">
        <v>553</v>
      </c>
      <c r="V3283" s="21">
        <v>33</v>
      </c>
      <c r="W3283" s="21">
        <v>13</v>
      </c>
      <c r="X3283" s="22"/>
    </row>
    <row r="3284" spans="1:24" s="1" customFormat="1" ht="11.1" customHeight="1" x14ac:dyDescent="0.3">
      <c r="A3284" s="23" t="s">
        <v>3183</v>
      </c>
      <c r="B3284" s="23" t="s">
        <v>3657</v>
      </c>
      <c r="C3284" s="12" t="s">
        <v>3672</v>
      </c>
      <c r="D3284" s="84"/>
      <c r="E3284" s="69" t="str">
        <f t="shared" si="138"/>
        <v>Еще фото</v>
      </c>
      <c r="F3284" s="13"/>
      <c r="G3284" s="23" t="s">
        <v>3659</v>
      </c>
      <c r="H3284" s="23" t="s">
        <v>151</v>
      </c>
      <c r="I3284" s="23" t="s">
        <v>424</v>
      </c>
      <c r="J3284" s="14" t="s">
        <v>138</v>
      </c>
      <c r="K3284" s="15" t="s">
        <v>30</v>
      </c>
      <c r="L3284" s="87"/>
      <c r="M3284" s="14"/>
      <c r="N3284" s="14" t="s">
        <v>3661</v>
      </c>
      <c r="O3284" s="14"/>
      <c r="P3284" s="15" t="s">
        <v>3674</v>
      </c>
      <c r="Q3284" s="16">
        <v>10690</v>
      </c>
      <c r="R3284" s="17">
        <v>71.86</v>
      </c>
      <c r="S3284" s="18">
        <v>3458.9354999999996</v>
      </c>
      <c r="T3284" s="19" t="s">
        <v>328</v>
      </c>
      <c r="U3284" s="20" t="s">
        <v>554</v>
      </c>
      <c r="V3284" s="21">
        <v>34</v>
      </c>
      <c r="W3284" s="21">
        <v>12</v>
      </c>
      <c r="X3284" s="22"/>
    </row>
    <row r="3285" spans="1:24" s="1" customFormat="1" ht="11.1" customHeight="1" x14ac:dyDescent="0.3">
      <c r="A3285" s="23" t="s">
        <v>3183</v>
      </c>
      <c r="B3285" s="23" t="s">
        <v>3657</v>
      </c>
      <c r="C3285" s="12" t="s">
        <v>3672</v>
      </c>
      <c r="D3285" s="84"/>
      <c r="E3285" s="69" t="str">
        <f t="shared" si="138"/>
        <v>Еще фото</v>
      </c>
      <c r="F3285" s="13"/>
      <c r="G3285" s="23" t="s">
        <v>3659</v>
      </c>
      <c r="H3285" s="23" t="s">
        <v>151</v>
      </c>
      <c r="I3285" s="23" t="s">
        <v>424</v>
      </c>
      <c r="J3285" s="14" t="s">
        <v>138</v>
      </c>
      <c r="K3285" s="15" t="s">
        <v>30</v>
      </c>
      <c r="L3285" s="87"/>
      <c r="M3285" s="14"/>
      <c r="N3285" s="14" t="s">
        <v>3661</v>
      </c>
      <c r="O3285" s="14"/>
      <c r="P3285" s="15" t="s">
        <v>3674</v>
      </c>
      <c r="Q3285" s="16">
        <v>10690</v>
      </c>
      <c r="R3285" s="17">
        <v>71.86</v>
      </c>
      <c r="S3285" s="18">
        <v>3458.9354999999996</v>
      </c>
      <c r="T3285" s="19" t="s">
        <v>328</v>
      </c>
      <c r="U3285" s="20" t="s">
        <v>431</v>
      </c>
      <c r="V3285" s="21">
        <v>35</v>
      </c>
      <c r="W3285" s="21">
        <v>13</v>
      </c>
      <c r="X3285" s="22"/>
    </row>
    <row r="3286" spans="1:24" s="1" customFormat="1" ht="11.1" customHeight="1" x14ac:dyDescent="0.3">
      <c r="A3286" s="23" t="s">
        <v>3183</v>
      </c>
      <c r="B3286" s="23" t="s">
        <v>3657</v>
      </c>
      <c r="C3286" s="12" t="s">
        <v>3672</v>
      </c>
      <c r="D3286" s="84"/>
      <c r="E3286" s="69" t="str">
        <f t="shared" si="138"/>
        <v>Еще фото</v>
      </c>
      <c r="F3286" s="13"/>
      <c r="G3286" s="23" t="s">
        <v>3659</v>
      </c>
      <c r="H3286" s="23" t="s">
        <v>151</v>
      </c>
      <c r="I3286" s="23" t="s">
        <v>424</v>
      </c>
      <c r="J3286" s="14" t="s">
        <v>138</v>
      </c>
      <c r="K3286" s="15" t="s">
        <v>30</v>
      </c>
      <c r="L3286" s="87"/>
      <c r="M3286" s="14"/>
      <c r="N3286" s="14" t="s">
        <v>3661</v>
      </c>
      <c r="O3286" s="14"/>
      <c r="P3286" s="15" t="s">
        <v>3674</v>
      </c>
      <c r="Q3286" s="16">
        <v>10690</v>
      </c>
      <c r="R3286" s="17">
        <v>71.86</v>
      </c>
      <c r="S3286" s="18">
        <v>3458.9354999999996</v>
      </c>
      <c r="T3286" s="19" t="s">
        <v>328</v>
      </c>
      <c r="U3286" s="20" t="s">
        <v>1503</v>
      </c>
      <c r="V3286" s="21">
        <v>36</v>
      </c>
      <c r="W3286" s="21">
        <v>14</v>
      </c>
      <c r="X3286" s="22"/>
    </row>
    <row r="3287" spans="1:24" s="1" customFormat="1" ht="11.1" customHeight="1" x14ac:dyDescent="0.3">
      <c r="A3287" s="23" t="s">
        <v>3183</v>
      </c>
      <c r="B3287" s="23" t="s">
        <v>3657</v>
      </c>
      <c r="C3287" s="12" t="s">
        <v>3672</v>
      </c>
      <c r="D3287" s="84"/>
      <c r="E3287" s="69" t="str">
        <f t="shared" si="138"/>
        <v>Еще фото</v>
      </c>
      <c r="F3287" s="13"/>
      <c r="G3287" s="23" t="s">
        <v>3659</v>
      </c>
      <c r="H3287" s="23" t="s">
        <v>151</v>
      </c>
      <c r="I3287" s="23" t="s">
        <v>424</v>
      </c>
      <c r="J3287" s="14" t="s">
        <v>138</v>
      </c>
      <c r="K3287" s="15" t="s">
        <v>30</v>
      </c>
      <c r="L3287" s="87"/>
      <c r="M3287" s="14"/>
      <c r="N3287" s="14" t="s">
        <v>3661</v>
      </c>
      <c r="O3287" s="14"/>
      <c r="P3287" s="15" t="s">
        <v>3674</v>
      </c>
      <c r="Q3287" s="16">
        <v>10690</v>
      </c>
      <c r="R3287" s="17">
        <v>71.86</v>
      </c>
      <c r="S3287" s="18">
        <v>3458.9354999999996</v>
      </c>
      <c r="T3287" s="19" t="s">
        <v>328</v>
      </c>
      <c r="U3287" s="20" t="s">
        <v>409</v>
      </c>
      <c r="V3287" s="21">
        <v>37</v>
      </c>
      <c r="W3287" s="21">
        <v>11</v>
      </c>
      <c r="X3287" s="22"/>
    </row>
    <row r="3288" spans="1:24" s="1" customFormat="1" ht="11.1" customHeight="1" x14ac:dyDescent="0.3">
      <c r="A3288" s="23" t="s">
        <v>3183</v>
      </c>
      <c r="B3288" s="23" t="s">
        <v>3657</v>
      </c>
      <c r="C3288" s="12" t="s">
        <v>3672</v>
      </c>
      <c r="D3288" s="84"/>
      <c r="E3288" s="69" t="str">
        <f t="shared" si="138"/>
        <v>Еще фото</v>
      </c>
      <c r="F3288" s="13"/>
      <c r="G3288" s="23" t="s">
        <v>3659</v>
      </c>
      <c r="H3288" s="23" t="s">
        <v>151</v>
      </c>
      <c r="I3288" s="23" t="s">
        <v>424</v>
      </c>
      <c r="J3288" s="14" t="s">
        <v>138</v>
      </c>
      <c r="K3288" s="15" t="s">
        <v>30</v>
      </c>
      <c r="L3288" s="87"/>
      <c r="M3288" s="14"/>
      <c r="N3288" s="14" t="s">
        <v>3661</v>
      </c>
      <c r="O3288" s="14"/>
      <c r="P3288" s="15" t="s">
        <v>3674</v>
      </c>
      <c r="Q3288" s="16">
        <v>10690</v>
      </c>
      <c r="R3288" s="17">
        <v>71.86</v>
      </c>
      <c r="S3288" s="18">
        <v>3458.9354999999996</v>
      </c>
      <c r="T3288" s="19" t="s">
        <v>328</v>
      </c>
      <c r="U3288" s="20" t="s">
        <v>426</v>
      </c>
      <c r="V3288" s="21">
        <v>38</v>
      </c>
      <c r="W3288" s="21">
        <v>3</v>
      </c>
      <c r="X3288" s="22"/>
    </row>
    <row r="3289" spans="1:24" s="1" customFormat="1" ht="11.1" customHeight="1" x14ac:dyDescent="0.3">
      <c r="A3289" s="14" t="s">
        <v>3183</v>
      </c>
      <c r="B3289" s="14" t="s">
        <v>3657</v>
      </c>
      <c r="C3289" s="12" t="s">
        <v>3672</v>
      </c>
      <c r="D3289" s="85"/>
      <c r="E3289" s="69" t="str">
        <f t="shared" si="138"/>
        <v>Еще фото</v>
      </c>
      <c r="F3289" s="36"/>
      <c r="G3289" s="14" t="s">
        <v>3659</v>
      </c>
      <c r="H3289" s="14" t="s">
        <v>151</v>
      </c>
      <c r="I3289" s="14" t="s">
        <v>424</v>
      </c>
      <c r="J3289" s="14" t="s">
        <v>138</v>
      </c>
      <c r="K3289" s="14" t="s">
        <v>30</v>
      </c>
      <c r="L3289" s="88"/>
      <c r="M3289" s="14"/>
      <c r="N3289" s="14" t="s">
        <v>3661</v>
      </c>
      <c r="O3289" s="14"/>
      <c r="P3289" s="14" t="s">
        <v>3674</v>
      </c>
      <c r="Q3289" s="33">
        <v>10690</v>
      </c>
      <c r="R3289" s="34">
        <v>71.86</v>
      </c>
      <c r="S3289" s="35">
        <v>3458.9354999999996</v>
      </c>
      <c r="T3289" s="19" t="s">
        <v>328</v>
      </c>
      <c r="U3289" s="20" t="s">
        <v>413</v>
      </c>
      <c r="V3289" s="21">
        <v>39</v>
      </c>
      <c r="W3289" s="21">
        <v>2</v>
      </c>
      <c r="X3289" s="22"/>
    </row>
    <row r="3290" spans="1:24" s="1" customFormat="1" ht="12.95" customHeight="1" x14ac:dyDescent="0.3">
      <c r="A3290" s="11" t="s">
        <v>3183</v>
      </c>
      <c r="B3290" s="11" t="s">
        <v>3657</v>
      </c>
      <c r="C3290" s="12" t="s">
        <v>3675</v>
      </c>
      <c r="D3290" s="83"/>
      <c r="E3290" s="69" t="str">
        <f t="shared" ref="E3290:E3297" si="139">HYPERLINK("https://www.google.ru/search?q=J049QO000CNC1006&amp;newwindow=1&amp;tbm=isch","Еще фото")</f>
        <v>Еще фото</v>
      </c>
      <c r="F3290" s="13"/>
      <c r="G3290" s="11" t="s">
        <v>3659</v>
      </c>
      <c r="H3290" s="11" t="s">
        <v>151</v>
      </c>
      <c r="I3290" s="14" t="s">
        <v>424</v>
      </c>
      <c r="J3290" s="14" t="s">
        <v>138</v>
      </c>
      <c r="K3290" s="15" t="s">
        <v>30</v>
      </c>
      <c r="L3290" s="86" t="s">
        <v>3673</v>
      </c>
      <c r="M3290" s="14"/>
      <c r="N3290" s="14" t="s">
        <v>41</v>
      </c>
      <c r="O3290" s="14"/>
      <c r="P3290" s="15" t="s">
        <v>3676</v>
      </c>
      <c r="Q3290" s="16">
        <v>10690</v>
      </c>
      <c r="R3290" s="17">
        <v>71.86</v>
      </c>
      <c r="S3290" s="18">
        <v>3458.9354999999996</v>
      </c>
      <c r="T3290" s="19" t="s">
        <v>328</v>
      </c>
      <c r="U3290" s="26" t="s">
        <v>3189</v>
      </c>
      <c r="V3290" s="21">
        <v>30</v>
      </c>
      <c r="W3290" s="21">
        <v>4</v>
      </c>
      <c r="X3290" s="22"/>
    </row>
    <row r="3291" spans="1:24" s="1" customFormat="1" ht="12.95" customHeight="1" x14ac:dyDescent="0.3">
      <c r="A3291" s="23" t="s">
        <v>3183</v>
      </c>
      <c r="B3291" s="23" t="s">
        <v>3657</v>
      </c>
      <c r="C3291" s="12" t="s">
        <v>3675</v>
      </c>
      <c r="D3291" s="84"/>
      <c r="E3291" s="69" t="str">
        <f t="shared" si="139"/>
        <v>Еще фото</v>
      </c>
      <c r="F3291" s="13"/>
      <c r="G3291" s="23" t="s">
        <v>3659</v>
      </c>
      <c r="H3291" s="23" t="s">
        <v>151</v>
      </c>
      <c r="I3291" s="23" t="s">
        <v>424</v>
      </c>
      <c r="J3291" s="14" t="s">
        <v>138</v>
      </c>
      <c r="K3291" s="15" t="s">
        <v>30</v>
      </c>
      <c r="L3291" s="87"/>
      <c r="M3291" s="14"/>
      <c r="N3291" s="14" t="s">
        <v>41</v>
      </c>
      <c r="O3291" s="14"/>
      <c r="P3291" s="15" t="s">
        <v>3676</v>
      </c>
      <c r="Q3291" s="16">
        <v>10690</v>
      </c>
      <c r="R3291" s="17">
        <v>71.86</v>
      </c>
      <c r="S3291" s="18">
        <v>3458.9354999999996</v>
      </c>
      <c r="T3291" s="19" t="s">
        <v>328</v>
      </c>
      <c r="U3291" s="20" t="s">
        <v>3190</v>
      </c>
      <c r="V3291" s="21">
        <v>31</v>
      </c>
      <c r="W3291" s="21">
        <v>5</v>
      </c>
      <c r="X3291" s="22"/>
    </row>
    <row r="3292" spans="1:24" s="1" customFormat="1" ht="12.95" customHeight="1" x14ac:dyDescent="0.3">
      <c r="A3292" s="23" t="s">
        <v>3183</v>
      </c>
      <c r="B3292" s="23" t="s">
        <v>3657</v>
      </c>
      <c r="C3292" s="12" t="s">
        <v>3675</v>
      </c>
      <c r="D3292" s="84"/>
      <c r="E3292" s="69" t="str">
        <f t="shared" si="139"/>
        <v>Еще фото</v>
      </c>
      <c r="F3292" s="13"/>
      <c r="G3292" s="23" t="s">
        <v>3659</v>
      </c>
      <c r="H3292" s="23" t="s">
        <v>151</v>
      </c>
      <c r="I3292" s="23" t="s">
        <v>424</v>
      </c>
      <c r="J3292" s="14" t="s">
        <v>138</v>
      </c>
      <c r="K3292" s="15" t="s">
        <v>30</v>
      </c>
      <c r="L3292" s="87"/>
      <c r="M3292" s="14"/>
      <c r="N3292" s="14" t="s">
        <v>41</v>
      </c>
      <c r="O3292" s="14"/>
      <c r="P3292" s="15" t="s">
        <v>3676</v>
      </c>
      <c r="Q3292" s="16">
        <v>10690</v>
      </c>
      <c r="R3292" s="17">
        <v>71.86</v>
      </c>
      <c r="S3292" s="18">
        <v>3458.9354999999996</v>
      </c>
      <c r="T3292" s="19" t="s">
        <v>328</v>
      </c>
      <c r="U3292" s="20" t="s">
        <v>552</v>
      </c>
      <c r="V3292" s="21">
        <v>32</v>
      </c>
      <c r="W3292" s="21">
        <v>8</v>
      </c>
      <c r="X3292" s="22"/>
    </row>
    <row r="3293" spans="1:24" s="1" customFormat="1" ht="12.95" customHeight="1" x14ac:dyDescent="0.3">
      <c r="A3293" s="23" t="s">
        <v>3183</v>
      </c>
      <c r="B3293" s="23" t="s">
        <v>3657</v>
      </c>
      <c r="C3293" s="12" t="s">
        <v>3675</v>
      </c>
      <c r="D3293" s="84"/>
      <c r="E3293" s="69" t="str">
        <f t="shared" si="139"/>
        <v>Еще фото</v>
      </c>
      <c r="F3293" s="13"/>
      <c r="G3293" s="23" t="s">
        <v>3659</v>
      </c>
      <c r="H3293" s="23" t="s">
        <v>151</v>
      </c>
      <c r="I3293" s="23" t="s">
        <v>424</v>
      </c>
      <c r="J3293" s="14" t="s">
        <v>138</v>
      </c>
      <c r="K3293" s="15" t="s">
        <v>30</v>
      </c>
      <c r="L3293" s="87"/>
      <c r="M3293" s="14"/>
      <c r="N3293" s="14" t="s">
        <v>41</v>
      </c>
      <c r="O3293" s="14"/>
      <c r="P3293" s="15" t="s">
        <v>3676</v>
      </c>
      <c r="Q3293" s="16">
        <v>10690</v>
      </c>
      <c r="R3293" s="17">
        <v>71.86</v>
      </c>
      <c r="S3293" s="18">
        <v>3458.9354999999996</v>
      </c>
      <c r="T3293" s="19" t="s">
        <v>328</v>
      </c>
      <c r="U3293" s="20" t="s">
        <v>553</v>
      </c>
      <c r="V3293" s="21">
        <v>33</v>
      </c>
      <c r="W3293" s="21">
        <v>10</v>
      </c>
      <c r="X3293" s="22"/>
    </row>
    <row r="3294" spans="1:24" s="1" customFormat="1" ht="12.95" customHeight="1" x14ac:dyDescent="0.3">
      <c r="A3294" s="23" t="s">
        <v>3183</v>
      </c>
      <c r="B3294" s="23" t="s">
        <v>3657</v>
      </c>
      <c r="C3294" s="12" t="s">
        <v>3675</v>
      </c>
      <c r="D3294" s="84"/>
      <c r="E3294" s="69" t="str">
        <f t="shared" si="139"/>
        <v>Еще фото</v>
      </c>
      <c r="F3294" s="13"/>
      <c r="G3294" s="23" t="s">
        <v>3659</v>
      </c>
      <c r="H3294" s="23" t="s">
        <v>151</v>
      </c>
      <c r="I3294" s="23" t="s">
        <v>424</v>
      </c>
      <c r="J3294" s="14" t="s">
        <v>138</v>
      </c>
      <c r="K3294" s="15" t="s">
        <v>30</v>
      </c>
      <c r="L3294" s="87"/>
      <c r="M3294" s="14"/>
      <c r="N3294" s="14" t="s">
        <v>41</v>
      </c>
      <c r="O3294" s="14"/>
      <c r="P3294" s="15" t="s">
        <v>3676</v>
      </c>
      <c r="Q3294" s="16">
        <v>10690</v>
      </c>
      <c r="R3294" s="17">
        <v>71.86</v>
      </c>
      <c r="S3294" s="18">
        <v>3458.9354999999996</v>
      </c>
      <c r="T3294" s="19" t="s">
        <v>328</v>
      </c>
      <c r="U3294" s="20" t="s">
        <v>554</v>
      </c>
      <c r="V3294" s="21">
        <v>34</v>
      </c>
      <c r="W3294" s="21">
        <v>14</v>
      </c>
      <c r="X3294" s="22"/>
    </row>
    <row r="3295" spans="1:24" s="1" customFormat="1" ht="12.95" customHeight="1" x14ac:dyDescent="0.3">
      <c r="A3295" s="23" t="s">
        <v>3183</v>
      </c>
      <c r="B3295" s="23" t="s">
        <v>3657</v>
      </c>
      <c r="C3295" s="12" t="s">
        <v>3675</v>
      </c>
      <c r="D3295" s="84"/>
      <c r="E3295" s="69" t="str">
        <f t="shared" si="139"/>
        <v>Еще фото</v>
      </c>
      <c r="F3295" s="13"/>
      <c r="G3295" s="23" t="s">
        <v>3659</v>
      </c>
      <c r="H3295" s="23" t="s">
        <v>151</v>
      </c>
      <c r="I3295" s="23" t="s">
        <v>424</v>
      </c>
      <c r="J3295" s="14" t="s">
        <v>138</v>
      </c>
      <c r="K3295" s="15" t="s">
        <v>30</v>
      </c>
      <c r="L3295" s="87"/>
      <c r="M3295" s="14"/>
      <c r="N3295" s="14" t="s">
        <v>41</v>
      </c>
      <c r="O3295" s="14"/>
      <c r="P3295" s="15" t="s">
        <v>3676</v>
      </c>
      <c r="Q3295" s="16">
        <v>10690</v>
      </c>
      <c r="R3295" s="17">
        <v>71.86</v>
      </c>
      <c r="S3295" s="18">
        <v>3458.9354999999996</v>
      </c>
      <c r="T3295" s="19" t="s">
        <v>328</v>
      </c>
      <c r="U3295" s="20" t="s">
        <v>431</v>
      </c>
      <c r="V3295" s="21">
        <v>35</v>
      </c>
      <c r="W3295" s="21">
        <v>9</v>
      </c>
      <c r="X3295" s="22"/>
    </row>
    <row r="3296" spans="1:24" s="1" customFormat="1" ht="12.95" customHeight="1" x14ac:dyDescent="0.3">
      <c r="A3296" s="23" t="s">
        <v>3183</v>
      </c>
      <c r="B3296" s="23" t="s">
        <v>3657</v>
      </c>
      <c r="C3296" s="12" t="s">
        <v>3675</v>
      </c>
      <c r="D3296" s="84"/>
      <c r="E3296" s="69" t="str">
        <f t="shared" si="139"/>
        <v>Еще фото</v>
      </c>
      <c r="F3296" s="13"/>
      <c r="G3296" s="23" t="s">
        <v>3659</v>
      </c>
      <c r="H3296" s="23" t="s">
        <v>151</v>
      </c>
      <c r="I3296" s="23" t="s">
        <v>424</v>
      </c>
      <c r="J3296" s="14" t="s">
        <v>138</v>
      </c>
      <c r="K3296" s="15" t="s">
        <v>30</v>
      </c>
      <c r="L3296" s="87"/>
      <c r="M3296" s="14"/>
      <c r="N3296" s="14" t="s">
        <v>41</v>
      </c>
      <c r="O3296" s="14"/>
      <c r="P3296" s="15" t="s">
        <v>3676</v>
      </c>
      <c r="Q3296" s="16">
        <v>10690</v>
      </c>
      <c r="R3296" s="17">
        <v>71.86</v>
      </c>
      <c r="S3296" s="18">
        <v>3458.9354999999996</v>
      </c>
      <c r="T3296" s="19" t="s">
        <v>328</v>
      </c>
      <c r="U3296" s="20" t="s">
        <v>1503</v>
      </c>
      <c r="V3296" s="21">
        <v>36</v>
      </c>
      <c r="W3296" s="21">
        <v>13</v>
      </c>
      <c r="X3296" s="22"/>
    </row>
    <row r="3297" spans="1:24" s="1" customFormat="1" ht="18" customHeight="1" x14ac:dyDescent="0.3">
      <c r="A3297" s="23" t="s">
        <v>3183</v>
      </c>
      <c r="B3297" s="23" t="s">
        <v>3657</v>
      </c>
      <c r="C3297" s="12" t="s">
        <v>3675</v>
      </c>
      <c r="D3297" s="85"/>
      <c r="E3297" s="69" t="str">
        <f t="shared" si="139"/>
        <v>Еще фото</v>
      </c>
      <c r="F3297" s="13"/>
      <c r="G3297" s="23" t="s">
        <v>3659</v>
      </c>
      <c r="H3297" s="23" t="s">
        <v>151</v>
      </c>
      <c r="I3297" s="23" t="s">
        <v>424</v>
      </c>
      <c r="J3297" s="14" t="s">
        <v>138</v>
      </c>
      <c r="K3297" s="15" t="s">
        <v>30</v>
      </c>
      <c r="L3297" s="88"/>
      <c r="M3297" s="14"/>
      <c r="N3297" s="14" t="s">
        <v>41</v>
      </c>
      <c r="O3297" s="14"/>
      <c r="P3297" s="15" t="s">
        <v>3676</v>
      </c>
      <c r="Q3297" s="16">
        <v>10690</v>
      </c>
      <c r="R3297" s="17">
        <v>71.86</v>
      </c>
      <c r="S3297" s="18">
        <v>3458.9354999999996</v>
      </c>
      <c r="T3297" s="19" t="s">
        <v>328</v>
      </c>
      <c r="U3297" s="20" t="s">
        <v>409</v>
      </c>
      <c r="V3297" s="21">
        <v>37</v>
      </c>
      <c r="W3297" s="21">
        <v>11</v>
      </c>
      <c r="X3297" s="22"/>
    </row>
    <row r="3298" spans="1:24" s="1" customFormat="1" ht="11.1" customHeight="1" x14ac:dyDescent="0.3">
      <c r="A3298" s="11" t="s">
        <v>3183</v>
      </c>
      <c r="B3298" s="11" t="s">
        <v>3657</v>
      </c>
      <c r="C3298" s="12" t="s">
        <v>3677</v>
      </c>
      <c r="D3298" s="83"/>
      <c r="E3298" s="69" t="str">
        <f t="shared" ref="E3298:E3306" si="140">HYPERLINK("https://www.google.ru/search?q=J049QB000CNC1006&amp;newwindow=1&amp;tbm=isch","Еще фото")</f>
        <v>Еще фото</v>
      </c>
      <c r="F3298" s="13"/>
      <c r="G3298" s="11" t="s">
        <v>3659</v>
      </c>
      <c r="H3298" s="11" t="s">
        <v>151</v>
      </c>
      <c r="I3298" s="14" t="s">
        <v>424</v>
      </c>
      <c r="J3298" s="14" t="s">
        <v>138</v>
      </c>
      <c r="K3298" s="15" t="s">
        <v>30</v>
      </c>
      <c r="L3298" s="86" t="s">
        <v>3678</v>
      </c>
      <c r="M3298" s="14"/>
      <c r="N3298" s="14" t="s">
        <v>41</v>
      </c>
      <c r="O3298" s="14"/>
      <c r="P3298" s="15" t="s">
        <v>3676</v>
      </c>
      <c r="Q3298" s="16">
        <v>11190</v>
      </c>
      <c r="R3298" s="17">
        <v>71.78</v>
      </c>
      <c r="S3298" s="18">
        <v>3631.4354999999996</v>
      </c>
      <c r="T3298" s="19" t="s">
        <v>328</v>
      </c>
      <c r="U3298" s="20" t="s">
        <v>3189</v>
      </c>
      <c r="V3298" s="21">
        <v>30</v>
      </c>
      <c r="W3298" s="21">
        <v>5</v>
      </c>
      <c r="X3298" s="22"/>
    </row>
    <row r="3299" spans="1:24" s="1" customFormat="1" ht="11.1" customHeight="1" x14ac:dyDescent="0.3">
      <c r="A3299" s="23" t="s">
        <v>3183</v>
      </c>
      <c r="B3299" s="23" t="s">
        <v>3657</v>
      </c>
      <c r="C3299" s="12" t="s">
        <v>3677</v>
      </c>
      <c r="D3299" s="84"/>
      <c r="E3299" s="69" t="str">
        <f t="shared" si="140"/>
        <v>Еще фото</v>
      </c>
      <c r="F3299" s="13"/>
      <c r="G3299" s="23" t="s">
        <v>3659</v>
      </c>
      <c r="H3299" s="23" t="s">
        <v>151</v>
      </c>
      <c r="I3299" s="23" t="s">
        <v>424</v>
      </c>
      <c r="J3299" s="14" t="s">
        <v>138</v>
      </c>
      <c r="K3299" s="15" t="s">
        <v>30</v>
      </c>
      <c r="L3299" s="87"/>
      <c r="M3299" s="14"/>
      <c r="N3299" s="14" t="s">
        <v>41</v>
      </c>
      <c r="O3299" s="14"/>
      <c r="P3299" s="15" t="s">
        <v>3676</v>
      </c>
      <c r="Q3299" s="16">
        <v>11190</v>
      </c>
      <c r="R3299" s="17">
        <v>71.78</v>
      </c>
      <c r="S3299" s="18">
        <v>3631.4354999999996</v>
      </c>
      <c r="T3299" s="19" t="s">
        <v>328</v>
      </c>
      <c r="U3299" s="20" t="s">
        <v>3190</v>
      </c>
      <c r="V3299" s="21">
        <v>31</v>
      </c>
      <c r="W3299" s="21">
        <v>4</v>
      </c>
      <c r="X3299" s="22"/>
    </row>
    <row r="3300" spans="1:24" s="1" customFormat="1" ht="11.1" customHeight="1" x14ac:dyDescent="0.3">
      <c r="A3300" s="23" t="s">
        <v>3183</v>
      </c>
      <c r="B3300" s="23" t="s">
        <v>3657</v>
      </c>
      <c r="C3300" s="12" t="s">
        <v>3677</v>
      </c>
      <c r="D3300" s="84"/>
      <c r="E3300" s="69" t="str">
        <f t="shared" si="140"/>
        <v>Еще фото</v>
      </c>
      <c r="F3300" s="13"/>
      <c r="G3300" s="23" t="s">
        <v>3659</v>
      </c>
      <c r="H3300" s="23" t="s">
        <v>151</v>
      </c>
      <c r="I3300" s="23" t="s">
        <v>424</v>
      </c>
      <c r="J3300" s="14" t="s">
        <v>138</v>
      </c>
      <c r="K3300" s="15" t="s">
        <v>30</v>
      </c>
      <c r="L3300" s="87"/>
      <c r="M3300" s="14"/>
      <c r="N3300" s="14" t="s">
        <v>41</v>
      </c>
      <c r="O3300" s="14"/>
      <c r="P3300" s="15" t="s">
        <v>3676</v>
      </c>
      <c r="Q3300" s="16">
        <v>11190</v>
      </c>
      <c r="R3300" s="17">
        <v>71.78</v>
      </c>
      <c r="S3300" s="18">
        <v>3631.4354999999996</v>
      </c>
      <c r="T3300" s="19" t="s">
        <v>328</v>
      </c>
      <c r="U3300" s="20" t="s">
        <v>552</v>
      </c>
      <c r="V3300" s="21">
        <v>32</v>
      </c>
      <c r="W3300" s="21">
        <v>10</v>
      </c>
      <c r="X3300" s="22"/>
    </row>
    <row r="3301" spans="1:24" s="1" customFormat="1" ht="11.1" customHeight="1" x14ac:dyDescent="0.3">
      <c r="A3301" s="23" t="s">
        <v>3183</v>
      </c>
      <c r="B3301" s="23" t="s">
        <v>3657</v>
      </c>
      <c r="C3301" s="12" t="s">
        <v>3677</v>
      </c>
      <c r="D3301" s="84"/>
      <c r="E3301" s="69" t="str">
        <f t="shared" si="140"/>
        <v>Еще фото</v>
      </c>
      <c r="F3301" s="13"/>
      <c r="G3301" s="23" t="s">
        <v>3659</v>
      </c>
      <c r="H3301" s="23" t="s">
        <v>151</v>
      </c>
      <c r="I3301" s="23" t="s">
        <v>424</v>
      </c>
      <c r="J3301" s="14" t="s">
        <v>138</v>
      </c>
      <c r="K3301" s="15" t="s">
        <v>30</v>
      </c>
      <c r="L3301" s="87"/>
      <c r="M3301" s="14"/>
      <c r="N3301" s="14" t="s">
        <v>41</v>
      </c>
      <c r="O3301" s="14"/>
      <c r="P3301" s="15" t="s">
        <v>3676</v>
      </c>
      <c r="Q3301" s="16">
        <v>11190</v>
      </c>
      <c r="R3301" s="17">
        <v>71.78</v>
      </c>
      <c r="S3301" s="18">
        <v>3631.4354999999996</v>
      </c>
      <c r="T3301" s="19" t="s">
        <v>328</v>
      </c>
      <c r="U3301" s="20" t="s">
        <v>553</v>
      </c>
      <c r="V3301" s="21">
        <v>33</v>
      </c>
      <c r="W3301" s="21">
        <v>9</v>
      </c>
      <c r="X3301" s="22"/>
    </row>
    <row r="3302" spans="1:24" s="1" customFormat="1" ht="11.1" customHeight="1" x14ac:dyDescent="0.3">
      <c r="A3302" s="23" t="s">
        <v>3183</v>
      </c>
      <c r="B3302" s="23" t="s">
        <v>3657</v>
      </c>
      <c r="C3302" s="12" t="s">
        <v>3677</v>
      </c>
      <c r="D3302" s="84"/>
      <c r="E3302" s="69" t="str">
        <f t="shared" si="140"/>
        <v>Еще фото</v>
      </c>
      <c r="F3302" s="13"/>
      <c r="G3302" s="23" t="s">
        <v>3659</v>
      </c>
      <c r="H3302" s="23" t="s">
        <v>151</v>
      </c>
      <c r="I3302" s="23" t="s">
        <v>424</v>
      </c>
      <c r="J3302" s="14" t="s">
        <v>138</v>
      </c>
      <c r="K3302" s="15" t="s">
        <v>30</v>
      </c>
      <c r="L3302" s="87"/>
      <c r="M3302" s="14"/>
      <c r="N3302" s="14" t="s">
        <v>41</v>
      </c>
      <c r="O3302" s="14"/>
      <c r="P3302" s="15" t="s">
        <v>3676</v>
      </c>
      <c r="Q3302" s="16">
        <v>11190</v>
      </c>
      <c r="R3302" s="17">
        <v>71.78</v>
      </c>
      <c r="S3302" s="18">
        <v>3631.4354999999996</v>
      </c>
      <c r="T3302" s="19" t="s">
        <v>328</v>
      </c>
      <c r="U3302" s="20" t="s">
        <v>554</v>
      </c>
      <c r="V3302" s="21">
        <v>34</v>
      </c>
      <c r="W3302" s="21">
        <v>8</v>
      </c>
      <c r="X3302" s="22"/>
    </row>
    <row r="3303" spans="1:24" s="1" customFormat="1" ht="11.1" customHeight="1" x14ac:dyDescent="0.3">
      <c r="A3303" s="23" t="s">
        <v>3183</v>
      </c>
      <c r="B3303" s="23" t="s">
        <v>3657</v>
      </c>
      <c r="C3303" s="12" t="s">
        <v>3677</v>
      </c>
      <c r="D3303" s="84"/>
      <c r="E3303" s="69" t="str">
        <f t="shared" si="140"/>
        <v>Еще фото</v>
      </c>
      <c r="F3303" s="13"/>
      <c r="G3303" s="23" t="s">
        <v>3659</v>
      </c>
      <c r="H3303" s="23" t="s">
        <v>151</v>
      </c>
      <c r="I3303" s="23" t="s">
        <v>424</v>
      </c>
      <c r="J3303" s="14" t="s">
        <v>138</v>
      </c>
      <c r="K3303" s="15" t="s">
        <v>30</v>
      </c>
      <c r="L3303" s="87"/>
      <c r="M3303" s="14"/>
      <c r="N3303" s="14" t="s">
        <v>41</v>
      </c>
      <c r="O3303" s="14"/>
      <c r="P3303" s="15" t="s">
        <v>3676</v>
      </c>
      <c r="Q3303" s="16">
        <v>11190</v>
      </c>
      <c r="R3303" s="17">
        <v>71.78</v>
      </c>
      <c r="S3303" s="18">
        <v>3631.4354999999996</v>
      </c>
      <c r="T3303" s="19" t="s">
        <v>328</v>
      </c>
      <c r="U3303" s="20" t="s">
        <v>431</v>
      </c>
      <c r="V3303" s="21">
        <v>35</v>
      </c>
      <c r="W3303" s="21">
        <v>14</v>
      </c>
      <c r="X3303" s="22"/>
    </row>
    <row r="3304" spans="1:24" s="1" customFormat="1" ht="11.1" customHeight="1" x14ac:dyDescent="0.3">
      <c r="A3304" s="23" t="s">
        <v>3183</v>
      </c>
      <c r="B3304" s="23" t="s">
        <v>3657</v>
      </c>
      <c r="C3304" s="12" t="s">
        <v>3677</v>
      </c>
      <c r="D3304" s="84"/>
      <c r="E3304" s="69" t="str">
        <f t="shared" si="140"/>
        <v>Еще фото</v>
      </c>
      <c r="F3304" s="13"/>
      <c r="G3304" s="23" t="s">
        <v>3659</v>
      </c>
      <c r="H3304" s="23" t="s">
        <v>151</v>
      </c>
      <c r="I3304" s="23" t="s">
        <v>424</v>
      </c>
      <c r="J3304" s="14" t="s">
        <v>138</v>
      </c>
      <c r="K3304" s="15" t="s">
        <v>30</v>
      </c>
      <c r="L3304" s="87"/>
      <c r="M3304" s="14"/>
      <c r="N3304" s="14" t="s">
        <v>41</v>
      </c>
      <c r="O3304" s="14"/>
      <c r="P3304" s="15" t="s">
        <v>3676</v>
      </c>
      <c r="Q3304" s="16">
        <v>11190</v>
      </c>
      <c r="R3304" s="17">
        <v>71.78</v>
      </c>
      <c r="S3304" s="18">
        <v>3631.4354999999996</v>
      </c>
      <c r="T3304" s="19" t="s">
        <v>328</v>
      </c>
      <c r="U3304" s="20" t="s">
        <v>1503</v>
      </c>
      <c r="V3304" s="21">
        <v>36</v>
      </c>
      <c r="W3304" s="21">
        <v>13</v>
      </c>
      <c r="X3304" s="22"/>
    </row>
    <row r="3305" spans="1:24" s="1" customFormat="1" ht="11.1" customHeight="1" x14ac:dyDescent="0.3">
      <c r="A3305" s="23" t="s">
        <v>3183</v>
      </c>
      <c r="B3305" s="23" t="s">
        <v>3657</v>
      </c>
      <c r="C3305" s="12" t="s">
        <v>3677</v>
      </c>
      <c r="D3305" s="84"/>
      <c r="E3305" s="69" t="str">
        <f t="shared" si="140"/>
        <v>Еще фото</v>
      </c>
      <c r="F3305" s="13"/>
      <c r="G3305" s="23" t="s">
        <v>3659</v>
      </c>
      <c r="H3305" s="23" t="s">
        <v>151</v>
      </c>
      <c r="I3305" s="23" t="s">
        <v>424</v>
      </c>
      <c r="J3305" s="14" t="s">
        <v>138</v>
      </c>
      <c r="K3305" s="15" t="s">
        <v>30</v>
      </c>
      <c r="L3305" s="87"/>
      <c r="M3305" s="14"/>
      <c r="N3305" s="14" t="s">
        <v>41</v>
      </c>
      <c r="O3305" s="14"/>
      <c r="P3305" s="15" t="s">
        <v>3676</v>
      </c>
      <c r="Q3305" s="16">
        <v>11190</v>
      </c>
      <c r="R3305" s="17">
        <v>71.78</v>
      </c>
      <c r="S3305" s="18">
        <v>3631.4354999999996</v>
      </c>
      <c r="T3305" s="19" t="s">
        <v>328</v>
      </c>
      <c r="U3305" s="20" t="s">
        <v>409</v>
      </c>
      <c r="V3305" s="21">
        <v>37</v>
      </c>
      <c r="W3305" s="21">
        <v>12</v>
      </c>
      <c r="X3305" s="22"/>
    </row>
    <row r="3306" spans="1:24" s="1" customFormat="1" ht="11.1" customHeight="1" x14ac:dyDescent="0.3">
      <c r="A3306" s="23" t="s">
        <v>3183</v>
      </c>
      <c r="B3306" s="23" t="s">
        <v>3657</v>
      </c>
      <c r="C3306" s="12" t="s">
        <v>3677</v>
      </c>
      <c r="D3306" s="85"/>
      <c r="E3306" s="69" t="str">
        <f t="shared" si="140"/>
        <v>Еще фото</v>
      </c>
      <c r="F3306" s="13"/>
      <c r="G3306" s="23" t="s">
        <v>3659</v>
      </c>
      <c r="H3306" s="23" t="s">
        <v>151</v>
      </c>
      <c r="I3306" s="23" t="s">
        <v>424</v>
      </c>
      <c r="J3306" s="14" t="s">
        <v>138</v>
      </c>
      <c r="K3306" s="15" t="s">
        <v>30</v>
      </c>
      <c r="L3306" s="88"/>
      <c r="M3306" s="14"/>
      <c r="N3306" s="14" t="s">
        <v>41</v>
      </c>
      <c r="O3306" s="14"/>
      <c r="P3306" s="15" t="s">
        <v>3676</v>
      </c>
      <c r="Q3306" s="16">
        <v>11190</v>
      </c>
      <c r="R3306" s="17">
        <v>71.78</v>
      </c>
      <c r="S3306" s="18">
        <v>3631.4354999999996</v>
      </c>
      <c r="T3306" s="19" t="s">
        <v>328</v>
      </c>
      <c r="U3306" s="20" t="s">
        <v>426</v>
      </c>
      <c r="V3306" s="21">
        <v>38</v>
      </c>
      <c r="W3306" s="21">
        <v>7</v>
      </c>
      <c r="X3306" s="22"/>
    </row>
    <row r="3307" spans="1:24" s="1" customFormat="1" ht="17.100000000000001" customHeight="1" x14ac:dyDescent="0.3">
      <c r="A3307" s="11" t="s">
        <v>3183</v>
      </c>
      <c r="B3307" s="11" t="s">
        <v>3679</v>
      </c>
      <c r="C3307" s="12" t="s">
        <v>3680</v>
      </c>
      <c r="D3307" s="83"/>
      <c r="E3307" s="69" t="str">
        <f t="shared" ref="E3307:E3312" si="141">HYPERLINK("https://www.google.ru/search?q=D56XMB00085C9999&amp;newwindow=1&amp;tbm=isch","Еще фото")</f>
        <v>Еще фото</v>
      </c>
      <c r="F3307" s="13"/>
      <c r="G3307" s="11" t="s">
        <v>3659</v>
      </c>
      <c r="H3307" s="11" t="s">
        <v>151</v>
      </c>
      <c r="I3307" s="14" t="s">
        <v>424</v>
      </c>
      <c r="J3307" s="14" t="s">
        <v>138</v>
      </c>
      <c r="K3307" s="15" t="s">
        <v>47</v>
      </c>
      <c r="L3307" s="86" t="s">
        <v>3681</v>
      </c>
      <c r="M3307" s="14"/>
      <c r="N3307" s="14" t="s">
        <v>49</v>
      </c>
      <c r="O3307" s="14"/>
      <c r="P3307" s="15" t="s">
        <v>3682</v>
      </c>
      <c r="Q3307" s="16">
        <v>29890</v>
      </c>
      <c r="R3307" s="17">
        <v>70.7</v>
      </c>
      <c r="S3307" s="18">
        <v>10071.4355</v>
      </c>
      <c r="T3307" s="19" t="s">
        <v>328</v>
      </c>
      <c r="U3307" s="20" t="s">
        <v>1503</v>
      </c>
      <c r="V3307" s="21">
        <v>36</v>
      </c>
      <c r="W3307" s="21">
        <v>9</v>
      </c>
      <c r="X3307" s="22"/>
    </row>
    <row r="3308" spans="1:24" s="1" customFormat="1" ht="17.100000000000001" customHeight="1" x14ac:dyDescent="0.3">
      <c r="A3308" s="23" t="s">
        <v>3183</v>
      </c>
      <c r="B3308" s="23" t="s">
        <v>3679</v>
      </c>
      <c r="C3308" s="12" t="s">
        <v>3680</v>
      </c>
      <c r="D3308" s="84"/>
      <c r="E3308" s="69" t="str">
        <f t="shared" si="141"/>
        <v>Еще фото</v>
      </c>
      <c r="F3308" s="13"/>
      <c r="G3308" s="23" t="s">
        <v>3659</v>
      </c>
      <c r="H3308" s="23" t="s">
        <v>151</v>
      </c>
      <c r="I3308" s="23" t="s">
        <v>424</v>
      </c>
      <c r="J3308" s="14" t="s">
        <v>138</v>
      </c>
      <c r="K3308" s="15" t="s">
        <v>47</v>
      </c>
      <c r="L3308" s="87"/>
      <c r="M3308" s="14"/>
      <c r="N3308" s="14" t="s">
        <v>49</v>
      </c>
      <c r="O3308" s="14"/>
      <c r="P3308" s="15" t="s">
        <v>3682</v>
      </c>
      <c r="Q3308" s="16">
        <v>29890</v>
      </c>
      <c r="R3308" s="17">
        <v>70.7</v>
      </c>
      <c r="S3308" s="18">
        <v>10071.4355</v>
      </c>
      <c r="T3308" s="19" t="s">
        <v>328</v>
      </c>
      <c r="U3308" s="20" t="s">
        <v>409</v>
      </c>
      <c r="V3308" s="21">
        <v>37</v>
      </c>
      <c r="W3308" s="21">
        <v>15</v>
      </c>
      <c r="X3308" s="22"/>
    </row>
    <row r="3309" spans="1:24" s="1" customFormat="1" ht="17.100000000000001" customHeight="1" x14ac:dyDescent="0.3">
      <c r="A3309" s="23" t="s">
        <v>3183</v>
      </c>
      <c r="B3309" s="23" t="s">
        <v>3679</v>
      </c>
      <c r="C3309" s="12" t="s">
        <v>3680</v>
      </c>
      <c r="D3309" s="84"/>
      <c r="E3309" s="69" t="str">
        <f t="shared" si="141"/>
        <v>Еще фото</v>
      </c>
      <c r="F3309" s="13"/>
      <c r="G3309" s="23" t="s">
        <v>3659</v>
      </c>
      <c r="H3309" s="23" t="s">
        <v>151</v>
      </c>
      <c r="I3309" s="23" t="s">
        <v>424</v>
      </c>
      <c r="J3309" s="14" t="s">
        <v>138</v>
      </c>
      <c r="K3309" s="15" t="s">
        <v>47</v>
      </c>
      <c r="L3309" s="87"/>
      <c r="M3309" s="14"/>
      <c r="N3309" s="14" t="s">
        <v>49</v>
      </c>
      <c r="O3309" s="14"/>
      <c r="P3309" s="15" t="s">
        <v>3682</v>
      </c>
      <c r="Q3309" s="16">
        <v>29890</v>
      </c>
      <c r="R3309" s="17">
        <v>70.7</v>
      </c>
      <c r="S3309" s="18">
        <v>10071.4355</v>
      </c>
      <c r="T3309" s="19" t="s">
        <v>328</v>
      </c>
      <c r="U3309" s="20" t="s">
        <v>426</v>
      </c>
      <c r="V3309" s="21">
        <v>38</v>
      </c>
      <c r="W3309" s="21">
        <v>11</v>
      </c>
      <c r="X3309" s="22"/>
    </row>
    <row r="3310" spans="1:24" s="1" customFormat="1" ht="17.100000000000001" customHeight="1" x14ac:dyDescent="0.3">
      <c r="A3310" s="23" t="s">
        <v>3183</v>
      </c>
      <c r="B3310" s="23" t="s">
        <v>3679</v>
      </c>
      <c r="C3310" s="12" t="s">
        <v>3680</v>
      </c>
      <c r="D3310" s="84"/>
      <c r="E3310" s="69" t="str">
        <f t="shared" si="141"/>
        <v>Еще фото</v>
      </c>
      <c r="F3310" s="13"/>
      <c r="G3310" s="23" t="s">
        <v>3659</v>
      </c>
      <c r="H3310" s="23" t="s">
        <v>151</v>
      </c>
      <c r="I3310" s="23" t="s">
        <v>424</v>
      </c>
      <c r="J3310" s="14" t="s">
        <v>138</v>
      </c>
      <c r="K3310" s="15" t="s">
        <v>47</v>
      </c>
      <c r="L3310" s="87"/>
      <c r="M3310" s="14"/>
      <c r="N3310" s="14" t="s">
        <v>49</v>
      </c>
      <c r="O3310" s="14"/>
      <c r="P3310" s="15" t="s">
        <v>3682</v>
      </c>
      <c r="Q3310" s="16">
        <v>29890</v>
      </c>
      <c r="R3310" s="17">
        <v>70.7</v>
      </c>
      <c r="S3310" s="18">
        <v>10071.4355</v>
      </c>
      <c r="T3310" s="19" t="s">
        <v>328</v>
      </c>
      <c r="U3310" s="20" t="s">
        <v>413</v>
      </c>
      <c r="V3310" s="21">
        <v>39</v>
      </c>
      <c r="W3310" s="21">
        <v>13</v>
      </c>
      <c r="X3310" s="22"/>
    </row>
    <row r="3311" spans="1:24" s="1" customFormat="1" ht="17.100000000000001" customHeight="1" x14ac:dyDescent="0.3">
      <c r="A3311" s="23" t="s">
        <v>3183</v>
      </c>
      <c r="B3311" s="23" t="s">
        <v>3679</v>
      </c>
      <c r="C3311" s="12" t="s">
        <v>3680</v>
      </c>
      <c r="D3311" s="84"/>
      <c r="E3311" s="69" t="str">
        <f t="shared" si="141"/>
        <v>Еще фото</v>
      </c>
      <c r="F3311" s="13"/>
      <c r="G3311" s="23" t="s">
        <v>3659</v>
      </c>
      <c r="H3311" s="23" t="s">
        <v>151</v>
      </c>
      <c r="I3311" s="23" t="s">
        <v>424</v>
      </c>
      <c r="J3311" s="14" t="s">
        <v>138</v>
      </c>
      <c r="K3311" s="15" t="s">
        <v>47</v>
      </c>
      <c r="L3311" s="87"/>
      <c r="M3311" s="14"/>
      <c r="N3311" s="14" t="s">
        <v>49</v>
      </c>
      <c r="O3311" s="14"/>
      <c r="P3311" s="15" t="s">
        <v>3682</v>
      </c>
      <c r="Q3311" s="16">
        <v>29890</v>
      </c>
      <c r="R3311" s="17">
        <v>70.7</v>
      </c>
      <c r="S3311" s="18">
        <v>10071.4355</v>
      </c>
      <c r="T3311" s="19" t="s">
        <v>328</v>
      </c>
      <c r="U3311" s="20" t="s">
        <v>399</v>
      </c>
      <c r="V3311" s="21">
        <v>40</v>
      </c>
      <c r="W3311" s="21">
        <v>2</v>
      </c>
      <c r="X3311" s="22"/>
    </row>
    <row r="3312" spans="1:24" s="1" customFormat="1" ht="21.95" customHeight="1" x14ac:dyDescent="0.3">
      <c r="A3312" s="23" t="s">
        <v>3183</v>
      </c>
      <c r="B3312" s="23" t="s">
        <v>3679</v>
      </c>
      <c r="C3312" s="12" t="s">
        <v>3680</v>
      </c>
      <c r="D3312" s="85"/>
      <c r="E3312" s="69" t="str">
        <f t="shared" si="141"/>
        <v>Еще фото</v>
      </c>
      <c r="F3312" s="13"/>
      <c r="G3312" s="23" t="s">
        <v>3659</v>
      </c>
      <c r="H3312" s="23" t="s">
        <v>151</v>
      </c>
      <c r="I3312" s="23" t="s">
        <v>424</v>
      </c>
      <c r="J3312" s="14" t="s">
        <v>138</v>
      </c>
      <c r="K3312" s="15" t="s">
        <v>47</v>
      </c>
      <c r="L3312" s="88"/>
      <c r="M3312" s="14"/>
      <c r="N3312" s="14" t="s">
        <v>49</v>
      </c>
      <c r="O3312" s="14"/>
      <c r="P3312" s="15" t="s">
        <v>3682</v>
      </c>
      <c r="Q3312" s="16">
        <v>29890</v>
      </c>
      <c r="R3312" s="17">
        <v>70.7</v>
      </c>
      <c r="S3312" s="18">
        <v>10071.4355</v>
      </c>
      <c r="T3312" s="19" t="s">
        <v>328</v>
      </c>
      <c r="U3312" s="20" t="s">
        <v>400</v>
      </c>
      <c r="V3312" s="21">
        <v>41</v>
      </c>
      <c r="W3312" s="21">
        <v>1</v>
      </c>
      <c r="X3312" s="22"/>
    </row>
    <row r="3313" spans="1:24" s="1" customFormat="1" ht="14.1" customHeight="1" x14ac:dyDescent="0.3">
      <c r="A3313" s="11" t="s">
        <v>3183</v>
      </c>
      <c r="B3313" s="11" t="s">
        <v>3683</v>
      </c>
      <c r="C3313" s="12" t="s">
        <v>3684</v>
      </c>
      <c r="D3313" s="83"/>
      <c r="E3313" s="69" t="str">
        <f t="shared" ref="E3313:E3319" si="142">HYPERLINK("https://www.google.ru/search?q=J46EXD00043C9999&amp;newwindow=1&amp;tbm=isch","Еще фото")</f>
        <v>Еще фото</v>
      </c>
      <c r="F3313" s="13"/>
      <c r="G3313" s="11" t="s">
        <v>3659</v>
      </c>
      <c r="H3313" s="11" t="s">
        <v>151</v>
      </c>
      <c r="I3313" s="14" t="s">
        <v>424</v>
      </c>
      <c r="J3313" s="14" t="s">
        <v>138</v>
      </c>
      <c r="K3313" s="15" t="s">
        <v>30</v>
      </c>
      <c r="L3313" s="86" t="s">
        <v>3685</v>
      </c>
      <c r="M3313" s="14"/>
      <c r="N3313" s="14" t="s">
        <v>3661</v>
      </c>
      <c r="O3313" s="14"/>
      <c r="P3313" s="15" t="s">
        <v>3686</v>
      </c>
      <c r="Q3313" s="16">
        <v>14690</v>
      </c>
      <c r="R3313" s="17">
        <v>69.790000000000006</v>
      </c>
      <c r="S3313" s="18">
        <v>5103.4355000000005</v>
      </c>
      <c r="T3313" s="19" t="s">
        <v>328</v>
      </c>
      <c r="U3313" s="20" t="s">
        <v>3190</v>
      </c>
      <c r="V3313" s="21">
        <v>31</v>
      </c>
      <c r="W3313" s="21">
        <v>4</v>
      </c>
      <c r="X3313" s="22"/>
    </row>
    <row r="3314" spans="1:24" s="1" customFormat="1" ht="14.1" customHeight="1" x14ac:dyDescent="0.3">
      <c r="A3314" s="23" t="s">
        <v>3183</v>
      </c>
      <c r="B3314" s="23" t="s">
        <v>3683</v>
      </c>
      <c r="C3314" s="12" t="s">
        <v>3684</v>
      </c>
      <c r="D3314" s="84"/>
      <c r="E3314" s="69" t="str">
        <f t="shared" si="142"/>
        <v>Еще фото</v>
      </c>
      <c r="F3314" s="13"/>
      <c r="G3314" s="23" t="s">
        <v>3659</v>
      </c>
      <c r="H3314" s="23" t="s">
        <v>151</v>
      </c>
      <c r="I3314" s="23" t="s">
        <v>424</v>
      </c>
      <c r="J3314" s="14" t="s">
        <v>138</v>
      </c>
      <c r="K3314" s="15" t="s">
        <v>30</v>
      </c>
      <c r="L3314" s="87"/>
      <c r="M3314" s="14"/>
      <c r="N3314" s="14" t="s">
        <v>3661</v>
      </c>
      <c r="O3314" s="14"/>
      <c r="P3314" s="15" t="s">
        <v>3686</v>
      </c>
      <c r="Q3314" s="16">
        <v>14690</v>
      </c>
      <c r="R3314" s="17">
        <v>69.790000000000006</v>
      </c>
      <c r="S3314" s="18">
        <v>5103.4355000000005</v>
      </c>
      <c r="T3314" s="19" t="s">
        <v>328</v>
      </c>
      <c r="U3314" s="20" t="s">
        <v>552</v>
      </c>
      <c r="V3314" s="21">
        <v>32</v>
      </c>
      <c r="W3314" s="21">
        <v>5</v>
      </c>
      <c r="X3314" s="22"/>
    </row>
    <row r="3315" spans="1:24" s="1" customFormat="1" ht="14.1" customHeight="1" x14ac:dyDescent="0.3">
      <c r="A3315" s="23" t="s">
        <v>3183</v>
      </c>
      <c r="B3315" s="23" t="s">
        <v>3683</v>
      </c>
      <c r="C3315" s="12" t="s">
        <v>3684</v>
      </c>
      <c r="D3315" s="84"/>
      <c r="E3315" s="69" t="str">
        <f t="shared" si="142"/>
        <v>Еще фото</v>
      </c>
      <c r="F3315" s="13"/>
      <c r="G3315" s="23" t="s">
        <v>3659</v>
      </c>
      <c r="H3315" s="23" t="s">
        <v>151</v>
      </c>
      <c r="I3315" s="23" t="s">
        <v>424</v>
      </c>
      <c r="J3315" s="14" t="s">
        <v>138</v>
      </c>
      <c r="K3315" s="15" t="s">
        <v>30</v>
      </c>
      <c r="L3315" s="87"/>
      <c r="M3315" s="14"/>
      <c r="N3315" s="14" t="s">
        <v>3661</v>
      </c>
      <c r="O3315" s="14"/>
      <c r="P3315" s="15" t="s">
        <v>3686</v>
      </c>
      <c r="Q3315" s="16">
        <v>14690</v>
      </c>
      <c r="R3315" s="17">
        <v>69.790000000000006</v>
      </c>
      <c r="S3315" s="18">
        <v>5103.4355000000005</v>
      </c>
      <c r="T3315" s="19" t="s">
        <v>328</v>
      </c>
      <c r="U3315" s="20" t="s">
        <v>553</v>
      </c>
      <c r="V3315" s="21">
        <v>33</v>
      </c>
      <c r="W3315" s="21">
        <v>4</v>
      </c>
      <c r="X3315" s="22"/>
    </row>
    <row r="3316" spans="1:24" s="1" customFormat="1" ht="14.1" customHeight="1" x14ac:dyDescent="0.3">
      <c r="A3316" s="23" t="s">
        <v>3183</v>
      </c>
      <c r="B3316" s="23" t="s">
        <v>3683</v>
      </c>
      <c r="C3316" s="12" t="s">
        <v>3684</v>
      </c>
      <c r="D3316" s="84"/>
      <c r="E3316" s="69" t="str">
        <f t="shared" si="142"/>
        <v>Еще фото</v>
      </c>
      <c r="F3316" s="13"/>
      <c r="G3316" s="23" t="s">
        <v>3659</v>
      </c>
      <c r="H3316" s="23" t="s">
        <v>151</v>
      </c>
      <c r="I3316" s="23" t="s">
        <v>424</v>
      </c>
      <c r="J3316" s="14" t="s">
        <v>138</v>
      </c>
      <c r="K3316" s="15" t="s">
        <v>30</v>
      </c>
      <c r="L3316" s="87"/>
      <c r="M3316" s="14"/>
      <c r="N3316" s="14" t="s">
        <v>3661</v>
      </c>
      <c r="O3316" s="14"/>
      <c r="P3316" s="15" t="s">
        <v>3686</v>
      </c>
      <c r="Q3316" s="16">
        <v>14690</v>
      </c>
      <c r="R3316" s="17">
        <v>69.790000000000006</v>
      </c>
      <c r="S3316" s="18">
        <v>5103.4355000000005</v>
      </c>
      <c r="T3316" s="19" t="s">
        <v>328</v>
      </c>
      <c r="U3316" s="20" t="s">
        <v>554</v>
      </c>
      <c r="V3316" s="21">
        <v>34</v>
      </c>
      <c r="W3316" s="21">
        <v>1</v>
      </c>
      <c r="X3316" s="22"/>
    </row>
    <row r="3317" spans="1:24" s="1" customFormat="1" ht="14.1" customHeight="1" x14ac:dyDescent="0.3">
      <c r="A3317" s="23" t="s">
        <v>3183</v>
      </c>
      <c r="B3317" s="23" t="s">
        <v>3683</v>
      </c>
      <c r="C3317" s="12" t="s">
        <v>3684</v>
      </c>
      <c r="D3317" s="84"/>
      <c r="E3317" s="69" t="str">
        <f t="shared" si="142"/>
        <v>Еще фото</v>
      </c>
      <c r="F3317" s="13"/>
      <c r="G3317" s="23" t="s">
        <v>3659</v>
      </c>
      <c r="H3317" s="23" t="s">
        <v>151</v>
      </c>
      <c r="I3317" s="23" t="s">
        <v>424</v>
      </c>
      <c r="J3317" s="14" t="s">
        <v>138</v>
      </c>
      <c r="K3317" s="15" t="s">
        <v>30</v>
      </c>
      <c r="L3317" s="87"/>
      <c r="M3317" s="14"/>
      <c r="N3317" s="14" t="s">
        <v>3661</v>
      </c>
      <c r="O3317" s="14"/>
      <c r="P3317" s="15" t="s">
        <v>3686</v>
      </c>
      <c r="Q3317" s="16">
        <v>14690</v>
      </c>
      <c r="R3317" s="17">
        <v>69.790000000000006</v>
      </c>
      <c r="S3317" s="18">
        <v>5103.4355000000005</v>
      </c>
      <c r="T3317" s="19" t="s">
        <v>328</v>
      </c>
      <c r="U3317" s="20" t="s">
        <v>431</v>
      </c>
      <c r="V3317" s="21">
        <v>35</v>
      </c>
      <c r="W3317" s="21">
        <v>6</v>
      </c>
      <c r="X3317" s="22"/>
    </row>
    <row r="3318" spans="1:24" s="1" customFormat="1" ht="14.1" customHeight="1" x14ac:dyDescent="0.3">
      <c r="A3318" s="23" t="s">
        <v>3183</v>
      </c>
      <c r="B3318" s="23" t="s">
        <v>3683</v>
      </c>
      <c r="C3318" s="12" t="s">
        <v>3684</v>
      </c>
      <c r="D3318" s="84"/>
      <c r="E3318" s="69" t="str">
        <f t="shared" si="142"/>
        <v>Еще фото</v>
      </c>
      <c r="F3318" s="13"/>
      <c r="G3318" s="23" t="s">
        <v>3659</v>
      </c>
      <c r="H3318" s="23" t="s">
        <v>151</v>
      </c>
      <c r="I3318" s="23" t="s">
        <v>424</v>
      </c>
      <c r="J3318" s="14" t="s">
        <v>138</v>
      </c>
      <c r="K3318" s="15" t="s">
        <v>30</v>
      </c>
      <c r="L3318" s="87"/>
      <c r="M3318" s="14"/>
      <c r="N3318" s="14" t="s">
        <v>3661</v>
      </c>
      <c r="O3318" s="14"/>
      <c r="P3318" s="15" t="s">
        <v>3686</v>
      </c>
      <c r="Q3318" s="16">
        <v>14690</v>
      </c>
      <c r="R3318" s="17">
        <v>69.790000000000006</v>
      </c>
      <c r="S3318" s="18">
        <v>5103.4355000000005</v>
      </c>
      <c r="T3318" s="19" t="s">
        <v>328</v>
      </c>
      <c r="U3318" s="20" t="s">
        <v>1503</v>
      </c>
      <c r="V3318" s="21">
        <v>36</v>
      </c>
      <c r="W3318" s="21">
        <v>7</v>
      </c>
      <c r="X3318" s="22"/>
    </row>
    <row r="3319" spans="1:24" s="1" customFormat="1" ht="17.100000000000001" customHeight="1" x14ac:dyDescent="0.3">
      <c r="A3319" s="23" t="s">
        <v>3183</v>
      </c>
      <c r="B3319" s="23" t="s">
        <v>3683</v>
      </c>
      <c r="C3319" s="12" t="s">
        <v>3684</v>
      </c>
      <c r="D3319" s="85"/>
      <c r="E3319" s="69" t="str">
        <f t="shared" si="142"/>
        <v>Еще фото</v>
      </c>
      <c r="F3319" s="13"/>
      <c r="G3319" s="23" t="s">
        <v>3659</v>
      </c>
      <c r="H3319" s="23" t="s">
        <v>151</v>
      </c>
      <c r="I3319" s="23" t="s">
        <v>424</v>
      </c>
      <c r="J3319" s="14" t="s">
        <v>138</v>
      </c>
      <c r="K3319" s="15" t="s">
        <v>30</v>
      </c>
      <c r="L3319" s="88"/>
      <c r="M3319" s="14"/>
      <c r="N3319" s="14" t="s">
        <v>3661</v>
      </c>
      <c r="O3319" s="14"/>
      <c r="P3319" s="15" t="s">
        <v>3686</v>
      </c>
      <c r="Q3319" s="16">
        <v>14690</v>
      </c>
      <c r="R3319" s="17">
        <v>69.790000000000006</v>
      </c>
      <c r="S3319" s="18">
        <v>5103.4355000000005</v>
      </c>
      <c r="T3319" s="19" t="s">
        <v>328</v>
      </c>
      <c r="U3319" s="20" t="s">
        <v>409</v>
      </c>
      <c r="V3319" s="21">
        <v>37</v>
      </c>
      <c r="W3319" s="21">
        <v>6</v>
      </c>
      <c r="X3319" s="22"/>
    </row>
    <row r="3320" spans="1:24" s="1" customFormat="1" ht="17.100000000000001" customHeight="1" x14ac:dyDescent="0.3">
      <c r="A3320" s="11" t="s">
        <v>3183</v>
      </c>
      <c r="B3320" s="11" t="s">
        <v>3687</v>
      </c>
      <c r="C3320" s="12" t="s">
        <v>3688</v>
      </c>
      <c r="D3320" s="83"/>
      <c r="E3320" s="69" t="str">
        <f t="shared" ref="E3320:E3325" si="143">HYPERLINK("https://www.google.ru/search?q=J46FRA0FU50C9999&amp;newwindow=1&amp;tbm=isch","Еще фото")</f>
        <v>Еще фото</v>
      </c>
      <c r="F3320" s="13"/>
      <c r="G3320" s="11" t="s">
        <v>3235</v>
      </c>
      <c r="H3320" s="11" t="s">
        <v>151</v>
      </c>
      <c r="I3320" s="14" t="s">
        <v>424</v>
      </c>
      <c r="J3320" s="14" t="s">
        <v>138</v>
      </c>
      <c r="K3320" s="15" t="s">
        <v>30</v>
      </c>
      <c r="L3320" s="86" t="s">
        <v>3689</v>
      </c>
      <c r="M3320" s="14"/>
      <c r="N3320" s="14" t="s">
        <v>3661</v>
      </c>
      <c r="O3320" s="14"/>
      <c r="P3320" s="15" t="s">
        <v>3690</v>
      </c>
      <c r="Q3320" s="16">
        <v>14690</v>
      </c>
      <c r="R3320" s="17">
        <v>69.790000000000006</v>
      </c>
      <c r="S3320" s="18">
        <v>5103.4355000000005</v>
      </c>
      <c r="T3320" s="19" t="s">
        <v>328</v>
      </c>
      <c r="U3320" s="20" t="s">
        <v>3190</v>
      </c>
      <c r="V3320" s="21">
        <v>31</v>
      </c>
      <c r="W3320" s="21">
        <v>5</v>
      </c>
      <c r="X3320" s="22"/>
    </row>
    <row r="3321" spans="1:24" s="1" customFormat="1" ht="17.100000000000001" customHeight="1" x14ac:dyDescent="0.3">
      <c r="A3321" s="23" t="s">
        <v>3183</v>
      </c>
      <c r="B3321" s="23" t="s">
        <v>3687</v>
      </c>
      <c r="C3321" s="12" t="s">
        <v>3688</v>
      </c>
      <c r="D3321" s="84"/>
      <c r="E3321" s="69" t="str">
        <f t="shared" si="143"/>
        <v>Еще фото</v>
      </c>
      <c r="F3321" s="13"/>
      <c r="G3321" s="23" t="s">
        <v>3235</v>
      </c>
      <c r="H3321" s="23" t="s">
        <v>151</v>
      </c>
      <c r="I3321" s="23" t="s">
        <v>424</v>
      </c>
      <c r="J3321" s="14" t="s">
        <v>138</v>
      </c>
      <c r="K3321" s="15" t="s">
        <v>30</v>
      </c>
      <c r="L3321" s="87"/>
      <c r="M3321" s="14"/>
      <c r="N3321" s="14" t="s">
        <v>3661</v>
      </c>
      <c r="O3321" s="14"/>
      <c r="P3321" s="15" t="s">
        <v>3690</v>
      </c>
      <c r="Q3321" s="16">
        <v>14690</v>
      </c>
      <c r="R3321" s="17">
        <v>69.790000000000006</v>
      </c>
      <c r="S3321" s="18">
        <v>5103.4355000000005</v>
      </c>
      <c r="T3321" s="19" t="s">
        <v>328</v>
      </c>
      <c r="U3321" s="20" t="s">
        <v>552</v>
      </c>
      <c r="V3321" s="21">
        <v>32</v>
      </c>
      <c r="W3321" s="21">
        <v>2</v>
      </c>
      <c r="X3321" s="22"/>
    </row>
    <row r="3322" spans="1:24" s="1" customFormat="1" ht="17.100000000000001" customHeight="1" x14ac:dyDescent="0.3">
      <c r="A3322" s="23" t="s">
        <v>3183</v>
      </c>
      <c r="B3322" s="23" t="s">
        <v>3687</v>
      </c>
      <c r="C3322" s="12" t="s">
        <v>3688</v>
      </c>
      <c r="D3322" s="84"/>
      <c r="E3322" s="69" t="str">
        <f t="shared" si="143"/>
        <v>Еще фото</v>
      </c>
      <c r="F3322" s="13"/>
      <c r="G3322" s="23" t="s">
        <v>3235</v>
      </c>
      <c r="H3322" s="23" t="s">
        <v>151</v>
      </c>
      <c r="I3322" s="23" t="s">
        <v>424</v>
      </c>
      <c r="J3322" s="14" t="s">
        <v>138</v>
      </c>
      <c r="K3322" s="15" t="s">
        <v>30</v>
      </c>
      <c r="L3322" s="87"/>
      <c r="M3322" s="14"/>
      <c r="N3322" s="14" t="s">
        <v>3661</v>
      </c>
      <c r="O3322" s="14"/>
      <c r="P3322" s="15" t="s">
        <v>3690</v>
      </c>
      <c r="Q3322" s="16">
        <v>14690</v>
      </c>
      <c r="R3322" s="17">
        <v>69.790000000000006</v>
      </c>
      <c r="S3322" s="18">
        <v>5103.4355000000005</v>
      </c>
      <c r="T3322" s="19" t="s">
        <v>328</v>
      </c>
      <c r="U3322" s="20" t="s">
        <v>553</v>
      </c>
      <c r="V3322" s="21">
        <v>33</v>
      </c>
      <c r="W3322" s="21">
        <v>7</v>
      </c>
      <c r="X3322" s="22"/>
    </row>
    <row r="3323" spans="1:24" s="1" customFormat="1" ht="17.100000000000001" customHeight="1" x14ac:dyDescent="0.3">
      <c r="A3323" s="23" t="s">
        <v>3183</v>
      </c>
      <c r="B3323" s="23" t="s">
        <v>3687</v>
      </c>
      <c r="C3323" s="12" t="s">
        <v>3688</v>
      </c>
      <c r="D3323" s="84"/>
      <c r="E3323" s="69" t="str">
        <f t="shared" si="143"/>
        <v>Еще фото</v>
      </c>
      <c r="F3323" s="13"/>
      <c r="G3323" s="23" t="s">
        <v>3235</v>
      </c>
      <c r="H3323" s="23" t="s">
        <v>151</v>
      </c>
      <c r="I3323" s="23" t="s">
        <v>424</v>
      </c>
      <c r="J3323" s="14" t="s">
        <v>138</v>
      </c>
      <c r="K3323" s="15" t="s">
        <v>30</v>
      </c>
      <c r="L3323" s="87"/>
      <c r="M3323" s="14"/>
      <c r="N3323" s="14" t="s">
        <v>3661</v>
      </c>
      <c r="O3323" s="14"/>
      <c r="P3323" s="15" t="s">
        <v>3690</v>
      </c>
      <c r="Q3323" s="16">
        <v>14690</v>
      </c>
      <c r="R3323" s="17">
        <v>69.790000000000006</v>
      </c>
      <c r="S3323" s="18">
        <v>5103.4355000000005</v>
      </c>
      <c r="T3323" s="19" t="s">
        <v>328</v>
      </c>
      <c r="U3323" s="20" t="s">
        <v>554</v>
      </c>
      <c r="V3323" s="21">
        <v>34</v>
      </c>
      <c r="W3323" s="21">
        <v>5</v>
      </c>
      <c r="X3323" s="22"/>
    </row>
    <row r="3324" spans="1:24" s="1" customFormat="1" ht="17.100000000000001" customHeight="1" x14ac:dyDescent="0.3">
      <c r="A3324" s="23" t="s">
        <v>3183</v>
      </c>
      <c r="B3324" s="23" t="s">
        <v>3687</v>
      </c>
      <c r="C3324" s="12" t="s">
        <v>3688</v>
      </c>
      <c r="D3324" s="84"/>
      <c r="E3324" s="69" t="str">
        <f t="shared" si="143"/>
        <v>Еще фото</v>
      </c>
      <c r="F3324" s="13"/>
      <c r="G3324" s="23" t="s">
        <v>3235</v>
      </c>
      <c r="H3324" s="23" t="s">
        <v>151</v>
      </c>
      <c r="I3324" s="23" t="s">
        <v>424</v>
      </c>
      <c r="J3324" s="14" t="s">
        <v>138</v>
      </c>
      <c r="K3324" s="15" t="s">
        <v>30</v>
      </c>
      <c r="L3324" s="87"/>
      <c r="M3324" s="14"/>
      <c r="N3324" s="14" t="s">
        <v>3661</v>
      </c>
      <c r="O3324" s="14"/>
      <c r="P3324" s="15" t="s">
        <v>3690</v>
      </c>
      <c r="Q3324" s="16">
        <v>14690</v>
      </c>
      <c r="R3324" s="17">
        <v>69.790000000000006</v>
      </c>
      <c r="S3324" s="18">
        <v>5103.4355000000005</v>
      </c>
      <c r="T3324" s="19" t="s">
        <v>328</v>
      </c>
      <c r="U3324" s="20" t="s">
        <v>431</v>
      </c>
      <c r="V3324" s="21">
        <v>35</v>
      </c>
      <c r="W3324" s="21">
        <v>8</v>
      </c>
      <c r="X3324" s="22"/>
    </row>
    <row r="3325" spans="1:24" s="1" customFormat="1" ht="21.95" customHeight="1" x14ac:dyDescent="0.3">
      <c r="A3325" s="23" t="s">
        <v>3183</v>
      </c>
      <c r="B3325" s="23" t="s">
        <v>3687</v>
      </c>
      <c r="C3325" s="12" t="s">
        <v>3688</v>
      </c>
      <c r="D3325" s="85"/>
      <c r="E3325" s="69" t="str">
        <f t="shared" si="143"/>
        <v>Еще фото</v>
      </c>
      <c r="F3325" s="13"/>
      <c r="G3325" s="23" t="s">
        <v>3235</v>
      </c>
      <c r="H3325" s="23" t="s">
        <v>151</v>
      </c>
      <c r="I3325" s="23" t="s">
        <v>424</v>
      </c>
      <c r="J3325" s="14" t="s">
        <v>138</v>
      </c>
      <c r="K3325" s="15" t="s">
        <v>30</v>
      </c>
      <c r="L3325" s="88"/>
      <c r="M3325" s="14"/>
      <c r="N3325" s="14" t="s">
        <v>3661</v>
      </c>
      <c r="O3325" s="14"/>
      <c r="P3325" s="15" t="s">
        <v>3690</v>
      </c>
      <c r="Q3325" s="16">
        <v>14690</v>
      </c>
      <c r="R3325" s="17">
        <v>69.790000000000006</v>
      </c>
      <c r="S3325" s="18">
        <v>5103.4355000000005</v>
      </c>
      <c r="T3325" s="19" t="s">
        <v>328</v>
      </c>
      <c r="U3325" s="20" t="s">
        <v>1503</v>
      </c>
      <c r="V3325" s="21">
        <v>36</v>
      </c>
      <c r="W3325" s="21">
        <v>8</v>
      </c>
      <c r="X3325" s="22"/>
    </row>
    <row r="3326" spans="1:24" s="1" customFormat="1" ht="12.95" customHeight="1" x14ac:dyDescent="0.3">
      <c r="A3326" s="11" t="s">
        <v>3183</v>
      </c>
      <c r="B3326" s="11" t="s">
        <v>3691</v>
      </c>
      <c r="C3326" s="12" t="s">
        <v>3692</v>
      </c>
      <c r="D3326" s="83"/>
      <c r="E3326" s="69" t="str">
        <f t="shared" ref="E3326:E3333" si="144">HYPERLINK("https://www.google.ru/search?q=J46M7E08V22C0922&amp;newwindow=1&amp;tbm=isch","Еще фото")</f>
        <v>Еще фото</v>
      </c>
      <c r="F3326" s="13"/>
      <c r="G3326" s="11" t="s">
        <v>3659</v>
      </c>
      <c r="H3326" s="11" t="s">
        <v>151</v>
      </c>
      <c r="I3326" s="14" t="s">
        <v>424</v>
      </c>
      <c r="J3326" s="14" t="s">
        <v>138</v>
      </c>
      <c r="K3326" s="15" t="s">
        <v>30</v>
      </c>
      <c r="L3326" s="86" t="s">
        <v>3693</v>
      </c>
      <c r="M3326" s="14"/>
      <c r="N3326" s="14" t="s">
        <v>1044</v>
      </c>
      <c r="O3326" s="14"/>
      <c r="P3326" s="15" t="s">
        <v>3694</v>
      </c>
      <c r="Q3326" s="16">
        <v>14690</v>
      </c>
      <c r="R3326" s="17">
        <v>69.790000000000006</v>
      </c>
      <c r="S3326" s="18">
        <v>5103.4355000000005</v>
      </c>
      <c r="T3326" s="19" t="s">
        <v>328</v>
      </c>
      <c r="U3326" s="26" t="s">
        <v>142</v>
      </c>
      <c r="V3326" s="21">
        <v>28</v>
      </c>
      <c r="W3326" s="21">
        <v>2</v>
      </c>
      <c r="X3326" s="22"/>
    </row>
    <row r="3327" spans="1:24" s="1" customFormat="1" ht="12.95" customHeight="1" x14ac:dyDescent="0.3">
      <c r="A3327" s="23" t="s">
        <v>3183</v>
      </c>
      <c r="B3327" s="23" t="s">
        <v>3691</v>
      </c>
      <c r="C3327" s="12" t="s">
        <v>3692</v>
      </c>
      <c r="D3327" s="84"/>
      <c r="E3327" s="69" t="str">
        <f t="shared" si="144"/>
        <v>Еще фото</v>
      </c>
      <c r="F3327" s="13"/>
      <c r="G3327" s="23" t="s">
        <v>3659</v>
      </c>
      <c r="H3327" s="23" t="s">
        <v>151</v>
      </c>
      <c r="I3327" s="23" t="s">
        <v>424</v>
      </c>
      <c r="J3327" s="14" t="s">
        <v>138</v>
      </c>
      <c r="K3327" s="15" t="s">
        <v>30</v>
      </c>
      <c r="L3327" s="87"/>
      <c r="M3327" s="14"/>
      <c r="N3327" s="14" t="s">
        <v>1044</v>
      </c>
      <c r="O3327" s="14"/>
      <c r="P3327" s="15" t="s">
        <v>3694</v>
      </c>
      <c r="Q3327" s="16">
        <v>14690</v>
      </c>
      <c r="R3327" s="17">
        <v>69.790000000000006</v>
      </c>
      <c r="S3327" s="18">
        <v>5103.4355000000005</v>
      </c>
      <c r="T3327" s="19" t="s">
        <v>328</v>
      </c>
      <c r="U3327" s="20" t="s">
        <v>550</v>
      </c>
      <c r="V3327" s="21">
        <v>29</v>
      </c>
      <c r="W3327" s="21">
        <v>5</v>
      </c>
      <c r="X3327" s="22"/>
    </row>
    <row r="3328" spans="1:24" s="1" customFormat="1" ht="12.95" customHeight="1" x14ac:dyDescent="0.3">
      <c r="A3328" s="23" t="s">
        <v>3183</v>
      </c>
      <c r="B3328" s="23" t="s">
        <v>3691</v>
      </c>
      <c r="C3328" s="12" t="s">
        <v>3692</v>
      </c>
      <c r="D3328" s="84"/>
      <c r="E3328" s="69" t="str">
        <f t="shared" si="144"/>
        <v>Еще фото</v>
      </c>
      <c r="F3328" s="13"/>
      <c r="G3328" s="23" t="s">
        <v>3659</v>
      </c>
      <c r="H3328" s="23" t="s">
        <v>151</v>
      </c>
      <c r="I3328" s="23" t="s">
        <v>424</v>
      </c>
      <c r="J3328" s="14" t="s">
        <v>138</v>
      </c>
      <c r="K3328" s="15" t="s">
        <v>30</v>
      </c>
      <c r="L3328" s="87"/>
      <c r="M3328" s="14"/>
      <c r="N3328" s="14" t="s">
        <v>1044</v>
      </c>
      <c r="O3328" s="14"/>
      <c r="P3328" s="15" t="s">
        <v>3694</v>
      </c>
      <c r="Q3328" s="16">
        <v>14690</v>
      </c>
      <c r="R3328" s="17">
        <v>69.790000000000006</v>
      </c>
      <c r="S3328" s="18">
        <v>5103.4355000000005</v>
      </c>
      <c r="T3328" s="19" t="s">
        <v>328</v>
      </c>
      <c r="U3328" s="20" t="s">
        <v>3189</v>
      </c>
      <c r="V3328" s="21">
        <v>30</v>
      </c>
      <c r="W3328" s="21">
        <v>13</v>
      </c>
      <c r="X3328" s="22"/>
    </row>
    <row r="3329" spans="1:24" s="1" customFormat="1" ht="12.95" customHeight="1" x14ac:dyDescent="0.3">
      <c r="A3329" s="23" t="s">
        <v>3183</v>
      </c>
      <c r="B3329" s="23" t="s">
        <v>3691</v>
      </c>
      <c r="C3329" s="12" t="s">
        <v>3692</v>
      </c>
      <c r="D3329" s="84"/>
      <c r="E3329" s="69" t="str">
        <f t="shared" si="144"/>
        <v>Еще фото</v>
      </c>
      <c r="F3329" s="13"/>
      <c r="G3329" s="23" t="s">
        <v>3659</v>
      </c>
      <c r="H3329" s="23" t="s">
        <v>151</v>
      </c>
      <c r="I3329" s="23" t="s">
        <v>424</v>
      </c>
      <c r="J3329" s="14" t="s">
        <v>138</v>
      </c>
      <c r="K3329" s="15" t="s">
        <v>30</v>
      </c>
      <c r="L3329" s="87"/>
      <c r="M3329" s="14"/>
      <c r="N3329" s="14" t="s">
        <v>1044</v>
      </c>
      <c r="O3329" s="14"/>
      <c r="P3329" s="15" t="s">
        <v>3694</v>
      </c>
      <c r="Q3329" s="16">
        <v>14690</v>
      </c>
      <c r="R3329" s="17">
        <v>69.790000000000006</v>
      </c>
      <c r="S3329" s="18">
        <v>5103.4355000000005</v>
      </c>
      <c r="T3329" s="19" t="s">
        <v>328</v>
      </c>
      <c r="U3329" s="20" t="s">
        <v>3190</v>
      </c>
      <c r="V3329" s="21">
        <v>31</v>
      </c>
      <c r="W3329" s="21">
        <v>12</v>
      </c>
      <c r="X3329" s="22"/>
    </row>
    <row r="3330" spans="1:24" s="1" customFormat="1" ht="12.95" customHeight="1" x14ac:dyDescent="0.3">
      <c r="A3330" s="23" t="s">
        <v>3183</v>
      </c>
      <c r="B3330" s="23" t="s">
        <v>3691</v>
      </c>
      <c r="C3330" s="12" t="s">
        <v>3692</v>
      </c>
      <c r="D3330" s="84"/>
      <c r="E3330" s="69" t="str">
        <f t="shared" si="144"/>
        <v>Еще фото</v>
      </c>
      <c r="F3330" s="13"/>
      <c r="G3330" s="23" t="s">
        <v>3659</v>
      </c>
      <c r="H3330" s="23" t="s">
        <v>151</v>
      </c>
      <c r="I3330" s="23" t="s">
        <v>424</v>
      </c>
      <c r="J3330" s="14" t="s">
        <v>138</v>
      </c>
      <c r="K3330" s="15" t="s">
        <v>30</v>
      </c>
      <c r="L3330" s="87"/>
      <c r="M3330" s="14"/>
      <c r="N3330" s="14" t="s">
        <v>1044</v>
      </c>
      <c r="O3330" s="14"/>
      <c r="P3330" s="15" t="s">
        <v>3694</v>
      </c>
      <c r="Q3330" s="16">
        <v>14690</v>
      </c>
      <c r="R3330" s="17">
        <v>69.790000000000006</v>
      </c>
      <c r="S3330" s="18">
        <v>5103.4355000000005</v>
      </c>
      <c r="T3330" s="19" t="s">
        <v>328</v>
      </c>
      <c r="U3330" s="20" t="s">
        <v>552</v>
      </c>
      <c r="V3330" s="21">
        <v>32</v>
      </c>
      <c r="W3330" s="21">
        <v>12</v>
      </c>
      <c r="X3330" s="22"/>
    </row>
    <row r="3331" spans="1:24" s="1" customFormat="1" ht="12.95" customHeight="1" x14ac:dyDescent="0.3">
      <c r="A3331" s="23" t="s">
        <v>3183</v>
      </c>
      <c r="B3331" s="23" t="s">
        <v>3691</v>
      </c>
      <c r="C3331" s="12" t="s">
        <v>3692</v>
      </c>
      <c r="D3331" s="84"/>
      <c r="E3331" s="69" t="str">
        <f t="shared" si="144"/>
        <v>Еще фото</v>
      </c>
      <c r="F3331" s="13"/>
      <c r="G3331" s="23" t="s">
        <v>3659</v>
      </c>
      <c r="H3331" s="23" t="s">
        <v>151</v>
      </c>
      <c r="I3331" s="23" t="s">
        <v>424</v>
      </c>
      <c r="J3331" s="14" t="s">
        <v>138</v>
      </c>
      <c r="K3331" s="15" t="s">
        <v>30</v>
      </c>
      <c r="L3331" s="87"/>
      <c r="M3331" s="14"/>
      <c r="N3331" s="14" t="s">
        <v>1044</v>
      </c>
      <c r="O3331" s="14"/>
      <c r="P3331" s="15" t="s">
        <v>3694</v>
      </c>
      <c r="Q3331" s="16">
        <v>14690</v>
      </c>
      <c r="R3331" s="17">
        <v>69.790000000000006</v>
      </c>
      <c r="S3331" s="18">
        <v>5103.4355000000005</v>
      </c>
      <c r="T3331" s="19" t="s">
        <v>328</v>
      </c>
      <c r="U3331" s="20" t="s">
        <v>553</v>
      </c>
      <c r="V3331" s="21">
        <v>33</v>
      </c>
      <c r="W3331" s="21">
        <v>11</v>
      </c>
      <c r="X3331" s="22"/>
    </row>
    <row r="3332" spans="1:24" s="1" customFormat="1" ht="12.95" customHeight="1" x14ac:dyDescent="0.3">
      <c r="A3332" s="23" t="s">
        <v>3183</v>
      </c>
      <c r="B3332" s="23" t="s">
        <v>3691</v>
      </c>
      <c r="C3332" s="12" t="s">
        <v>3692</v>
      </c>
      <c r="D3332" s="84"/>
      <c r="E3332" s="69" t="str">
        <f t="shared" si="144"/>
        <v>Еще фото</v>
      </c>
      <c r="F3332" s="13"/>
      <c r="G3332" s="23" t="s">
        <v>3659</v>
      </c>
      <c r="H3332" s="23" t="s">
        <v>151</v>
      </c>
      <c r="I3332" s="23" t="s">
        <v>424</v>
      </c>
      <c r="J3332" s="14" t="s">
        <v>138</v>
      </c>
      <c r="K3332" s="15" t="s">
        <v>30</v>
      </c>
      <c r="L3332" s="87"/>
      <c r="M3332" s="14"/>
      <c r="N3332" s="14" t="s">
        <v>1044</v>
      </c>
      <c r="O3332" s="14"/>
      <c r="P3332" s="15" t="s">
        <v>3694</v>
      </c>
      <c r="Q3332" s="16">
        <v>14690</v>
      </c>
      <c r="R3332" s="17">
        <v>69.790000000000006</v>
      </c>
      <c r="S3332" s="18">
        <v>5103.4355000000005</v>
      </c>
      <c r="T3332" s="19" t="s">
        <v>328</v>
      </c>
      <c r="U3332" s="20" t="s">
        <v>431</v>
      </c>
      <c r="V3332" s="21">
        <v>35</v>
      </c>
      <c r="W3332" s="21">
        <v>1</v>
      </c>
      <c r="X3332" s="22"/>
    </row>
    <row r="3333" spans="1:24" s="1" customFormat="1" ht="18" customHeight="1" x14ac:dyDescent="0.3">
      <c r="A3333" s="23" t="s">
        <v>3183</v>
      </c>
      <c r="B3333" s="23" t="s">
        <v>3691</v>
      </c>
      <c r="C3333" s="12" t="s">
        <v>3692</v>
      </c>
      <c r="D3333" s="85"/>
      <c r="E3333" s="69" t="str">
        <f t="shared" si="144"/>
        <v>Еще фото</v>
      </c>
      <c r="F3333" s="13"/>
      <c r="G3333" s="23" t="s">
        <v>3659</v>
      </c>
      <c r="H3333" s="23" t="s">
        <v>151</v>
      </c>
      <c r="I3333" s="23" t="s">
        <v>424</v>
      </c>
      <c r="J3333" s="14" t="s">
        <v>138</v>
      </c>
      <c r="K3333" s="15" t="s">
        <v>30</v>
      </c>
      <c r="L3333" s="88"/>
      <c r="M3333" s="14"/>
      <c r="N3333" s="14" t="s">
        <v>1044</v>
      </c>
      <c r="O3333" s="14"/>
      <c r="P3333" s="15" t="s">
        <v>3694</v>
      </c>
      <c r="Q3333" s="16">
        <v>14690</v>
      </c>
      <c r="R3333" s="17">
        <v>69.790000000000006</v>
      </c>
      <c r="S3333" s="18">
        <v>5103.4355000000005</v>
      </c>
      <c r="T3333" s="19" t="s">
        <v>328</v>
      </c>
      <c r="U3333" s="20" t="s">
        <v>1503</v>
      </c>
      <c r="V3333" s="21">
        <v>36</v>
      </c>
      <c r="W3333" s="21">
        <v>1</v>
      </c>
      <c r="X3333" s="22"/>
    </row>
    <row r="3334" spans="1:24" s="1" customFormat="1" ht="12.95" customHeight="1" x14ac:dyDescent="0.3">
      <c r="A3334" s="11" t="s">
        <v>3183</v>
      </c>
      <c r="B3334" s="11" t="s">
        <v>3695</v>
      </c>
      <c r="C3334" s="12" t="s">
        <v>3696</v>
      </c>
      <c r="D3334" s="83"/>
      <c r="E3334" s="69" t="str">
        <f t="shared" ref="E3334:E3341" si="145">HYPERLINK("https://www.google.ru/search?q=J56LCC0FUMEC4J2T&amp;newwindow=1&amp;tbm=isch","Еще фото")</f>
        <v>Еще фото</v>
      </c>
      <c r="F3334" s="13"/>
      <c r="G3334" s="11" t="s">
        <v>3659</v>
      </c>
      <c r="H3334" s="11" t="s">
        <v>151</v>
      </c>
      <c r="I3334" s="14" t="s">
        <v>424</v>
      </c>
      <c r="J3334" s="14" t="s">
        <v>138</v>
      </c>
      <c r="K3334" s="15" t="s">
        <v>30</v>
      </c>
      <c r="L3334" s="86" t="s">
        <v>3697</v>
      </c>
      <c r="M3334" s="14"/>
      <c r="N3334" s="14" t="s">
        <v>3698</v>
      </c>
      <c r="O3334" s="14"/>
      <c r="P3334" s="15" t="s">
        <v>3699</v>
      </c>
      <c r="Q3334" s="16">
        <v>14690</v>
      </c>
      <c r="R3334" s="17">
        <v>69.790000000000006</v>
      </c>
      <c r="S3334" s="18">
        <v>5103.4355000000005</v>
      </c>
      <c r="T3334" s="19" t="s">
        <v>328</v>
      </c>
      <c r="U3334" s="26" t="s">
        <v>3189</v>
      </c>
      <c r="V3334" s="21">
        <v>30</v>
      </c>
      <c r="W3334" s="21">
        <v>2</v>
      </c>
      <c r="X3334" s="22"/>
    </row>
    <row r="3335" spans="1:24" s="1" customFormat="1" ht="12.95" customHeight="1" x14ac:dyDescent="0.3">
      <c r="A3335" s="23" t="s">
        <v>3183</v>
      </c>
      <c r="B3335" s="23" t="s">
        <v>3695</v>
      </c>
      <c r="C3335" s="12" t="s">
        <v>3696</v>
      </c>
      <c r="D3335" s="84"/>
      <c r="E3335" s="69" t="str">
        <f t="shared" si="145"/>
        <v>Еще фото</v>
      </c>
      <c r="F3335" s="13"/>
      <c r="G3335" s="23" t="s">
        <v>3659</v>
      </c>
      <c r="H3335" s="23" t="s">
        <v>151</v>
      </c>
      <c r="I3335" s="23" t="s">
        <v>424</v>
      </c>
      <c r="J3335" s="14" t="s">
        <v>138</v>
      </c>
      <c r="K3335" s="15" t="s">
        <v>30</v>
      </c>
      <c r="L3335" s="87"/>
      <c r="M3335" s="14"/>
      <c r="N3335" s="14" t="s">
        <v>3698</v>
      </c>
      <c r="O3335" s="14"/>
      <c r="P3335" s="15" t="s">
        <v>3699</v>
      </c>
      <c r="Q3335" s="16">
        <v>14690</v>
      </c>
      <c r="R3335" s="17">
        <v>69.790000000000006</v>
      </c>
      <c r="S3335" s="18">
        <v>5103.4355000000005</v>
      </c>
      <c r="T3335" s="19" t="s">
        <v>328</v>
      </c>
      <c r="U3335" s="20" t="s">
        <v>3190</v>
      </c>
      <c r="V3335" s="21">
        <v>31</v>
      </c>
      <c r="W3335" s="21">
        <v>1</v>
      </c>
      <c r="X3335" s="22"/>
    </row>
    <row r="3336" spans="1:24" s="1" customFormat="1" ht="12.95" customHeight="1" x14ac:dyDescent="0.3">
      <c r="A3336" s="23" t="s">
        <v>3183</v>
      </c>
      <c r="B3336" s="23" t="s">
        <v>3695</v>
      </c>
      <c r="C3336" s="12" t="s">
        <v>3696</v>
      </c>
      <c r="D3336" s="84"/>
      <c r="E3336" s="69" t="str">
        <f t="shared" si="145"/>
        <v>Еще фото</v>
      </c>
      <c r="F3336" s="13"/>
      <c r="G3336" s="23" t="s">
        <v>3659</v>
      </c>
      <c r="H3336" s="23" t="s">
        <v>151</v>
      </c>
      <c r="I3336" s="23" t="s">
        <v>424</v>
      </c>
      <c r="J3336" s="14" t="s">
        <v>138</v>
      </c>
      <c r="K3336" s="15" t="s">
        <v>30</v>
      </c>
      <c r="L3336" s="87"/>
      <c r="M3336" s="14"/>
      <c r="N3336" s="14" t="s">
        <v>3698</v>
      </c>
      <c r="O3336" s="14"/>
      <c r="P3336" s="15" t="s">
        <v>3699</v>
      </c>
      <c r="Q3336" s="16">
        <v>14690</v>
      </c>
      <c r="R3336" s="17">
        <v>69.790000000000006</v>
      </c>
      <c r="S3336" s="18">
        <v>5103.4355000000005</v>
      </c>
      <c r="T3336" s="19" t="s">
        <v>328</v>
      </c>
      <c r="U3336" s="20" t="s">
        <v>552</v>
      </c>
      <c r="V3336" s="21">
        <v>32</v>
      </c>
      <c r="W3336" s="21">
        <v>6</v>
      </c>
      <c r="X3336" s="22"/>
    </row>
    <row r="3337" spans="1:24" s="1" customFormat="1" ht="12.95" customHeight="1" x14ac:dyDescent="0.3">
      <c r="A3337" s="23" t="s">
        <v>3183</v>
      </c>
      <c r="B3337" s="23" t="s">
        <v>3695</v>
      </c>
      <c r="C3337" s="12" t="s">
        <v>3696</v>
      </c>
      <c r="D3337" s="84"/>
      <c r="E3337" s="69" t="str">
        <f t="shared" si="145"/>
        <v>Еще фото</v>
      </c>
      <c r="F3337" s="13"/>
      <c r="G3337" s="23" t="s">
        <v>3659</v>
      </c>
      <c r="H3337" s="23" t="s">
        <v>151</v>
      </c>
      <c r="I3337" s="23" t="s">
        <v>424</v>
      </c>
      <c r="J3337" s="14" t="s">
        <v>138</v>
      </c>
      <c r="K3337" s="15" t="s">
        <v>30</v>
      </c>
      <c r="L3337" s="87"/>
      <c r="M3337" s="14"/>
      <c r="N3337" s="14" t="s">
        <v>3698</v>
      </c>
      <c r="O3337" s="14"/>
      <c r="P3337" s="15" t="s">
        <v>3699</v>
      </c>
      <c r="Q3337" s="16">
        <v>14690</v>
      </c>
      <c r="R3337" s="17">
        <v>69.790000000000006</v>
      </c>
      <c r="S3337" s="18">
        <v>5103.4355000000005</v>
      </c>
      <c r="T3337" s="19" t="s">
        <v>328</v>
      </c>
      <c r="U3337" s="20" t="s">
        <v>553</v>
      </c>
      <c r="V3337" s="21">
        <v>33</v>
      </c>
      <c r="W3337" s="21">
        <v>4</v>
      </c>
      <c r="X3337" s="22"/>
    </row>
    <row r="3338" spans="1:24" s="1" customFormat="1" ht="12.95" customHeight="1" x14ac:dyDescent="0.3">
      <c r="A3338" s="23" t="s">
        <v>3183</v>
      </c>
      <c r="B3338" s="23" t="s">
        <v>3695</v>
      </c>
      <c r="C3338" s="12" t="s">
        <v>3696</v>
      </c>
      <c r="D3338" s="84"/>
      <c r="E3338" s="69" t="str">
        <f t="shared" si="145"/>
        <v>Еще фото</v>
      </c>
      <c r="F3338" s="13"/>
      <c r="G3338" s="23" t="s">
        <v>3659</v>
      </c>
      <c r="H3338" s="23" t="s">
        <v>151</v>
      </c>
      <c r="I3338" s="23" t="s">
        <v>424</v>
      </c>
      <c r="J3338" s="14" t="s">
        <v>138</v>
      </c>
      <c r="K3338" s="15" t="s">
        <v>30</v>
      </c>
      <c r="L3338" s="87"/>
      <c r="M3338" s="14"/>
      <c r="N3338" s="14" t="s">
        <v>3698</v>
      </c>
      <c r="O3338" s="14"/>
      <c r="P3338" s="15" t="s">
        <v>3699</v>
      </c>
      <c r="Q3338" s="16">
        <v>14690</v>
      </c>
      <c r="R3338" s="17">
        <v>69.790000000000006</v>
      </c>
      <c r="S3338" s="18">
        <v>5103.4355000000005</v>
      </c>
      <c r="T3338" s="19" t="s">
        <v>328</v>
      </c>
      <c r="U3338" s="20" t="s">
        <v>431</v>
      </c>
      <c r="V3338" s="21">
        <v>35</v>
      </c>
      <c r="W3338" s="21">
        <v>6</v>
      </c>
      <c r="X3338" s="22"/>
    </row>
    <row r="3339" spans="1:24" s="1" customFormat="1" ht="12.95" customHeight="1" x14ac:dyDescent="0.3">
      <c r="A3339" s="23" t="s">
        <v>3183</v>
      </c>
      <c r="B3339" s="23" t="s">
        <v>3695</v>
      </c>
      <c r="C3339" s="12" t="s">
        <v>3696</v>
      </c>
      <c r="D3339" s="84"/>
      <c r="E3339" s="69" t="str">
        <f t="shared" si="145"/>
        <v>Еще фото</v>
      </c>
      <c r="F3339" s="13"/>
      <c r="G3339" s="23" t="s">
        <v>3659</v>
      </c>
      <c r="H3339" s="23" t="s">
        <v>151</v>
      </c>
      <c r="I3339" s="23" t="s">
        <v>424</v>
      </c>
      <c r="J3339" s="14" t="s">
        <v>138</v>
      </c>
      <c r="K3339" s="15" t="s">
        <v>30</v>
      </c>
      <c r="L3339" s="87"/>
      <c r="M3339" s="14"/>
      <c r="N3339" s="14" t="s">
        <v>3698</v>
      </c>
      <c r="O3339" s="14"/>
      <c r="P3339" s="15" t="s">
        <v>3699</v>
      </c>
      <c r="Q3339" s="16">
        <v>14690</v>
      </c>
      <c r="R3339" s="17">
        <v>69.790000000000006</v>
      </c>
      <c r="S3339" s="18">
        <v>5103.4355000000005</v>
      </c>
      <c r="T3339" s="19" t="s">
        <v>328</v>
      </c>
      <c r="U3339" s="20" t="s">
        <v>1503</v>
      </c>
      <c r="V3339" s="21">
        <v>36</v>
      </c>
      <c r="W3339" s="21">
        <v>7</v>
      </c>
      <c r="X3339" s="22"/>
    </row>
    <row r="3340" spans="1:24" s="1" customFormat="1" ht="12.95" customHeight="1" x14ac:dyDescent="0.3">
      <c r="A3340" s="23" t="s">
        <v>3183</v>
      </c>
      <c r="B3340" s="23" t="s">
        <v>3695</v>
      </c>
      <c r="C3340" s="12" t="s">
        <v>3696</v>
      </c>
      <c r="D3340" s="84"/>
      <c r="E3340" s="69" t="str">
        <f t="shared" si="145"/>
        <v>Еще фото</v>
      </c>
      <c r="F3340" s="13"/>
      <c r="G3340" s="23" t="s">
        <v>3659</v>
      </c>
      <c r="H3340" s="23" t="s">
        <v>151</v>
      </c>
      <c r="I3340" s="23" t="s">
        <v>424</v>
      </c>
      <c r="J3340" s="14" t="s">
        <v>138</v>
      </c>
      <c r="K3340" s="15" t="s">
        <v>30</v>
      </c>
      <c r="L3340" s="87"/>
      <c r="M3340" s="14"/>
      <c r="N3340" s="14" t="s">
        <v>3698</v>
      </c>
      <c r="O3340" s="14"/>
      <c r="P3340" s="15" t="s">
        <v>3699</v>
      </c>
      <c r="Q3340" s="16">
        <v>14690</v>
      </c>
      <c r="R3340" s="17">
        <v>69.790000000000006</v>
      </c>
      <c r="S3340" s="18">
        <v>5103.4355000000005</v>
      </c>
      <c r="T3340" s="19" t="s">
        <v>328</v>
      </c>
      <c r="U3340" s="20" t="s">
        <v>409</v>
      </c>
      <c r="V3340" s="21">
        <v>37</v>
      </c>
      <c r="W3340" s="21">
        <v>7</v>
      </c>
      <c r="X3340" s="22"/>
    </row>
    <row r="3341" spans="1:24" s="1" customFormat="1" ht="18" customHeight="1" x14ac:dyDescent="0.3">
      <c r="A3341" s="23" t="s">
        <v>3183</v>
      </c>
      <c r="B3341" s="23" t="s">
        <v>3695</v>
      </c>
      <c r="C3341" s="12" t="s">
        <v>3696</v>
      </c>
      <c r="D3341" s="85"/>
      <c r="E3341" s="69" t="str">
        <f t="shared" si="145"/>
        <v>Еще фото</v>
      </c>
      <c r="F3341" s="13"/>
      <c r="G3341" s="23" t="s">
        <v>3659</v>
      </c>
      <c r="H3341" s="23" t="s">
        <v>151</v>
      </c>
      <c r="I3341" s="23" t="s">
        <v>424</v>
      </c>
      <c r="J3341" s="14" t="s">
        <v>138</v>
      </c>
      <c r="K3341" s="15" t="s">
        <v>30</v>
      </c>
      <c r="L3341" s="88"/>
      <c r="M3341" s="14"/>
      <c r="N3341" s="14" t="s">
        <v>3698</v>
      </c>
      <c r="O3341" s="14"/>
      <c r="P3341" s="15" t="s">
        <v>3699</v>
      </c>
      <c r="Q3341" s="16">
        <v>14690</v>
      </c>
      <c r="R3341" s="17">
        <v>69.790000000000006</v>
      </c>
      <c r="S3341" s="18">
        <v>5103.4355000000005</v>
      </c>
      <c r="T3341" s="19" t="s">
        <v>328</v>
      </c>
      <c r="U3341" s="20" t="s">
        <v>426</v>
      </c>
      <c r="V3341" s="21">
        <v>38</v>
      </c>
      <c r="W3341" s="21">
        <v>5</v>
      </c>
      <c r="X3341" s="22"/>
    </row>
    <row r="3342" spans="1:24" s="1" customFormat="1" ht="12.95" customHeight="1" x14ac:dyDescent="0.3">
      <c r="A3342" s="11" t="s">
        <v>3183</v>
      </c>
      <c r="B3342" s="11" t="s">
        <v>3700</v>
      </c>
      <c r="C3342" s="12" t="s">
        <v>3701</v>
      </c>
      <c r="D3342" s="83"/>
      <c r="E3342" s="69" t="str">
        <f t="shared" ref="E3342:E3349" si="146">HYPERLINK("https://www.google.ru/search?q=J36ETC000BCC9999&amp;newwindow=1&amp;tbm=isch","Еще фото")</f>
        <v>Еще фото</v>
      </c>
      <c r="F3342" s="13"/>
      <c r="G3342" s="11" t="s">
        <v>3659</v>
      </c>
      <c r="H3342" s="11" t="s">
        <v>151</v>
      </c>
      <c r="I3342" s="14" t="s">
        <v>424</v>
      </c>
      <c r="J3342" s="14" t="s">
        <v>138</v>
      </c>
      <c r="K3342" s="15" t="s">
        <v>30</v>
      </c>
      <c r="L3342" s="86" t="s">
        <v>3702</v>
      </c>
      <c r="M3342" s="14"/>
      <c r="N3342" s="14" t="s">
        <v>3661</v>
      </c>
      <c r="O3342" s="14"/>
      <c r="P3342" s="15" t="s">
        <v>3703</v>
      </c>
      <c r="Q3342" s="16">
        <v>13790</v>
      </c>
      <c r="R3342" s="17">
        <v>69.78</v>
      </c>
      <c r="S3342" s="18">
        <v>4792.9355000000005</v>
      </c>
      <c r="T3342" s="19" t="s">
        <v>328</v>
      </c>
      <c r="U3342" s="26" t="s">
        <v>3190</v>
      </c>
      <c r="V3342" s="21">
        <v>31</v>
      </c>
      <c r="W3342" s="21">
        <v>2</v>
      </c>
      <c r="X3342" s="22"/>
    </row>
    <row r="3343" spans="1:24" s="1" customFormat="1" ht="12.95" customHeight="1" x14ac:dyDescent="0.3">
      <c r="A3343" s="23" t="s">
        <v>3183</v>
      </c>
      <c r="B3343" s="23" t="s">
        <v>3700</v>
      </c>
      <c r="C3343" s="12" t="s">
        <v>3701</v>
      </c>
      <c r="D3343" s="84"/>
      <c r="E3343" s="69" t="str">
        <f t="shared" si="146"/>
        <v>Еще фото</v>
      </c>
      <c r="F3343" s="13"/>
      <c r="G3343" s="23" t="s">
        <v>3659</v>
      </c>
      <c r="H3343" s="23" t="s">
        <v>151</v>
      </c>
      <c r="I3343" s="23" t="s">
        <v>424</v>
      </c>
      <c r="J3343" s="14" t="s">
        <v>138</v>
      </c>
      <c r="K3343" s="15" t="s">
        <v>30</v>
      </c>
      <c r="L3343" s="87"/>
      <c r="M3343" s="14"/>
      <c r="N3343" s="14" t="s">
        <v>3661</v>
      </c>
      <c r="O3343" s="14"/>
      <c r="P3343" s="15" t="s">
        <v>3703</v>
      </c>
      <c r="Q3343" s="16">
        <v>13790</v>
      </c>
      <c r="R3343" s="17">
        <v>69.78</v>
      </c>
      <c r="S3343" s="18">
        <v>4792.9355000000005</v>
      </c>
      <c r="T3343" s="19" t="s">
        <v>328</v>
      </c>
      <c r="U3343" s="20" t="s">
        <v>552</v>
      </c>
      <c r="V3343" s="21">
        <v>32</v>
      </c>
      <c r="W3343" s="21">
        <v>2</v>
      </c>
      <c r="X3343" s="22"/>
    </row>
    <row r="3344" spans="1:24" s="1" customFormat="1" ht="12.95" customHeight="1" x14ac:dyDescent="0.3">
      <c r="A3344" s="23" t="s">
        <v>3183</v>
      </c>
      <c r="B3344" s="23" t="s">
        <v>3700</v>
      </c>
      <c r="C3344" s="12" t="s">
        <v>3701</v>
      </c>
      <c r="D3344" s="84"/>
      <c r="E3344" s="69" t="str">
        <f t="shared" si="146"/>
        <v>Еще фото</v>
      </c>
      <c r="F3344" s="13"/>
      <c r="G3344" s="23" t="s">
        <v>3659</v>
      </c>
      <c r="H3344" s="23" t="s">
        <v>151</v>
      </c>
      <c r="I3344" s="23" t="s">
        <v>424</v>
      </c>
      <c r="J3344" s="14" t="s">
        <v>138</v>
      </c>
      <c r="K3344" s="15" t="s">
        <v>30</v>
      </c>
      <c r="L3344" s="87"/>
      <c r="M3344" s="14"/>
      <c r="N3344" s="14" t="s">
        <v>3661</v>
      </c>
      <c r="O3344" s="14"/>
      <c r="P3344" s="15" t="s">
        <v>3703</v>
      </c>
      <c r="Q3344" s="16">
        <v>13790</v>
      </c>
      <c r="R3344" s="17">
        <v>69.78</v>
      </c>
      <c r="S3344" s="18">
        <v>4792.9355000000005</v>
      </c>
      <c r="T3344" s="19" t="s">
        <v>328</v>
      </c>
      <c r="U3344" s="20" t="s">
        <v>553</v>
      </c>
      <c r="V3344" s="21">
        <v>33</v>
      </c>
      <c r="W3344" s="21">
        <v>5</v>
      </c>
      <c r="X3344" s="22"/>
    </row>
    <row r="3345" spans="1:24" s="1" customFormat="1" ht="12.95" customHeight="1" x14ac:dyDescent="0.3">
      <c r="A3345" s="23" t="s">
        <v>3183</v>
      </c>
      <c r="B3345" s="23" t="s">
        <v>3700</v>
      </c>
      <c r="C3345" s="12" t="s">
        <v>3701</v>
      </c>
      <c r="D3345" s="84"/>
      <c r="E3345" s="69" t="str">
        <f t="shared" si="146"/>
        <v>Еще фото</v>
      </c>
      <c r="F3345" s="13"/>
      <c r="G3345" s="23" t="s">
        <v>3659</v>
      </c>
      <c r="H3345" s="23" t="s">
        <v>151</v>
      </c>
      <c r="I3345" s="23" t="s">
        <v>424</v>
      </c>
      <c r="J3345" s="14" t="s">
        <v>138</v>
      </c>
      <c r="K3345" s="15" t="s">
        <v>30</v>
      </c>
      <c r="L3345" s="87"/>
      <c r="M3345" s="14"/>
      <c r="N3345" s="14" t="s">
        <v>3661</v>
      </c>
      <c r="O3345" s="14"/>
      <c r="P3345" s="15" t="s">
        <v>3703</v>
      </c>
      <c r="Q3345" s="16">
        <v>13790</v>
      </c>
      <c r="R3345" s="17">
        <v>69.78</v>
      </c>
      <c r="S3345" s="18">
        <v>4792.9355000000005</v>
      </c>
      <c r="T3345" s="19" t="s">
        <v>328</v>
      </c>
      <c r="U3345" s="20" t="s">
        <v>554</v>
      </c>
      <c r="V3345" s="21">
        <v>34</v>
      </c>
      <c r="W3345" s="21">
        <v>7</v>
      </c>
      <c r="X3345" s="22"/>
    </row>
    <row r="3346" spans="1:24" s="1" customFormat="1" ht="12.95" customHeight="1" x14ac:dyDescent="0.3">
      <c r="A3346" s="23" t="s">
        <v>3183</v>
      </c>
      <c r="B3346" s="23" t="s">
        <v>3700</v>
      </c>
      <c r="C3346" s="12" t="s">
        <v>3701</v>
      </c>
      <c r="D3346" s="84"/>
      <c r="E3346" s="69" t="str">
        <f t="shared" si="146"/>
        <v>Еще фото</v>
      </c>
      <c r="F3346" s="13"/>
      <c r="G3346" s="23" t="s">
        <v>3659</v>
      </c>
      <c r="H3346" s="23" t="s">
        <v>151</v>
      </c>
      <c r="I3346" s="23" t="s">
        <v>424</v>
      </c>
      <c r="J3346" s="14" t="s">
        <v>138</v>
      </c>
      <c r="K3346" s="15" t="s">
        <v>30</v>
      </c>
      <c r="L3346" s="87"/>
      <c r="M3346" s="14"/>
      <c r="N3346" s="14" t="s">
        <v>3661</v>
      </c>
      <c r="O3346" s="14"/>
      <c r="P3346" s="15" t="s">
        <v>3703</v>
      </c>
      <c r="Q3346" s="16">
        <v>13790</v>
      </c>
      <c r="R3346" s="17">
        <v>69.78</v>
      </c>
      <c r="S3346" s="18">
        <v>4792.9355000000005</v>
      </c>
      <c r="T3346" s="19" t="s">
        <v>328</v>
      </c>
      <c r="U3346" s="20" t="s">
        <v>431</v>
      </c>
      <c r="V3346" s="21">
        <v>35</v>
      </c>
      <c r="W3346" s="21">
        <v>4</v>
      </c>
      <c r="X3346" s="22"/>
    </row>
    <row r="3347" spans="1:24" s="1" customFormat="1" ht="12.95" customHeight="1" x14ac:dyDescent="0.3">
      <c r="A3347" s="23" t="s">
        <v>3183</v>
      </c>
      <c r="B3347" s="23" t="s">
        <v>3700</v>
      </c>
      <c r="C3347" s="12" t="s">
        <v>3701</v>
      </c>
      <c r="D3347" s="84"/>
      <c r="E3347" s="69" t="str">
        <f t="shared" si="146"/>
        <v>Еще фото</v>
      </c>
      <c r="F3347" s="13"/>
      <c r="G3347" s="23" t="s">
        <v>3659</v>
      </c>
      <c r="H3347" s="23" t="s">
        <v>151</v>
      </c>
      <c r="I3347" s="23" t="s">
        <v>424</v>
      </c>
      <c r="J3347" s="14" t="s">
        <v>138</v>
      </c>
      <c r="K3347" s="15" t="s">
        <v>30</v>
      </c>
      <c r="L3347" s="87"/>
      <c r="M3347" s="14"/>
      <c r="N3347" s="14" t="s">
        <v>3661</v>
      </c>
      <c r="O3347" s="14"/>
      <c r="P3347" s="15" t="s">
        <v>3703</v>
      </c>
      <c r="Q3347" s="16">
        <v>13790</v>
      </c>
      <c r="R3347" s="17">
        <v>69.78</v>
      </c>
      <c r="S3347" s="18">
        <v>4792.9355000000005</v>
      </c>
      <c r="T3347" s="19" t="s">
        <v>328</v>
      </c>
      <c r="U3347" s="20" t="s">
        <v>1503</v>
      </c>
      <c r="V3347" s="21">
        <v>36</v>
      </c>
      <c r="W3347" s="21">
        <v>2</v>
      </c>
      <c r="X3347" s="22"/>
    </row>
    <row r="3348" spans="1:24" s="1" customFormat="1" ht="12.95" customHeight="1" x14ac:dyDescent="0.3">
      <c r="A3348" s="23" t="s">
        <v>3183</v>
      </c>
      <c r="B3348" s="23" t="s">
        <v>3700</v>
      </c>
      <c r="C3348" s="12" t="s">
        <v>3701</v>
      </c>
      <c r="D3348" s="84"/>
      <c r="E3348" s="69" t="str">
        <f t="shared" si="146"/>
        <v>Еще фото</v>
      </c>
      <c r="F3348" s="13"/>
      <c r="G3348" s="23" t="s">
        <v>3659</v>
      </c>
      <c r="H3348" s="23" t="s">
        <v>151</v>
      </c>
      <c r="I3348" s="23" t="s">
        <v>424</v>
      </c>
      <c r="J3348" s="14" t="s">
        <v>138</v>
      </c>
      <c r="K3348" s="15" t="s">
        <v>30</v>
      </c>
      <c r="L3348" s="87"/>
      <c r="M3348" s="14"/>
      <c r="N3348" s="14" t="s">
        <v>3661</v>
      </c>
      <c r="O3348" s="14"/>
      <c r="P3348" s="15" t="s">
        <v>3703</v>
      </c>
      <c r="Q3348" s="16">
        <v>13790</v>
      </c>
      <c r="R3348" s="17">
        <v>69.78</v>
      </c>
      <c r="S3348" s="18">
        <v>4792.9355000000005</v>
      </c>
      <c r="T3348" s="19" t="s">
        <v>328</v>
      </c>
      <c r="U3348" s="20" t="s">
        <v>409</v>
      </c>
      <c r="V3348" s="21">
        <v>37</v>
      </c>
      <c r="W3348" s="21">
        <v>2</v>
      </c>
      <c r="X3348" s="22"/>
    </row>
    <row r="3349" spans="1:24" s="1" customFormat="1" ht="18" customHeight="1" x14ac:dyDescent="0.3">
      <c r="A3349" s="23" t="s">
        <v>3183</v>
      </c>
      <c r="B3349" s="23" t="s">
        <v>3700</v>
      </c>
      <c r="C3349" s="12" t="s">
        <v>3701</v>
      </c>
      <c r="D3349" s="85"/>
      <c r="E3349" s="69" t="str">
        <f t="shared" si="146"/>
        <v>Еще фото</v>
      </c>
      <c r="F3349" s="13"/>
      <c r="G3349" s="23" t="s">
        <v>3659</v>
      </c>
      <c r="H3349" s="23" t="s">
        <v>151</v>
      </c>
      <c r="I3349" s="23" t="s">
        <v>424</v>
      </c>
      <c r="J3349" s="14" t="s">
        <v>138</v>
      </c>
      <c r="K3349" s="15" t="s">
        <v>30</v>
      </c>
      <c r="L3349" s="88"/>
      <c r="M3349" s="14"/>
      <c r="N3349" s="14" t="s">
        <v>3661</v>
      </c>
      <c r="O3349" s="14"/>
      <c r="P3349" s="15" t="s">
        <v>3703</v>
      </c>
      <c r="Q3349" s="16">
        <v>13790</v>
      </c>
      <c r="R3349" s="17">
        <v>69.78</v>
      </c>
      <c r="S3349" s="18">
        <v>4792.9355000000005</v>
      </c>
      <c r="T3349" s="19" t="s">
        <v>328</v>
      </c>
      <c r="U3349" s="20" t="s">
        <v>413</v>
      </c>
      <c r="V3349" s="21">
        <v>39</v>
      </c>
      <c r="W3349" s="21">
        <v>2</v>
      </c>
      <c r="X3349" s="22"/>
    </row>
    <row r="3350" spans="1:24" s="1" customFormat="1" ht="11.1" customHeight="1" x14ac:dyDescent="0.3">
      <c r="A3350" s="11" t="s">
        <v>3183</v>
      </c>
      <c r="B3350" s="11" t="s">
        <v>3704</v>
      </c>
      <c r="C3350" s="12" t="s">
        <v>3705</v>
      </c>
      <c r="D3350" s="83"/>
      <c r="E3350" s="69" t="str">
        <f t="shared" ref="E3350:E3359" si="147">HYPERLINK("https://www.google.ru/search?q=J46MBE0MEMSC0275&amp;newwindow=1&amp;tbm=isch","Еще фото")</f>
        <v>Еще фото</v>
      </c>
      <c r="F3350" s="13"/>
      <c r="G3350" s="11" t="s">
        <v>3659</v>
      </c>
      <c r="H3350" s="11" t="s">
        <v>151</v>
      </c>
      <c r="I3350" s="14" t="s">
        <v>424</v>
      </c>
      <c r="J3350" s="14" t="s">
        <v>138</v>
      </c>
      <c r="K3350" s="15" t="s">
        <v>30</v>
      </c>
      <c r="L3350" s="86" t="s">
        <v>3706</v>
      </c>
      <c r="M3350" s="14"/>
      <c r="N3350" s="14" t="s">
        <v>3707</v>
      </c>
      <c r="O3350" s="14"/>
      <c r="P3350" s="15" t="s">
        <v>3708</v>
      </c>
      <c r="Q3350" s="16">
        <v>13790</v>
      </c>
      <c r="R3350" s="17">
        <v>69.78</v>
      </c>
      <c r="S3350" s="18">
        <v>4792.9355000000005</v>
      </c>
      <c r="T3350" s="19" t="s">
        <v>328</v>
      </c>
      <c r="U3350" s="20" t="s">
        <v>142</v>
      </c>
      <c r="V3350" s="21">
        <v>28</v>
      </c>
      <c r="W3350" s="21">
        <v>1</v>
      </c>
      <c r="X3350" s="22"/>
    </row>
    <row r="3351" spans="1:24" s="1" customFormat="1" ht="11.1" customHeight="1" x14ac:dyDescent="0.3">
      <c r="A3351" s="23" t="s">
        <v>3183</v>
      </c>
      <c r="B3351" s="23" t="s">
        <v>3704</v>
      </c>
      <c r="C3351" s="12" t="s">
        <v>3705</v>
      </c>
      <c r="D3351" s="84"/>
      <c r="E3351" s="69" t="str">
        <f t="shared" si="147"/>
        <v>Еще фото</v>
      </c>
      <c r="F3351" s="13"/>
      <c r="G3351" s="23" t="s">
        <v>3659</v>
      </c>
      <c r="H3351" s="23" t="s">
        <v>151</v>
      </c>
      <c r="I3351" s="23" t="s">
        <v>424</v>
      </c>
      <c r="J3351" s="14" t="s">
        <v>138</v>
      </c>
      <c r="K3351" s="15" t="s">
        <v>30</v>
      </c>
      <c r="L3351" s="87"/>
      <c r="M3351" s="14"/>
      <c r="N3351" s="14" t="s">
        <v>3707</v>
      </c>
      <c r="O3351" s="14"/>
      <c r="P3351" s="15" t="s">
        <v>3708</v>
      </c>
      <c r="Q3351" s="16">
        <v>13790</v>
      </c>
      <c r="R3351" s="17">
        <v>69.78</v>
      </c>
      <c r="S3351" s="18">
        <v>4792.9355000000005</v>
      </c>
      <c r="T3351" s="19" t="s">
        <v>328</v>
      </c>
      <c r="U3351" s="20" t="s">
        <v>550</v>
      </c>
      <c r="V3351" s="21">
        <v>29</v>
      </c>
      <c r="W3351" s="21">
        <v>3</v>
      </c>
      <c r="X3351" s="22"/>
    </row>
    <row r="3352" spans="1:24" s="1" customFormat="1" ht="11.1" customHeight="1" x14ac:dyDescent="0.3">
      <c r="A3352" s="23" t="s">
        <v>3183</v>
      </c>
      <c r="B3352" s="23" t="s">
        <v>3704</v>
      </c>
      <c r="C3352" s="12" t="s">
        <v>3705</v>
      </c>
      <c r="D3352" s="84"/>
      <c r="E3352" s="69" t="str">
        <f t="shared" si="147"/>
        <v>Еще фото</v>
      </c>
      <c r="F3352" s="13"/>
      <c r="G3352" s="23" t="s">
        <v>3659</v>
      </c>
      <c r="H3352" s="23" t="s">
        <v>151</v>
      </c>
      <c r="I3352" s="23" t="s">
        <v>424</v>
      </c>
      <c r="J3352" s="14" t="s">
        <v>138</v>
      </c>
      <c r="K3352" s="15" t="s">
        <v>30</v>
      </c>
      <c r="L3352" s="87"/>
      <c r="M3352" s="14"/>
      <c r="N3352" s="14" t="s">
        <v>3707</v>
      </c>
      <c r="O3352" s="14"/>
      <c r="P3352" s="15" t="s">
        <v>3708</v>
      </c>
      <c r="Q3352" s="16">
        <v>13790</v>
      </c>
      <c r="R3352" s="17">
        <v>69.78</v>
      </c>
      <c r="S3352" s="18">
        <v>4792.9355000000005</v>
      </c>
      <c r="T3352" s="19" t="s">
        <v>328</v>
      </c>
      <c r="U3352" s="20" t="s">
        <v>3189</v>
      </c>
      <c r="V3352" s="21">
        <v>30</v>
      </c>
      <c r="W3352" s="21">
        <v>4</v>
      </c>
      <c r="X3352" s="22"/>
    </row>
    <row r="3353" spans="1:24" s="1" customFormat="1" ht="11.1" customHeight="1" x14ac:dyDescent="0.3">
      <c r="A3353" s="23" t="s">
        <v>3183</v>
      </c>
      <c r="B3353" s="23" t="s">
        <v>3704</v>
      </c>
      <c r="C3353" s="12" t="s">
        <v>3705</v>
      </c>
      <c r="D3353" s="84"/>
      <c r="E3353" s="69" t="str">
        <f t="shared" si="147"/>
        <v>Еще фото</v>
      </c>
      <c r="F3353" s="13"/>
      <c r="G3353" s="23" t="s">
        <v>3659</v>
      </c>
      <c r="H3353" s="23" t="s">
        <v>151</v>
      </c>
      <c r="I3353" s="23" t="s">
        <v>424</v>
      </c>
      <c r="J3353" s="14" t="s">
        <v>138</v>
      </c>
      <c r="K3353" s="15" t="s">
        <v>30</v>
      </c>
      <c r="L3353" s="87"/>
      <c r="M3353" s="14"/>
      <c r="N3353" s="14" t="s">
        <v>3707</v>
      </c>
      <c r="O3353" s="14"/>
      <c r="P3353" s="15" t="s">
        <v>3708</v>
      </c>
      <c r="Q3353" s="16">
        <v>13790</v>
      </c>
      <c r="R3353" s="17">
        <v>69.78</v>
      </c>
      <c r="S3353" s="18">
        <v>4792.9355000000005</v>
      </c>
      <c r="T3353" s="19" t="s">
        <v>328</v>
      </c>
      <c r="U3353" s="20" t="s">
        <v>3190</v>
      </c>
      <c r="V3353" s="21">
        <v>31</v>
      </c>
      <c r="W3353" s="21">
        <v>8</v>
      </c>
      <c r="X3353" s="22"/>
    </row>
    <row r="3354" spans="1:24" s="1" customFormat="1" ht="11.1" customHeight="1" x14ac:dyDescent="0.3">
      <c r="A3354" s="23" t="s">
        <v>3183</v>
      </c>
      <c r="B3354" s="23" t="s">
        <v>3704</v>
      </c>
      <c r="C3354" s="12" t="s">
        <v>3705</v>
      </c>
      <c r="D3354" s="84"/>
      <c r="E3354" s="69" t="str">
        <f t="shared" si="147"/>
        <v>Еще фото</v>
      </c>
      <c r="F3354" s="13"/>
      <c r="G3354" s="23" t="s">
        <v>3659</v>
      </c>
      <c r="H3354" s="23" t="s">
        <v>151</v>
      </c>
      <c r="I3354" s="23" t="s">
        <v>424</v>
      </c>
      <c r="J3354" s="14" t="s">
        <v>138</v>
      </c>
      <c r="K3354" s="15" t="s">
        <v>30</v>
      </c>
      <c r="L3354" s="87"/>
      <c r="M3354" s="14"/>
      <c r="N3354" s="14" t="s">
        <v>3707</v>
      </c>
      <c r="O3354" s="14"/>
      <c r="P3354" s="15" t="s">
        <v>3708</v>
      </c>
      <c r="Q3354" s="16">
        <v>13790</v>
      </c>
      <c r="R3354" s="17">
        <v>69.78</v>
      </c>
      <c r="S3354" s="18">
        <v>4792.9355000000005</v>
      </c>
      <c r="T3354" s="19" t="s">
        <v>328</v>
      </c>
      <c r="U3354" s="20" t="s">
        <v>552</v>
      </c>
      <c r="V3354" s="21">
        <v>32</v>
      </c>
      <c r="W3354" s="21">
        <v>6</v>
      </c>
      <c r="X3354" s="22"/>
    </row>
    <row r="3355" spans="1:24" s="1" customFormat="1" ht="11.1" customHeight="1" x14ac:dyDescent="0.3">
      <c r="A3355" s="23" t="s">
        <v>3183</v>
      </c>
      <c r="B3355" s="23" t="s">
        <v>3704</v>
      </c>
      <c r="C3355" s="12" t="s">
        <v>3705</v>
      </c>
      <c r="D3355" s="84"/>
      <c r="E3355" s="69" t="str">
        <f t="shared" si="147"/>
        <v>Еще фото</v>
      </c>
      <c r="F3355" s="13"/>
      <c r="G3355" s="23" t="s">
        <v>3659</v>
      </c>
      <c r="H3355" s="23" t="s">
        <v>151</v>
      </c>
      <c r="I3355" s="23" t="s">
        <v>424</v>
      </c>
      <c r="J3355" s="14" t="s">
        <v>138</v>
      </c>
      <c r="K3355" s="15" t="s">
        <v>30</v>
      </c>
      <c r="L3355" s="87"/>
      <c r="M3355" s="14"/>
      <c r="N3355" s="14" t="s">
        <v>3707</v>
      </c>
      <c r="O3355" s="14"/>
      <c r="P3355" s="15" t="s">
        <v>3708</v>
      </c>
      <c r="Q3355" s="16">
        <v>13790</v>
      </c>
      <c r="R3355" s="17">
        <v>69.78</v>
      </c>
      <c r="S3355" s="18">
        <v>4792.9355000000005</v>
      </c>
      <c r="T3355" s="19" t="s">
        <v>328</v>
      </c>
      <c r="U3355" s="20" t="s">
        <v>553</v>
      </c>
      <c r="V3355" s="21">
        <v>33</v>
      </c>
      <c r="W3355" s="21">
        <v>5</v>
      </c>
      <c r="X3355" s="22"/>
    </row>
    <row r="3356" spans="1:24" s="1" customFormat="1" ht="11.1" customHeight="1" x14ac:dyDescent="0.3">
      <c r="A3356" s="23" t="s">
        <v>3183</v>
      </c>
      <c r="B3356" s="23" t="s">
        <v>3704</v>
      </c>
      <c r="C3356" s="12" t="s">
        <v>3705</v>
      </c>
      <c r="D3356" s="84"/>
      <c r="E3356" s="69" t="str">
        <f t="shared" si="147"/>
        <v>Еще фото</v>
      </c>
      <c r="F3356" s="13"/>
      <c r="G3356" s="23" t="s">
        <v>3659</v>
      </c>
      <c r="H3356" s="23" t="s">
        <v>151</v>
      </c>
      <c r="I3356" s="23" t="s">
        <v>424</v>
      </c>
      <c r="J3356" s="14" t="s">
        <v>138</v>
      </c>
      <c r="K3356" s="15" t="s">
        <v>30</v>
      </c>
      <c r="L3356" s="87"/>
      <c r="M3356" s="14"/>
      <c r="N3356" s="14" t="s">
        <v>3707</v>
      </c>
      <c r="O3356" s="14"/>
      <c r="P3356" s="15" t="s">
        <v>3708</v>
      </c>
      <c r="Q3356" s="16">
        <v>13790</v>
      </c>
      <c r="R3356" s="17">
        <v>69.78</v>
      </c>
      <c r="S3356" s="18">
        <v>4792.9355000000005</v>
      </c>
      <c r="T3356" s="19" t="s">
        <v>328</v>
      </c>
      <c r="U3356" s="20" t="s">
        <v>554</v>
      </c>
      <c r="V3356" s="21">
        <v>34</v>
      </c>
      <c r="W3356" s="21">
        <v>13</v>
      </c>
      <c r="X3356" s="22"/>
    </row>
    <row r="3357" spans="1:24" s="1" customFormat="1" ht="11.1" customHeight="1" x14ac:dyDescent="0.3">
      <c r="A3357" s="23" t="s">
        <v>3183</v>
      </c>
      <c r="B3357" s="23" t="s">
        <v>3704</v>
      </c>
      <c r="C3357" s="12" t="s">
        <v>3705</v>
      </c>
      <c r="D3357" s="84"/>
      <c r="E3357" s="69" t="str">
        <f t="shared" si="147"/>
        <v>Еще фото</v>
      </c>
      <c r="F3357" s="13"/>
      <c r="G3357" s="23" t="s">
        <v>3659</v>
      </c>
      <c r="H3357" s="23" t="s">
        <v>151</v>
      </c>
      <c r="I3357" s="23" t="s">
        <v>424</v>
      </c>
      <c r="J3357" s="14" t="s">
        <v>138</v>
      </c>
      <c r="K3357" s="15" t="s">
        <v>30</v>
      </c>
      <c r="L3357" s="87"/>
      <c r="M3357" s="14"/>
      <c r="N3357" s="14" t="s">
        <v>3707</v>
      </c>
      <c r="O3357" s="14"/>
      <c r="P3357" s="15" t="s">
        <v>3708</v>
      </c>
      <c r="Q3357" s="16">
        <v>13790</v>
      </c>
      <c r="R3357" s="17">
        <v>69.78</v>
      </c>
      <c r="S3357" s="18">
        <v>4792.9355000000005</v>
      </c>
      <c r="T3357" s="19" t="s">
        <v>328</v>
      </c>
      <c r="U3357" s="20" t="s">
        <v>431</v>
      </c>
      <c r="V3357" s="21">
        <v>35</v>
      </c>
      <c r="W3357" s="21">
        <v>12</v>
      </c>
      <c r="X3357" s="22"/>
    </row>
    <row r="3358" spans="1:24" s="1" customFormat="1" ht="11.1" customHeight="1" x14ac:dyDescent="0.3">
      <c r="A3358" s="23" t="s">
        <v>3183</v>
      </c>
      <c r="B3358" s="23" t="s">
        <v>3704</v>
      </c>
      <c r="C3358" s="12" t="s">
        <v>3705</v>
      </c>
      <c r="D3358" s="84"/>
      <c r="E3358" s="69" t="str">
        <f t="shared" si="147"/>
        <v>Еще фото</v>
      </c>
      <c r="F3358" s="13"/>
      <c r="G3358" s="23" t="s">
        <v>3659</v>
      </c>
      <c r="H3358" s="23" t="s">
        <v>151</v>
      </c>
      <c r="I3358" s="23" t="s">
        <v>424</v>
      </c>
      <c r="J3358" s="14" t="s">
        <v>138</v>
      </c>
      <c r="K3358" s="15" t="s">
        <v>30</v>
      </c>
      <c r="L3358" s="87"/>
      <c r="M3358" s="14"/>
      <c r="N3358" s="14" t="s">
        <v>3707</v>
      </c>
      <c r="O3358" s="14"/>
      <c r="P3358" s="15" t="s">
        <v>3708</v>
      </c>
      <c r="Q3358" s="16">
        <v>13790</v>
      </c>
      <c r="R3358" s="17">
        <v>69.78</v>
      </c>
      <c r="S3358" s="18">
        <v>4792.9355000000005</v>
      </c>
      <c r="T3358" s="19" t="s">
        <v>328</v>
      </c>
      <c r="U3358" s="20" t="s">
        <v>1503</v>
      </c>
      <c r="V3358" s="21">
        <v>36</v>
      </c>
      <c r="W3358" s="21">
        <v>7</v>
      </c>
      <c r="X3358" s="22"/>
    </row>
    <row r="3359" spans="1:24" s="1" customFormat="1" ht="11.1" customHeight="1" x14ac:dyDescent="0.3">
      <c r="A3359" s="14" t="s">
        <v>3183</v>
      </c>
      <c r="B3359" s="14" t="s">
        <v>3704</v>
      </c>
      <c r="C3359" s="12" t="s">
        <v>3705</v>
      </c>
      <c r="D3359" s="85"/>
      <c r="E3359" s="69" t="str">
        <f t="shared" si="147"/>
        <v>Еще фото</v>
      </c>
      <c r="F3359" s="36"/>
      <c r="G3359" s="14" t="s">
        <v>3659</v>
      </c>
      <c r="H3359" s="14" t="s">
        <v>151</v>
      </c>
      <c r="I3359" s="14" t="s">
        <v>424</v>
      </c>
      <c r="J3359" s="14" t="s">
        <v>138</v>
      </c>
      <c r="K3359" s="14" t="s">
        <v>30</v>
      </c>
      <c r="L3359" s="88"/>
      <c r="M3359" s="14"/>
      <c r="N3359" s="14" t="s">
        <v>3707</v>
      </c>
      <c r="O3359" s="14"/>
      <c r="P3359" s="14" t="s">
        <v>3708</v>
      </c>
      <c r="Q3359" s="33">
        <v>13790</v>
      </c>
      <c r="R3359" s="34">
        <v>69.78</v>
      </c>
      <c r="S3359" s="35">
        <v>4792.9355000000005</v>
      </c>
      <c r="T3359" s="19" t="s">
        <v>328</v>
      </c>
      <c r="U3359" s="20" t="s">
        <v>409</v>
      </c>
      <c r="V3359" s="21">
        <v>37</v>
      </c>
      <c r="W3359" s="21">
        <v>2</v>
      </c>
      <c r="X3359" s="22"/>
    </row>
    <row r="3360" spans="1:24" s="1" customFormat="1" ht="12.95" customHeight="1" x14ac:dyDescent="0.3">
      <c r="A3360" s="11" t="s">
        <v>3183</v>
      </c>
      <c r="B3360" s="11" t="s">
        <v>3704</v>
      </c>
      <c r="C3360" s="12" t="s">
        <v>3709</v>
      </c>
      <c r="D3360" s="83"/>
      <c r="E3360" s="69" t="str">
        <f t="shared" ref="E3360:E3367" si="148">HYPERLINK("https://www.google.ru/search?q=J46MBE0MEMSC0749&amp;newwindow=1&amp;tbm=isch","Еще фото")</f>
        <v>Еще фото</v>
      </c>
      <c r="F3360" s="13"/>
      <c r="G3360" s="11" t="s">
        <v>3659</v>
      </c>
      <c r="H3360" s="11" t="s">
        <v>151</v>
      </c>
      <c r="I3360" s="14" t="s">
        <v>424</v>
      </c>
      <c r="J3360" s="14" t="s">
        <v>138</v>
      </c>
      <c r="K3360" s="15" t="s">
        <v>30</v>
      </c>
      <c r="L3360" s="86" t="s">
        <v>3706</v>
      </c>
      <c r="M3360" s="14"/>
      <c r="N3360" s="14" t="s">
        <v>1076</v>
      </c>
      <c r="O3360" s="14"/>
      <c r="P3360" s="15" t="s">
        <v>3708</v>
      </c>
      <c r="Q3360" s="16">
        <v>13790</v>
      </c>
      <c r="R3360" s="17">
        <v>69.78</v>
      </c>
      <c r="S3360" s="18">
        <v>4792.9355000000005</v>
      </c>
      <c r="T3360" s="19" t="s">
        <v>328</v>
      </c>
      <c r="U3360" s="26" t="s">
        <v>550</v>
      </c>
      <c r="V3360" s="21">
        <v>29</v>
      </c>
      <c r="W3360" s="21">
        <v>1</v>
      </c>
      <c r="X3360" s="22"/>
    </row>
    <row r="3361" spans="1:24" s="1" customFormat="1" ht="12.95" customHeight="1" x14ac:dyDescent="0.3">
      <c r="A3361" s="23" t="s">
        <v>3183</v>
      </c>
      <c r="B3361" s="23" t="s">
        <v>3704</v>
      </c>
      <c r="C3361" s="12" t="s">
        <v>3709</v>
      </c>
      <c r="D3361" s="84"/>
      <c r="E3361" s="69" t="str">
        <f t="shared" si="148"/>
        <v>Еще фото</v>
      </c>
      <c r="F3361" s="13"/>
      <c r="G3361" s="23" t="s">
        <v>3659</v>
      </c>
      <c r="H3361" s="23" t="s">
        <v>151</v>
      </c>
      <c r="I3361" s="23" t="s">
        <v>424</v>
      </c>
      <c r="J3361" s="14" t="s">
        <v>138</v>
      </c>
      <c r="K3361" s="15" t="s">
        <v>30</v>
      </c>
      <c r="L3361" s="87"/>
      <c r="M3361" s="14"/>
      <c r="N3361" s="14" t="s">
        <v>1076</v>
      </c>
      <c r="O3361" s="14"/>
      <c r="P3361" s="15" t="s">
        <v>3708</v>
      </c>
      <c r="Q3361" s="16">
        <v>13790</v>
      </c>
      <c r="R3361" s="17">
        <v>69.78</v>
      </c>
      <c r="S3361" s="18">
        <v>4792.9355000000005</v>
      </c>
      <c r="T3361" s="19" t="s">
        <v>328</v>
      </c>
      <c r="U3361" s="20" t="s">
        <v>3189</v>
      </c>
      <c r="V3361" s="21">
        <v>30</v>
      </c>
      <c r="W3361" s="21">
        <v>3</v>
      </c>
      <c r="X3361" s="22"/>
    </row>
    <row r="3362" spans="1:24" s="1" customFormat="1" ht="12.95" customHeight="1" x14ac:dyDescent="0.3">
      <c r="A3362" s="23" t="s">
        <v>3183</v>
      </c>
      <c r="B3362" s="23" t="s">
        <v>3704</v>
      </c>
      <c r="C3362" s="12" t="s">
        <v>3709</v>
      </c>
      <c r="D3362" s="84"/>
      <c r="E3362" s="69" t="str">
        <f t="shared" si="148"/>
        <v>Еще фото</v>
      </c>
      <c r="F3362" s="13"/>
      <c r="G3362" s="23" t="s">
        <v>3659</v>
      </c>
      <c r="H3362" s="23" t="s">
        <v>151</v>
      </c>
      <c r="I3362" s="23" t="s">
        <v>424</v>
      </c>
      <c r="J3362" s="14" t="s">
        <v>138</v>
      </c>
      <c r="K3362" s="15" t="s">
        <v>30</v>
      </c>
      <c r="L3362" s="87"/>
      <c r="M3362" s="14"/>
      <c r="N3362" s="14" t="s">
        <v>1076</v>
      </c>
      <c r="O3362" s="14"/>
      <c r="P3362" s="15" t="s">
        <v>3708</v>
      </c>
      <c r="Q3362" s="16">
        <v>13790</v>
      </c>
      <c r="R3362" s="17">
        <v>69.78</v>
      </c>
      <c r="S3362" s="18">
        <v>4792.9355000000005</v>
      </c>
      <c r="T3362" s="19" t="s">
        <v>328</v>
      </c>
      <c r="U3362" s="20" t="s">
        <v>3190</v>
      </c>
      <c r="V3362" s="21">
        <v>31</v>
      </c>
      <c r="W3362" s="21">
        <v>9</v>
      </c>
      <c r="X3362" s="22"/>
    </row>
    <row r="3363" spans="1:24" s="1" customFormat="1" ht="12.95" customHeight="1" x14ac:dyDescent="0.3">
      <c r="A3363" s="23" t="s">
        <v>3183</v>
      </c>
      <c r="B3363" s="23" t="s">
        <v>3704</v>
      </c>
      <c r="C3363" s="12" t="s">
        <v>3709</v>
      </c>
      <c r="D3363" s="84"/>
      <c r="E3363" s="69" t="str">
        <f t="shared" si="148"/>
        <v>Еще фото</v>
      </c>
      <c r="F3363" s="13"/>
      <c r="G3363" s="23" t="s">
        <v>3659</v>
      </c>
      <c r="H3363" s="23" t="s">
        <v>151</v>
      </c>
      <c r="I3363" s="23" t="s">
        <v>424</v>
      </c>
      <c r="J3363" s="14" t="s">
        <v>138</v>
      </c>
      <c r="K3363" s="15" t="s">
        <v>30</v>
      </c>
      <c r="L3363" s="87"/>
      <c r="M3363" s="14"/>
      <c r="N3363" s="14" t="s">
        <v>1076</v>
      </c>
      <c r="O3363" s="14"/>
      <c r="P3363" s="15" t="s">
        <v>3708</v>
      </c>
      <c r="Q3363" s="16">
        <v>13790</v>
      </c>
      <c r="R3363" s="17">
        <v>69.78</v>
      </c>
      <c r="S3363" s="18">
        <v>4792.9355000000005</v>
      </c>
      <c r="T3363" s="19" t="s">
        <v>328</v>
      </c>
      <c r="U3363" s="20" t="s">
        <v>552</v>
      </c>
      <c r="V3363" s="21">
        <v>32</v>
      </c>
      <c r="W3363" s="21">
        <v>9</v>
      </c>
      <c r="X3363" s="22"/>
    </row>
    <row r="3364" spans="1:24" s="1" customFormat="1" ht="12.95" customHeight="1" x14ac:dyDescent="0.3">
      <c r="A3364" s="23" t="s">
        <v>3183</v>
      </c>
      <c r="B3364" s="23" t="s">
        <v>3704</v>
      </c>
      <c r="C3364" s="12" t="s">
        <v>3709</v>
      </c>
      <c r="D3364" s="84"/>
      <c r="E3364" s="69" t="str">
        <f t="shared" si="148"/>
        <v>Еще фото</v>
      </c>
      <c r="F3364" s="13"/>
      <c r="G3364" s="23" t="s">
        <v>3659</v>
      </c>
      <c r="H3364" s="23" t="s">
        <v>151</v>
      </c>
      <c r="I3364" s="23" t="s">
        <v>424</v>
      </c>
      <c r="J3364" s="14" t="s">
        <v>138</v>
      </c>
      <c r="K3364" s="15" t="s">
        <v>30</v>
      </c>
      <c r="L3364" s="87"/>
      <c r="M3364" s="14"/>
      <c r="N3364" s="14" t="s">
        <v>1076</v>
      </c>
      <c r="O3364" s="14"/>
      <c r="P3364" s="15" t="s">
        <v>3708</v>
      </c>
      <c r="Q3364" s="16">
        <v>13790</v>
      </c>
      <c r="R3364" s="17">
        <v>69.78</v>
      </c>
      <c r="S3364" s="18">
        <v>4792.9355000000005</v>
      </c>
      <c r="T3364" s="19" t="s">
        <v>328</v>
      </c>
      <c r="U3364" s="20" t="s">
        <v>553</v>
      </c>
      <c r="V3364" s="21">
        <v>33</v>
      </c>
      <c r="W3364" s="21">
        <v>8</v>
      </c>
      <c r="X3364" s="22"/>
    </row>
    <row r="3365" spans="1:24" s="1" customFormat="1" ht="12.95" customHeight="1" x14ac:dyDescent="0.3">
      <c r="A3365" s="23" t="s">
        <v>3183</v>
      </c>
      <c r="B3365" s="23" t="s">
        <v>3704</v>
      </c>
      <c r="C3365" s="12" t="s">
        <v>3709</v>
      </c>
      <c r="D3365" s="84"/>
      <c r="E3365" s="69" t="str">
        <f t="shared" si="148"/>
        <v>Еще фото</v>
      </c>
      <c r="F3365" s="13"/>
      <c r="G3365" s="23" t="s">
        <v>3659</v>
      </c>
      <c r="H3365" s="23" t="s">
        <v>151</v>
      </c>
      <c r="I3365" s="23" t="s">
        <v>424</v>
      </c>
      <c r="J3365" s="14" t="s">
        <v>138</v>
      </c>
      <c r="K3365" s="15" t="s">
        <v>30</v>
      </c>
      <c r="L3365" s="87"/>
      <c r="M3365" s="14"/>
      <c r="N3365" s="14" t="s">
        <v>1076</v>
      </c>
      <c r="O3365" s="14"/>
      <c r="P3365" s="15" t="s">
        <v>3708</v>
      </c>
      <c r="Q3365" s="16">
        <v>13790</v>
      </c>
      <c r="R3365" s="17">
        <v>69.78</v>
      </c>
      <c r="S3365" s="18">
        <v>4792.9355000000005</v>
      </c>
      <c r="T3365" s="19" t="s">
        <v>328</v>
      </c>
      <c r="U3365" s="20" t="s">
        <v>554</v>
      </c>
      <c r="V3365" s="21">
        <v>34</v>
      </c>
      <c r="W3365" s="21">
        <v>13</v>
      </c>
      <c r="X3365" s="22"/>
    </row>
    <row r="3366" spans="1:24" s="1" customFormat="1" ht="12.95" customHeight="1" x14ac:dyDescent="0.3">
      <c r="A3366" s="23" t="s">
        <v>3183</v>
      </c>
      <c r="B3366" s="23" t="s">
        <v>3704</v>
      </c>
      <c r="C3366" s="12" t="s">
        <v>3709</v>
      </c>
      <c r="D3366" s="84"/>
      <c r="E3366" s="69" t="str">
        <f t="shared" si="148"/>
        <v>Еще фото</v>
      </c>
      <c r="F3366" s="13"/>
      <c r="G3366" s="23" t="s">
        <v>3659</v>
      </c>
      <c r="H3366" s="23" t="s">
        <v>151</v>
      </c>
      <c r="I3366" s="23" t="s">
        <v>424</v>
      </c>
      <c r="J3366" s="14" t="s">
        <v>138</v>
      </c>
      <c r="K3366" s="15" t="s">
        <v>30</v>
      </c>
      <c r="L3366" s="87"/>
      <c r="M3366" s="14"/>
      <c r="N3366" s="14" t="s">
        <v>1076</v>
      </c>
      <c r="O3366" s="14"/>
      <c r="P3366" s="15" t="s">
        <v>3708</v>
      </c>
      <c r="Q3366" s="16">
        <v>13790</v>
      </c>
      <c r="R3366" s="17">
        <v>69.78</v>
      </c>
      <c r="S3366" s="18">
        <v>4792.9355000000005</v>
      </c>
      <c r="T3366" s="19" t="s">
        <v>328</v>
      </c>
      <c r="U3366" s="20" t="s">
        <v>431</v>
      </c>
      <c r="V3366" s="21">
        <v>35</v>
      </c>
      <c r="W3366" s="21">
        <v>6</v>
      </c>
      <c r="X3366" s="22"/>
    </row>
    <row r="3367" spans="1:24" s="1" customFormat="1" ht="18" customHeight="1" x14ac:dyDescent="0.3">
      <c r="A3367" s="23" t="s">
        <v>3183</v>
      </c>
      <c r="B3367" s="23" t="s">
        <v>3704</v>
      </c>
      <c r="C3367" s="12" t="s">
        <v>3709</v>
      </c>
      <c r="D3367" s="85"/>
      <c r="E3367" s="69" t="str">
        <f t="shared" si="148"/>
        <v>Еще фото</v>
      </c>
      <c r="F3367" s="13"/>
      <c r="G3367" s="23" t="s">
        <v>3659</v>
      </c>
      <c r="H3367" s="23" t="s">
        <v>151</v>
      </c>
      <c r="I3367" s="23" t="s">
        <v>424</v>
      </c>
      <c r="J3367" s="14" t="s">
        <v>138</v>
      </c>
      <c r="K3367" s="15" t="s">
        <v>30</v>
      </c>
      <c r="L3367" s="88"/>
      <c r="M3367" s="14"/>
      <c r="N3367" s="14" t="s">
        <v>1076</v>
      </c>
      <c r="O3367" s="14"/>
      <c r="P3367" s="15" t="s">
        <v>3708</v>
      </c>
      <c r="Q3367" s="16">
        <v>13790</v>
      </c>
      <c r="R3367" s="17">
        <v>69.78</v>
      </c>
      <c r="S3367" s="18">
        <v>4792.9355000000005</v>
      </c>
      <c r="T3367" s="19" t="s">
        <v>328</v>
      </c>
      <c r="U3367" s="20" t="s">
        <v>1503</v>
      </c>
      <c r="V3367" s="21">
        <v>36</v>
      </c>
      <c r="W3367" s="21">
        <v>10</v>
      </c>
      <c r="X3367" s="22"/>
    </row>
    <row r="3368" spans="1:24" s="1" customFormat="1" ht="21" customHeight="1" x14ac:dyDescent="0.3">
      <c r="A3368" s="11" t="s">
        <v>3183</v>
      </c>
      <c r="B3368" s="11" t="s">
        <v>3710</v>
      </c>
      <c r="C3368" s="27" t="s">
        <v>3711</v>
      </c>
      <c r="D3368" s="83"/>
      <c r="E3368" s="69" t="str">
        <f>HYPERLINK("https://www.google.ru/search?q=J949XA032FUC9241&amp;newwindow=1&amp;tbm=isch","Еще фото")</f>
        <v>Еще фото</v>
      </c>
      <c r="F3368" s="13"/>
      <c r="G3368" s="11" t="s">
        <v>3659</v>
      </c>
      <c r="H3368" s="11" t="s">
        <v>151</v>
      </c>
      <c r="I3368" s="14" t="s">
        <v>424</v>
      </c>
      <c r="J3368" s="14" t="s">
        <v>138</v>
      </c>
      <c r="K3368" s="15" t="s">
        <v>30</v>
      </c>
      <c r="L3368" s="86" t="s">
        <v>3712</v>
      </c>
      <c r="M3368" s="14"/>
      <c r="N3368" s="14" t="s">
        <v>3713</v>
      </c>
      <c r="O3368" s="14"/>
      <c r="P3368" s="15" t="s">
        <v>3714</v>
      </c>
      <c r="Q3368" s="16">
        <v>13690</v>
      </c>
      <c r="R3368" s="17">
        <v>69.78</v>
      </c>
      <c r="S3368" s="18">
        <v>4758.4355000000005</v>
      </c>
      <c r="T3368" s="19" t="s">
        <v>328</v>
      </c>
      <c r="U3368" s="20" t="s">
        <v>552</v>
      </c>
      <c r="V3368" s="21">
        <v>32</v>
      </c>
      <c r="W3368" s="21">
        <v>4</v>
      </c>
      <c r="X3368" s="22"/>
    </row>
    <row r="3369" spans="1:24" s="1" customFormat="1" ht="21" customHeight="1" x14ac:dyDescent="0.3">
      <c r="A3369" s="23" t="s">
        <v>3183</v>
      </c>
      <c r="B3369" s="23" t="s">
        <v>3710</v>
      </c>
      <c r="C3369" s="28" t="s">
        <v>3711</v>
      </c>
      <c r="D3369" s="84"/>
      <c r="E3369" s="69" t="str">
        <f>HYPERLINK("https://www.google.ru/search?q=J949XA032FUC9241&amp;newwindow=1&amp;tbm=isch","Еще фото")</f>
        <v>Еще фото</v>
      </c>
      <c r="F3369" s="13"/>
      <c r="G3369" s="23" t="s">
        <v>3659</v>
      </c>
      <c r="H3369" s="23" t="s">
        <v>151</v>
      </c>
      <c r="I3369" s="23" t="s">
        <v>424</v>
      </c>
      <c r="J3369" s="14" t="s">
        <v>138</v>
      </c>
      <c r="K3369" s="15" t="s">
        <v>30</v>
      </c>
      <c r="L3369" s="87"/>
      <c r="M3369" s="14"/>
      <c r="N3369" s="14" t="s">
        <v>3713</v>
      </c>
      <c r="O3369" s="14"/>
      <c r="P3369" s="15" t="s">
        <v>3714</v>
      </c>
      <c r="Q3369" s="16">
        <v>13690</v>
      </c>
      <c r="R3369" s="17">
        <v>69.78</v>
      </c>
      <c r="S3369" s="18">
        <v>4758.4355000000005</v>
      </c>
      <c r="T3369" s="19" t="s">
        <v>328</v>
      </c>
      <c r="U3369" s="20" t="s">
        <v>553</v>
      </c>
      <c r="V3369" s="21">
        <v>33</v>
      </c>
      <c r="W3369" s="21">
        <v>3</v>
      </c>
      <c r="X3369" s="22"/>
    </row>
    <row r="3370" spans="1:24" s="1" customFormat="1" ht="21" customHeight="1" x14ac:dyDescent="0.3">
      <c r="A3370" s="23" t="s">
        <v>3183</v>
      </c>
      <c r="B3370" s="23" t="s">
        <v>3710</v>
      </c>
      <c r="C3370" s="28" t="s">
        <v>3711</v>
      </c>
      <c r="D3370" s="84"/>
      <c r="E3370" s="69" t="str">
        <f>HYPERLINK("https://www.google.ru/search?q=J949XA032FUC9241&amp;newwindow=1&amp;tbm=isch","Еще фото")</f>
        <v>Еще фото</v>
      </c>
      <c r="F3370" s="13"/>
      <c r="G3370" s="23" t="s">
        <v>3659</v>
      </c>
      <c r="H3370" s="23" t="s">
        <v>151</v>
      </c>
      <c r="I3370" s="23" t="s">
        <v>424</v>
      </c>
      <c r="J3370" s="14" t="s">
        <v>138</v>
      </c>
      <c r="K3370" s="15" t="s">
        <v>30</v>
      </c>
      <c r="L3370" s="87"/>
      <c r="M3370" s="14"/>
      <c r="N3370" s="14" t="s">
        <v>3713</v>
      </c>
      <c r="O3370" s="14"/>
      <c r="P3370" s="15" t="s">
        <v>3714</v>
      </c>
      <c r="Q3370" s="16">
        <v>13690</v>
      </c>
      <c r="R3370" s="17">
        <v>69.78</v>
      </c>
      <c r="S3370" s="18">
        <v>4758.4355000000005</v>
      </c>
      <c r="T3370" s="19" t="s">
        <v>328</v>
      </c>
      <c r="U3370" s="20" t="s">
        <v>554</v>
      </c>
      <c r="V3370" s="21">
        <v>34</v>
      </c>
      <c r="W3370" s="21">
        <v>5</v>
      </c>
      <c r="X3370" s="22"/>
    </row>
    <row r="3371" spans="1:24" s="1" customFormat="1" ht="21" customHeight="1" x14ac:dyDescent="0.3">
      <c r="A3371" s="23" t="s">
        <v>3183</v>
      </c>
      <c r="B3371" s="23" t="s">
        <v>3710</v>
      </c>
      <c r="C3371" s="28" t="s">
        <v>3711</v>
      </c>
      <c r="D3371" s="84"/>
      <c r="E3371" s="69" t="str">
        <f>HYPERLINK("https://www.google.ru/search?q=J949XA032FUC9241&amp;newwindow=1&amp;tbm=isch","Еще фото")</f>
        <v>Еще фото</v>
      </c>
      <c r="F3371" s="13"/>
      <c r="G3371" s="23" t="s">
        <v>3659</v>
      </c>
      <c r="H3371" s="23" t="s">
        <v>151</v>
      </c>
      <c r="I3371" s="23" t="s">
        <v>424</v>
      </c>
      <c r="J3371" s="14" t="s">
        <v>138</v>
      </c>
      <c r="K3371" s="15" t="s">
        <v>30</v>
      </c>
      <c r="L3371" s="87"/>
      <c r="M3371" s="14"/>
      <c r="N3371" s="14" t="s">
        <v>3713</v>
      </c>
      <c r="O3371" s="14"/>
      <c r="P3371" s="15" t="s">
        <v>3714</v>
      </c>
      <c r="Q3371" s="16">
        <v>13690</v>
      </c>
      <c r="R3371" s="17">
        <v>69.78</v>
      </c>
      <c r="S3371" s="18">
        <v>4758.4355000000005</v>
      </c>
      <c r="T3371" s="19" t="s">
        <v>328</v>
      </c>
      <c r="U3371" s="20" t="s">
        <v>431</v>
      </c>
      <c r="V3371" s="21">
        <v>35</v>
      </c>
      <c r="W3371" s="21">
        <v>7</v>
      </c>
      <c r="X3371" s="22"/>
    </row>
    <row r="3372" spans="1:24" s="1" customFormat="1" ht="32.1" customHeight="1" x14ac:dyDescent="0.3">
      <c r="A3372" s="23" t="s">
        <v>3183</v>
      </c>
      <c r="B3372" s="23" t="s">
        <v>3710</v>
      </c>
      <c r="C3372" s="28" t="s">
        <v>3711</v>
      </c>
      <c r="D3372" s="85"/>
      <c r="E3372" s="69" t="str">
        <f>HYPERLINK("https://www.google.ru/search?q=J949XA032FUC9241&amp;newwindow=1&amp;tbm=isch","Еще фото")</f>
        <v>Еще фото</v>
      </c>
      <c r="F3372" s="13"/>
      <c r="G3372" s="23" t="s">
        <v>3659</v>
      </c>
      <c r="H3372" s="23" t="s">
        <v>151</v>
      </c>
      <c r="I3372" s="23" t="s">
        <v>424</v>
      </c>
      <c r="J3372" s="14" t="s">
        <v>138</v>
      </c>
      <c r="K3372" s="15" t="s">
        <v>30</v>
      </c>
      <c r="L3372" s="88"/>
      <c r="M3372" s="14"/>
      <c r="N3372" s="14" t="s">
        <v>3713</v>
      </c>
      <c r="O3372" s="14"/>
      <c r="P3372" s="15" t="s">
        <v>3714</v>
      </c>
      <c r="Q3372" s="16">
        <v>13690</v>
      </c>
      <c r="R3372" s="17">
        <v>69.78</v>
      </c>
      <c r="S3372" s="18">
        <v>4758.4355000000005</v>
      </c>
      <c r="T3372" s="19" t="s">
        <v>328</v>
      </c>
      <c r="U3372" s="20" t="s">
        <v>1503</v>
      </c>
      <c r="V3372" s="21">
        <v>36</v>
      </c>
      <c r="W3372" s="21">
        <v>4</v>
      </c>
      <c r="X3372" s="22"/>
    </row>
    <row r="3373" spans="1:24" s="1" customFormat="1" ht="17.100000000000001" customHeight="1" x14ac:dyDescent="0.3">
      <c r="A3373" s="11" t="s">
        <v>3183</v>
      </c>
      <c r="B3373" s="11" t="s">
        <v>3710</v>
      </c>
      <c r="C3373" s="12" t="s">
        <v>3715</v>
      </c>
      <c r="D3373" s="83"/>
      <c r="E3373" s="69" t="str">
        <f t="shared" ref="E3373:E3378" si="149">HYPERLINK("https://www.google.ru/search?q=J949XA032MEC0498&amp;newwindow=1&amp;tbm=isch","Еще фото")</f>
        <v>Еще фото</v>
      </c>
      <c r="F3373" s="13"/>
      <c r="G3373" s="11" t="s">
        <v>3659</v>
      </c>
      <c r="H3373" s="11" t="s">
        <v>151</v>
      </c>
      <c r="I3373" s="14" t="s">
        <v>424</v>
      </c>
      <c r="J3373" s="14" t="s">
        <v>138</v>
      </c>
      <c r="K3373" s="15" t="s">
        <v>30</v>
      </c>
      <c r="L3373" s="86" t="s">
        <v>3716</v>
      </c>
      <c r="M3373" s="14"/>
      <c r="N3373" s="14" t="s">
        <v>3717</v>
      </c>
      <c r="O3373" s="14"/>
      <c r="P3373" s="15" t="s">
        <v>3718</v>
      </c>
      <c r="Q3373" s="16">
        <v>13690</v>
      </c>
      <c r="R3373" s="17">
        <v>69.78</v>
      </c>
      <c r="S3373" s="18">
        <v>4758.4355000000005</v>
      </c>
      <c r="T3373" s="19" t="s">
        <v>328</v>
      </c>
      <c r="U3373" s="20" t="s">
        <v>552</v>
      </c>
      <c r="V3373" s="21">
        <v>32</v>
      </c>
      <c r="W3373" s="21">
        <v>4</v>
      </c>
      <c r="X3373" s="22"/>
    </row>
    <row r="3374" spans="1:24" s="1" customFormat="1" ht="17.100000000000001" customHeight="1" x14ac:dyDescent="0.3">
      <c r="A3374" s="23" t="s">
        <v>3183</v>
      </c>
      <c r="B3374" s="23" t="s">
        <v>3710</v>
      </c>
      <c r="C3374" s="12" t="s">
        <v>3715</v>
      </c>
      <c r="D3374" s="84"/>
      <c r="E3374" s="69" t="str">
        <f t="shared" si="149"/>
        <v>Еще фото</v>
      </c>
      <c r="F3374" s="13"/>
      <c r="G3374" s="23" t="s">
        <v>3659</v>
      </c>
      <c r="H3374" s="23" t="s">
        <v>151</v>
      </c>
      <c r="I3374" s="23" t="s">
        <v>424</v>
      </c>
      <c r="J3374" s="14" t="s">
        <v>138</v>
      </c>
      <c r="K3374" s="15" t="s">
        <v>30</v>
      </c>
      <c r="L3374" s="87"/>
      <c r="M3374" s="14"/>
      <c r="N3374" s="14" t="s">
        <v>3717</v>
      </c>
      <c r="O3374" s="14"/>
      <c r="P3374" s="15" t="s">
        <v>3718</v>
      </c>
      <c r="Q3374" s="16">
        <v>13690</v>
      </c>
      <c r="R3374" s="17">
        <v>69.78</v>
      </c>
      <c r="S3374" s="18">
        <v>4758.4355000000005</v>
      </c>
      <c r="T3374" s="19" t="s">
        <v>328</v>
      </c>
      <c r="U3374" s="20" t="s">
        <v>553</v>
      </c>
      <c r="V3374" s="21">
        <v>33</v>
      </c>
      <c r="W3374" s="21">
        <v>2</v>
      </c>
      <c r="X3374" s="22"/>
    </row>
    <row r="3375" spans="1:24" s="1" customFormat="1" ht="17.100000000000001" customHeight="1" x14ac:dyDescent="0.3">
      <c r="A3375" s="23" t="s">
        <v>3183</v>
      </c>
      <c r="B3375" s="23" t="s">
        <v>3710</v>
      </c>
      <c r="C3375" s="12" t="s">
        <v>3715</v>
      </c>
      <c r="D3375" s="84"/>
      <c r="E3375" s="69" t="str">
        <f t="shared" si="149"/>
        <v>Еще фото</v>
      </c>
      <c r="F3375" s="13"/>
      <c r="G3375" s="23" t="s">
        <v>3659</v>
      </c>
      <c r="H3375" s="23" t="s">
        <v>151</v>
      </c>
      <c r="I3375" s="23" t="s">
        <v>424</v>
      </c>
      <c r="J3375" s="14" t="s">
        <v>138</v>
      </c>
      <c r="K3375" s="15" t="s">
        <v>30</v>
      </c>
      <c r="L3375" s="87"/>
      <c r="M3375" s="14"/>
      <c r="N3375" s="14" t="s">
        <v>3717</v>
      </c>
      <c r="O3375" s="14"/>
      <c r="P3375" s="15" t="s">
        <v>3718</v>
      </c>
      <c r="Q3375" s="16">
        <v>13690</v>
      </c>
      <c r="R3375" s="17">
        <v>69.78</v>
      </c>
      <c r="S3375" s="18">
        <v>4758.4355000000005</v>
      </c>
      <c r="T3375" s="19" t="s">
        <v>328</v>
      </c>
      <c r="U3375" s="20" t="s">
        <v>554</v>
      </c>
      <c r="V3375" s="21">
        <v>34</v>
      </c>
      <c r="W3375" s="21">
        <v>6</v>
      </c>
      <c r="X3375" s="22"/>
    </row>
    <row r="3376" spans="1:24" s="1" customFormat="1" ht="17.100000000000001" customHeight="1" x14ac:dyDescent="0.3">
      <c r="A3376" s="23" t="s">
        <v>3183</v>
      </c>
      <c r="B3376" s="23" t="s">
        <v>3710</v>
      </c>
      <c r="C3376" s="12" t="s">
        <v>3715</v>
      </c>
      <c r="D3376" s="84"/>
      <c r="E3376" s="69" t="str">
        <f t="shared" si="149"/>
        <v>Еще фото</v>
      </c>
      <c r="F3376" s="13"/>
      <c r="G3376" s="23" t="s">
        <v>3659</v>
      </c>
      <c r="H3376" s="23" t="s">
        <v>151</v>
      </c>
      <c r="I3376" s="23" t="s">
        <v>424</v>
      </c>
      <c r="J3376" s="14" t="s">
        <v>138</v>
      </c>
      <c r="K3376" s="15" t="s">
        <v>30</v>
      </c>
      <c r="L3376" s="87"/>
      <c r="M3376" s="14"/>
      <c r="N3376" s="14" t="s">
        <v>3717</v>
      </c>
      <c r="O3376" s="14"/>
      <c r="P3376" s="15" t="s">
        <v>3718</v>
      </c>
      <c r="Q3376" s="16">
        <v>13690</v>
      </c>
      <c r="R3376" s="17">
        <v>69.78</v>
      </c>
      <c r="S3376" s="18">
        <v>4758.4355000000005</v>
      </c>
      <c r="T3376" s="19" t="s">
        <v>328</v>
      </c>
      <c r="U3376" s="20" t="s">
        <v>431</v>
      </c>
      <c r="V3376" s="21">
        <v>35</v>
      </c>
      <c r="W3376" s="21">
        <v>6</v>
      </c>
      <c r="X3376" s="22"/>
    </row>
    <row r="3377" spans="1:24" s="1" customFormat="1" ht="17.100000000000001" customHeight="1" x14ac:dyDescent="0.3">
      <c r="A3377" s="23" t="s">
        <v>3183</v>
      </c>
      <c r="B3377" s="23" t="s">
        <v>3710</v>
      </c>
      <c r="C3377" s="12" t="s">
        <v>3715</v>
      </c>
      <c r="D3377" s="84"/>
      <c r="E3377" s="69" t="str">
        <f t="shared" si="149"/>
        <v>Еще фото</v>
      </c>
      <c r="F3377" s="13"/>
      <c r="G3377" s="23" t="s">
        <v>3659</v>
      </c>
      <c r="H3377" s="23" t="s">
        <v>151</v>
      </c>
      <c r="I3377" s="23" t="s">
        <v>424</v>
      </c>
      <c r="J3377" s="14" t="s">
        <v>138</v>
      </c>
      <c r="K3377" s="15" t="s">
        <v>30</v>
      </c>
      <c r="L3377" s="87"/>
      <c r="M3377" s="14"/>
      <c r="N3377" s="14" t="s">
        <v>3717</v>
      </c>
      <c r="O3377" s="14"/>
      <c r="P3377" s="15" t="s">
        <v>3718</v>
      </c>
      <c r="Q3377" s="16">
        <v>13690</v>
      </c>
      <c r="R3377" s="17">
        <v>69.78</v>
      </c>
      <c r="S3377" s="18">
        <v>4758.4355000000005</v>
      </c>
      <c r="T3377" s="19" t="s">
        <v>328</v>
      </c>
      <c r="U3377" s="20" t="s">
        <v>1503</v>
      </c>
      <c r="V3377" s="21">
        <v>36</v>
      </c>
      <c r="W3377" s="21">
        <v>4</v>
      </c>
      <c r="X3377" s="22"/>
    </row>
    <row r="3378" spans="1:24" s="1" customFormat="1" ht="21.95" customHeight="1" x14ac:dyDescent="0.3">
      <c r="A3378" s="23" t="s">
        <v>3183</v>
      </c>
      <c r="B3378" s="23" t="s">
        <v>3710</v>
      </c>
      <c r="C3378" s="12" t="s">
        <v>3715</v>
      </c>
      <c r="D3378" s="85"/>
      <c r="E3378" s="69" t="str">
        <f t="shared" si="149"/>
        <v>Еще фото</v>
      </c>
      <c r="F3378" s="13"/>
      <c r="G3378" s="23" t="s">
        <v>3659</v>
      </c>
      <c r="H3378" s="23" t="s">
        <v>151</v>
      </c>
      <c r="I3378" s="23" t="s">
        <v>424</v>
      </c>
      <c r="J3378" s="14" t="s">
        <v>138</v>
      </c>
      <c r="K3378" s="15" t="s">
        <v>30</v>
      </c>
      <c r="L3378" s="88"/>
      <c r="M3378" s="14"/>
      <c r="N3378" s="14" t="s">
        <v>3717</v>
      </c>
      <c r="O3378" s="14"/>
      <c r="P3378" s="15" t="s">
        <v>3718</v>
      </c>
      <c r="Q3378" s="16">
        <v>13690</v>
      </c>
      <c r="R3378" s="17">
        <v>69.78</v>
      </c>
      <c r="S3378" s="18">
        <v>4758.4355000000005</v>
      </c>
      <c r="T3378" s="19" t="s">
        <v>328</v>
      </c>
      <c r="U3378" s="20" t="s">
        <v>409</v>
      </c>
      <c r="V3378" s="21">
        <v>37</v>
      </c>
      <c r="W3378" s="21">
        <v>1</v>
      </c>
      <c r="X3378" s="22"/>
    </row>
    <row r="3379" spans="1:24" s="1" customFormat="1" ht="51.95" customHeight="1" x14ac:dyDescent="0.3">
      <c r="A3379" s="11" t="s">
        <v>3183</v>
      </c>
      <c r="B3379" s="11" t="s">
        <v>3719</v>
      </c>
      <c r="C3379" s="12" t="s">
        <v>3720</v>
      </c>
      <c r="D3379" s="89"/>
      <c r="E3379" s="69" t="str">
        <f>HYPERLINK("https://www.google.ru/search?q=D56MDB08520C9999&amp;newwindow=1&amp;tbm=isch","Еще фото")</f>
        <v>Еще фото</v>
      </c>
      <c r="F3379" s="13"/>
      <c r="G3379" s="11" t="s">
        <v>394</v>
      </c>
      <c r="H3379" s="11" t="s">
        <v>151</v>
      </c>
      <c r="I3379" s="14" t="s">
        <v>424</v>
      </c>
      <c r="J3379" s="14" t="s">
        <v>29</v>
      </c>
      <c r="K3379" s="15" t="s">
        <v>47</v>
      </c>
      <c r="L3379" s="86" t="s">
        <v>3721</v>
      </c>
      <c r="M3379" s="14"/>
      <c r="N3379" s="14" t="s">
        <v>49</v>
      </c>
      <c r="O3379" s="14"/>
      <c r="P3379" s="15" t="s">
        <v>3722</v>
      </c>
      <c r="Q3379" s="16">
        <v>22390</v>
      </c>
      <c r="R3379" s="17">
        <v>67.58</v>
      </c>
      <c r="S3379" s="18">
        <v>8346.4354999999996</v>
      </c>
      <c r="T3379" s="19" t="s">
        <v>328</v>
      </c>
      <c r="U3379" s="20" t="s">
        <v>1503</v>
      </c>
      <c r="V3379" s="21">
        <v>36</v>
      </c>
      <c r="W3379" s="21">
        <v>3</v>
      </c>
      <c r="X3379" s="22"/>
    </row>
    <row r="3380" spans="1:24" s="1" customFormat="1" ht="60.95" customHeight="1" x14ac:dyDescent="0.3">
      <c r="A3380" s="23" t="s">
        <v>3183</v>
      </c>
      <c r="B3380" s="23" t="s">
        <v>3719</v>
      </c>
      <c r="C3380" s="12" t="s">
        <v>3720</v>
      </c>
      <c r="D3380" s="90"/>
      <c r="E3380" s="69" t="str">
        <f>HYPERLINK("https://www.google.ru/search?q=D56MDB08520C9999&amp;newwindow=1&amp;tbm=isch","Еще фото")</f>
        <v>Еще фото</v>
      </c>
      <c r="F3380" s="13"/>
      <c r="G3380" s="23" t="s">
        <v>394</v>
      </c>
      <c r="H3380" s="23" t="s">
        <v>151</v>
      </c>
      <c r="I3380" s="23" t="s">
        <v>424</v>
      </c>
      <c r="J3380" s="14" t="s">
        <v>29</v>
      </c>
      <c r="K3380" s="15" t="s">
        <v>47</v>
      </c>
      <c r="L3380" s="88"/>
      <c r="M3380" s="14"/>
      <c r="N3380" s="14" t="s">
        <v>49</v>
      </c>
      <c r="O3380" s="14"/>
      <c r="P3380" s="15" t="s">
        <v>3722</v>
      </c>
      <c r="Q3380" s="16">
        <v>22390</v>
      </c>
      <c r="R3380" s="17">
        <v>67.58</v>
      </c>
      <c r="S3380" s="18">
        <v>8346.4354999999996</v>
      </c>
      <c r="T3380" s="19" t="s">
        <v>328</v>
      </c>
      <c r="U3380" s="20" t="s">
        <v>409</v>
      </c>
      <c r="V3380" s="21">
        <v>37</v>
      </c>
      <c r="W3380" s="21">
        <v>5</v>
      </c>
      <c r="X3380" s="22"/>
    </row>
    <row r="3381" spans="1:24" s="1" customFormat="1" ht="14.1" customHeight="1" x14ac:dyDescent="0.3">
      <c r="A3381" s="11" t="s">
        <v>3183</v>
      </c>
      <c r="B3381" s="11" t="s">
        <v>3652</v>
      </c>
      <c r="C3381" s="12" t="s">
        <v>3723</v>
      </c>
      <c r="D3381" s="83"/>
      <c r="E3381" s="69" t="str">
        <f t="shared" ref="E3381:E3387" si="150">HYPERLINK("https://www.google.ru/search?q=U56M2C0EK3RC9999&amp;newwindow=1&amp;tbm=isch","Еще фото")</f>
        <v>Еще фото</v>
      </c>
      <c r="F3381" s="13"/>
      <c r="G3381" s="11" t="s">
        <v>394</v>
      </c>
      <c r="H3381" s="11" t="s">
        <v>151</v>
      </c>
      <c r="I3381" s="14" t="s">
        <v>424</v>
      </c>
      <c r="J3381" s="14" t="s">
        <v>29</v>
      </c>
      <c r="K3381" s="15" t="s">
        <v>55</v>
      </c>
      <c r="L3381" s="86" t="s">
        <v>3654</v>
      </c>
      <c r="M3381" s="14"/>
      <c r="N3381" s="14" t="s">
        <v>3661</v>
      </c>
      <c r="O3381" s="14"/>
      <c r="P3381" s="15" t="s">
        <v>3656</v>
      </c>
      <c r="Q3381" s="16">
        <v>22390</v>
      </c>
      <c r="R3381" s="17">
        <v>67.58</v>
      </c>
      <c r="S3381" s="18">
        <v>8346.4354999999996</v>
      </c>
      <c r="T3381" s="19" t="s">
        <v>328</v>
      </c>
      <c r="U3381" s="20" t="s">
        <v>413</v>
      </c>
      <c r="V3381" s="21">
        <v>39</v>
      </c>
      <c r="W3381" s="21">
        <v>3</v>
      </c>
      <c r="X3381" s="22"/>
    </row>
    <row r="3382" spans="1:24" s="1" customFormat="1" ht="14.1" customHeight="1" x14ac:dyDescent="0.3">
      <c r="A3382" s="23" t="s">
        <v>3183</v>
      </c>
      <c r="B3382" s="23" t="s">
        <v>3652</v>
      </c>
      <c r="C3382" s="12" t="s">
        <v>3723</v>
      </c>
      <c r="D3382" s="84"/>
      <c r="E3382" s="69" t="str">
        <f t="shared" si="150"/>
        <v>Еще фото</v>
      </c>
      <c r="F3382" s="13"/>
      <c r="G3382" s="23" t="s">
        <v>394</v>
      </c>
      <c r="H3382" s="23" t="s">
        <v>151</v>
      </c>
      <c r="I3382" s="23" t="s">
        <v>424</v>
      </c>
      <c r="J3382" s="14" t="s">
        <v>29</v>
      </c>
      <c r="K3382" s="15" t="s">
        <v>55</v>
      </c>
      <c r="L3382" s="87"/>
      <c r="M3382" s="14"/>
      <c r="N3382" s="14" t="s">
        <v>3661</v>
      </c>
      <c r="O3382" s="14"/>
      <c r="P3382" s="15" t="s">
        <v>3656</v>
      </c>
      <c r="Q3382" s="16">
        <v>22390</v>
      </c>
      <c r="R3382" s="17">
        <v>67.58</v>
      </c>
      <c r="S3382" s="18">
        <v>8346.4354999999996</v>
      </c>
      <c r="T3382" s="19" t="s">
        <v>328</v>
      </c>
      <c r="U3382" s="20" t="s">
        <v>399</v>
      </c>
      <c r="V3382" s="21">
        <v>40</v>
      </c>
      <c r="W3382" s="21">
        <v>6</v>
      </c>
      <c r="X3382" s="22"/>
    </row>
    <row r="3383" spans="1:24" s="1" customFormat="1" ht="14.1" customHeight="1" x14ac:dyDescent="0.3">
      <c r="A3383" s="23" t="s">
        <v>3183</v>
      </c>
      <c r="B3383" s="23" t="s">
        <v>3652</v>
      </c>
      <c r="C3383" s="12" t="s">
        <v>3723</v>
      </c>
      <c r="D3383" s="84"/>
      <c r="E3383" s="69" t="str">
        <f t="shared" si="150"/>
        <v>Еще фото</v>
      </c>
      <c r="F3383" s="13"/>
      <c r="G3383" s="23" t="s">
        <v>394</v>
      </c>
      <c r="H3383" s="23" t="s">
        <v>151</v>
      </c>
      <c r="I3383" s="23" t="s">
        <v>424</v>
      </c>
      <c r="J3383" s="14" t="s">
        <v>29</v>
      </c>
      <c r="K3383" s="15" t="s">
        <v>55</v>
      </c>
      <c r="L3383" s="87"/>
      <c r="M3383" s="14"/>
      <c r="N3383" s="14" t="s">
        <v>3661</v>
      </c>
      <c r="O3383" s="14"/>
      <c r="P3383" s="15" t="s">
        <v>3656</v>
      </c>
      <c r="Q3383" s="16">
        <v>22390</v>
      </c>
      <c r="R3383" s="17">
        <v>67.58</v>
      </c>
      <c r="S3383" s="18">
        <v>8346.4354999999996</v>
      </c>
      <c r="T3383" s="19" t="s">
        <v>328</v>
      </c>
      <c r="U3383" s="20" t="s">
        <v>400</v>
      </c>
      <c r="V3383" s="21">
        <v>41</v>
      </c>
      <c r="W3383" s="21">
        <v>3</v>
      </c>
      <c r="X3383" s="22"/>
    </row>
    <row r="3384" spans="1:24" s="1" customFormat="1" ht="14.1" customHeight="1" x14ac:dyDescent="0.3">
      <c r="A3384" s="23" t="s">
        <v>3183</v>
      </c>
      <c r="B3384" s="23" t="s">
        <v>3652</v>
      </c>
      <c r="C3384" s="12" t="s">
        <v>3723</v>
      </c>
      <c r="D3384" s="84"/>
      <c r="E3384" s="69" t="str">
        <f t="shared" si="150"/>
        <v>Еще фото</v>
      </c>
      <c r="F3384" s="13"/>
      <c r="G3384" s="23" t="s">
        <v>394</v>
      </c>
      <c r="H3384" s="23" t="s">
        <v>151</v>
      </c>
      <c r="I3384" s="23" t="s">
        <v>424</v>
      </c>
      <c r="J3384" s="14" t="s">
        <v>29</v>
      </c>
      <c r="K3384" s="15" t="s">
        <v>55</v>
      </c>
      <c r="L3384" s="87"/>
      <c r="M3384" s="14"/>
      <c r="N3384" s="14" t="s">
        <v>3661</v>
      </c>
      <c r="O3384" s="14"/>
      <c r="P3384" s="15" t="s">
        <v>3656</v>
      </c>
      <c r="Q3384" s="16">
        <v>22390</v>
      </c>
      <c r="R3384" s="17">
        <v>67.58</v>
      </c>
      <c r="S3384" s="18">
        <v>8346.4354999999996</v>
      </c>
      <c r="T3384" s="19" t="s">
        <v>328</v>
      </c>
      <c r="U3384" s="20" t="s">
        <v>457</v>
      </c>
      <c r="V3384" s="21">
        <v>42</v>
      </c>
      <c r="W3384" s="21">
        <v>8</v>
      </c>
      <c r="X3384" s="22"/>
    </row>
    <row r="3385" spans="1:24" s="1" customFormat="1" ht="14.1" customHeight="1" x14ac:dyDescent="0.3">
      <c r="A3385" s="23" t="s">
        <v>3183</v>
      </c>
      <c r="B3385" s="23" t="s">
        <v>3652</v>
      </c>
      <c r="C3385" s="12" t="s">
        <v>3723</v>
      </c>
      <c r="D3385" s="84"/>
      <c r="E3385" s="69" t="str">
        <f t="shared" si="150"/>
        <v>Еще фото</v>
      </c>
      <c r="F3385" s="13"/>
      <c r="G3385" s="23" t="s">
        <v>394</v>
      </c>
      <c r="H3385" s="23" t="s">
        <v>151</v>
      </c>
      <c r="I3385" s="23" t="s">
        <v>424</v>
      </c>
      <c r="J3385" s="14" t="s">
        <v>29</v>
      </c>
      <c r="K3385" s="15" t="s">
        <v>55</v>
      </c>
      <c r="L3385" s="87"/>
      <c r="M3385" s="14"/>
      <c r="N3385" s="14" t="s">
        <v>3661</v>
      </c>
      <c r="O3385" s="14"/>
      <c r="P3385" s="15" t="s">
        <v>3656</v>
      </c>
      <c r="Q3385" s="16">
        <v>22390</v>
      </c>
      <c r="R3385" s="17">
        <v>67.58</v>
      </c>
      <c r="S3385" s="18">
        <v>8346.4354999999996</v>
      </c>
      <c r="T3385" s="19" t="s">
        <v>328</v>
      </c>
      <c r="U3385" s="20" t="s">
        <v>401</v>
      </c>
      <c r="V3385" s="21">
        <v>43</v>
      </c>
      <c r="W3385" s="21">
        <v>4</v>
      </c>
      <c r="X3385" s="22"/>
    </row>
    <row r="3386" spans="1:24" s="1" customFormat="1" ht="14.1" customHeight="1" x14ac:dyDescent="0.3">
      <c r="A3386" s="23" t="s">
        <v>3183</v>
      </c>
      <c r="B3386" s="23" t="s">
        <v>3652</v>
      </c>
      <c r="C3386" s="12" t="s">
        <v>3723</v>
      </c>
      <c r="D3386" s="84"/>
      <c r="E3386" s="69" t="str">
        <f t="shared" si="150"/>
        <v>Еще фото</v>
      </c>
      <c r="F3386" s="13"/>
      <c r="G3386" s="23" t="s">
        <v>394</v>
      </c>
      <c r="H3386" s="23" t="s">
        <v>151</v>
      </c>
      <c r="I3386" s="23" t="s">
        <v>424</v>
      </c>
      <c r="J3386" s="14" t="s">
        <v>29</v>
      </c>
      <c r="K3386" s="15" t="s">
        <v>55</v>
      </c>
      <c r="L3386" s="87"/>
      <c r="M3386" s="14"/>
      <c r="N3386" s="14" t="s">
        <v>3661</v>
      </c>
      <c r="O3386" s="14"/>
      <c r="P3386" s="15" t="s">
        <v>3656</v>
      </c>
      <c r="Q3386" s="16">
        <v>22390</v>
      </c>
      <c r="R3386" s="17">
        <v>67.58</v>
      </c>
      <c r="S3386" s="18">
        <v>8346.4354999999996</v>
      </c>
      <c r="T3386" s="19" t="s">
        <v>328</v>
      </c>
      <c r="U3386" s="20" t="s">
        <v>402</v>
      </c>
      <c r="V3386" s="21">
        <v>44</v>
      </c>
      <c r="W3386" s="21">
        <v>4</v>
      </c>
      <c r="X3386" s="22"/>
    </row>
    <row r="3387" spans="1:24" s="1" customFormat="1" ht="17.100000000000001" customHeight="1" x14ac:dyDescent="0.3">
      <c r="A3387" s="23" t="s">
        <v>3183</v>
      </c>
      <c r="B3387" s="23" t="s">
        <v>3652</v>
      </c>
      <c r="C3387" s="12" t="s">
        <v>3723</v>
      </c>
      <c r="D3387" s="85"/>
      <c r="E3387" s="69" t="str">
        <f t="shared" si="150"/>
        <v>Еще фото</v>
      </c>
      <c r="F3387" s="13"/>
      <c r="G3387" s="23" t="s">
        <v>394</v>
      </c>
      <c r="H3387" s="23" t="s">
        <v>151</v>
      </c>
      <c r="I3387" s="23" t="s">
        <v>424</v>
      </c>
      <c r="J3387" s="14" t="s">
        <v>29</v>
      </c>
      <c r="K3387" s="15" t="s">
        <v>55</v>
      </c>
      <c r="L3387" s="88"/>
      <c r="M3387" s="14"/>
      <c r="N3387" s="14" t="s">
        <v>3661</v>
      </c>
      <c r="O3387" s="14"/>
      <c r="P3387" s="15" t="s">
        <v>3656</v>
      </c>
      <c r="Q3387" s="16">
        <v>22390</v>
      </c>
      <c r="R3387" s="17">
        <v>67.58</v>
      </c>
      <c r="S3387" s="18">
        <v>8346.4354999999996</v>
      </c>
      <c r="T3387" s="19" t="s">
        <v>328</v>
      </c>
      <c r="U3387" s="20" t="s">
        <v>1253</v>
      </c>
      <c r="V3387" s="21">
        <v>46</v>
      </c>
      <c r="W3387" s="21">
        <v>3</v>
      </c>
      <c r="X3387" s="22"/>
    </row>
    <row r="3388" spans="1:24" s="1" customFormat="1" ht="11.1" customHeight="1" x14ac:dyDescent="0.3">
      <c r="A3388" s="11" t="s">
        <v>3183</v>
      </c>
      <c r="B3388" s="11" t="s">
        <v>3691</v>
      </c>
      <c r="C3388" s="12" t="s">
        <v>3724</v>
      </c>
      <c r="D3388" s="83"/>
      <c r="E3388" s="69" t="str">
        <f t="shared" ref="E3388:E3396" si="151">HYPERLINK("https://www.google.ru/search?q=J46M7E08V22C4269&amp;newwindow=1&amp;tbm=isch","Еще фото")</f>
        <v>Еще фото</v>
      </c>
      <c r="F3388" s="13"/>
      <c r="G3388" s="11" t="s">
        <v>3659</v>
      </c>
      <c r="H3388" s="11" t="s">
        <v>151</v>
      </c>
      <c r="I3388" s="14" t="s">
        <v>424</v>
      </c>
      <c r="J3388" s="14" t="s">
        <v>138</v>
      </c>
      <c r="K3388" s="15" t="s">
        <v>30</v>
      </c>
      <c r="L3388" s="86" t="s">
        <v>3693</v>
      </c>
      <c r="M3388" s="14"/>
      <c r="N3388" s="14" t="s">
        <v>3725</v>
      </c>
      <c r="O3388" s="14"/>
      <c r="P3388" s="15" t="s">
        <v>3726</v>
      </c>
      <c r="Q3388" s="16">
        <v>14690</v>
      </c>
      <c r="R3388" s="17">
        <v>67.540000000000006</v>
      </c>
      <c r="S3388" s="18">
        <v>5482.9355000000005</v>
      </c>
      <c r="T3388" s="19" t="s">
        <v>328</v>
      </c>
      <c r="U3388" s="20" t="s">
        <v>142</v>
      </c>
      <c r="V3388" s="21">
        <v>28</v>
      </c>
      <c r="W3388" s="21">
        <v>5</v>
      </c>
      <c r="X3388" s="22"/>
    </row>
    <row r="3389" spans="1:24" s="1" customFormat="1" ht="11.1" customHeight="1" x14ac:dyDescent="0.3">
      <c r="A3389" s="23" t="s">
        <v>3183</v>
      </c>
      <c r="B3389" s="23" t="s">
        <v>3691</v>
      </c>
      <c r="C3389" s="12" t="s">
        <v>3724</v>
      </c>
      <c r="D3389" s="84"/>
      <c r="E3389" s="69" t="str">
        <f t="shared" si="151"/>
        <v>Еще фото</v>
      </c>
      <c r="F3389" s="13"/>
      <c r="G3389" s="23" t="s">
        <v>3659</v>
      </c>
      <c r="H3389" s="23" t="s">
        <v>151</v>
      </c>
      <c r="I3389" s="23" t="s">
        <v>424</v>
      </c>
      <c r="J3389" s="14" t="s">
        <v>138</v>
      </c>
      <c r="K3389" s="15" t="s">
        <v>30</v>
      </c>
      <c r="L3389" s="87"/>
      <c r="M3389" s="14"/>
      <c r="N3389" s="14" t="s">
        <v>3725</v>
      </c>
      <c r="O3389" s="14"/>
      <c r="P3389" s="15" t="s">
        <v>3726</v>
      </c>
      <c r="Q3389" s="16">
        <v>14690</v>
      </c>
      <c r="R3389" s="17">
        <v>67.540000000000006</v>
      </c>
      <c r="S3389" s="18">
        <v>5482.9355000000005</v>
      </c>
      <c r="T3389" s="19" t="s">
        <v>328</v>
      </c>
      <c r="U3389" s="20" t="s">
        <v>550</v>
      </c>
      <c r="V3389" s="21">
        <v>29</v>
      </c>
      <c r="W3389" s="21">
        <v>5</v>
      </c>
      <c r="X3389" s="22"/>
    </row>
    <row r="3390" spans="1:24" s="1" customFormat="1" ht="11.1" customHeight="1" x14ac:dyDescent="0.3">
      <c r="A3390" s="23" t="s">
        <v>3183</v>
      </c>
      <c r="B3390" s="23" t="s">
        <v>3691</v>
      </c>
      <c r="C3390" s="12" t="s">
        <v>3724</v>
      </c>
      <c r="D3390" s="84"/>
      <c r="E3390" s="69" t="str">
        <f t="shared" si="151"/>
        <v>Еще фото</v>
      </c>
      <c r="F3390" s="13"/>
      <c r="G3390" s="23" t="s">
        <v>3659</v>
      </c>
      <c r="H3390" s="23" t="s">
        <v>151</v>
      </c>
      <c r="I3390" s="23" t="s">
        <v>424</v>
      </c>
      <c r="J3390" s="14" t="s">
        <v>138</v>
      </c>
      <c r="K3390" s="15" t="s">
        <v>30</v>
      </c>
      <c r="L3390" s="87"/>
      <c r="M3390" s="14"/>
      <c r="N3390" s="14" t="s">
        <v>3725</v>
      </c>
      <c r="O3390" s="14"/>
      <c r="P3390" s="15" t="s">
        <v>3726</v>
      </c>
      <c r="Q3390" s="16">
        <v>14690</v>
      </c>
      <c r="R3390" s="17">
        <v>67.540000000000006</v>
      </c>
      <c r="S3390" s="18">
        <v>5482.9355000000005</v>
      </c>
      <c r="T3390" s="19" t="s">
        <v>328</v>
      </c>
      <c r="U3390" s="20" t="s">
        <v>3189</v>
      </c>
      <c r="V3390" s="21">
        <v>30</v>
      </c>
      <c r="W3390" s="21">
        <v>12</v>
      </c>
      <c r="X3390" s="22"/>
    </row>
    <row r="3391" spans="1:24" s="1" customFormat="1" ht="11.1" customHeight="1" x14ac:dyDescent="0.3">
      <c r="A3391" s="23" t="s">
        <v>3183</v>
      </c>
      <c r="B3391" s="23" t="s">
        <v>3691</v>
      </c>
      <c r="C3391" s="12" t="s">
        <v>3724</v>
      </c>
      <c r="D3391" s="84"/>
      <c r="E3391" s="69" t="str">
        <f t="shared" si="151"/>
        <v>Еще фото</v>
      </c>
      <c r="F3391" s="13"/>
      <c r="G3391" s="23" t="s">
        <v>3659</v>
      </c>
      <c r="H3391" s="23" t="s">
        <v>151</v>
      </c>
      <c r="I3391" s="23" t="s">
        <v>424</v>
      </c>
      <c r="J3391" s="14" t="s">
        <v>138</v>
      </c>
      <c r="K3391" s="15" t="s">
        <v>30</v>
      </c>
      <c r="L3391" s="87"/>
      <c r="M3391" s="14"/>
      <c r="N3391" s="14" t="s">
        <v>3725</v>
      </c>
      <c r="O3391" s="14"/>
      <c r="P3391" s="15" t="s">
        <v>3726</v>
      </c>
      <c r="Q3391" s="16">
        <v>14690</v>
      </c>
      <c r="R3391" s="17">
        <v>67.540000000000006</v>
      </c>
      <c r="S3391" s="18">
        <v>5482.9355000000005</v>
      </c>
      <c r="T3391" s="19" t="s">
        <v>328</v>
      </c>
      <c r="U3391" s="20" t="s">
        <v>3190</v>
      </c>
      <c r="V3391" s="21">
        <v>31</v>
      </c>
      <c r="W3391" s="21">
        <v>14</v>
      </c>
      <c r="X3391" s="22"/>
    </row>
    <row r="3392" spans="1:24" s="1" customFormat="1" ht="11.1" customHeight="1" x14ac:dyDescent="0.3">
      <c r="A3392" s="23" t="s">
        <v>3183</v>
      </c>
      <c r="B3392" s="23" t="s">
        <v>3691</v>
      </c>
      <c r="C3392" s="12" t="s">
        <v>3724</v>
      </c>
      <c r="D3392" s="84"/>
      <c r="E3392" s="69" t="str">
        <f t="shared" si="151"/>
        <v>Еще фото</v>
      </c>
      <c r="F3392" s="13"/>
      <c r="G3392" s="23" t="s">
        <v>3659</v>
      </c>
      <c r="H3392" s="23" t="s">
        <v>151</v>
      </c>
      <c r="I3392" s="23" t="s">
        <v>424</v>
      </c>
      <c r="J3392" s="14" t="s">
        <v>138</v>
      </c>
      <c r="K3392" s="15" t="s">
        <v>30</v>
      </c>
      <c r="L3392" s="87"/>
      <c r="M3392" s="14"/>
      <c r="N3392" s="14" t="s">
        <v>3725</v>
      </c>
      <c r="O3392" s="14"/>
      <c r="P3392" s="15" t="s">
        <v>3726</v>
      </c>
      <c r="Q3392" s="16">
        <v>14690</v>
      </c>
      <c r="R3392" s="17">
        <v>67.540000000000006</v>
      </c>
      <c r="S3392" s="18">
        <v>5482.9355000000005</v>
      </c>
      <c r="T3392" s="19" t="s">
        <v>328</v>
      </c>
      <c r="U3392" s="20" t="s">
        <v>552</v>
      </c>
      <c r="V3392" s="21">
        <v>32</v>
      </c>
      <c r="W3392" s="21">
        <v>13</v>
      </c>
      <c r="X3392" s="22"/>
    </row>
    <row r="3393" spans="1:24" s="1" customFormat="1" ht="11.1" customHeight="1" x14ac:dyDescent="0.3">
      <c r="A3393" s="23" t="s">
        <v>3183</v>
      </c>
      <c r="B3393" s="23" t="s">
        <v>3691</v>
      </c>
      <c r="C3393" s="12" t="s">
        <v>3724</v>
      </c>
      <c r="D3393" s="84"/>
      <c r="E3393" s="69" t="str">
        <f t="shared" si="151"/>
        <v>Еще фото</v>
      </c>
      <c r="F3393" s="13"/>
      <c r="G3393" s="23" t="s">
        <v>3659</v>
      </c>
      <c r="H3393" s="23" t="s">
        <v>151</v>
      </c>
      <c r="I3393" s="23" t="s">
        <v>424</v>
      </c>
      <c r="J3393" s="14" t="s">
        <v>138</v>
      </c>
      <c r="K3393" s="15" t="s">
        <v>30</v>
      </c>
      <c r="L3393" s="87"/>
      <c r="M3393" s="14"/>
      <c r="N3393" s="14" t="s">
        <v>3725</v>
      </c>
      <c r="O3393" s="14"/>
      <c r="P3393" s="15" t="s">
        <v>3726</v>
      </c>
      <c r="Q3393" s="16">
        <v>14690</v>
      </c>
      <c r="R3393" s="17">
        <v>67.540000000000006</v>
      </c>
      <c r="S3393" s="18">
        <v>5482.9355000000005</v>
      </c>
      <c r="T3393" s="19" t="s">
        <v>328</v>
      </c>
      <c r="U3393" s="20" t="s">
        <v>553</v>
      </c>
      <c r="V3393" s="21">
        <v>33</v>
      </c>
      <c r="W3393" s="21">
        <v>9</v>
      </c>
      <c r="X3393" s="22"/>
    </row>
    <row r="3394" spans="1:24" s="1" customFormat="1" ht="11.1" customHeight="1" x14ac:dyDescent="0.3">
      <c r="A3394" s="23" t="s">
        <v>3183</v>
      </c>
      <c r="B3394" s="23" t="s">
        <v>3691</v>
      </c>
      <c r="C3394" s="12" t="s">
        <v>3724</v>
      </c>
      <c r="D3394" s="84"/>
      <c r="E3394" s="69" t="str">
        <f t="shared" si="151"/>
        <v>Еще фото</v>
      </c>
      <c r="F3394" s="13"/>
      <c r="G3394" s="23" t="s">
        <v>3659</v>
      </c>
      <c r="H3394" s="23" t="s">
        <v>151</v>
      </c>
      <c r="I3394" s="23" t="s">
        <v>424</v>
      </c>
      <c r="J3394" s="14" t="s">
        <v>138</v>
      </c>
      <c r="K3394" s="15" t="s">
        <v>30</v>
      </c>
      <c r="L3394" s="87"/>
      <c r="M3394" s="14"/>
      <c r="N3394" s="14" t="s">
        <v>3725</v>
      </c>
      <c r="O3394" s="14"/>
      <c r="P3394" s="15" t="s">
        <v>3726</v>
      </c>
      <c r="Q3394" s="16">
        <v>14690</v>
      </c>
      <c r="R3394" s="17">
        <v>67.540000000000006</v>
      </c>
      <c r="S3394" s="18">
        <v>5482.9355000000005</v>
      </c>
      <c r="T3394" s="19" t="s">
        <v>328</v>
      </c>
      <c r="U3394" s="20" t="s">
        <v>554</v>
      </c>
      <c r="V3394" s="21">
        <v>34</v>
      </c>
      <c r="W3394" s="21">
        <v>9</v>
      </c>
      <c r="X3394" s="22"/>
    </row>
    <row r="3395" spans="1:24" s="1" customFormat="1" ht="11.1" customHeight="1" x14ac:dyDescent="0.3">
      <c r="A3395" s="23" t="s">
        <v>3183</v>
      </c>
      <c r="B3395" s="23" t="s">
        <v>3691</v>
      </c>
      <c r="C3395" s="12" t="s">
        <v>3724</v>
      </c>
      <c r="D3395" s="84"/>
      <c r="E3395" s="69" t="str">
        <f t="shared" si="151"/>
        <v>Еще фото</v>
      </c>
      <c r="F3395" s="13"/>
      <c r="G3395" s="23" t="s">
        <v>3659</v>
      </c>
      <c r="H3395" s="23" t="s">
        <v>151</v>
      </c>
      <c r="I3395" s="23" t="s">
        <v>424</v>
      </c>
      <c r="J3395" s="14" t="s">
        <v>138</v>
      </c>
      <c r="K3395" s="15" t="s">
        <v>30</v>
      </c>
      <c r="L3395" s="87"/>
      <c r="M3395" s="14"/>
      <c r="N3395" s="14" t="s">
        <v>3725</v>
      </c>
      <c r="O3395" s="14"/>
      <c r="P3395" s="15" t="s">
        <v>3726</v>
      </c>
      <c r="Q3395" s="16">
        <v>14690</v>
      </c>
      <c r="R3395" s="17">
        <v>67.540000000000006</v>
      </c>
      <c r="S3395" s="18">
        <v>5482.9355000000005</v>
      </c>
      <c r="T3395" s="19" t="s">
        <v>328</v>
      </c>
      <c r="U3395" s="20" t="s">
        <v>431</v>
      </c>
      <c r="V3395" s="21">
        <v>35</v>
      </c>
      <c r="W3395" s="21">
        <v>6</v>
      </c>
      <c r="X3395" s="22"/>
    </row>
    <row r="3396" spans="1:24" s="1" customFormat="1" ht="11.1" customHeight="1" x14ac:dyDescent="0.3">
      <c r="A3396" s="23" t="s">
        <v>3183</v>
      </c>
      <c r="B3396" s="23" t="s">
        <v>3691</v>
      </c>
      <c r="C3396" s="12" t="s">
        <v>3724</v>
      </c>
      <c r="D3396" s="85"/>
      <c r="E3396" s="69" t="str">
        <f t="shared" si="151"/>
        <v>Еще фото</v>
      </c>
      <c r="F3396" s="13"/>
      <c r="G3396" s="23" t="s">
        <v>3659</v>
      </c>
      <c r="H3396" s="23" t="s">
        <v>151</v>
      </c>
      <c r="I3396" s="23" t="s">
        <v>424</v>
      </c>
      <c r="J3396" s="14" t="s">
        <v>138</v>
      </c>
      <c r="K3396" s="15" t="s">
        <v>30</v>
      </c>
      <c r="L3396" s="88"/>
      <c r="M3396" s="14"/>
      <c r="N3396" s="14" t="s">
        <v>3725</v>
      </c>
      <c r="O3396" s="14"/>
      <c r="P3396" s="15" t="s">
        <v>3726</v>
      </c>
      <c r="Q3396" s="16">
        <v>14690</v>
      </c>
      <c r="R3396" s="17">
        <v>67.540000000000006</v>
      </c>
      <c r="S3396" s="18">
        <v>5482.9355000000005</v>
      </c>
      <c r="T3396" s="19" t="s">
        <v>328</v>
      </c>
      <c r="U3396" s="20" t="s">
        <v>1503</v>
      </c>
      <c r="V3396" s="21">
        <v>36</v>
      </c>
      <c r="W3396" s="21">
        <v>2</v>
      </c>
      <c r="X3396" s="22"/>
    </row>
    <row r="3397" spans="1:24" s="1" customFormat="1" ht="12.95" customHeight="1" x14ac:dyDescent="0.3">
      <c r="A3397" s="11" t="s">
        <v>3183</v>
      </c>
      <c r="B3397" s="11" t="s">
        <v>3695</v>
      </c>
      <c r="C3397" s="12" t="s">
        <v>3727</v>
      </c>
      <c r="D3397" s="83"/>
      <c r="E3397" s="69" t="str">
        <f t="shared" ref="E3397:E3404" si="152">HYPERLINK("https://www.google.ru/search?q=J56LCC0FUMEC0616&amp;newwindow=1&amp;tbm=isch","Еще фото")</f>
        <v>Еще фото</v>
      </c>
      <c r="F3397" s="13"/>
      <c r="G3397" s="11" t="s">
        <v>3659</v>
      </c>
      <c r="H3397" s="11" t="s">
        <v>151</v>
      </c>
      <c r="I3397" s="14" t="s">
        <v>424</v>
      </c>
      <c r="J3397" s="14" t="s">
        <v>138</v>
      </c>
      <c r="K3397" s="15" t="s">
        <v>30</v>
      </c>
      <c r="L3397" s="86" t="s">
        <v>3697</v>
      </c>
      <c r="M3397" s="14"/>
      <c r="N3397" s="14" t="s">
        <v>3728</v>
      </c>
      <c r="O3397" s="14"/>
      <c r="P3397" s="15" t="s">
        <v>3729</v>
      </c>
      <c r="Q3397" s="16">
        <v>14690</v>
      </c>
      <c r="R3397" s="17">
        <v>67.540000000000006</v>
      </c>
      <c r="S3397" s="18">
        <v>5482.9355000000005</v>
      </c>
      <c r="T3397" s="19" t="s">
        <v>328</v>
      </c>
      <c r="U3397" s="26" t="s">
        <v>3189</v>
      </c>
      <c r="V3397" s="21">
        <v>30</v>
      </c>
      <c r="W3397" s="21">
        <v>2</v>
      </c>
      <c r="X3397" s="22"/>
    </row>
    <row r="3398" spans="1:24" s="1" customFormat="1" ht="12.95" customHeight="1" x14ac:dyDescent="0.3">
      <c r="A3398" s="23" t="s">
        <v>3183</v>
      </c>
      <c r="B3398" s="23" t="s">
        <v>3695</v>
      </c>
      <c r="C3398" s="12" t="s">
        <v>3727</v>
      </c>
      <c r="D3398" s="84"/>
      <c r="E3398" s="69" t="str">
        <f t="shared" si="152"/>
        <v>Еще фото</v>
      </c>
      <c r="F3398" s="13"/>
      <c r="G3398" s="23" t="s">
        <v>3659</v>
      </c>
      <c r="H3398" s="23" t="s">
        <v>151</v>
      </c>
      <c r="I3398" s="23" t="s">
        <v>424</v>
      </c>
      <c r="J3398" s="14" t="s">
        <v>138</v>
      </c>
      <c r="K3398" s="15" t="s">
        <v>30</v>
      </c>
      <c r="L3398" s="87"/>
      <c r="M3398" s="14"/>
      <c r="N3398" s="14" t="s">
        <v>3728</v>
      </c>
      <c r="O3398" s="14"/>
      <c r="P3398" s="15" t="s">
        <v>3729</v>
      </c>
      <c r="Q3398" s="16">
        <v>14690</v>
      </c>
      <c r="R3398" s="17">
        <v>67.540000000000006</v>
      </c>
      <c r="S3398" s="18">
        <v>5482.9355000000005</v>
      </c>
      <c r="T3398" s="19" t="s">
        <v>328</v>
      </c>
      <c r="U3398" s="20" t="s">
        <v>3190</v>
      </c>
      <c r="V3398" s="21">
        <v>31</v>
      </c>
      <c r="W3398" s="21">
        <v>3</v>
      </c>
      <c r="X3398" s="22"/>
    </row>
    <row r="3399" spans="1:24" s="1" customFormat="1" ht="12.95" customHeight="1" x14ac:dyDescent="0.3">
      <c r="A3399" s="23" t="s">
        <v>3183</v>
      </c>
      <c r="B3399" s="23" t="s">
        <v>3695</v>
      </c>
      <c r="C3399" s="12" t="s">
        <v>3727</v>
      </c>
      <c r="D3399" s="84"/>
      <c r="E3399" s="69" t="str">
        <f t="shared" si="152"/>
        <v>Еще фото</v>
      </c>
      <c r="F3399" s="13"/>
      <c r="G3399" s="23" t="s">
        <v>3659</v>
      </c>
      <c r="H3399" s="23" t="s">
        <v>151</v>
      </c>
      <c r="I3399" s="23" t="s">
        <v>424</v>
      </c>
      <c r="J3399" s="14" t="s">
        <v>138</v>
      </c>
      <c r="K3399" s="15" t="s">
        <v>30</v>
      </c>
      <c r="L3399" s="87"/>
      <c r="M3399" s="14"/>
      <c r="N3399" s="14" t="s">
        <v>3728</v>
      </c>
      <c r="O3399" s="14"/>
      <c r="P3399" s="15" t="s">
        <v>3729</v>
      </c>
      <c r="Q3399" s="16">
        <v>14690</v>
      </c>
      <c r="R3399" s="17">
        <v>67.540000000000006</v>
      </c>
      <c r="S3399" s="18">
        <v>5482.9355000000005</v>
      </c>
      <c r="T3399" s="19" t="s">
        <v>328</v>
      </c>
      <c r="U3399" s="20" t="s">
        <v>553</v>
      </c>
      <c r="V3399" s="21">
        <v>33</v>
      </c>
      <c r="W3399" s="21">
        <v>6</v>
      </c>
      <c r="X3399" s="22"/>
    </row>
    <row r="3400" spans="1:24" s="1" customFormat="1" ht="12.95" customHeight="1" x14ac:dyDescent="0.3">
      <c r="A3400" s="23" t="s">
        <v>3183</v>
      </c>
      <c r="B3400" s="23" t="s">
        <v>3695</v>
      </c>
      <c r="C3400" s="12" t="s">
        <v>3727</v>
      </c>
      <c r="D3400" s="84"/>
      <c r="E3400" s="69" t="str">
        <f t="shared" si="152"/>
        <v>Еще фото</v>
      </c>
      <c r="F3400" s="13"/>
      <c r="G3400" s="23" t="s">
        <v>3659</v>
      </c>
      <c r="H3400" s="23" t="s">
        <v>151</v>
      </c>
      <c r="I3400" s="23" t="s">
        <v>424</v>
      </c>
      <c r="J3400" s="14" t="s">
        <v>138</v>
      </c>
      <c r="K3400" s="15" t="s">
        <v>30</v>
      </c>
      <c r="L3400" s="87"/>
      <c r="M3400" s="14"/>
      <c r="N3400" s="14" t="s">
        <v>3728</v>
      </c>
      <c r="O3400" s="14"/>
      <c r="P3400" s="15" t="s">
        <v>3729</v>
      </c>
      <c r="Q3400" s="16">
        <v>14690</v>
      </c>
      <c r="R3400" s="17">
        <v>67.540000000000006</v>
      </c>
      <c r="S3400" s="18">
        <v>5482.9355000000005</v>
      </c>
      <c r="T3400" s="19" t="s">
        <v>328</v>
      </c>
      <c r="U3400" s="20" t="s">
        <v>554</v>
      </c>
      <c r="V3400" s="21">
        <v>34</v>
      </c>
      <c r="W3400" s="21">
        <v>4</v>
      </c>
      <c r="X3400" s="22"/>
    </row>
    <row r="3401" spans="1:24" s="1" customFormat="1" ht="12.95" customHeight="1" x14ac:dyDescent="0.3">
      <c r="A3401" s="23" t="s">
        <v>3183</v>
      </c>
      <c r="B3401" s="23" t="s">
        <v>3695</v>
      </c>
      <c r="C3401" s="12" t="s">
        <v>3727</v>
      </c>
      <c r="D3401" s="84"/>
      <c r="E3401" s="69" t="str">
        <f t="shared" si="152"/>
        <v>Еще фото</v>
      </c>
      <c r="F3401" s="13"/>
      <c r="G3401" s="23" t="s">
        <v>3659</v>
      </c>
      <c r="H3401" s="23" t="s">
        <v>151</v>
      </c>
      <c r="I3401" s="23" t="s">
        <v>424</v>
      </c>
      <c r="J3401" s="14" t="s">
        <v>138</v>
      </c>
      <c r="K3401" s="15" t="s">
        <v>30</v>
      </c>
      <c r="L3401" s="87"/>
      <c r="M3401" s="14"/>
      <c r="N3401" s="14" t="s">
        <v>3728</v>
      </c>
      <c r="O3401" s="14"/>
      <c r="P3401" s="15" t="s">
        <v>3729</v>
      </c>
      <c r="Q3401" s="16">
        <v>14690</v>
      </c>
      <c r="R3401" s="17">
        <v>67.540000000000006</v>
      </c>
      <c r="S3401" s="18">
        <v>5482.9355000000005</v>
      </c>
      <c r="T3401" s="19" t="s">
        <v>328</v>
      </c>
      <c r="U3401" s="20" t="s">
        <v>431</v>
      </c>
      <c r="V3401" s="21">
        <v>35</v>
      </c>
      <c r="W3401" s="21">
        <v>5</v>
      </c>
      <c r="X3401" s="22"/>
    </row>
    <row r="3402" spans="1:24" s="1" customFormat="1" ht="12.95" customHeight="1" x14ac:dyDescent="0.3">
      <c r="A3402" s="23" t="s">
        <v>3183</v>
      </c>
      <c r="B3402" s="23" t="s">
        <v>3695</v>
      </c>
      <c r="C3402" s="12" t="s">
        <v>3727</v>
      </c>
      <c r="D3402" s="84"/>
      <c r="E3402" s="69" t="str">
        <f t="shared" si="152"/>
        <v>Еще фото</v>
      </c>
      <c r="F3402" s="13"/>
      <c r="G3402" s="23" t="s">
        <v>3659</v>
      </c>
      <c r="H3402" s="23" t="s">
        <v>151</v>
      </c>
      <c r="I3402" s="23" t="s">
        <v>424</v>
      </c>
      <c r="J3402" s="14" t="s">
        <v>138</v>
      </c>
      <c r="K3402" s="15" t="s">
        <v>30</v>
      </c>
      <c r="L3402" s="87"/>
      <c r="M3402" s="14"/>
      <c r="N3402" s="14" t="s">
        <v>3728</v>
      </c>
      <c r="O3402" s="14"/>
      <c r="P3402" s="15" t="s">
        <v>3729</v>
      </c>
      <c r="Q3402" s="16">
        <v>14690</v>
      </c>
      <c r="R3402" s="17">
        <v>67.540000000000006</v>
      </c>
      <c r="S3402" s="18">
        <v>5482.9355000000005</v>
      </c>
      <c r="T3402" s="19" t="s">
        <v>328</v>
      </c>
      <c r="U3402" s="20" t="s">
        <v>1503</v>
      </c>
      <c r="V3402" s="21">
        <v>36</v>
      </c>
      <c r="W3402" s="21">
        <v>8</v>
      </c>
      <c r="X3402" s="22"/>
    </row>
    <row r="3403" spans="1:24" s="1" customFormat="1" ht="12.95" customHeight="1" x14ac:dyDescent="0.3">
      <c r="A3403" s="23" t="s">
        <v>3183</v>
      </c>
      <c r="B3403" s="23" t="s">
        <v>3695</v>
      </c>
      <c r="C3403" s="12" t="s">
        <v>3727</v>
      </c>
      <c r="D3403" s="84"/>
      <c r="E3403" s="69" t="str">
        <f t="shared" si="152"/>
        <v>Еще фото</v>
      </c>
      <c r="F3403" s="13"/>
      <c r="G3403" s="23" t="s">
        <v>3659</v>
      </c>
      <c r="H3403" s="23" t="s">
        <v>151</v>
      </c>
      <c r="I3403" s="23" t="s">
        <v>424</v>
      </c>
      <c r="J3403" s="14" t="s">
        <v>138</v>
      </c>
      <c r="K3403" s="15" t="s">
        <v>30</v>
      </c>
      <c r="L3403" s="87"/>
      <c r="M3403" s="14"/>
      <c r="N3403" s="14" t="s">
        <v>3728</v>
      </c>
      <c r="O3403" s="14"/>
      <c r="P3403" s="15" t="s">
        <v>3729</v>
      </c>
      <c r="Q3403" s="16">
        <v>14690</v>
      </c>
      <c r="R3403" s="17">
        <v>67.540000000000006</v>
      </c>
      <c r="S3403" s="18">
        <v>5482.9355000000005</v>
      </c>
      <c r="T3403" s="19" t="s">
        <v>328</v>
      </c>
      <c r="U3403" s="20" t="s">
        <v>409</v>
      </c>
      <c r="V3403" s="21">
        <v>37</v>
      </c>
      <c r="W3403" s="21">
        <v>9</v>
      </c>
      <c r="X3403" s="22"/>
    </row>
    <row r="3404" spans="1:24" s="1" customFormat="1" ht="18" customHeight="1" x14ac:dyDescent="0.3">
      <c r="A3404" s="23" t="s">
        <v>3183</v>
      </c>
      <c r="B3404" s="23" t="s">
        <v>3695</v>
      </c>
      <c r="C3404" s="12" t="s">
        <v>3727</v>
      </c>
      <c r="D3404" s="85"/>
      <c r="E3404" s="69" t="str">
        <f t="shared" si="152"/>
        <v>Еще фото</v>
      </c>
      <c r="F3404" s="13"/>
      <c r="G3404" s="23" t="s">
        <v>3659</v>
      </c>
      <c r="H3404" s="23" t="s">
        <v>151</v>
      </c>
      <c r="I3404" s="23" t="s">
        <v>424</v>
      </c>
      <c r="J3404" s="14" t="s">
        <v>138</v>
      </c>
      <c r="K3404" s="15" t="s">
        <v>30</v>
      </c>
      <c r="L3404" s="88"/>
      <c r="M3404" s="14"/>
      <c r="N3404" s="14" t="s">
        <v>3728</v>
      </c>
      <c r="O3404" s="14"/>
      <c r="P3404" s="15" t="s">
        <v>3729</v>
      </c>
      <c r="Q3404" s="16">
        <v>14690</v>
      </c>
      <c r="R3404" s="17">
        <v>67.540000000000006</v>
      </c>
      <c r="S3404" s="18">
        <v>5482.9355000000005</v>
      </c>
      <c r="T3404" s="19" t="s">
        <v>328</v>
      </c>
      <c r="U3404" s="20" t="s">
        <v>426</v>
      </c>
      <c r="V3404" s="21">
        <v>38</v>
      </c>
      <c r="W3404" s="21">
        <v>10</v>
      </c>
      <c r="X3404" s="22"/>
    </row>
    <row r="3405" spans="1:24" s="1" customFormat="1" ht="35.1" customHeight="1" x14ac:dyDescent="0.3">
      <c r="A3405" s="11" t="s">
        <v>3183</v>
      </c>
      <c r="B3405" s="11" t="s">
        <v>3730</v>
      </c>
      <c r="C3405" s="12" t="s">
        <v>3731</v>
      </c>
      <c r="D3405" s="83"/>
      <c r="E3405" s="69" t="str">
        <f>HYPERLINK("https://www.google.ru/search?q=D26HRQ00043C9999&amp;newwindow=1&amp;tbm=isch","Еще фото")</f>
        <v>Еще фото</v>
      </c>
      <c r="F3405" s="13"/>
      <c r="G3405" s="11" t="s">
        <v>3659</v>
      </c>
      <c r="H3405" s="11" t="s">
        <v>151</v>
      </c>
      <c r="I3405" s="14" t="s">
        <v>424</v>
      </c>
      <c r="J3405" s="14" t="s">
        <v>138</v>
      </c>
      <c r="K3405" s="15" t="s">
        <v>47</v>
      </c>
      <c r="L3405" s="86" t="s">
        <v>3732</v>
      </c>
      <c r="M3405" s="14"/>
      <c r="N3405" s="14" t="s">
        <v>3661</v>
      </c>
      <c r="O3405" s="14"/>
      <c r="P3405" s="15" t="s">
        <v>3733</v>
      </c>
      <c r="Q3405" s="16">
        <v>20690</v>
      </c>
      <c r="R3405" s="17">
        <v>67.53</v>
      </c>
      <c r="S3405" s="18">
        <v>7725.4354999999996</v>
      </c>
      <c r="T3405" s="19" t="s">
        <v>328</v>
      </c>
      <c r="U3405" s="20" t="s">
        <v>1503</v>
      </c>
      <c r="V3405" s="21">
        <v>36</v>
      </c>
      <c r="W3405" s="21">
        <v>4</v>
      </c>
      <c r="X3405" s="22"/>
    </row>
    <row r="3406" spans="1:24" s="1" customFormat="1" ht="35.1" customHeight="1" x14ac:dyDescent="0.3">
      <c r="A3406" s="23" t="s">
        <v>3183</v>
      </c>
      <c r="B3406" s="23" t="s">
        <v>3730</v>
      </c>
      <c r="C3406" s="12" t="s">
        <v>3731</v>
      </c>
      <c r="D3406" s="84"/>
      <c r="E3406" s="69" t="str">
        <f>HYPERLINK("https://www.google.ru/search?q=D26HRQ00043C9999&amp;newwindow=1&amp;tbm=isch","Еще фото")</f>
        <v>Еще фото</v>
      </c>
      <c r="F3406" s="13"/>
      <c r="G3406" s="23" t="s">
        <v>3659</v>
      </c>
      <c r="H3406" s="23" t="s">
        <v>151</v>
      </c>
      <c r="I3406" s="23" t="s">
        <v>424</v>
      </c>
      <c r="J3406" s="14" t="s">
        <v>138</v>
      </c>
      <c r="K3406" s="15" t="s">
        <v>47</v>
      </c>
      <c r="L3406" s="87"/>
      <c r="M3406" s="14"/>
      <c r="N3406" s="14" t="s">
        <v>3661</v>
      </c>
      <c r="O3406" s="14"/>
      <c r="P3406" s="15" t="s">
        <v>3733</v>
      </c>
      <c r="Q3406" s="16">
        <v>20690</v>
      </c>
      <c r="R3406" s="17">
        <v>67.53</v>
      </c>
      <c r="S3406" s="18">
        <v>7725.4354999999996</v>
      </c>
      <c r="T3406" s="19" t="s">
        <v>328</v>
      </c>
      <c r="U3406" s="20" t="s">
        <v>409</v>
      </c>
      <c r="V3406" s="21">
        <v>37</v>
      </c>
      <c r="W3406" s="21">
        <v>2</v>
      </c>
      <c r="X3406" s="22"/>
    </row>
    <row r="3407" spans="1:24" s="1" customFormat="1" ht="36.950000000000003" customHeight="1" x14ac:dyDescent="0.3">
      <c r="A3407" s="23" t="s">
        <v>3183</v>
      </c>
      <c r="B3407" s="23" t="s">
        <v>3730</v>
      </c>
      <c r="C3407" s="12" t="s">
        <v>3731</v>
      </c>
      <c r="D3407" s="85"/>
      <c r="E3407" s="69" t="str">
        <f>HYPERLINK("https://www.google.ru/search?q=D26HRQ00043C9999&amp;newwindow=1&amp;tbm=isch","Еще фото")</f>
        <v>Еще фото</v>
      </c>
      <c r="F3407" s="13"/>
      <c r="G3407" s="23" t="s">
        <v>3659</v>
      </c>
      <c r="H3407" s="23" t="s">
        <v>151</v>
      </c>
      <c r="I3407" s="23" t="s">
        <v>424</v>
      </c>
      <c r="J3407" s="14" t="s">
        <v>138</v>
      </c>
      <c r="K3407" s="15" t="s">
        <v>47</v>
      </c>
      <c r="L3407" s="88"/>
      <c r="M3407" s="14"/>
      <c r="N3407" s="14" t="s">
        <v>3661</v>
      </c>
      <c r="O3407" s="14"/>
      <c r="P3407" s="15" t="s">
        <v>3733</v>
      </c>
      <c r="Q3407" s="16">
        <v>20690</v>
      </c>
      <c r="R3407" s="17">
        <v>67.53</v>
      </c>
      <c r="S3407" s="18">
        <v>7725.4354999999996</v>
      </c>
      <c r="T3407" s="19" t="s">
        <v>328</v>
      </c>
      <c r="U3407" s="20" t="s">
        <v>413</v>
      </c>
      <c r="V3407" s="21">
        <v>39</v>
      </c>
      <c r="W3407" s="21">
        <v>2</v>
      </c>
      <c r="X3407" s="22"/>
    </row>
    <row r="3408" spans="1:24" s="1" customFormat="1" ht="12.95" customHeight="1" x14ac:dyDescent="0.3">
      <c r="A3408" s="11" t="s">
        <v>3183</v>
      </c>
      <c r="B3408" s="11" t="s">
        <v>3687</v>
      </c>
      <c r="C3408" s="12" t="s">
        <v>3734</v>
      </c>
      <c r="D3408" s="83"/>
      <c r="E3408" s="69" t="str">
        <f t="shared" ref="E3408:E3415" si="153">HYPERLINK("https://www.google.ru/search?q=J46FRD050FUCA3K4&amp;newwindow=1&amp;tbm=isch","Еще фото")</f>
        <v>Еще фото</v>
      </c>
      <c r="F3408" s="13"/>
      <c r="G3408" s="11" t="s">
        <v>3659</v>
      </c>
      <c r="H3408" s="11" t="s">
        <v>151</v>
      </c>
      <c r="I3408" s="14" t="s">
        <v>424</v>
      </c>
      <c r="J3408" s="14" t="s">
        <v>138</v>
      </c>
      <c r="K3408" s="15" t="s">
        <v>30</v>
      </c>
      <c r="L3408" s="86" t="s">
        <v>3735</v>
      </c>
      <c r="M3408" s="14"/>
      <c r="N3408" s="14" t="s">
        <v>887</v>
      </c>
      <c r="O3408" s="14"/>
      <c r="P3408" s="15" t="s">
        <v>3736</v>
      </c>
      <c r="Q3408" s="16">
        <v>13790</v>
      </c>
      <c r="R3408" s="17">
        <v>67.53</v>
      </c>
      <c r="S3408" s="18">
        <v>5149.4355000000005</v>
      </c>
      <c r="T3408" s="19" t="s">
        <v>328</v>
      </c>
      <c r="U3408" s="26" t="s">
        <v>3189</v>
      </c>
      <c r="V3408" s="21">
        <v>30</v>
      </c>
      <c r="W3408" s="21">
        <v>1</v>
      </c>
      <c r="X3408" s="22"/>
    </row>
    <row r="3409" spans="1:24" s="1" customFormat="1" ht="12.95" customHeight="1" x14ac:dyDescent="0.3">
      <c r="A3409" s="23" t="s">
        <v>3183</v>
      </c>
      <c r="B3409" s="23" t="s">
        <v>3687</v>
      </c>
      <c r="C3409" s="12" t="s">
        <v>3734</v>
      </c>
      <c r="D3409" s="84"/>
      <c r="E3409" s="69" t="str">
        <f t="shared" si="153"/>
        <v>Еще фото</v>
      </c>
      <c r="F3409" s="13"/>
      <c r="G3409" s="23" t="s">
        <v>3659</v>
      </c>
      <c r="H3409" s="23" t="s">
        <v>151</v>
      </c>
      <c r="I3409" s="23" t="s">
        <v>424</v>
      </c>
      <c r="J3409" s="14" t="s">
        <v>138</v>
      </c>
      <c r="K3409" s="15" t="s">
        <v>30</v>
      </c>
      <c r="L3409" s="87"/>
      <c r="M3409" s="14"/>
      <c r="N3409" s="14" t="s">
        <v>887</v>
      </c>
      <c r="O3409" s="14"/>
      <c r="P3409" s="15" t="s">
        <v>3736</v>
      </c>
      <c r="Q3409" s="16">
        <v>13790</v>
      </c>
      <c r="R3409" s="17">
        <v>67.53</v>
      </c>
      <c r="S3409" s="18">
        <v>5149.4355000000005</v>
      </c>
      <c r="T3409" s="19" t="s">
        <v>328</v>
      </c>
      <c r="U3409" s="20" t="s">
        <v>3190</v>
      </c>
      <c r="V3409" s="21">
        <v>31</v>
      </c>
      <c r="W3409" s="21">
        <v>1</v>
      </c>
      <c r="X3409" s="22"/>
    </row>
    <row r="3410" spans="1:24" s="1" customFormat="1" ht="12.95" customHeight="1" x14ac:dyDescent="0.3">
      <c r="A3410" s="23" t="s">
        <v>3183</v>
      </c>
      <c r="B3410" s="23" t="s">
        <v>3687</v>
      </c>
      <c r="C3410" s="12" t="s">
        <v>3734</v>
      </c>
      <c r="D3410" s="84"/>
      <c r="E3410" s="69" t="str">
        <f t="shared" si="153"/>
        <v>Еще фото</v>
      </c>
      <c r="F3410" s="13"/>
      <c r="G3410" s="23" t="s">
        <v>3659</v>
      </c>
      <c r="H3410" s="23" t="s">
        <v>151</v>
      </c>
      <c r="I3410" s="23" t="s">
        <v>424</v>
      </c>
      <c r="J3410" s="14" t="s">
        <v>138</v>
      </c>
      <c r="K3410" s="15" t="s">
        <v>30</v>
      </c>
      <c r="L3410" s="87"/>
      <c r="M3410" s="14"/>
      <c r="N3410" s="14" t="s">
        <v>887</v>
      </c>
      <c r="O3410" s="14"/>
      <c r="P3410" s="15" t="s">
        <v>3736</v>
      </c>
      <c r="Q3410" s="16">
        <v>13790</v>
      </c>
      <c r="R3410" s="17">
        <v>67.53</v>
      </c>
      <c r="S3410" s="18">
        <v>5149.4355000000005</v>
      </c>
      <c r="T3410" s="19" t="s">
        <v>328</v>
      </c>
      <c r="U3410" s="20" t="s">
        <v>552</v>
      </c>
      <c r="V3410" s="21">
        <v>32</v>
      </c>
      <c r="W3410" s="21">
        <v>7</v>
      </c>
      <c r="X3410" s="22"/>
    </row>
    <row r="3411" spans="1:24" s="1" customFormat="1" ht="12.95" customHeight="1" x14ac:dyDescent="0.3">
      <c r="A3411" s="23" t="s">
        <v>3183</v>
      </c>
      <c r="B3411" s="23" t="s">
        <v>3687</v>
      </c>
      <c r="C3411" s="12" t="s">
        <v>3734</v>
      </c>
      <c r="D3411" s="84"/>
      <c r="E3411" s="69" t="str">
        <f t="shared" si="153"/>
        <v>Еще фото</v>
      </c>
      <c r="F3411" s="13"/>
      <c r="G3411" s="23" t="s">
        <v>3659</v>
      </c>
      <c r="H3411" s="23" t="s">
        <v>151</v>
      </c>
      <c r="I3411" s="23" t="s">
        <v>424</v>
      </c>
      <c r="J3411" s="14" t="s">
        <v>138</v>
      </c>
      <c r="K3411" s="15" t="s">
        <v>30</v>
      </c>
      <c r="L3411" s="87"/>
      <c r="M3411" s="14"/>
      <c r="N3411" s="14" t="s">
        <v>887</v>
      </c>
      <c r="O3411" s="14"/>
      <c r="P3411" s="15" t="s">
        <v>3736</v>
      </c>
      <c r="Q3411" s="16">
        <v>13790</v>
      </c>
      <c r="R3411" s="17">
        <v>67.53</v>
      </c>
      <c r="S3411" s="18">
        <v>5149.4355000000005</v>
      </c>
      <c r="T3411" s="19" t="s">
        <v>328</v>
      </c>
      <c r="U3411" s="20" t="s">
        <v>553</v>
      </c>
      <c r="V3411" s="21">
        <v>33</v>
      </c>
      <c r="W3411" s="21">
        <v>4</v>
      </c>
      <c r="X3411" s="22"/>
    </row>
    <row r="3412" spans="1:24" s="1" customFormat="1" ht="12.95" customHeight="1" x14ac:dyDescent="0.3">
      <c r="A3412" s="23" t="s">
        <v>3183</v>
      </c>
      <c r="B3412" s="23" t="s">
        <v>3687</v>
      </c>
      <c r="C3412" s="12" t="s">
        <v>3734</v>
      </c>
      <c r="D3412" s="84"/>
      <c r="E3412" s="69" t="str">
        <f t="shared" si="153"/>
        <v>Еще фото</v>
      </c>
      <c r="F3412" s="13"/>
      <c r="G3412" s="23" t="s">
        <v>3659</v>
      </c>
      <c r="H3412" s="23" t="s">
        <v>151</v>
      </c>
      <c r="I3412" s="23" t="s">
        <v>424</v>
      </c>
      <c r="J3412" s="14" t="s">
        <v>138</v>
      </c>
      <c r="K3412" s="15" t="s">
        <v>30</v>
      </c>
      <c r="L3412" s="87"/>
      <c r="M3412" s="14"/>
      <c r="N3412" s="14" t="s">
        <v>887</v>
      </c>
      <c r="O3412" s="14"/>
      <c r="P3412" s="15" t="s">
        <v>3736</v>
      </c>
      <c r="Q3412" s="16">
        <v>13790</v>
      </c>
      <c r="R3412" s="17">
        <v>67.53</v>
      </c>
      <c r="S3412" s="18">
        <v>5149.4355000000005</v>
      </c>
      <c r="T3412" s="19" t="s">
        <v>328</v>
      </c>
      <c r="U3412" s="20" t="s">
        <v>554</v>
      </c>
      <c r="V3412" s="21">
        <v>34</v>
      </c>
      <c r="W3412" s="21">
        <v>8</v>
      </c>
      <c r="X3412" s="22"/>
    </row>
    <row r="3413" spans="1:24" s="1" customFormat="1" ht="12.95" customHeight="1" x14ac:dyDescent="0.3">
      <c r="A3413" s="23" t="s">
        <v>3183</v>
      </c>
      <c r="B3413" s="23" t="s">
        <v>3687</v>
      </c>
      <c r="C3413" s="12" t="s">
        <v>3734</v>
      </c>
      <c r="D3413" s="84"/>
      <c r="E3413" s="69" t="str">
        <f t="shared" si="153"/>
        <v>Еще фото</v>
      </c>
      <c r="F3413" s="13"/>
      <c r="G3413" s="23" t="s">
        <v>3659</v>
      </c>
      <c r="H3413" s="23" t="s">
        <v>151</v>
      </c>
      <c r="I3413" s="23" t="s">
        <v>424</v>
      </c>
      <c r="J3413" s="14" t="s">
        <v>138</v>
      </c>
      <c r="K3413" s="15" t="s">
        <v>30</v>
      </c>
      <c r="L3413" s="87"/>
      <c r="M3413" s="14"/>
      <c r="N3413" s="14" t="s">
        <v>887</v>
      </c>
      <c r="O3413" s="14"/>
      <c r="P3413" s="15" t="s">
        <v>3736</v>
      </c>
      <c r="Q3413" s="16">
        <v>13790</v>
      </c>
      <c r="R3413" s="17">
        <v>67.53</v>
      </c>
      <c r="S3413" s="18">
        <v>5149.4355000000005</v>
      </c>
      <c r="T3413" s="19" t="s">
        <v>328</v>
      </c>
      <c r="U3413" s="20" t="s">
        <v>431</v>
      </c>
      <c r="V3413" s="21">
        <v>35</v>
      </c>
      <c r="W3413" s="21">
        <v>5</v>
      </c>
      <c r="X3413" s="22"/>
    </row>
    <row r="3414" spans="1:24" s="1" customFormat="1" ht="12.95" customHeight="1" x14ac:dyDescent="0.3">
      <c r="A3414" s="23" t="s">
        <v>3183</v>
      </c>
      <c r="B3414" s="23" t="s">
        <v>3687</v>
      </c>
      <c r="C3414" s="12" t="s">
        <v>3734</v>
      </c>
      <c r="D3414" s="84"/>
      <c r="E3414" s="69" t="str">
        <f t="shared" si="153"/>
        <v>Еще фото</v>
      </c>
      <c r="F3414" s="13"/>
      <c r="G3414" s="23" t="s">
        <v>3659</v>
      </c>
      <c r="H3414" s="23" t="s">
        <v>151</v>
      </c>
      <c r="I3414" s="23" t="s">
        <v>424</v>
      </c>
      <c r="J3414" s="14" t="s">
        <v>138</v>
      </c>
      <c r="K3414" s="15" t="s">
        <v>30</v>
      </c>
      <c r="L3414" s="87"/>
      <c r="M3414" s="14"/>
      <c r="N3414" s="14" t="s">
        <v>887</v>
      </c>
      <c r="O3414" s="14"/>
      <c r="P3414" s="15" t="s">
        <v>3736</v>
      </c>
      <c r="Q3414" s="16">
        <v>13790</v>
      </c>
      <c r="R3414" s="17">
        <v>67.53</v>
      </c>
      <c r="S3414" s="18">
        <v>5149.4355000000005</v>
      </c>
      <c r="T3414" s="19" t="s">
        <v>328</v>
      </c>
      <c r="U3414" s="20" t="s">
        <v>1503</v>
      </c>
      <c r="V3414" s="21">
        <v>36</v>
      </c>
      <c r="W3414" s="21">
        <v>8</v>
      </c>
      <c r="X3414" s="22"/>
    </row>
    <row r="3415" spans="1:24" s="1" customFormat="1" ht="18" customHeight="1" x14ac:dyDescent="0.3">
      <c r="A3415" s="23" t="s">
        <v>3183</v>
      </c>
      <c r="B3415" s="23" t="s">
        <v>3687</v>
      </c>
      <c r="C3415" s="12" t="s">
        <v>3734</v>
      </c>
      <c r="D3415" s="85"/>
      <c r="E3415" s="69" t="str">
        <f t="shared" si="153"/>
        <v>Еще фото</v>
      </c>
      <c r="F3415" s="13"/>
      <c r="G3415" s="23" t="s">
        <v>3659</v>
      </c>
      <c r="H3415" s="23" t="s">
        <v>151</v>
      </c>
      <c r="I3415" s="23" t="s">
        <v>424</v>
      </c>
      <c r="J3415" s="14" t="s">
        <v>138</v>
      </c>
      <c r="K3415" s="15" t="s">
        <v>30</v>
      </c>
      <c r="L3415" s="88"/>
      <c r="M3415" s="14"/>
      <c r="N3415" s="14" t="s">
        <v>887</v>
      </c>
      <c r="O3415" s="14"/>
      <c r="P3415" s="15" t="s">
        <v>3736</v>
      </c>
      <c r="Q3415" s="16">
        <v>13790</v>
      </c>
      <c r="R3415" s="17">
        <v>67.53</v>
      </c>
      <c r="S3415" s="18">
        <v>5149.4355000000005</v>
      </c>
      <c r="T3415" s="19" t="s">
        <v>328</v>
      </c>
      <c r="U3415" s="20" t="s">
        <v>409</v>
      </c>
      <c r="V3415" s="21">
        <v>37</v>
      </c>
      <c r="W3415" s="21">
        <v>4</v>
      </c>
      <c r="X3415" s="22"/>
    </row>
    <row r="3416" spans="1:24" s="1" customFormat="1" ht="12.95" customHeight="1" x14ac:dyDescent="0.3">
      <c r="A3416" s="11" t="s">
        <v>3183</v>
      </c>
      <c r="B3416" s="11" t="s">
        <v>3704</v>
      </c>
      <c r="C3416" s="12" t="s">
        <v>3737</v>
      </c>
      <c r="D3416" s="83"/>
      <c r="E3416" s="69" t="str">
        <f t="shared" ref="E3416:E3423" si="154">HYPERLINK("https://www.google.ru/search?q=J46MBE0MEMSC0036&amp;newwindow=1&amp;tbm=isch","Еще фото")</f>
        <v>Еще фото</v>
      </c>
      <c r="F3416" s="13"/>
      <c r="G3416" s="11" t="s">
        <v>3659</v>
      </c>
      <c r="H3416" s="11" t="s">
        <v>151</v>
      </c>
      <c r="I3416" s="14" t="s">
        <v>424</v>
      </c>
      <c r="J3416" s="14" t="s">
        <v>138</v>
      </c>
      <c r="K3416" s="15" t="s">
        <v>30</v>
      </c>
      <c r="L3416" s="86" t="s">
        <v>3706</v>
      </c>
      <c r="M3416" s="14"/>
      <c r="N3416" s="14" t="s">
        <v>3738</v>
      </c>
      <c r="O3416" s="14"/>
      <c r="P3416" s="15" t="s">
        <v>3739</v>
      </c>
      <c r="Q3416" s="16">
        <v>13790</v>
      </c>
      <c r="R3416" s="17">
        <v>67.53</v>
      </c>
      <c r="S3416" s="18">
        <v>5149.4355000000005</v>
      </c>
      <c r="T3416" s="19" t="s">
        <v>328</v>
      </c>
      <c r="U3416" s="26" t="s">
        <v>142</v>
      </c>
      <c r="V3416" s="21">
        <v>28</v>
      </c>
      <c r="W3416" s="21">
        <v>2</v>
      </c>
      <c r="X3416" s="22"/>
    </row>
    <row r="3417" spans="1:24" s="1" customFormat="1" ht="12.95" customHeight="1" x14ac:dyDescent="0.3">
      <c r="A3417" s="23" t="s">
        <v>3183</v>
      </c>
      <c r="B3417" s="23" t="s">
        <v>3704</v>
      </c>
      <c r="C3417" s="12" t="s">
        <v>3737</v>
      </c>
      <c r="D3417" s="84"/>
      <c r="E3417" s="69" t="str">
        <f t="shared" si="154"/>
        <v>Еще фото</v>
      </c>
      <c r="F3417" s="13"/>
      <c r="G3417" s="23" t="s">
        <v>3659</v>
      </c>
      <c r="H3417" s="23" t="s">
        <v>151</v>
      </c>
      <c r="I3417" s="23" t="s">
        <v>424</v>
      </c>
      <c r="J3417" s="14" t="s">
        <v>138</v>
      </c>
      <c r="K3417" s="15" t="s">
        <v>30</v>
      </c>
      <c r="L3417" s="87"/>
      <c r="M3417" s="14"/>
      <c r="N3417" s="14" t="s">
        <v>3738</v>
      </c>
      <c r="O3417" s="14"/>
      <c r="P3417" s="15" t="s">
        <v>3739</v>
      </c>
      <c r="Q3417" s="16">
        <v>13790</v>
      </c>
      <c r="R3417" s="17">
        <v>67.53</v>
      </c>
      <c r="S3417" s="18">
        <v>5149.4355000000005</v>
      </c>
      <c r="T3417" s="19" t="s">
        <v>328</v>
      </c>
      <c r="U3417" s="20" t="s">
        <v>550</v>
      </c>
      <c r="V3417" s="21">
        <v>29</v>
      </c>
      <c r="W3417" s="21">
        <v>2</v>
      </c>
      <c r="X3417" s="22"/>
    </row>
    <row r="3418" spans="1:24" s="1" customFormat="1" ht="12.95" customHeight="1" x14ac:dyDescent="0.3">
      <c r="A3418" s="23" t="s">
        <v>3183</v>
      </c>
      <c r="B3418" s="23" t="s">
        <v>3704</v>
      </c>
      <c r="C3418" s="12" t="s">
        <v>3737</v>
      </c>
      <c r="D3418" s="84"/>
      <c r="E3418" s="69" t="str">
        <f t="shared" si="154"/>
        <v>Еще фото</v>
      </c>
      <c r="F3418" s="13"/>
      <c r="G3418" s="23" t="s">
        <v>3659</v>
      </c>
      <c r="H3418" s="23" t="s">
        <v>151</v>
      </c>
      <c r="I3418" s="23" t="s">
        <v>424</v>
      </c>
      <c r="J3418" s="14" t="s">
        <v>138</v>
      </c>
      <c r="K3418" s="15" t="s">
        <v>30</v>
      </c>
      <c r="L3418" s="87"/>
      <c r="M3418" s="14"/>
      <c r="N3418" s="14" t="s">
        <v>3738</v>
      </c>
      <c r="O3418" s="14"/>
      <c r="P3418" s="15" t="s">
        <v>3739</v>
      </c>
      <c r="Q3418" s="16">
        <v>13790</v>
      </c>
      <c r="R3418" s="17">
        <v>67.53</v>
      </c>
      <c r="S3418" s="18">
        <v>5149.4355000000005</v>
      </c>
      <c r="T3418" s="19" t="s">
        <v>328</v>
      </c>
      <c r="U3418" s="20" t="s">
        <v>3190</v>
      </c>
      <c r="V3418" s="21">
        <v>31</v>
      </c>
      <c r="W3418" s="21">
        <v>2</v>
      </c>
      <c r="X3418" s="22"/>
    </row>
    <row r="3419" spans="1:24" s="1" customFormat="1" ht="12.95" customHeight="1" x14ac:dyDescent="0.3">
      <c r="A3419" s="23" t="s">
        <v>3183</v>
      </c>
      <c r="B3419" s="23" t="s">
        <v>3704</v>
      </c>
      <c r="C3419" s="12" t="s">
        <v>3737</v>
      </c>
      <c r="D3419" s="84"/>
      <c r="E3419" s="69" t="str">
        <f t="shared" si="154"/>
        <v>Еще фото</v>
      </c>
      <c r="F3419" s="13"/>
      <c r="G3419" s="23" t="s">
        <v>3659</v>
      </c>
      <c r="H3419" s="23" t="s">
        <v>151</v>
      </c>
      <c r="I3419" s="23" t="s">
        <v>424</v>
      </c>
      <c r="J3419" s="14" t="s">
        <v>138</v>
      </c>
      <c r="K3419" s="15" t="s">
        <v>30</v>
      </c>
      <c r="L3419" s="87"/>
      <c r="M3419" s="14"/>
      <c r="N3419" s="14" t="s">
        <v>3738</v>
      </c>
      <c r="O3419" s="14"/>
      <c r="P3419" s="15" t="s">
        <v>3739</v>
      </c>
      <c r="Q3419" s="16">
        <v>13790</v>
      </c>
      <c r="R3419" s="17">
        <v>67.53</v>
      </c>
      <c r="S3419" s="18">
        <v>5149.4355000000005</v>
      </c>
      <c r="T3419" s="19" t="s">
        <v>328</v>
      </c>
      <c r="U3419" s="20" t="s">
        <v>552</v>
      </c>
      <c r="V3419" s="21">
        <v>32</v>
      </c>
      <c r="W3419" s="21">
        <v>4</v>
      </c>
      <c r="X3419" s="22"/>
    </row>
    <row r="3420" spans="1:24" s="1" customFormat="1" ht="12.95" customHeight="1" x14ac:dyDescent="0.3">
      <c r="A3420" s="23" t="s">
        <v>3183</v>
      </c>
      <c r="B3420" s="23" t="s">
        <v>3704</v>
      </c>
      <c r="C3420" s="12" t="s">
        <v>3737</v>
      </c>
      <c r="D3420" s="84"/>
      <c r="E3420" s="69" t="str">
        <f t="shared" si="154"/>
        <v>Еще фото</v>
      </c>
      <c r="F3420" s="13"/>
      <c r="G3420" s="23" t="s">
        <v>3659</v>
      </c>
      <c r="H3420" s="23" t="s">
        <v>151</v>
      </c>
      <c r="I3420" s="23" t="s">
        <v>424</v>
      </c>
      <c r="J3420" s="14" t="s">
        <v>138</v>
      </c>
      <c r="K3420" s="15" t="s">
        <v>30</v>
      </c>
      <c r="L3420" s="87"/>
      <c r="M3420" s="14"/>
      <c r="N3420" s="14" t="s">
        <v>3738</v>
      </c>
      <c r="O3420" s="14"/>
      <c r="P3420" s="15" t="s">
        <v>3739</v>
      </c>
      <c r="Q3420" s="16">
        <v>13790</v>
      </c>
      <c r="R3420" s="17">
        <v>67.53</v>
      </c>
      <c r="S3420" s="18">
        <v>5149.4355000000005</v>
      </c>
      <c r="T3420" s="19" t="s">
        <v>328</v>
      </c>
      <c r="U3420" s="20" t="s">
        <v>553</v>
      </c>
      <c r="V3420" s="21">
        <v>33</v>
      </c>
      <c r="W3420" s="21">
        <v>7</v>
      </c>
      <c r="X3420" s="22"/>
    </row>
    <row r="3421" spans="1:24" s="1" customFormat="1" ht="12.95" customHeight="1" x14ac:dyDescent="0.3">
      <c r="A3421" s="23" t="s">
        <v>3183</v>
      </c>
      <c r="B3421" s="23" t="s">
        <v>3704</v>
      </c>
      <c r="C3421" s="12" t="s">
        <v>3737</v>
      </c>
      <c r="D3421" s="84"/>
      <c r="E3421" s="69" t="str">
        <f t="shared" si="154"/>
        <v>Еще фото</v>
      </c>
      <c r="F3421" s="13"/>
      <c r="G3421" s="23" t="s">
        <v>3659</v>
      </c>
      <c r="H3421" s="23" t="s">
        <v>151</v>
      </c>
      <c r="I3421" s="23" t="s">
        <v>424</v>
      </c>
      <c r="J3421" s="14" t="s">
        <v>138</v>
      </c>
      <c r="K3421" s="15" t="s">
        <v>30</v>
      </c>
      <c r="L3421" s="87"/>
      <c r="M3421" s="14"/>
      <c r="N3421" s="14" t="s">
        <v>3738</v>
      </c>
      <c r="O3421" s="14"/>
      <c r="P3421" s="15" t="s">
        <v>3739</v>
      </c>
      <c r="Q3421" s="16">
        <v>13790</v>
      </c>
      <c r="R3421" s="17">
        <v>67.53</v>
      </c>
      <c r="S3421" s="18">
        <v>5149.4355000000005</v>
      </c>
      <c r="T3421" s="19" t="s">
        <v>328</v>
      </c>
      <c r="U3421" s="20" t="s">
        <v>554</v>
      </c>
      <c r="V3421" s="21">
        <v>34</v>
      </c>
      <c r="W3421" s="21">
        <v>9</v>
      </c>
      <c r="X3421" s="22"/>
    </row>
    <row r="3422" spans="1:24" s="1" customFormat="1" ht="12.95" customHeight="1" x14ac:dyDescent="0.3">
      <c r="A3422" s="23" t="s">
        <v>3183</v>
      </c>
      <c r="B3422" s="23" t="s">
        <v>3704</v>
      </c>
      <c r="C3422" s="12" t="s">
        <v>3737</v>
      </c>
      <c r="D3422" s="84"/>
      <c r="E3422" s="69" t="str">
        <f t="shared" si="154"/>
        <v>Еще фото</v>
      </c>
      <c r="F3422" s="13"/>
      <c r="G3422" s="23" t="s">
        <v>3659</v>
      </c>
      <c r="H3422" s="23" t="s">
        <v>151</v>
      </c>
      <c r="I3422" s="23" t="s">
        <v>424</v>
      </c>
      <c r="J3422" s="14" t="s">
        <v>138</v>
      </c>
      <c r="K3422" s="15" t="s">
        <v>30</v>
      </c>
      <c r="L3422" s="87"/>
      <c r="M3422" s="14"/>
      <c r="N3422" s="14" t="s">
        <v>3738</v>
      </c>
      <c r="O3422" s="14"/>
      <c r="P3422" s="15" t="s">
        <v>3739</v>
      </c>
      <c r="Q3422" s="16">
        <v>13790</v>
      </c>
      <c r="R3422" s="17">
        <v>67.53</v>
      </c>
      <c r="S3422" s="18">
        <v>5149.4355000000005</v>
      </c>
      <c r="T3422" s="19" t="s">
        <v>328</v>
      </c>
      <c r="U3422" s="20" t="s">
        <v>431</v>
      </c>
      <c r="V3422" s="21">
        <v>35</v>
      </c>
      <c r="W3422" s="21">
        <v>12</v>
      </c>
      <c r="X3422" s="22"/>
    </row>
    <row r="3423" spans="1:24" s="1" customFormat="1" ht="18" customHeight="1" x14ac:dyDescent="0.3">
      <c r="A3423" s="23" t="s">
        <v>3183</v>
      </c>
      <c r="B3423" s="23" t="s">
        <v>3704</v>
      </c>
      <c r="C3423" s="12" t="s">
        <v>3737</v>
      </c>
      <c r="D3423" s="85"/>
      <c r="E3423" s="69" t="str">
        <f t="shared" si="154"/>
        <v>Еще фото</v>
      </c>
      <c r="F3423" s="13"/>
      <c r="G3423" s="23" t="s">
        <v>3659</v>
      </c>
      <c r="H3423" s="23" t="s">
        <v>151</v>
      </c>
      <c r="I3423" s="23" t="s">
        <v>424</v>
      </c>
      <c r="J3423" s="14" t="s">
        <v>138</v>
      </c>
      <c r="K3423" s="15" t="s">
        <v>30</v>
      </c>
      <c r="L3423" s="88"/>
      <c r="M3423" s="14"/>
      <c r="N3423" s="14" t="s">
        <v>3738</v>
      </c>
      <c r="O3423" s="14"/>
      <c r="P3423" s="15" t="s">
        <v>3739</v>
      </c>
      <c r="Q3423" s="16">
        <v>13790</v>
      </c>
      <c r="R3423" s="17">
        <v>67.53</v>
      </c>
      <c r="S3423" s="18">
        <v>5149.4355000000005</v>
      </c>
      <c r="T3423" s="19" t="s">
        <v>328</v>
      </c>
      <c r="U3423" s="20" t="s">
        <v>1503</v>
      </c>
      <c r="V3423" s="21">
        <v>36</v>
      </c>
      <c r="W3423" s="21">
        <v>2</v>
      </c>
      <c r="X3423" s="22"/>
    </row>
    <row r="3424" spans="1:24" s="1" customFormat="1" ht="14.1" customHeight="1" x14ac:dyDescent="0.3">
      <c r="A3424" s="11" t="s">
        <v>3183</v>
      </c>
      <c r="B3424" s="11" t="s">
        <v>3740</v>
      </c>
      <c r="C3424" s="12" t="s">
        <v>3741</v>
      </c>
      <c r="D3424" s="83"/>
      <c r="E3424" s="69" t="str">
        <f t="shared" ref="E3424:E3430" si="155">HYPERLINK("https://www.google.ru/search?q=J744GI0DHAJC9017&amp;newwindow=1&amp;tbm=isch","Еще фото")</f>
        <v>Еще фото</v>
      </c>
      <c r="F3424" s="13"/>
      <c r="G3424" s="11" t="s">
        <v>394</v>
      </c>
      <c r="H3424" s="11" t="s">
        <v>151</v>
      </c>
      <c r="I3424" s="14" t="s">
        <v>424</v>
      </c>
      <c r="J3424" s="14" t="s">
        <v>29</v>
      </c>
      <c r="K3424" s="15" t="s">
        <v>30</v>
      </c>
      <c r="L3424" s="86" t="s">
        <v>3742</v>
      </c>
      <c r="M3424" s="14"/>
      <c r="N3424" s="14" t="s">
        <v>3743</v>
      </c>
      <c r="O3424" s="14"/>
      <c r="P3424" s="15" t="s">
        <v>3744</v>
      </c>
      <c r="Q3424" s="16">
        <v>10490</v>
      </c>
      <c r="R3424" s="17">
        <v>67.42</v>
      </c>
      <c r="S3424" s="18">
        <v>3930.4354999999996</v>
      </c>
      <c r="T3424" s="19" t="s">
        <v>328</v>
      </c>
      <c r="U3424" s="20" t="s">
        <v>550</v>
      </c>
      <c r="V3424" s="21">
        <v>29</v>
      </c>
      <c r="W3424" s="21">
        <v>3</v>
      </c>
      <c r="X3424" s="22"/>
    </row>
    <row r="3425" spans="1:24" s="1" customFormat="1" ht="14.1" customHeight="1" x14ac:dyDescent="0.3">
      <c r="A3425" s="23" t="s">
        <v>3183</v>
      </c>
      <c r="B3425" s="23" t="s">
        <v>3740</v>
      </c>
      <c r="C3425" s="12" t="s">
        <v>3741</v>
      </c>
      <c r="D3425" s="84"/>
      <c r="E3425" s="69" t="str">
        <f t="shared" si="155"/>
        <v>Еще фото</v>
      </c>
      <c r="F3425" s="13"/>
      <c r="G3425" s="23" t="s">
        <v>394</v>
      </c>
      <c r="H3425" s="23" t="s">
        <v>151</v>
      </c>
      <c r="I3425" s="23" t="s">
        <v>424</v>
      </c>
      <c r="J3425" s="14" t="s">
        <v>29</v>
      </c>
      <c r="K3425" s="15" t="s">
        <v>30</v>
      </c>
      <c r="L3425" s="87"/>
      <c r="M3425" s="14"/>
      <c r="N3425" s="14" t="s">
        <v>3743</v>
      </c>
      <c r="O3425" s="14"/>
      <c r="P3425" s="15" t="s">
        <v>3744</v>
      </c>
      <c r="Q3425" s="16">
        <v>10490</v>
      </c>
      <c r="R3425" s="17">
        <v>67.42</v>
      </c>
      <c r="S3425" s="18">
        <v>3930.4354999999996</v>
      </c>
      <c r="T3425" s="19" t="s">
        <v>328</v>
      </c>
      <c r="U3425" s="20" t="s">
        <v>3189</v>
      </c>
      <c r="V3425" s="21">
        <v>30</v>
      </c>
      <c r="W3425" s="21">
        <v>9</v>
      </c>
      <c r="X3425" s="22"/>
    </row>
    <row r="3426" spans="1:24" s="1" customFormat="1" ht="14.1" customHeight="1" x14ac:dyDescent="0.3">
      <c r="A3426" s="23" t="s">
        <v>3183</v>
      </c>
      <c r="B3426" s="23" t="s">
        <v>3740</v>
      </c>
      <c r="C3426" s="12" t="s">
        <v>3741</v>
      </c>
      <c r="D3426" s="84"/>
      <c r="E3426" s="69" t="str">
        <f t="shared" si="155"/>
        <v>Еще фото</v>
      </c>
      <c r="F3426" s="13"/>
      <c r="G3426" s="23" t="s">
        <v>394</v>
      </c>
      <c r="H3426" s="23" t="s">
        <v>151</v>
      </c>
      <c r="I3426" s="23" t="s">
        <v>424</v>
      </c>
      <c r="J3426" s="14" t="s">
        <v>29</v>
      </c>
      <c r="K3426" s="15" t="s">
        <v>30</v>
      </c>
      <c r="L3426" s="87"/>
      <c r="M3426" s="14"/>
      <c r="N3426" s="14" t="s">
        <v>3743</v>
      </c>
      <c r="O3426" s="14"/>
      <c r="P3426" s="15" t="s">
        <v>3744</v>
      </c>
      <c r="Q3426" s="16">
        <v>10490</v>
      </c>
      <c r="R3426" s="17">
        <v>67.42</v>
      </c>
      <c r="S3426" s="18">
        <v>3930.4354999999996</v>
      </c>
      <c r="T3426" s="19" t="s">
        <v>328</v>
      </c>
      <c r="U3426" s="20" t="s">
        <v>3190</v>
      </c>
      <c r="V3426" s="21">
        <v>31</v>
      </c>
      <c r="W3426" s="21">
        <v>3</v>
      </c>
      <c r="X3426" s="22"/>
    </row>
    <row r="3427" spans="1:24" s="1" customFormat="1" ht="14.1" customHeight="1" x14ac:dyDescent="0.3">
      <c r="A3427" s="23" t="s">
        <v>3183</v>
      </c>
      <c r="B3427" s="23" t="s">
        <v>3740</v>
      </c>
      <c r="C3427" s="12" t="s">
        <v>3741</v>
      </c>
      <c r="D3427" s="84"/>
      <c r="E3427" s="69" t="str">
        <f t="shared" si="155"/>
        <v>Еще фото</v>
      </c>
      <c r="F3427" s="13"/>
      <c r="G3427" s="23" t="s">
        <v>394</v>
      </c>
      <c r="H3427" s="23" t="s">
        <v>151</v>
      </c>
      <c r="I3427" s="23" t="s">
        <v>424</v>
      </c>
      <c r="J3427" s="14" t="s">
        <v>29</v>
      </c>
      <c r="K3427" s="15" t="s">
        <v>30</v>
      </c>
      <c r="L3427" s="87"/>
      <c r="M3427" s="14"/>
      <c r="N3427" s="14" t="s">
        <v>3743</v>
      </c>
      <c r="O3427" s="14"/>
      <c r="P3427" s="15" t="s">
        <v>3744</v>
      </c>
      <c r="Q3427" s="16">
        <v>10490</v>
      </c>
      <c r="R3427" s="17">
        <v>67.42</v>
      </c>
      <c r="S3427" s="18">
        <v>3930.4354999999996</v>
      </c>
      <c r="T3427" s="19" t="s">
        <v>328</v>
      </c>
      <c r="U3427" s="20" t="s">
        <v>552</v>
      </c>
      <c r="V3427" s="21">
        <v>32</v>
      </c>
      <c r="W3427" s="21">
        <v>6</v>
      </c>
      <c r="X3427" s="22"/>
    </row>
    <row r="3428" spans="1:24" s="1" customFormat="1" ht="14.1" customHeight="1" x14ac:dyDescent="0.3">
      <c r="A3428" s="23" t="s">
        <v>3183</v>
      </c>
      <c r="B3428" s="23" t="s">
        <v>3740</v>
      </c>
      <c r="C3428" s="12" t="s">
        <v>3741</v>
      </c>
      <c r="D3428" s="84"/>
      <c r="E3428" s="69" t="str">
        <f t="shared" si="155"/>
        <v>Еще фото</v>
      </c>
      <c r="F3428" s="13"/>
      <c r="G3428" s="23" t="s">
        <v>394</v>
      </c>
      <c r="H3428" s="23" t="s">
        <v>151</v>
      </c>
      <c r="I3428" s="23" t="s">
        <v>424</v>
      </c>
      <c r="J3428" s="14" t="s">
        <v>29</v>
      </c>
      <c r="K3428" s="15" t="s">
        <v>30</v>
      </c>
      <c r="L3428" s="87"/>
      <c r="M3428" s="14"/>
      <c r="N3428" s="14" t="s">
        <v>3743</v>
      </c>
      <c r="O3428" s="14"/>
      <c r="P3428" s="15" t="s">
        <v>3744</v>
      </c>
      <c r="Q3428" s="16">
        <v>10490</v>
      </c>
      <c r="R3428" s="17">
        <v>67.42</v>
      </c>
      <c r="S3428" s="18">
        <v>3930.4354999999996</v>
      </c>
      <c r="T3428" s="19" t="s">
        <v>328</v>
      </c>
      <c r="U3428" s="20" t="s">
        <v>553</v>
      </c>
      <c r="V3428" s="21">
        <v>33</v>
      </c>
      <c r="W3428" s="21">
        <v>4</v>
      </c>
      <c r="X3428" s="22"/>
    </row>
    <row r="3429" spans="1:24" s="1" customFormat="1" ht="14.1" customHeight="1" x14ac:dyDescent="0.3">
      <c r="A3429" s="23" t="s">
        <v>3183</v>
      </c>
      <c r="B3429" s="23" t="s">
        <v>3740</v>
      </c>
      <c r="C3429" s="12" t="s">
        <v>3741</v>
      </c>
      <c r="D3429" s="84"/>
      <c r="E3429" s="69" t="str">
        <f t="shared" si="155"/>
        <v>Еще фото</v>
      </c>
      <c r="F3429" s="13"/>
      <c r="G3429" s="23" t="s">
        <v>394</v>
      </c>
      <c r="H3429" s="23" t="s">
        <v>151</v>
      </c>
      <c r="I3429" s="23" t="s">
        <v>424</v>
      </c>
      <c r="J3429" s="14" t="s">
        <v>29</v>
      </c>
      <c r="K3429" s="15" t="s">
        <v>30</v>
      </c>
      <c r="L3429" s="87"/>
      <c r="M3429" s="14"/>
      <c r="N3429" s="14" t="s">
        <v>3743</v>
      </c>
      <c r="O3429" s="14"/>
      <c r="P3429" s="15" t="s">
        <v>3744</v>
      </c>
      <c r="Q3429" s="16">
        <v>10490</v>
      </c>
      <c r="R3429" s="17">
        <v>67.42</v>
      </c>
      <c r="S3429" s="18">
        <v>3930.4354999999996</v>
      </c>
      <c r="T3429" s="19" t="s">
        <v>328</v>
      </c>
      <c r="U3429" s="20" t="s">
        <v>554</v>
      </c>
      <c r="V3429" s="21">
        <v>34</v>
      </c>
      <c r="W3429" s="21">
        <v>1</v>
      </c>
      <c r="X3429" s="22"/>
    </row>
    <row r="3430" spans="1:24" s="1" customFormat="1" ht="17.100000000000001" customHeight="1" x14ac:dyDescent="0.3">
      <c r="A3430" s="23" t="s">
        <v>3183</v>
      </c>
      <c r="B3430" s="23" t="s">
        <v>3740</v>
      </c>
      <c r="C3430" s="12" t="s">
        <v>3741</v>
      </c>
      <c r="D3430" s="85"/>
      <c r="E3430" s="69" t="str">
        <f t="shared" si="155"/>
        <v>Еще фото</v>
      </c>
      <c r="F3430" s="13"/>
      <c r="G3430" s="23" t="s">
        <v>394</v>
      </c>
      <c r="H3430" s="23" t="s">
        <v>151</v>
      </c>
      <c r="I3430" s="23" t="s">
        <v>424</v>
      </c>
      <c r="J3430" s="14" t="s">
        <v>29</v>
      </c>
      <c r="K3430" s="15" t="s">
        <v>30</v>
      </c>
      <c r="L3430" s="88"/>
      <c r="M3430" s="14"/>
      <c r="N3430" s="14" t="s">
        <v>3743</v>
      </c>
      <c r="O3430" s="14"/>
      <c r="P3430" s="15" t="s">
        <v>3744</v>
      </c>
      <c r="Q3430" s="16">
        <v>10490</v>
      </c>
      <c r="R3430" s="17">
        <v>67.42</v>
      </c>
      <c r="S3430" s="18">
        <v>3930.4354999999996</v>
      </c>
      <c r="T3430" s="19" t="s">
        <v>328</v>
      </c>
      <c r="U3430" s="20" t="s">
        <v>1503</v>
      </c>
      <c r="V3430" s="21">
        <v>36</v>
      </c>
      <c r="W3430" s="21">
        <v>2</v>
      </c>
      <c r="X3430" s="22"/>
    </row>
    <row r="3431" spans="1:24" s="1" customFormat="1" ht="11.1" customHeight="1" x14ac:dyDescent="0.3">
      <c r="A3431" s="11" t="s">
        <v>3183</v>
      </c>
      <c r="B3431" s="11" t="s">
        <v>3745</v>
      </c>
      <c r="C3431" s="12" t="s">
        <v>3746</v>
      </c>
      <c r="D3431" s="83"/>
      <c r="E3431" s="69" t="str">
        <f t="shared" ref="E3431:E3442" si="156">HYPERLINK("https://www.google.ru/search?q=J56EWA0LVNFC0474&amp;newwindow=1&amp;tbm=isch","Еще фото")</f>
        <v>Еще фото</v>
      </c>
      <c r="F3431" s="13"/>
      <c r="G3431" s="11" t="s">
        <v>3235</v>
      </c>
      <c r="H3431" s="11" t="s">
        <v>151</v>
      </c>
      <c r="I3431" s="14" t="s">
        <v>424</v>
      </c>
      <c r="J3431" s="14" t="s">
        <v>138</v>
      </c>
      <c r="K3431" s="15" t="s">
        <v>30</v>
      </c>
      <c r="L3431" s="86" t="s">
        <v>3747</v>
      </c>
      <c r="M3431" s="14"/>
      <c r="N3431" s="14" t="s">
        <v>3748</v>
      </c>
      <c r="O3431" s="14"/>
      <c r="P3431" s="15" t="s">
        <v>3749</v>
      </c>
      <c r="Q3431" s="16">
        <v>16390</v>
      </c>
      <c r="R3431" s="17">
        <v>65.11</v>
      </c>
      <c r="S3431" s="18">
        <v>6575.4354999999996</v>
      </c>
      <c r="T3431" s="19" t="s">
        <v>328</v>
      </c>
      <c r="U3431" s="20" t="s">
        <v>142</v>
      </c>
      <c r="V3431" s="21">
        <v>28</v>
      </c>
      <c r="W3431" s="21">
        <v>5</v>
      </c>
      <c r="X3431" s="22"/>
    </row>
    <row r="3432" spans="1:24" s="1" customFormat="1" ht="11.1" customHeight="1" x14ac:dyDescent="0.3">
      <c r="A3432" s="23" t="s">
        <v>3183</v>
      </c>
      <c r="B3432" s="23" t="s">
        <v>3745</v>
      </c>
      <c r="C3432" s="12" t="s">
        <v>3746</v>
      </c>
      <c r="D3432" s="84"/>
      <c r="E3432" s="69" t="str">
        <f t="shared" si="156"/>
        <v>Еще фото</v>
      </c>
      <c r="F3432" s="13"/>
      <c r="G3432" s="23" t="s">
        <v>3235</v>
      </c>
      <c r="H3432" s="23" t="s">
        <v>151</v>
      </c>
      <c r="I3432" s="23" t="s">
        <v>424</v>
      </c>
      <c r="J3432" s="14" t="s">
        <v>138</v>
      </c>
      <c r="K3432" s="15" t="s">
        <v>30</v>
      </c>
      <c r="L3432" s="87"/>
      <c r="M3432" s="14"/>
      <c r="N3432" s="14" t="s">
        <v>3748</v>
      </c>
      <c r="O3432" s="14"/>
      <c r="P3432" s="15" t="s">
        <v>3749</v>
      </c>
      <c r="Q3432" s="16">
        <v>16390</v>
      </c>
      <c r="R3432" s="17">
        <v>65.11</v>
      </c>
      <c r="S3432" s="18">
        <v>6575.4354999999996</v>
      </c>
      <c r="T3432" s="19" t="s">
        <v>328</v>
      </c>
      <c r="U3432" s="20" t="s">
        <v>550</v>
      </c>
      <c r="V3432" s="21">
        <v>29</v>
      </c>
      <c r="W3432" s="21">
        <v>3</v>
      </c>
      <c r="X3432" s="22"/>
    </row>
    <row r="3433" spans="1:24" s="1" customFormat="1" ht="11.1" customHeight="1" x14ac:dyDescent="0.3">
      <c r="A3433" s="23" t="s">
        <v>3183</v>
      </c>
      <c r="B3433" s="23" t="s">
        <v>3745</v>
      </c>
      <c r="C3433" s="12" t="s">
        <v>3746</v>
      </c>
      <c r="D3433" s="84"/>
      <c r="E3433" s="69" t="str">
        <f t="shared" si="156"/>
        <v>Еще фото</v>
      </c>
      <c r="F3433" s="13"/>
      <c r="G3433" s="23" t="s">
        <v>3235</v>
      </c>
      <c r="H3433" s="23" t="s">
        <v>151</v>
      </c>
      <c r="I3433" s="23" t="s">
        <v>424</v>
      </c>
      <c r="J3433" s="14" t="s">
        <v>138</v>
      </c>
      <c r="K3433" s="15" t="s">
        <v>30</v>
      </c>
      <c r="L3433" s="87"/>
      <c r="M3433" s="14"/>
      <c r="N3433" s="14" t="s">
        <v>3748</v>
      </c>
      <c r="O3433" s="14"/>
      <c r="P3433" s="15" t="s">
        <v>3749</v>
      </c>
      <c r="Q3433" s="16">
        <v>16390</v>
      </c>
      <c r="R3433" s="17">
        <v>65.11</v>
      </c>
      <c r="S3433" s="18">
        <v>6575.4354999999996</v>
      </c>
      <c r="T3433" s="19" t="s">
        <v>328</v>
      </c>
      <c r="U3433" s="20" t="s">
        <v>3189</v>
      </c>
      <c r="V3433" s="21">
        <v>30</v>
      </c>
      <c r="W3433" s="21">
        <v>4</v>
      </c>
      <c r="X3433" s="22"/>
    </row>
    <row r="3434" spans="1:24" s="1" customFormat="1" ht="11.1" customHeight="1" x14ac:dyDescent="0.3">
      <c r="A3434" s="23" t="s">
        <v>3183</v>
      </c>
      <c r="B3434" s="23" t="s">
        <v>3745</v>
      </c>
      <c r="C3434" s="12" t="s">
        <v>3746</v>
      </c>
      <c r="D3434" s="84"/>
      <c r="E3434" s="69" t="str">
        <f t="shared" si="156"/>
        <v>Еще фото</v>
      </c>
      <c r="F3434" s="13"/>
      <c r="G3434" s="23" t="s">
        <v>3235</v>
      </c>
      <c r="H3434" s="23" t="s">
        <v>151</v>
      </c>
      <c r="I3434" s="23" t="s">
        <v>424</v>
      </c>
      <c r="J3434" s="14" t="s">
        <v>138</v>
      </c>
      <c r="K3434" s="15" t="s">
        <v>30</v>
      </c>
      <c r="L3434" s="87"/>
      <c r="M3434" s="14"/>
      <c r="N3434" s="14" t="s">
        <v>3748</v>
      </c>
      <c r="O3434" s="14"/>
      <c r="P3434" s="15" t="s">
        <v>3749</v>
      </c>
      <c r="Q3434" s="16">
        <v>16390</v>
      </c>
      <c r="R3434" s="17">
        <v>65.11</v>
      </c>
      <c r="S3434" s="18">
        <v>6575.4354999999996</v>
      </c>
      <c r="T3434" s="19" t="s">
        <v>328</v>
      </c>
      <c r="U3434" s="20" t="s">
        <v>3190</v>
      </c>
      <c r="V3434" s="21">
        <v>31</v>
      </c>
      <c r="W3434" s="21">
        <v>9</v>
      </c>
      <c r="X3434" s="22"/>
    </row>
    <row r="3435" spans="1:24" s="1" customFormat="1" ht="11.1" customHeight="1" x14ac:dyDescent="0.3">
      <c r="A3435" s="23" t="s">
        <v>3183</v>
      </c>
      <c r="B3435" s="23" t="s">
        <v>3745</v>
      </c>
      <c r="C3435" s="12" t="s">
        <v>3746</v>
      </c>
      <c r="D3435" s="84"/>
      <c r="E3435" s="69" t="str">
        <f t="shared" si="156"/>
        <v>Еще фото</v>
      </c>
      <c r="F3435" s="13"/>
      <c r="G3435" s="23" t="s">
        <v>3235</v>
      </c>
      <c r="H3435" s="23" t="s">
        <v>151</v>
      </c>
      <c r="I3435" s="23" t="s">
        <v>424</v>
      </c>
      <c r="J3435" s="14" t="s">
        <v>138</v>
      </c>
      <c r="K3435" s="15" t="s">
        <v>30</v>
      </c>
      <c r="L3435" s="87"/>
      <c r="M3435" s="14"/>
      <c r="N3435" s="14" t="s">
        <v>3748</v>
      </c>
      <c r="O3435" s="14"/>
      <c r="P3435" s="15" t="s">
        <v>3749</v>
      </c>
      <c r="Q3435" s="16">
        <v>16390</v>
      </c>
      <c r="R3435" s="17">
        <v>65.11</v>
      </c>
      <c r="S3435" s="18">
        <v>6575.4354999999996</v>
      </c>
      <c r="T3435" s="19" t="s">
        <v>328</v>
      </c>
      <c r="U3435" s="20" t="s">
        <v>552</v>
      </c>
      <c r="V3435" s="21">
        <v>32</v>
      </c>
      <c r="W3435" s="21">
        <v>11</v>
      </c>
      <c r="X3435" s="22"/>
    </row>
    <row r="3436" spans="1:24" s="1" customFormat="1" ht="11.1" customHeight="1" x14ac:dyDescent="0.3">
      <c r="A3436" s="23" t="s">
        <v>3183</v>
      </c>
      <c r="B3436" s="23" t="s">
        <v>3745</v>
      </c>
      <c r="C3436" s="12" t="s">
        <v>3746</v>
      </c>
      <c r="D3436" s="84"/>
      <c r="E3436" s="69" t="str">
        <f t="shared" si="156"/>
        <v>Еще фото</v>
      </c>
      <c r="F3436" s="13"/>
      <c r="G3436" s="23" t="s">
        <v>3235</v>
      </c>
      <c r="H3436" s="23" t="s">
        <v>151</v>
      </c>
      <c r="I3436" s="23" t="s">
        <v>424</v>
      </c>
      <c r="J3436" s="14" t="s">
        <v>138</v>
      </c>
      <c r="K3436" s="15" t="s">
        <v>30</v>
      </c>
      <c r="L3436" s="87"/>
      <c r="M3436" s="14"/>
      <c r="N3436" s="14" t="s">
        <v>3748</v>
      </c>
      <c r="O3436" s="14"/>
      <c r="P3436" s="15" t="s">
        <v>3749</v>
      </c>
      <c r="Q3436" s="16">
        <v>16390</v>
      </c>
      <c r="R3436" s="17">
        <v>65.11</v>
      </c>
      <c r="S3436" s="18">
        <v>6575.4354999999996</v>
      </c>
      <c r="T3436" s="19" t="s">
        <v>328</v>
      </c>
      <c r="U3436" s="20" t="s">
        <v>553</v>
      </c>
      <c r="V3436" s="21">
        <v>33</v>
      </c>
      <c r="W3436" s="21">
        <v>9</v>
      </c>
      <c r="X3436" s="22"/>
    </row>
    <row r="3437" spans="1:24" s="1" customFormat="1" ht="11.1" customHeight="1" x14ac:dyDescent="0.3">
      <c r="A3437" s="23" t="s">
        <v>3183</v>
      </c>
      <c r="B3437" s="23" t="s">
        <v>3745</v>
      </c>
      <c r="C3437" s="12" t="s">
        <v>3746</v>
      </c>
      <c r="D3437" s="84"/>
      <c r="E3437" s="69" t="str">
        <f t="shared" si="156"/>
        <v>Еще фото</v>
      </c>
      <c r="F3437" s="13"/>
      <c r="G3437" s="23" t="s">
        <v>3235</v>
      </c>
      <c r="H3437" s="23" t="s">
        <v>151</v>
      </c>
      <c r="I3437" s="23" t="s">
        <v>424</v>
      </c>
      <c r="J3437" s="14" t="s">
        <v>138</v>
      </c>
      <c r="K3437" s="15" t="s">
        <v>30</v>
      </c>
      <c r="L3437" s="87"/>
      <c r="M3437" s="14"/>
      <c r="N3437" s="14" t="s">
        <v>3748</v>
      </c>
      <c r="O3437" s="14"/>
      <c r="P3437" s="15" t="s">
        <v>3749</v>
      </c>
      <c r="Q3437" s="16">
        <v>16390</v>
      </c>
      <c r="R3437" s="17">
        <v>65.11</v>
      </c>
      <c r="S3437" s="18">
        <v>6575.4354999999996</v>
      </c>
      <c r="T3437" s="19" t="s">
        <v>328</v>
      </c>
      <c r="U3437" s="20" t="s">
        <v>554</v>
      </c>
      <c r="V3437" s="21">
        <v>34</v>
      </c>
      <c r="W3437" s="21">
        <v>12</v>
      </c>
      <c r="X3437" s="22"/>
    </row>
    <row r="3438" spans="1:24" s="1" customFormat="1" ht="11.1" customHeight="1" x14ac:dyDescent="0.3">
      <c r="A3438" s="23" t="s">
        <v>3183</v>
      </c>
      <c r="B3438" s="23" t="s">
        <v>3745</v>
      </c>
      <c r="C3438" s="12" t="s">
        <v>3746</v>
      </c>
      <c r="D3438" s="84"/>
      <c r="E3438" s="69" t="str">
        <f t="shared" si="156"/>
        <v>Еще фото</v>
      </c>
      <c r="F3438" s="13"/>
      <c r="G3438" s="23" t="s">
        <v>3235</v>
      </c>
      <c r="H3438" s="23" t="s">
        <v>151</v>
      </c>
      <c r="I3438" s="23" t="s">
        <v>424</v>
      </c>
      <c r="J3438" s="14" t="s">
        <v>138</v>
      </c>
      <c r="K3438" s="15" t="s">
        <v>30</v>
      </c>
      <c r="L3438" s="87"/>
      <c r="M3438" s="14"/>
      <c r="N3438" s="14" t="s">
        <v>3748</v>
      </c>
      <c r="O3438" s="14"/>
      <c r="P3438" s="15" t="s">
        <v>3749</v>
      </c>
      <c r="Q3438" s="16">
        <v>16390</v>
      </c>
      <c r="R3438" s="17">
        <v>65.11</v>
      </c>
      <c r="S3438" s="18">
        <v>6575.4354999999996</v>
      </c>
      <c r="T3438" s="19" t="s">
        <v>328</v>
      </c>
      <c r="U3438" s="20" t="s">
        <v>431</v>
      </c>
      <c r="V3438" s="21">
        <v>35</v>
      </c>
      <c r="W3438" s="21">
        <v>15</v>
      </c>
      <c r="X3438" s="22"/>
    </row>
    <row r="3439" spans="1:24" s="1" customFormat="1" ht="11.1" customHeight="1" x14ac:dyDescent="0.3">
      <c r="A3439" s="23" t="s">
        <v>3183</v>
      </c>
      <c r="B3439" s="23" t="s">
        <v>3745</v>
      </c>
      <c r="C3439" s="12" t="s">
        <v>3746</v>
      </c>
      <c r="D3439" s="84"/>
      <c r="E3439" s="69" t="str">
        <f t="shared" si="156"/>
        <v>Еще фото</v>
      </c>
      <c r="F3439" s="13"/>
      <c r="G3439" s="23" t="s">
        <v>3235</v>
      </c>
      <c r="H3439" s="23" t="s">
        <v>151</v>
      </c>
      <c r="I3439" s="23" t="s">
        <v>424</v>
      </c>
      <c r="J3439" s="14" t="s">
        <v>138</v>
      </c>
      <c r="K3439" s="15" t="s">
        <v>30</v>
      </c>
      <c r="L3439" s="87"/>
      <c r="M3439" s="14"/>
      <c r="N3439" s="14" t="s">
        <v>3748</v>
      </c>
      <c r="O3439" s="14"/>
      <c r="P3439" s="15" t="s">
        <v>3749</v>
      </c>
      <c r="Q3439" s="16">
        <v>16390</v>
      </c>
      <c r="R3439" s="17">
        <v>65.11</v>
      </c>
      <c r="S3439" s="18">
        <v>6575.4354999999996</v>
      </c>
      <c r="T3439" s="19" t="s">
        <v>328</v>
      </c>
      <c r="U3439" s="20" t="s">
        <v>1503</v>
      </c>
      <c r="V3439" s="21">
        <v>36</v>
      </c>
      <c r="W3439" s="21">
        <v>13</v>
      </c>
      <c r="X3439" s="22"/>
    </row>
    <row r="3440" spans="1:24" s="1" customFormat="1" ht="11.1" customHeight="1" x14ac:dyDescent="0.3">
      <c r="A3440" s="14" t="s">
        <v>3183</v>
      </c>
      <c r="B3440" s="14" t="s">
        <v>3745</v>
      </c>
      <c r="C3440" s="12" t="s">
        <v>3746</v>
      </c>
      <c r="D3440" s="84"/>
      <c r="E3440" s="69" t="str">
        <f t="shared" si="156"/>
        <v>Еще фото</v>
      </c>
      <c r="F3440" s="36"/>
      <c r="G3440" s="14" t="s">
        <v>3235</v>
      </c>
      <c r="H3440" s="14" t="s">
        <v>151</v>
      </c>
      <c r="I3440" s="14" t="s">
        <v>424</v>
      </c>
      <c r="J3440" s="14" t="s">
        <v>138</v>
      </c>
      <c r="K3440" s="14" t="s">
        <v>30</v>
      </c>
      <c r="L3440" s="87"/>
      <c r="M3440" s="14"/>
      <c r="N3440" s="14" t="s">
        <v>3748</v>
      </c>
      <c r="O3440" s="14"/>
      <c r="P3440" s="14" t="s">
        <v>3749</v>
      </c>
      <c r="Q3440" s="33">
        <v>16390</v>
      </c>
      <c r="R3440" s="34">
        <v>65.11</v>
      </c>
      <c r="S3440" s="35">
        <v>6575.4354999999996</v>
      </c>
      <c r="T3440" s="19" t="s">
        <v>328</v>
      </c>
      <c r="U3440" s="20" t="s">
        <v>409</v>
      </c>
      <c r="V3440" s="21">
        <v>37</v>
      </c>
      <c r="W3440" s="21">
        <v>15</v>
      </c>
      <c r="X3440" s="22"/>
    </row>
    <row r="3441" spans="1:24" s="1" customFormat="1" ht="11.1" customHeight="1" x14ac:dyDescent="0.3">
      <c r="A3441" s="14" t="s">
        <v>3183</v>
      </c>
      <c r="B3441" s="14" t="s">
        <v>3745</v>
      </c>
      <c r="C3441" s="12" t="s">
        <v>3746</v>
      </c>
      <c r="D3441" s="84"/>
      <c r="E3441" s="69" t="str">
        <f t="shared" si="156"/>
        <v>Еще фото</v>
      </c>
      <c r="F3441" s="36"/>
      <c r="G3441" s="14" t="s">
        <v>3235</v>
      </c>
      <c r="H3441" s="14" t="s">
        <v>151</v>
      </c>
      <c r="I3441" s="14" t="s">
        <v>424</v>
      </c>
      <c r="J3441" s="14" t="s">
        <v>138</v>
      </c>
      <c r="K3441" s="14" t="s">
        <v>30</v>
      </c>
      <c r="L3441" s="87"/>
      <c r="M3441" s="14"/>
      <c r="N3441" s="14" t="s">
        <v>3748</v>
      </c>
      <c r="O3441" s="14"/>
      <c r="P3441" s="14" t="s">
        <v>3749</v>
      </c>
      <c r="Q3441" s="33">
        <v>16390</v>
      </c>
      <c r="R3441" s="34">
        <v>65.11</v>
      </c>
      <c r="S3441" s="35">
        <v>6575.4354999999996</v>
      </c>
      <c r="T3441" s="19" t="s">
        <v>328</v>
      </c>
      <c r="U3441" s="20" t="s">
        <v>426</v>
      </c>
      <c r="V3441" s="21">
        <v>38</v>
      </c>
      <c r="W3441" s="21">
        <v>9</v>
      </c>
      <c r="X3441" s="22"/>
    </row>
    <row r="3442" spans="1:24" s="1" customFormat="1" ht="11.1" customHeight="1" x14ac:dyDescent="0.3">
      <c r="A3442" s="14" t="s">
        <v>3183</v>
      </c>
      <c r="B3442" s="14" t="s">
        <v>3745</v>
      </c>
      <c r="C3442" s="12" t="s">
        <v>3746</v>
      </c>
      <c r="D3442" s="85"/>
      <c r="E3442" s="69" t="str">
        <f t="shared" si="156"/>
        <v>Еще фото</v>
      </c>
      <c r="F3442" s="36"/>
      <c r="G3442" s="14" t="s">
        <v>3235</v>
      </c>
      <c r="H3442" s="14" t="s">
        <v>151</v>
      </c>
      <c r="I3442" s="14" t="s">
        <v>424</v>
      </c>
      <c r="J3442" s="14" t="s">
        <v>138</v>
      </c>
      <c r="K3442" s="14" t="s">
        <v>30</v>
      </c>
      <c r="L3442" s="88"/>
      <c r="M3442" s="14"/>
      <c r="N3442" s="14" t="s">
        <v>3748</v>
      </c>
      <c r="O3442" s="14"/>
      <c r="P3442" s="14" t="s">
        <v>3749</v>
      </c>
      <c r="Q3442" s="33">
        <v>16390</v>
      </c>
      <c r="R3442" s="34">
        <v>65.11</v>
      </c>
      <c r="S3442" s="35">
        <v>6575.4354999999996</v>
      </c>
      <c r="T3442" s="19" t="s">
        <v>328</v>
      </c>
      <c r="U3442" s="20" t="s">
        <v>413</v>
      </c>
      <c r="V3442" s="21">
        <v>39</v>
      </c>
      <c r="W3442" s="21">
        <v>4</v>
      </c>
      <c r="X3442" s="22"/>
    </row>
    <row r="3443" spans="1:24" s="1" customFormat="1" ht="108" customHeight="1" x14ac:dyDescent="0.3">
      <c r="A3443" s="11" t="s">
        <v>3183</v>
      </c>
      <c r="B3443" s="11" t="s">
        <v>3750</v>
      </c>
      <c r="C3443" s="12" t="s">
        <v>3751</v>
      </c>
      <c r="D3443" s="24"/>
      <c r="E3443" s="69" t="str">
        <f>HYPERLINK("https://www.google.ru/search?q=J16FMA0ME32C4J9B&amp;newwindow=1&amp;tbm=isch","Еще фото")</f>
        <v>Еще фото</v>
      </c>
      <c r="F3443" s="13"/>
      <c r="G3443" s="11" t="s">
        <v>3659</v>
      </c>
      <c r="H3443" s="11" t="s">
        <v>151</v>
      </c>
      <c r="I3443" s="14" t="s">
        <v>424</v>
      </c>
      <c r="J3443" s="14" t="s">
        <v>138</v>
      </c>
      <c r="K3443" s="15" t="s">
        <v>30</v>
      </c>
      <c r="L3443" s="14" t="s">
        <v>3752</v>
      </c>
      <c r="M3443" s="14"/>
      <c r="N3443" s="14" t="s">
        <v>3753</v>
      </c>
      <c r="O3443" s="14"/>
      <c r="P3443" s="15" t="s">
        <v>3754</v>
      </c>
      <c r="Q3443" s="16">
        <v>14690</v>
      </c>
      <c r="R3443" s="17">
        <v>65.09</v>
      </c>
      <c r="S3443" s="18">
        <v>5896.9354999999996</v>
      </c>
      <c r="T3443" s="19" t="s">
        <v>328</v>
      </c>
      <c r="U3443" s="20" t="s">
        <v>431</v>
      </c>
      <c r="V3443" s="21">
        <v>35</v>
      </c>
      <c r="W3443" s="21">
        <v>3</v>
      </c>
      <c r="X3443" s="22"/>
    </row>
    <row r="3444" spans="1:24" s="1" customFormat="1" ht="11.1" customHeight="1" x14ac:dyDescent="0.3">
      <c r="A3444" s="11" t="s">
        <v>3183</v>
      </c>
      <c r="B3444" s="11" t="s">
        <v>3687</v>
      </c>
      <c r="C3444" s="12" t="s">
        <v>3755</v>
      </c>
      <c r="D3444" s="83"/>
      <c r="E3444" s="69" t="str">
        <f t="shared" ref="E3444:E3452" si="157">HYPERLINK("https://www.google.ru/search?q=J46FRA0FU50C4J9B&amp;newwindow=1&amp;tbm=isch","Еще фото")</f>
        <v>Еще фото</v>
      </c>
      <c r="F3444" s="13"/>
      <c r="G3444" s="11" t="s">
        <v>3235</v>
      </c>
      <c r="H3444" s="11" t="s">
        <v>151</v>
      </c>
      <c r="I3444" s="14" t="s">
        <v>424</v>
      </c>
      <c r="J3444" s="14" t="s">
        <v>138</v>
      </c>
      <c r="K3444" s="15" t="s">
        <v>30</v>
      </c>
      <c r="L3444" s="86" t="s">
        <v>3689</v>
      </c>
      <c r="M3444" s="14"/>
      <c r="N3444" s="14" t="s">
        <v>3753</v>
      </c>
      <c r="O3444" s="14"/>
      <c r="P3444" s="15" t="s">
        <v>3756</v>
      </c>
      <c r="Q3444" s="16">
        <v>14690</v>
      </c>
      <c r="R3444" s="17">
        <v>62.17</v>
      </c>
      <c r="S3444" s="18">
        <v>6391.4354999999996</v>
      </c>
      <c r="T3444" s="19" t="s">
        <v>328</v>
      </c>
      <c r="U3444" s="20" t="s">
        <v>142</v>
      </c>
      <c r="V3444" s="21">
        <v>28</v>
      </c>
      <c r="W3444" s="21">
        <v>2</v>
      </c>
      <c r="X3444" s="22"/>
    </row>
    <row r="3445" spans="1:24" s="1" customFormat="1" ht="11.1" customHeight="1" x14ac:dyDescent="0.3">
      <c r="A3445" s="23" t="s">
        <v>3183</v>
      </c>
      <c r="B3445" s="23" t="s">
        <v>3687</v>
      </c>
      <c r="C3445" s="12" t="s">
        <v>3755</v>
      </c>
      <c r="D3445" s="84"/>
      <c r="E3445" s="69" t="str">
        <f t="shared" si="157"/>
        <v>Еще фото</v>
      </c>
      <c r="F3445" s="13"/>
      <c r="G3445" s="23" t="s">
        <v>3235</v>
      </c>
      <c r="H3445" s="23" t="s">
        <v>151</v>
      </c>
      <c r="I3445" s="23" t="s">
        <v>424</v>
      </c>
      <c r="J3445" s="14" t="s">
        <v>138</v>
      </c>
      <c r="K3445" s="15" t="s">
        <v>30</v>
      </c>
      <c r="L3445" s="87"/>
      <c r="M3445" s="14"/>
      <c r="N3445" s="14" t="s">
        <v>3753</v>
      </c>
      <c r="O3445" s="14"/>
      <c r="P3445" s="15" t="s">
        <v>3756</v>
      </c>
      <c r="Q3445" s="16">
        <v>14690</v>
      </c>
      <c r="R3445" s="17">
        <v>62.17</v>
      </c>
      <c r="S3445" s="18">
        <v>6391.4354999999996</v>
      </c>
      <c r="T3445" s="19" t="s">
        <v>328</v>
      </c>
      <c r="U3445" s="20" t="s">
        <v>550</v>
      </c>
      <c r="V3445" s="21">
        <v>29</v>
      </c>
      <c r="W3445" s="21">
        <v>1</v>
      </c>
      <c r="X3445" s="22"/>
    </row>
    <row r="3446" spans="1:24" s="1" customFormat="1" ht="11.1" customHeight="1" x14ac:dyDescent="0.3">
      <c r="A3446" s="23" t="s">
        <v>3183</v>
      </c>
      <c r="B3446" s="23" t="s">
        <v>3687</v>
      </c>
      <c r="C3446" s="12" t="s">
        <v>3755</v>
      </c>
      <c r="D3446" s="84"/>
      <c r="E3446" s="69" t="str">
        <f t="shared" si="157"/>
        <v>Еще фото</v>
      </c>
      <c r="F3446" s="13"/>
      <c r="G3446" s="23" t="s">
        <v>3235</v>
      </c>
      <c r="H3446" s="23" t="s">
        <v>151</v>
      </c>
      <c r="I3446" s="23" t="s">
        <v>424</v>
      </c>
      <c r="J3446" s="14" t="s">
        <v>138</v>
      </c>
      <c r="K3446" s="15" t="s">
        <v>30</v>
      </c>
      <c r="L3446" s="87"/>
      <c r="M3446" s="14"/>
      <c r="N3446" s="14" t="s">
        <v>3753</v>
      </c>
      <c r="O3446" s="14"/>
      <c r="P3446" s="15" t="s">
        <v>3756</v>
      </c>
      <c r="Q3446" s="16">
        <v>14690</v>
      </c>
      <c r="R3446" s="17">
        <v>62.17</v>
      </c>
      <c r="S3446" s="18">
        <v>6391.4354999999996</v>
      </c>
      <c r="T3446" s="19" t="s">
        <v>328</v>
      </c>
      <c r="U3446" s="20" t="s">
        <v>3189</v>
      </c>
      <c r="V3446" s="21">
        <v>30</v>
      </c>
      <c r="W3446" s="21">
        <v>2</v>
      </c>
      <c r="X3446" s="22"/>
    </row>
    <row r="3447" spans="1:24" s="1" customFormat="1" ht="11.1" customHeight="1" x14ac:dyDescent="0.3">
      <c r="A3447" s="23" t="s">
        <v>3183</v>
      </c>
      <c r="B3447" s="23" t="s">
        <v>3687</v>
      </c>
      <c r="C3447" s="12" t="s">
        <v>3755</v>
      </c>
      <c r="D3447" s="84"/>
      <c r="E3447" s="69" t="str">
        <f t="shared" si="157"/>
        <v>Еще фото</v>
      </c>
      <c r="F3447" s="13"/>
      <c r="G3447" s="23" t="s">
        <v>3235</v>
      </c>
      <c r="H3447" s="23" t="s">
        <v>151</v>
      </c>
      <c r="I3447" s="23" t="s">
        <v>424</v>
      </c>
      <c r="J3447" s="14" t="s">
        <v>138</v>
      </c>
      <c r="K3447" s="15" t="s">
        <v>30</v>
      </c>
      <c r="L3447" s="87"/>
      <c r="M3447" s="14"/>
      <c r="N3447" s="14" t="s">
        <v>3753</v>
      </c>
      <c r="O3447" s="14"/>
      <c r="P3447" s="15" t="s">
        <v>3756</v>
      </c>
      <c r="Q3447" s="16">
        <v>14690</v>
      </c>
      <c r="R3447" s="17">
        <v>62.17</v>
      </c>
      <c r="S3447" s="18">
        <v>6391.4354999999996</v>
      </c>
      <c r="T3447" s="19" t="s">
        <v>328</v>
      </c>
      <c r="U3447" s="20" t="s">
        <v>3190</v>
      </c>
      <c r="V3447" s="21">
        <v>31</v>
      </c>
      <c r="W3447" s="21">
        <v>1</v>
      </c>
      <c r="X3447" s="22"/>
    </row>
    <row r="3448" spans="1:24" s="1" customFormat="1" ht="11.1" customHeight="1" x14ac:dyDescent="0.3">
      <c r="A3448" s="23" t="s">
        <v>3183</v>
      </c>
      <c r="B3448" s="23" t="s">
        <v>3687</v>
      </c>
      <c r="C3448" s="12" t="s">
        <v>3755</v>
      </c>
      <c r="D3448" s="84"/>
      <c r="E3448" s="69" t="str">
        <f t="shared" si="157"/>
        <v>Еще фото</v>
      </c>
      <c r="F3448" s="13"/>
      <c r="G3448" s="23" t="s">
        <v>3235</v>
      </c>
      <c r="H3448" s="23" t="s">
        <v>151</v>
      </c>
      <c r="I3448" s="23" t="s">
        <v>424</v>
      </c>
      <c r="J3448" s="14" t="s">
        <v>138</v>
      </c>
      <c r="K3448" s="15" t="s">
        <v>30</v>
      </c>
      <c r="L3448" s="87"/>
      <c r="M3448" s="14"/>
      <c r="N3448" s="14" t="s">
        <v>3753</v>
      </c>
      <c r="O3448" s="14"/>
      <c r="P3448" s="15" t="s">
        <v>3756</v>
      </c>
      <c r="Q3448" s="16">
        <v>14690</v>
      </c>
      <c r="R3448" s="17">
        <v>62.17</v>
      </c>
      <c r="S3448" s="18">
        <v>6391.4354999999996</v>
      </c>
      <c r="T3448" s="19" t="s">
        <v>328</v>
      </c>
      <c r="U3448" s="20" t="s">
        <v>552</v>
      </c>
      <c r="V3448" s="21">
        <v>32</v>
      </c>
      <c r="W3448" s="21">
        <v>2</v>
      </c>
      <c r="X3448" s="22"/>
    </row>
    <row r="3449" spans="1:24" s="1" customFormat="1" ht="11.1" customHeight="1" x14ac:dyDescent="0.3">
      <c r="A3449" s="23" t="s">
        <v>3183</v>
      </c>
      <c r="B3449" s="23" t="s">
        <v>3687</v>
      </c>
      <c r="C3449" s="12" t="s">
        <v>3755</v>
      </c>
      <c r="D3449" s="84"/>
      <c r="E3449" s="69" t="str">
        <f t="shared" si="157"/>
        <v>Еще фото</v>
      </c>
      <c r="F3449" s="13"/>
      <c r="G3449" s="23" t="s">
        <v>3235</v>
      </c>
      <c r="H3449" s="23" t="s">
        <v>151</v>
      </c>
      <c r="I3449" s="23" t="s">
        <v>424</v>
      </c>
      <c r="J3449" s="14" t="s">
        <v>138</v>
      </c>
      <c r="K3449" s="15" t="s">
        <v>30</v>
      </c>
      <c r="L3449" s="87"/>
      <c r="M3449" s="14"/>
      <c r="N3449" s="14" t="s">
        <v>3753</v>
      </c>
      <c r="O3449" s="14"/>
      <c r="P3449" s="15" t="s">
        <v>3756</v>
      </c>
      <c r="Q3449" s="16">
        <v>14690</v>
      </c>
      <c r="R3449" s="17">
        <v>62.17</v>
      </c>
      <c r="S3449" s="18">
        <v>6391.4354999999996</v>
      </c>
      <c r="T3449" s="19" t="s">
        <v>328</v>
      </c>
      <c r="U3449" s="20" t="s">
        <v>553</v>
      </c>
      <c r="V3449" s="21">
        <v>33</v>
      </c>
      <c r="W3449" s="21">
        <v>2</v>
      </c>
      <c r="X3449" s="22"/>
    </row>
    <row r="3450" spans="1:24" s="1" customFormat="1" ht="11.1" customHeight="1" x14ac:dyDescent="0.3">
      <c r="A3450" s="23" t="s">
        <v>3183</v>
      </c>
      <c r="B3450" s="23" t="s">
        <v>3687</v>
      </c>
      <c r="C3450" s="12" t="s">
        <v>3755</v>
      </c>
      <c r="D3450" s="84"/>
      <c r="E3450" s="69" t="str">
        <f t="shared" si="157"/>
        <v>Еще фото</v>
      </c>
      <c r="F3450" s="13"/>
      <c r="G3450" s="23" t="s">
        <v>3235</v>
      </c>
      <c r="H3450" s="23" t="s">
        <v>151</v>
      </c>
      <c r="I3450" s="23" t="s">
        <v>424</v>
      </c>
      <c r="J3450" s="14" t="s">
        <v>138</v>
      </c>
      <c r="K3450" s="15" t="s">
        <v>30</v>
      </c>
      <c r="L3450" s="87"/>
      <c r="M3450" s="14"/>
      <c r="N3450" s="14" t="s">
        <v>3753</v>
      </c>
      <c r="O3450" s="14"/>
      <c r="P3450" s="15" t="s">
        <v>3756</v>
      </c>
      <c r="Q3450" s="16">
        <v>14690</v>
      </c>
      <c r="R3450" s="17">
        <v>62.17</v>
      </c>
      <c r="S3450" s="18">
        <v>6391.4354999999996</v>
      </c>
      <c r="T3450" s="19" t="s">
        <v>328</v>
      </c>
      <c r="U3450" s="20" t="s">
        <v>431</v>
      </c>
      <c r="V3450" s="21">
        <v>35</v>
      </c>
      <c r="W3450" s="21">
        <v>5</v>
      </c>
      <c r="X3450" s="22"/>
    </row>
    <row r="3451" spans="1:24" s="1" customFormat="1" ht="11.1" customHeight="1" x14ac:dyDescent="0.3">
      <c r="A3451" s="23" t="s">
        <v>3183</v>
      </c>
      <c r="B3451" s="23" t="s">
        <v>3687</v>
      </c>
      <c r="C3451" s="12" t="s">
        <v>3755</v>
      </c>
      <c r="D3451" s="84"/>
      <c r="E3451" s="69" t="str">
        <f t="shared" si="157"/>
        <v>Еще фото</v>
      </c>
      <c r="F3451" s="13"/>
      <c r="G3451" s="23" t="s">
        <v>3235</v>
      </c>
      <c r="H3451" s="23" t="s">
        <v>151</v>
      </c>
      <c r="I3451" s="23" t="s">
        <v>424</v>
      </c>
      <c r="J3451" s="14" t="s">
        <v>138</v>
      </c>
      <c r="K3451" s="15" t="s">
        <v>30</v>
      </c>
      <c r="L3451" s="87"/>
      <c r="M3451" s="14"/>
      <c r="N3451" s="14" t="s">
        <v>3753</v>
      </c>
      <c r="O3451" s="14"/>
      <c r="P3451" s="15" t="s">
        <v>3756</v>
      </c>
      <c r="Q3451" s="16">
        <v>14690</v>
      </c>
      <c r="R3451" s="17">
        <v>62.17</v>
      </c>
      <c r="S3451" s="18">
        <v>6391.4354999999996</v>
      </c>
      <c r="T3451" s="19" t="s">
        <v>328</v>
      </c>
      <c r="U3451" s="20" t="s">
        <v>1503</v>
      </c>
      <c r="V3451" s="21">
        <v>36</v>
      </c>
      <c r="W3451" s="21">
        <v>5</v>
      </c>
      <c r="X3451" s="22"/>
    </row>
    <row r="3452" spans="1:24" s="1" customFormat="1" ht="11.1" customHeight="1" x14ac:dyDescent="0.3">
      <c r="A3452" s="23" t="s">
        <v>3183</v>
      </c>
      <c r="B3452" s="23" t="s">
        <v>3687</v>
      </c>
      <c r="C3452" s="12" t="s">
        <v>3755</v>
      </c>
      <c r="D3452" s="85"/>
      <c r="E3452" s="69" t="str">
        <f t="shared" si="157"/>
        <v>Еще фото</v>
      </c>
      <c r="F3452" s="13"/>
      <c r="G3452" s="23" t="s">
        <v>3235</v>
      </c>
      <c r="H3452" s="23" t="s">
        <v>151</v>
      </c>
      <c r="I3452" s="23" t="s">
        <v>424</v>
      </c>
      <c r="J3452" s="14" t="s">
        <v>138</v>
      </c>
      <c r="K3452" s="15" t="s">
        <v>30</v>
      </c>
      <c r="L3452" s="88"/>
      <c r="M3452" s="14"/>
      <c r="N3452" s="14" t="s">
        <v>3753</v>
      </c>
      <c r="O3452" s="14"/>
      <c r="P3452" s="15" t="s">
        <v>3756</v>
      </c>
      <c r="Q3452" s="16">
        <v>14690</v>
      </c>
      <c r="R3452" s="17">
        <v>62.17</v>
      </c>
      <c r="S3452" s="18">
        <v>6391.4354999999996</v>
      </c>
      <c r="T3452" s="19" t="s">
        <v>328</v>
      </c>
      <c r="U3452" s="20" t="s">
        <v>409</v>
      </c>
      <c r="V3452" s="21">
        <v>37</v>
      </c>
      <c r="W3452" s="21">
        <v>1</v>
      </c>
      <c r="X3452" s="22"/>
    </row>
    <row r="3453" spans="1:24" s="1" customFormat="1" ht="14.1" customHeight="1" x14ac:dyDescent="0.3">
      <c r="A3453" s="11" t="s">
        <v>3183</v>
      </c>
      <c r="B3453" s="11" t="s">
        <v>3745</v>
      </c>
      <c r="C3453" s="12" t="s">
        <v>3757</v>
      </c>
      <c r="D3453" s="83"/>
      <c r="E3453" s="69" t="str">
        <f t="shared" ref="E3453:E3459" si="158">HYPERLINK("https://www.google.ru/search?q=J56EWA0LVNFC9999&amp;newwindow=1&amp;tbm=isch","Еще фото")</f>
        <v>Еще фото</v>
      </c>
      <c r="F3453" s="13"/>
      <c r="G3453" s="11" t="s">
        <v>3235</v>
      </c>
      <c r="H3453" s="11" t="s">
        <v>151</v>
      </c>
      <c r="I3453" s="14" t="s">
        <v>424</v>
      </c>
      <c r="J3453" s="14" t="s">
        <v>138</v>
      </c>
      <c r="K3453" s="15" t="s">
        <v>30</v>
      </c>
      <c r="L3453" s="86" t="s">
        <v>3747</v>
      </c>
      <c r="M3453" s="14"/>
      <c r="N3453" s="14" t="s">
        <v>3661</v>
      </c>
      <c r="O3453" s="14"/>
      <c r="P3453" s="15" t="s">
        <v>3758</v>
      </c>
      <c r="Q3453" s="16">
        <v>16390</v>
      </c>
      <c r="R3453" s="17">
        <v>62.12</v>
      </c>
      <c r="S3453" s="18">
        <v>7138.9354999999996</v>
      </c>
      <c r="T3453" s="19" t="s">
        <v>328</v>
      </c>
      <c r="U3453" s="20" t="s">
        <v>550</v>
      </c>
      <c r="V3453" s="21">
        <v>29</v>
      </c>
      <c r="W3453" s="21">
        <v>2</v>
      </c>
      <c r="X3453" s="22"/>
    </row>
    <row r="3454" spans="1:24" s="1" customFormat="1" ht="14.1" customHeight="1" x14ac:dyDescent="0.3">
      <c r="A3454" s="23" t="s">
        <v>3183</v>
      </c>
      <c r="B3454" s="23" t="s">
        <v>3745</v>
      </c>
      <c r="C3454" s="12" t="s">
        <v>3757</v>
      </c>
      <c r="D3454" s="84"/>
      <c r="E3454" s="69" t="str">
        <f t="shared" si="158"/>
        <v>Еще фото</v>
      </c>
      <c r="F3454" s="13"/>
      <c r="G3454" s="23" t="s">
        <v>3235</v>
      </c>
      <c r="H3454" s="23" t="s">
        <v>151</v>
      </c>
      <c r="I3454" s="23" t="s">
        <v>424</v>
      </c>
      <c r="J3454" s="14" t="s">
        <v>138</v>
      </c>
      <c r="K3454" s="15" t="s">
        <v>30</v>
      </c>
      <c r="L3454" s="87"/>
      <c r="M3454" s="14"/>
      <c r="N3454" s="14" t="s">
        <v>3661</v>
      </c>
      <c r="O3454" s="14"/>
      <c r="P3454" s="15" t="s">
        <v>3758</v>
      </c>
      <c r="Q3454" s="16">
        <v>16390</v>
      </c>
      <c r="R3454" s="17">
        <v>62.12</v>
      </c>
      <c r="S3454" s="18">
        <v>7138.9354999999996</v>
      </c>
      <c r="T3454" s="19" t="s">
        <v>328</v>
      </c>
      <c r="U3454" s="20" t="s">
        <v>3189</v>
      </c>
      <c r="V3454" s="21">
        <v>30</v>
      </c>
      <c r="W3454" s="21">
        <v>4</v>
      </c>
      <c r="X3454" s="22"/>
    </row>
    <row r="3455" spans="1:24" s="1" customFormat="1" ht="14.1" customHeight="1" x14ac:dyDescent="0.3">
      <c r="A3455" s="23" t="s">
        <v>3183</v>
      </c>
      <c r="B3455" s="23" t="s">
        <v>3745</v>
      </c>
      <c r="C3455" s="12" t="s">
        <v>3757</v>
      </c>
      <c r="D3455" s="84"/>
      <c r="E3455" s="69" t="str">
        <f t="shared" si="158"/>
        <v>Еще фото</v>
      </c>
      <c r="F3455" s="13"/>
      <c r="G3455" s="23" t="s">
        <v>3235</v>
      </c>
      <c r="H3455" s="23" t="s">
        <v>151</v>
      </c>
      <c r="I3455" s="23" t="s">
        <v>424</v>
      </c>
      <c r="J3455" s="14" t="s">
        <v>138</v>
      </c>
      <c r="K3455" s="15" t="s">
        <v>30</v>
      </c>
      <c r="L3455" s="87"/>
      <c r="M3455" s="14"/>
      <c r="N3455" s="14" t="s">
        <v>3661</v>
      </c>
      <c r="O3455" s="14"/>
      <c r="P3455" s="15" t="s">
        <v>3758</v>
      </c>
      <c r="Q3455" s="16">
        <v>16390</v>
      </c>
      <c r="R3455" s="17">
        <v>62.12</v>
      </c>
      <c r="S3455" s="18">
        <v>7138.9354999999996</v>
      </c>
      <c r="T3455" s="19" t="s">
        <v>328</v>
      </c>
      <c r="U3455" s="20" t="s">
        <v>3190</v>
      </c>
      <c r="V3455" s="21">
        <v>31</v>
      </c>
      <c r="W3455" s="21">
        <v>3</v>
      </c>
      <c r="X3455" s="22"/>
    </row>
    <row r="3456" spans="1:24" s="1" customFormat="1" ht="14.1" customHeight="1" x14ac:dyDescent="0.3">
      <c r="A3456" s="23" t="s">
        <v>3183</v>
      </c>
      <c r="B3456" s="23" t="s">
        <v>3745</v>
      </c>
      <c r="C3456" s="12" t="s">
        <v>3757</v>
      </c>
      <c r="D3456" s="84"/>
      <c r="E3456" s="69" t="str">
        <f t="shared" si="158"/>
        <v>Еще фото</v>
      </c>
      <c r="F3456" s="13"/>
      <c r="G3456" s="23" t="s">
        <v>3235</v>
      </c>
      <c r="H3456" s="23" t="s">
        <v>151</v>
      </c>
      <c r="I3456" s="23" t="s">
        <v>424</v>
      </c>
      <c r="J3456" s="14" t="s">
        <v>138</v>
      </c>
      <c r="K3456" s="15" t="s">
        <v>30</v>
      </c>
      <c r="L3456" s="87"/>
      <c r="M3456" s="14"/>
      <c r="N3456" s="14" t="s">
        <v>3661</v>
      </c>
      <c r="O3456" s="14"/>
      <c r="P3456" s="15" t="s">
        <v>3758</v>
      </c>
      <c r="Q3456" s="16">
        <v>16390</v>
      </c>
      <c r="R3456" s="17">
        <v>62.12</v>
      </c>
      <c r="S3456" s="18">
        <v>7138.9354999999996</v>
      </c>
      <c r="T3456" s="19" t="s">
        <v>328</v>
      </c>
      <c r="U3456" s="20" t="s">
        <v>552</v>
      </c>
      <c r="V3456" s="21">
        <v>32</v>
      </c>
      <c r="W3456" s="21">
        <v>2</v>
      </c>
      <c r="X3456" s="22"/>
    </row>
    <row r="3457" spans="1:24" s="1" customFormat="1" ht="14.1" customHeight="1" x14ac:dyDescent="0.3">
      <c r="A3457" s="23" t="s">
        <v>3183</v>
      </c>
      <c r="B3457" s="23" t="s">
        <v>3745</v>
      </c>
      <c r="C3457" s="12" t="s">
        <v>3757</v>
      </c>
      <c r="D3457" s="84"/>
      <c r="E3457" s="69" t="str">
        <f t="shared" si="158"/>
        <v>Еще фото</v>
      </c>
      <c r="F3457" s="13"/>
      <c r="G3457" s="23" t="s">
        <v>3235</v>
      </c>
      <c r="H3457" s="23" t="s">
        <v>151</v>
      </c>
      <c r="I3457" s="23" t="s">
        <v>424</v>
      </c>
      <c r="J3457" s="14" t="s">
        <v>138</v>
      </c>
      <c r="K3457" s="15" t="s">
        <v>30</v>
      </c>
      <c r="L3457" s="87"/>
      <c r="M3457" s="14"/>
      <c r="N3457" s="14" t="s">
        <v>3661</v>
      </c>
      <c r="O3457" s="14"/>
      <c r="P3457" s="15" t="s">
        <v>3758</v>
      </c>
      <c r="Q3457" s="16">
        <v>16390</v>
      </c>
      <c r="R3457" s="17">
        <v>62.12</v>
      </c>
      <c r="S3457" s="18">
        <v>7138.9354999999996</v>
      </c>
      <c r="T3457" s="19" t="s">
        <v>328</v>
      </c>
      <c r="U3457" s="20" t="s">
        <v>554</v>
      </c>
      <c r="V3457" s="21">
        <v>34</v>
      </c>
      <c r="W3457" s="21">
        <v>2</v>
      </c>
      <c r="X3457" s="22"/>
    </row>
    <row r="3458" spans="1:24" s="1" customFormat="1" ht="14.1" customHeight="1" x14ac:dyDescent="0.3">
      <c r="A3458" s="23" t="s">
        <v>3183</v>
      </c>
      <c r="B3458" s="23" t="s">
        <v>3745</v>
      </c>
      <c r="C3458" s="12" t="s">
        <v>3757</v>
      </c>
      <c r="D3458" s="84"/>
      <c r="E3458" s="69" t="str">
        <f t="shared" si="158"/>
        <v>Еще фото</v>
      </c>
      <c r="F3458" s="13"/>
      <c r="G3458" s="23" t="s">
        <v>3235</v>
      </c>
      <c r="H3458" s="23" t="s">
        <v>151</v>
      </c>
      <c r="I3458" s="23" t="s">
        <v>424</v>
      </c>
      <c r="J3458" s="14" t="s">
        <v>138</v>
      </c>
      <c r="K3458" s="15" t="s">
        <v>30</v>
      </c>
      <c r="L3458" s="87"/>
      <c r="M3458" s="14"/>
      <c r="N3458" s="14" t="s">
        <v>3661</v>
      </c>
      <c r="O3458" s="14"/>
      <c r="P3458" s="15" t="s">
        <v>3758</v>
      </c>
      <c r="Q3458" s="16">
        <v>16390</v>
      </c>
      <c r="R3458" s="17">
        <v>62.12</v>
      </c>
      <c r="S3458" s="18">
        <v>7138.9354999999996</v>
      </c>
      <c r="T3458" s="19" t="s">
        <v>328</v>
      </c>
      <c r="U3458" s="20" t="s">
        <v>431</v>
      </c>
      <c r="V3458" s="21">
        <v>35</v>
      </c>
      <c r="W3458" s="21">
        <v>1</v>
      </c>
      <c r="X3458" s="22"/>
    </row>
    <row r="3459" spans="1:24" s="1" customFormat="1" ht="17.100000000000001" customHeight="1" x14ac:dyDescent="0.3">
      <c r="A3459" s="23" t="s">
        <v>3183</v>
      </c>
      <c r="B3459" s="23" t="s">
        <v>3745</v>
      </c>
      <c r="C3459" s="12" t="s">
        <v>3757</v>
      </c>
      <c r="D3459" s="85"/>
      <c r="E3459" s="69" t="str">
        <f t="shared" si="158"/>
        <v>Еще фото</v>
      </c>
      <c r="F3459" s="13"/>
      <c r="G3459" s="23" t="s">
        <v>3235</v>
      </c>
      <c r="H3459" s="23" t="s">
        <v>151</v>
      </c>
      <c r="I3459" s="23" t="s">
        <v>424</v>
      </c>
      <c r="J3459" s="14" t="s">
        <v>138</v>
      </c>
      <c r="K3459" s="15" t="s">
        <v>30</v>
      </c>
      <c r="L3459" s="88"/>
      <c r="M3459" s="14"/>
      <c r="N3459" s="14" t="s">
        <v>3661</v>
      </c>
      <c r="O3459" s="14"/>
      <c r="P3459" s="15" t="s">
        <v>3758</v>
      </c>
      <c r="Q3459" s="16">
        <v>16390</v>
      </c>
      <c r="R3459" s="17">
        <v>62.12</v>
      </c>
      <c r="S3459" s="18">
        <v>7138.9354999999996</v>
      </c>
      <c r="T3459" s="19" t="s">
        <v>328</v>
      </c>
      <c r="U3459" s="20" t="s">
        <v>1503</v>
      </c>
      <c r="V3459" s="21">
        <v>36</v>
      </c>
      <c r="W3459" s="21">
        <v>1</v>
      </c>
      <c r="X3459" s="22"/>
    </row>
    <row r="3460" spans="1:24" s="1" customFormat="1" ht="21" customHeight="1" x14ac:dyDescent="0.3">
      <c r="A3460" s="11" t="s">
        <v>3183</v>
      </c>
      <c r="B3460" s="11" t="s">
        <v>3730</v>
      </c>
      <c r="C3460" s="27" t="s">
        <v>3759</v>
      </c>
      <c r="D3460" s="83"/>
      <c r="E3460" s="69" t="str">
        <f>HYPERLINK("https://www.google.ru/search?q=D56HRK00043C9999&amp;newwindow=1&amp;tbm=isch","Еще фото")</f>
        <v>Еще фото</v>
      </c>
      <c r="F3460" s="13"/>
      <c r="G3460" s="11" t="s">
        <v>3659</v>
      </c>
      <c r="H3460" s="11" t="s">
        <v>151</v>
      </c>
      <c r="I3460" s="14" t="s">
        <v>424</v>
      </c>
      <c r="J3460" s="14" t="s">
        <v>138</v>
      </c>
      <c r="K3460" s="15" t="s">
        <v>47</v>
      </c>
      <c r="L3460" s="86" t="s">
        <v>3760</v>
      </c>
      <c r="M3460" s="14"/>
      <c r="N3460" s="14" t="s">
        <v>3661</v>
      </c>
      <c r="O3460" s="14"/>
      <c r="P3460" s="15" t="s">
        <v>3761</v>
      </c>
      <c r="Q3460" s="16">
        <v>25590</v>
      </c>
      <c r="R3460" s="17">
        <v>59.76</v>
      </c>
      <c r="S3460" s="18">
        <v>11842.4355</v>
      </c>
      <c r="T3460" s="19" t="s">
        <v>328</v>
      </c>
      <c r="U3460" s="20" t="s">
        <v>1503</v>
      </c>
      <c r="V3460" s="21">
        <v>36</v>
      </c>
      <c r="W3460" s="21">
        <v>3</v>
      </c>
      <c r="X3460" s="22"/>
    </row>
    <row r="3461" spans="1:24" s="1" customFormat="1" ht="21" customHeight="1" x14ac:dyDescent="0.3">
      <c r="A3461" s="23" t="s">
        <v>3183</v>
      </c>
      <c r="B3461" s="23" t="s">
        <v>3730</v>
      </c>
      <c r="C3461" s="28" t="s">
        <v>3759</v>
      </c>
      <c r="D3461" s="84"/>
      <c r="E3461" s="69" t="str">
        <f>HYPERLINK("https://www.google.ru/search?q=D56HRK00043C9999&amp;newwindow=1&amp;tbm=isch","Еще фото")</f>
        <v>Еще фото</v>
      </c>
      <c r="F3461" s="13"/>
      <c r="G3461" s="23" t="s">
        <v>3659</v>
      </c>
      <c r="H3461" s="23" t="s">
        <v>151</v>
      </c>
      <c r="I3461" s="23" t="s">
        <v>424</v>
      </c>
      <c r="J3461" s="14" t="s">
        <v>138</v>
      </c>
      <c r="K3461" s="15" t="s">
        <v>47</v>
      </c>
      <c r="L3461" s="87"/>
      <c r="M3461" s="14"/>
      <c r="N3461" s="14" t="s">
        <v>3661</v>
      </c>
      <c r="O3461" s="14"/>
      <c r="P3461" s="15" t="s">
        <v>3761</v>
      </c>
      <c r="Q3461" s="16">
        <v>25590</v>
      </c>
      <c r="R3461" s="17">
        <v>59.76</v>
      </c>
      <c r="S3461" s="18">
        <v>11842.4355</v>
      </c>
      <c r="T3461" s="19" t="s">
        <v>328</v>
      </c>
      <c r="U3461" s="20" t="s">
        <v>409</v>
      </c>
      <c r="V3461" s="21">
        <v>37</v>
      </c>
      <c r="W3461" s="21">
        <v>5</v>
      </c>
      <c r="X3461" s="22"/>
    </row>
    <row r="3462" spans="1:24" s="1" customFormat="1" ht="21" customHeight="1" x14ac:dyDescent="0.3">
      <c r="A3462" s="23" t="s">
        <v>3183</v>
      </c>
      <c r="B3462" s="23" t="s">
        <v>3730</v>
      </c>
      <c r="C3462" s="28" t="s">
        <v>3759</v>
      </c>
      <c r="D3462" s="84"/>
      <c r="E3462" s="69" t="str">
        <f>HYPERLINK("https://www.google.ru/search?q=D56HRK00043C9999&amp;newwindow=1&amp;tbm=isch","Еще фото")</f>
        <v>Еще фото</v>
      </c>
      <c r="F3462" s="13"/>
      <c r="G3462" s="23" t="s">
        <v>3659</v>
      </c>
      <c r="H3462" s="23" t="s">
        <v>151</v>
      </c>
      <c r="I3462" s="23" t="s">
        <v>424</v>
      </c>
      <c r="J3462" s="14" t="s">
        <v>138</v>
      </c>
      <c r="K3462" s="15" t="s">
        <v>47</v>
      </c>
      <c r="L3462" s="87"/>
      <c r="M3462" s="14"/>
      <c r="N3462" s="14" t="s">
        <v>3661</v>
      </c>
      <c r="O3462" s="14"/>
      <c r="P3462" s="15" t="s">
        <v>3761</v>
      </c>
      <c r="Q3462" s="16">
        <v>25590</v>
      </c>
      <c r="R3462" s="17">
        <v>59.76</v>
      </c>
      <c r="S3462" s="18">
        <v>11842.4355</v>
      </c>
      <c r="T3462" s="19" t="s">
        <v>328</v>
      </c>
      <c r="U3462" s="20" t="s">
        <v>426</v>
      </c>
      <c r="V3462" s="21">
        <v>38</v>
      </c>
      <c r="W3462" s="21">
        <v>1</v>
      </c>
      <c r="X3462" s="22"/>
    </row>
    <row r="3463" spans="1:24" s="1" customFormat="1" ht="21" customHeight="1" x14ac:dyDescent="0.3">
      <c r="A3463" s="23" t="s">
        <v>3183</v>
      </c>
      <c r="B3463" s="23" t="s">
        <v>3730</v>
      </c>
      <c r="C3463" s="28" t="s">
        <v>3759</v>
      </c>
      <c r="D3463" s="84"/>
      <c r="E3463" s="69" t="str">
        <f>HYPERLINK("https://www.google.ru/search?q=D56HRK00043C9999&amp;newwindow=1&amp;tbm=isch","Еще фото")</f>
        <v>Еще фото</v>
      </c>
      <c r="F3463" s="13"/>
      <c r="G3463" s="23" t="s">
        <v>3659</v>
      </c>
      <c r="H3463" s="23" t="s">
        <v>151</v>
      </c>
      <c r="I3463" s="23" t="s">
        <v>424</v>
      </c>
      <c r="J3463" s="14" t="s">
        <v>138</v>
      </c>
      <c r="K3463" s="15" t="s">
        <v>47</v>
      </c>
      <c r="L3463" s="87"/>
      <c r="M3463" s="14"/>
      <c r="N3463" s="14" t="s">
        <v>3661</v>
      </c>
      <c r="O3463" s="14"/>
      <c r="P3463" s="15" t="s">
        <v>3761</v>
      </c>
      <c r="Q3463" s="16">
        <v>25590</v>
      </c>
      <c r="R3463" s="17">
        <v>59.76</v>
      </c>
      <c r="S3463" s="18">
        <v>11842.4355</v>
      </c>
      <c r="T3463" s="19" t="s">
        <v>328</v>
      </c>
      <c r="U3463" s="20" t="s">
        <v>399</v>
      </c>
      <c r="V3463" s="21">
        <v>40</v>
      </c>
      <c r="W3463" s="21">
        <v>2</v>
      </c>
      <c r="X3463" s="22"/>
    </row>
    <row r="3464" spans="1:24" s="1" customFormat="1" ht="32.1" customHeight="1" x14ac:dyDescent="0.3">
      <c r="A3464" s="23" t="s">
        <v>3183</v>
      </c>
      <c r="B3464" s="23" t="s">
        <v>3730</v>
      </c>
      <c r="C3464" s="28" t="s">
        <v>3759</v>
      </c>
      <c r="D3464" s="85"/>
      <c r="E3464" s="69" t="str">
        <f>HYPERLINK("https://www.google.ru/search?q=D56HRK00043C9999&amp;newwindow=1&amp;tbm=isch","Еще фото")</f>
        <v>Еще фото</v>
      </c>
      <c r="F3464" s="13"/>
      <c r="G3464" s="23" t="s">
        <v>3659</v>
      </c>
      <c r="H3464" s="23" t="s">
        <v>151</v>
      </c>
      <c r="I3464" s="23" t="s">
        <v>424</v>
      </c>
      <c r="J3464" s="14" t="s">
        <v>138</v>
      </c>
      <c r="K3464" s="15" t="s">
        <v>47</v>
      </c>
      <c r="L3464" s="88"/>
      <c r="M3464" s="14"/>
      <c r="N3464" s="14" t="s">
        <v>3661</v>
      </c>
      <c r="O3464" s="14"/>
      <c r="P3464" s="15" t="s">
        <v>3761</v>
      </c>
      <c r="Q3464" s="16">
        <v>25590</v>
      </c>
      <c r="R3464" s="17">
        <v>59.76</v>
      </c>
      <c r="S3464" s="18">
        <v>11842.4355</v>
      </c>
      <c r="T3464" s="19" t="s">
        <v>328</v>
      </c>
      <c r="U3464" s="20" t="s">
        <v>400</v>
      </c>
      <c r="V3464" s="21">
        <v>41</v>
      </c>
      <c r="W3464" s="21">
        <v>2</v>
      </c>
      <c r="X3464" s="22"/>
    </row>
    <row r="3465" spans="1:24" s="1" customFormat="1" ht="21" customHeight="1" x14ac:dyDescent="0.3">
      <c r="A3465" s="11" t="s">
        <v>3183</v>
      </c>
      <c r="B3465" s="11" t="s">
        <v>3663</v>
      </c>
      <c r="C3465" s="27" t="s">
        <v>3762</v>
      </c>
      <c r="D3465" s="83"/>
      <c r="E3465" s="69" t="str">
        <f>HYPERLINK("https://www.google.ru/search?q=D565GB00043C9999&amp;newwindow=1&amp;tbm=isch","Еще фото")</f>
        <v>Еще фото</v>
      </c>
      <c r="F3465" s="13"/>
      <c r="G3465" s="11" t="s">
        <v>3763</v>
      </c>
      <c r="H3465" s="11" t="s">
        <v>151</v>
      </c>
      <c r="I3465" s="14" t="s">
        <v>424</v>
      </c>
      <c r="J3465" s="14" t="s">
        <v>138</v>
      </c>
      <c r="K3465" s="15" t="s">
        <v>47</v>
      </c>
      <c r="L3465" s="86" t="s">
        <v>3764</v>
      </c>
      <c r="M3465" s="14"/>
      <c r="N3465" s="14" t="s">
        <v>3661</v>
      </c>
      <c r="O3465" s="14"/>
      <c r="P3465" s="15" t="s">
        <v>3765</v>
      </c>
      <c r="Q3465" s="16">
        <v>17990</v>
      </c>
      <c r="R3465" s="17">
        <v>59.71</v>
      </c>
      <c r="S3465" s="18">
        <v>8334.9354999999996</v>
      </c>
      <c r="T3465" s="19" t="s">
        <v>328</v>
      </c>
      <c r="U3465" s="20" t="s">
        <v>409</v>
      </c>
      <c r="V3465" s="21">
        <v>37</v>
      </c>
      <c r="W3465" s="21">
        <v>4</v>
      </c>
      <c r="X3465" s="22"/>
    </row>
    <row r="3466" spans="1:24" s="1" customFormat="1" ht="21" customHeight="1" x14ac:dyDescent="0.3">
      <c r="A3466" s="23" t="s">
        <v>3183</v>
      </c>
      <c r="B3466" s="23" t="s">
        <v>3663</v>
      </c>
      <c r="C3466" s="28" t="s">
        <v>3762</v>
      </c>
      <c r="D3466" s="84"/>
      <c r="E3466" s="69" t="str">
        <f>HYPERLINK("https://www.google.ru/search?q=D565GB00043C9999&amp;newwindow=1&amp;tbm=isch","Еще фото")</f>
        <v>Еще фото</v>
      </c>
      <c r="F3466" s="13"/>
      <c r="G3466" s="23" t="s">
        <v>3763</v>
      </c>
      <c r="H3466" s="23" t="s">
        <v>151</v>
      </c>
      <c r="I3466" s="23" t="s">
        <v>424</v>
      </c>
      <c r="J3466" s="14" t="s">
        <v>138</v>
      </c>
      <c r="K3466" s="15" t="s">
        <v>47</v>
      </c>
      <c r="L3466" s="87"/>
      <c r="M3466" s="14"/>
      <c r="N3466" s="14" t="s">
        <v>3661</v>
      </c>
      <c r="O3466" s="14"/>
      <c r="P3466" s="15" t="s">
        <v>3765</v>
      </c>
      <c r="Q3466" s="16">
        <v>17990</v>
      </c>
      <c r="R3466" s="17">
        <v>59.71</v>
      </c>
      <c r="S3466" s="18">
        <v>8334.9354999999996</v>
      </c>
      <c r="T3466" s="19" t="s">
        <v>328</v>
      </c>
      <c r="U3466" s="20" t="s">
        <v>426</v>
      </c>
      <c r="V3466" s="21">
        <v>38</v>
      </c>
      <c r="W3466" s="21">
        <v>2</v>
      </c>
      <c r="X3466" s="22"/>
    </row>
    <row r="3467" spans="1:24" s="1" customFormat="1" ht="21" customHeight="1" x14ac:dyDescent="0.3">
      <c r="A3467" s="23" t="s">
        <v>3183</v>
      </c>
      <c r="B3467" s="23" t="s">
        <v>3663</v>
      </c>
      <c r="C3467" s="28" t="s">
        <v>3762</v>
      </c>
      <c r="D3467" s="84"/>
      <c r="E3467" s="69" t="str">
        <f>HYPERLINK("https://www.google.ru/search?q=D565GB00043C9999&amp;newwindow=1&amp;tbm=isch","Еще фото")</f>
        <v>Еще фото</v>
      </c>
      <c r="F3467" s="13"/>
      <c r="G3467" s="23" t="s">
        <v>3763</v>
      </c>
      <c r="H3467" s="23" t="s">
        <v>151</v>
      </c>
      <c r="I3467" s="23" t="s">
        <v>424</v>
      </c>
      <c r="J3467" s="14" t="s">
        <v>138</v>
      </c>
      <c r="K3467" s="15" t="s">
        <v>47</v>
      </c>
      <c r="L3467" s="87"/>
      <c r="M3467" s="14"/>
      <c r="N3467" s="14" t="s">
        <v>3661</v>
      </c>
      <c r="O3467" s="14"/>
      <c r="P3467" s="15" t="s">
        <v>3765</v>
      </c>
      <c r="Q3467" s="16">
        <v>17990</v>
      </c>
      <c r="R3467" s="17">
        <v>59.71</v>
      </c>
      <c r="S3467" s="18">
        <v>8334.9354999999996</v>
      </c>
      <c r="T3467" s="19" t="s">
        <v>328</v>
      </c>
      <c r="U3467" s="20" t="s">
        <v>413</v>
      </c>
      <c r="V3467" s="21">
        <v>39</v>
      </c>
      <c r="W3467" s="21">
        <v>2</v>
      </c>
      <c r="X3467" s="22"/>
    </row>
    <row r="3468" spans="1:24" s="1" customFormat="1" ht="21" customHeight="1" x14ac:dyDescent="0.3">
      <c r="A3468" s="23" t="s">
        <v>3183</v>
      </c>
      <c r="B3468" s="23" t="s">
        <v>3663</v>
      </c>
      <c r="C3468" s="28" t="s">
        <v>3762</v>
      </c>
      <c r="D3468" s="84"/>
      <c r="E3468" s="69" t="str">
        <f>HYPERLINK("https://www.google.ru/search?q=D565GB00043C9999&amp;newwindow=1&amp;tbm=isch","Еще фото")</f>
        <v>Еще фото</v>
      </c>
      <c r="F3468" s="13"/>
      <c r="G3468" s="23" t="s">
        <v>3763</v>
      </c>
      <c r="H3468" s="23" t="s">
        <v>151</v>
      </c>
      <c r="I3468" s="23" t="s">
        <v>424</v>
      </c>
      <c r="J3468" s="14" t="s">
        <v>138</v>
      </c>
      <c r="K3468" s="15" t="s">
        <v>47</v>
      </c>
      <c r="L3468" s="87"/>
      <c r="M3468" s="14"/>
      <c r="N3468" s="14" t="s">
        <v>3661</v>
      </c>
      <c r="O3468" s="14"/>
      <c r="P3468" s="15" t="s">
        <v>3765</v>
      </c>
      <c r="Q3468" s="16">
        <v>17990</v>
      </c>
      <c r="R3468" s="17">
        <v>59.71</v>
      </c>
      <c r="S3468" s="18">
        <v>8334.9354999999996</v>
      </c>
      <c r="T3468" s="19" t="s">
        <v>328</v>
      </c>
      <c r="U3468" s="20" t="s">
        <v>399</v>
      </c>
      <c r="V3468" s="21">
        <v>40</v>
      </c>
      <c r="W3468" s="21">
        <v>3</v>
      </c>
      <c r="X3468" s="22"/>
    </row>
    <row r="3469" spans="1:24" s="1" customFormat="1" ht="32.1" customHeight="1" x14ac:dyDescent="0.3">
      <c r="A3469" s="23" t="s">
        <v>3183</v>
      </c>
      <c r="B3469" s="23" t="s">
        <v>3663</v>
      </c>
      <c r="C3469" s="28" t="s">
        <v>3762</v>
      </c>
      <c r="D3469" s="85"/>
      <c r="E3469" s="69" t="str">
        <f>HYPERLINK("https://www.google.ru/search?q=D565GB00043C9999&amp;newwindow=1&amp;tbm=isch","Еще фото")</f>
        <v>Еще фото</v>
      </c>
      <c r="F3469" s="13"/>
      <c r="G3469" s="23" t="s">
        <v>3763</v>
      </c>
      <c r="H3469" s="23" t="s">
        <v>151</v>
      </c>
      <c r="I3469" s="23" t="s">
        <v>424</v>
      </c>
      <c r="J3469" s="14" t="s">
        <v>138</v>
      </c>
      <c r="K3469" s="15" t="s">
        <v>47</v>
      </c>
      <c r="L3469" s="88"/>
      <c r="M3469" s="14"/>
      <c r="N3469" s="14" t="s">
        <v>3661</v>
      </c>
      <c r="O3469" s="14"/>
      <c r="P3469" s="15" t="s">
        <v>3765</v>
      </c>
      <c r="Q3469" s="16">
        <v>17990</v>
      </c>
      <c r="R3469" s="17">
        <v>59.71</v>
      </c>
      <c r="S3469" s="18">
        <v>8334.9354999999996</v>
      </c>
      <c r="T3469" s="19" t="s">
        <v>328</v>
      </c>
      <c r="U3469" s="20" t="s">
        <v>400</v>
      </c>
      <c r="V3469" s="21">
        <v>41</v>
      </c>
      <c r="W3469" s="21">
        <v>1</v>
      </c>
      <c r="X3469" s="22"/>
    </row>
    <row r="3470" spans="1:24" s="1" customFormat="1" ht="108" customHeight="1" x14ac:dyDescent="0.3">
      <c r="A3470" s="11" t="s">
        <v>3183</v>
      </c>
      <c r="B3470" s="11" t="s">
        <v>3719</v>
      </c>
      <c r="C3470" s="12" t="s">
        <v>3766</v>
      </c>
      <c r="D3470" s="24"/>
      <c r="E3470" s="69" t="str">
        <f>HYPERLINK("https://www.google.ru/search?q=D55MDA022FUCH61Z&amp;newwindow=1&amp;tbm=isch","Еще фото")</f>
        <v>Еще фото</v>
      </c>
      <c r="F3470" s="13"/>
      <c r="G3470" s="11" t="s">
        <v>394</v>
      </c>
      <c r="H3470" s="11" t="s">
        <v>151</v>
      </c>
      <c r="I3470" s="14" t="s">
        <v>424</v>
      </c>
      <c r="J3470" s="14" t="s">
        <v>29</v>
      </c>
      <c r="K3470" s="15" t="s">
        <v>47</v>
      </c>
      <c r="L3470" s="14" t="s">
        <v>3767</v>
      </c>
      <c r="M3470" s="14"/>
      <c r="N3470" s="14" t="s">
        <v>3768</v>
      </c>
      <c r="O3470" s="14"/>
      <c r="P3470" s="15" t="s">
        <v>3769</v>
      </c>
      <c r="Q3470" s="16">
        <v>17999</v>
      </c>
      <c r="R3470" s="17">
        <v>56.29</v>
      </c>
      <c r="S3470" s="18">
        <v>9047.9354999999996</v>
      </c>
      <c r="T3470" s="19" t="s">
        <v>328</v>
      </c>
      <c r="U3470" s="20" t="s">
        <v>409</v>
      </c>
      <c r="V3470" s="21">
        <v>37</v>
      </c>
      <c r="W3470" s="21">
        <v>4</v>
      </c>
      <c r="X3470" s="22"/>
    </row>
    <row r="3471" spans="1:24" s="1" customFormat="1" ht="17.100000000000001" customHeight="1" x14ac:dyDescent="0.3">
      <c r="A3471" s="11" t="s">
        <v>3183</v>
      </c>
      <c r="B3471" s="11" t="s">
        <v>3770</v>
      </c>
      <c r="C3471" s="12" t="s">
        <v>3771</v>
      </c>
      <c r="D3471" s="83"/>
      <c r="E3471" s="69" t="str">
        <f t="shared" ref="E3471:E3476" si="159">HYPERLINK("https://www.google.ru/search?q=U554GC08522C1260&amp;newwindow=1&amp;tbm=isch","Еще фото")</f>
        <v>Еще фото</v>
      </c>
      <c r="F3471" s="13"/>
      <c r="G3471" s="11" t="s">
        <v>394</v>
      </c>
      <c r="H3471" s="11" t="s">
        <v>151</v>
      </c>
      <c r="I3471" s="14" t="s">
        <v>424</v>
      </c>
      <c r="J3471" s="14" t="s">
        <v>29</v>
      </c>
      <c r="K3471" s="15" t="s">
        <v>55</v>
      </c>
      <c r="L3471" s="86" t="s">
        <v>3772</v>
      </c>
      <c r="M3471" s="14"/>
      <c r="N3471" s="14" t="s">
        <v>3773</v>
      </c>
      <c r="O3471" s="14"/>
      <c r="P3471" s="15" t="s">
        <v>3774</v>
      </c>
      <c r="Q3471" s="16">
        <v>17999</v>
      </c>
      <c r="R3471" s="17">
        <v>56.29</v>
      </c>
      <c r="S3471" s="18">
        <v>9047.9354999999996</v>
      </c>
      <c r="T3471" s="19" t="s">
        <v>328</v>
      </c>
      <c r="U3471" s="20" t="s">
        <v>399</v>
      </c>
      <c r="V3471" s="21">
        <v>40</v>
      </c>
      <c r="W3471" s="21">
        <v>3</v>
      </c>
      <c r="X3471" s="22"/>
    </row>
    <row r="3472" spans="1:24" s="1" customFormat="1" ht="17.100000000000001" customHeight="1" x14ac:dyDescent="0.3">
      <c r="A3472" s="23" t="s">
        <v>3183</v>
      </c>
      <c r="B3472" s="23" t="s">
        <v>3770</v>
      </c>
      <c r="C3472" s="12" t="s">
        <v>3771</v>
      </c>
      <c r="D3472" s="84"/>
      <c r="E3472" s="69" t="str">
        <f t="shared" si="159"/>
        <v>Еще фото</v>
      </c>
      <c r="F3472" s="13"/>
      <c r="G3472" s="23" t="s">
        <v>394</v>
      </c>
      <c r="H3472" s="23" t="s">
        <v>151</v>
      </c>
      <c r="I3472" s="23" t="s">
        <v>424</v>
      </c>
      <c r="J3472" s="14" t="s">
        <v>29</v>
      </c>
      <c r="K3472" s="15" t="s">
        <v>55</v>
      </c>
      <c r="L3472" s="87"/>
      <c r="M3472" s="14"/>
      <c r="N3472" s="14" t="s">
        <v>3773</v>
      </c>
      <c r="O3472" s="14"/>
      <c r="P3472" s="15" t="s">
        <v>3774</v>
      </c>
      <c r="Q3472" s="16">
        <v>17999</v>
      </c>
      <c r="R3472" s="17">
        <v>56.29</v>
      </c>
      <c r="S3472" s="18">
        <v>9047.9354999999996</v>
      </c>
      <c r="T3472" s="19" t="s">
        <v>328</v>
      </c>
      <c r="U3472" s="20" t="s">
        <v>400</v>
      </c>
      <c r="V3472" s="21">
        <v>41</v>
      </c>
      <c r="W3472" s="21">
        <v>3</v>
      </c>
      <c r="X3472" s="22"/>
    </row>
    <row r="3473" spans="1:24" s="1" customFormat="1" ht="17.100000000000001" customHeight="1" x14ac:dyDescent="0.3">
      <c r="A3473" s="23" t="s">
        <v>3183</v>
      </c>
      <c r="B3473" s="23" t="s">
        <v>3770</v>
      </c>
      <c r="C3473" s="12" t="s">
        <v>3771</v>
      </c>
      <c r="D3473" s="84"/>
      <c r="E3473" s="69" t="str">
        <f t="shared" si="159"/>
        <v>Еще фото</v>
      </c>
      <c r="F3473" s="13"/>
      <c r="G3473" s="23" t="s">
        <v>394</v>
      </c>
      <c r="H3473" s="23" t="s">
        <v>151</v>
      </c>
      <c r="I3473" s="23" t="s">
        <v>424</v>
      </c>
      <c r="J3473" s="14" t="s">
        <v>29</v>
      </c>
      <c r="K3473" s="15" t="s">
        <v>55</v>
      </c>
      <c r="L3473" s="87"/>
      <c r="M3473" s="14"/>
      <c r="N3473" s="14" t="s">
        <v>3773</v>
      </c>
      <c r="O3473" s="14"/>
      <c r="P3473" s="15" t="s">
        <v>3774</v>
      </c>
      <c r="Q3473" s="16">
        <v>17999</v>
      </c>
      <c r="R3473" s="17">
        <v>56.29</v>
      </c>
      <c r="S3473" s="18">
        <v>9047.9354999999996</v>
      </c>
      <c r="T3473" s="19" t="s">
        <v>328</v>
      </c>
      <c r="U3473" s="20" t="s">
        <v>457</v>
      </c>
      <c r="V3473" s="21">
        <v>42</v>
      </c>
      <c r="W3473" s="21">
        <v>3</v>
      </c>
      <c r="X3473" s="22"/>
    </row>
    <row r="3474" spans="1:24" s="1" customFormat="1" ht="17.100000000000001" customHeight="1" x14ac:dyDescent="0.3">
      <c r="A3474" s="23" t="s">
        <v>3183</v>
      </c>
      <c r="B3474" s="23" t="s">
        <v>3770</v>
      </c>
      <c r="C3474" s="12" t="s">
        <v>3771</v>
      </c>
      <c r="D3474" s="84"/>
      <c r="E3474" s="69" t="str">
        <f t="shared" si="159"/>
        <v>Еще фото</v>
      </c>
      <c r="F3474" s="13"/>
      <c r="G3474" s="23" t="s">
        <v>394</v>
      </c>
      <c r="H3474" s="23" t="s">
        <v>151</v>
      </c>
      <c r="I3474" s="23" t="s">
        <v>424</v>
      </c>
      <c r="J3474" s="14" t="s">
        <v>29</v>
      </c>
      <c r="K3474" s="15" t="s">
        <v>55</v>
      </c>
      <c r="L3474" s="87"/>
      <c r="M3474" s="14"/>
      <c r="N3474" s="14" t="s">
        <v>3773</v>
      </c>
      <c r="O3474" s="14"/>
      <c r="P3474" s="15" t="s">
        <v>3774</v>
      </c>
      <c r="Q3474" s="16">
        <v>17999</v>
      </c>
      <c r="R3474" s="17">
        <v>56.29</v>
      </c>
      <c r="S3474" s="18">
        <v>9047.9354999999996</v>
      </c>
      <c r="T3474" s="19" t="s">
        <v>328</v>
      </c>
      <c r="U3474" s="20" t="s">
        <v>401</v>
      </c>
      <c r="V3474" s="21">
        <v>43</v>
      </c>
      <c r="W3474" s="21">
        <v>11</v>
      </c>
      <c r="X3474" s="22"/>
    </row>
    <row r="3475" spans="1:24" s="1" customFormat="1" ht="17.100000000000001" customHeight="1" x14ac:dyDescent="0.3">
      <c r="A3475" s="23" t="s">
        <v>3183</v>
      </c>
      <c r="B3475" s="23" t="s">
        <v>3770</v>
      </c>
      <c r="C3475" s="12" t="s">
        <v>3771</v>
      </c>
      <c r="D3475" s="84"/>
      <c r="E3475" s="69" t="str">
        <f t="shared" si="159"/>
        <v>Еще фото</v>
      </c>
      <c r="F3475" s="13"/>
      <c r="G3475" s="23" t="s">
        <v>394</v>
      </c>
      <c r="H3475" s="23" t="s">
        <v>151</v>
      </c>
      <c r="I3475" s="23" t="s">
        <v>424</v>
      </c>
      <c r="J3475" s="14" t="s">
        <v>29</v>
      </c>
      <c r="K3475" s="15" t="s">
        <v>55</v>
      </c>
      <c r="L3475" s="87"/>
      <c r="M3475" s="14"/>
      <c r="N3475" s="14" t="s">
        <v>3773</v>
      </c>
      <c r="O3475" s="14"/>
      <c r="P3475" s="15" t="s">
        <v>3774</v>
      </c>
      <c r="Q3475" s="16">
        <v>17999</v>
      </c>
      <c r="R3475" s="17">
        <v>56.29</v>
      </c>
      <c r="S3475" s="18">
        <v>9047.9354999999996</v>
      </c>
      <c r="T3475" s="19" t="s">
        <v>328</v>
      </c>
      <c r="U3475" s="20" t="s">
        <v>402</v>
      </c>
      <c r="V3475" s="21">
        <v>44</v>
      </c>
      <c r="W3475" s="21">
        <v>9</v>
      </c>
      <c r="X3475" s="22"/>
    </row>
    <row r="3476" spans="1:24" s="1" customFormat="1" ht="21.95" customHeight="1" x14ac:dyDescent="0.3">
      <c r="A3476" s="23" t="s">
        <v>3183</v>
      </c>
      <c r="B3476" s="23" t="s">
        <v>3770</v>
      </c>
      <c r="C3476" s="12" t="s">
        <v>3771</v>
      </c>
      <c r="D3476" s="85"/>
      <c r="E3476" s="69" t="str">
        <f t="shared" si="159"/>
        <v>Еще фото</v>
      </c>
      <c r="F3476" s="13"/>
      <c r="G3476" s="23" t="s">
        <v>394</v>
      </c>
      <c r="H3476" s="23" t="s">
        <v>151</v>
      </c>
      <c r="I3476" s="23" t="s">
        <v>424</v>
      </c>
      <c r="J3476" s="14" t="s">
        <v>29</v>
      </c>
      <c r="K3476" s="15" t="s">
        <v>55</v>
      </c>
      <c r="L3476" s="88"/>
      <c r="M3476" s="14"/>
      <c r="N3476" s="14" t="s">
        <v>3773</v>
      </c>
      <c r="O3476" s="14"/>
      <c r="P3476" s="15" t="s">
        <v>3774</v>
      </c>
      <c r="Q3476" s="16">
        <v>17999</v>
      </c>
      <c r="R3476" s="17">
        <v>56.29</v>
      </c>
      <c r="S3476" s="18">
        <v>9047.9354999999996</v>
      </c>
      <c r="T3476" s="19" t="s">
        <v>328</v>
      </c>
      <c r="U3476" s="20" t="s">
        <v>403</v>
      </c>
      <c r="V3476" s="21">
        <v>45</v>
      </c>
      <c r="W3476" s="21">
        <v>1</v>
      </c>
      <c r="X3476" s="22"/>
    </row>
    <row r="3477" spans="1:24" s="1" customFormat="1" ht="17.100000000000001" customHeight="1" x14ac:dyDescent="0.3">
      <c r="A3477" s="11" t="s">
        <v>3183</v>
      </c>
      <c r="B3477" s="11" t="s">
        <v>3719</v>
      </c>
      <c r="C3477" s="12" t="s">
        <v>3775</v>
      </c>
      <c r="D3477" s="83"/>
      <c r="E3477" s="69" t="str">
        <f t="shared" ref="E3477:E3482" si="160">HYPERLINK("https://www.google.ru/search?q=D45MDA08522C1ZJ8&amp;newwindow=1&amp;tbm=isch","Еще фото")</f>
        <v>Еще фото</v>
      </c>
      <c r="F3477" s="13"/>
      <c r="G3477" s="11" t="s">
        <v>394</v>
      </c>
      <c r="H3477" s="11" t="s">
        <v>151</v>
      </c>
      <c r="I3477" s="14" t="s">
        <v>424</v>
      </c>
      <c r="J3477" s="14" t="s">
        <v>29</v>
      </c>
      <c r="K3477" s="15" t="s">
        <v>47</v>
      </c>
      <c r="L3477" s="86" t="s">
        <v>3776</v>
      </c>
      <c r="M3477" s="14"/>
      <c r="N3477" s="14" t="s">
        <v>3777</v>
      </c>
      <c r="O3477" s="14"/>
      <c r="P3477" s="15" t="s">
        <v>3778</v>
      </c>
      <c r="Q3477" s="16">
        <v>19299</v>
      </c>
      <c r="R3477" s="17">
        <v>56.28</v>
      </c>
      <c r="S3477" s="18">
        <v>9703.4354999999996</v>
      </c>
      <c r="T3477" s="19" t="s">
        <v>328</v>
      </c>
      <c r="U3477" s="20" t="s">
        <v>1503</v>
      </c>
      <c r="V3477" s="21">
        <v>36</v>
      </c>
      <c r="W3477" s="21">
        <v>2</v>
      </c>
      <c r="X3477" s="22"/>
    </row>
    <row r="3478" spans="1:24" s="1" customFormat="1" ht="17.100000000000001" customHeight="1" x14ac:dyDescent="0.3">
      <c r="A3478" s="23" t="s">
        <v>3183</v>
      </c>
      <c r="B3478" s="23" t="s">
        <v>3719</v>
      </c>
      <c r="C3478" s="12" t="s">
        <v>3775</v>
      </c>
      <c r="D3478" s="84"/>
      <c r="E3478" s="69" t="str">
        <f t="shared" si="160"/>
        <v>Еще фото</v>
      </c>
      <c r="F3478" s="13"/>
      <c r="G3478" s="23" t="s">
        <v>394</v>
      </c>
      <c r="H3478" s="23" t="s">
        <v>151</v>
      </c>
      <c r="I3478" s="23" t="s">
        <v>424</v>
      </c>
      <c r="J3478" s="14" t="s">
        <v>29</v>
      </c>
      <c r="K3478" s="15" t="s">
        <v>47</v>
      </c>
      <c r="L3478" s="87"/>
      <c r="M3478" s="14"/>
      <c r="N3478" s="14" t="s">
        <v>3777</v>
      </c>
      <c r="O3478" s="14"/>
      <c r="P3478" s="15" t="s">
        <v>3778</v>
      </c>
      <c r="Q3478" s="16">
        <v>19299</v>
      </c>
      <c r="R3478" s="17">
        <v>56.28</v>
      </c>
      <c r="S3478" s="18">
        <v>9703.4354999999996</v>
      </c>
      <c r="T3478" s="19" t="s">
        <v>328</v>
      </c>
      <c r="U3478" s="20" t="s">
        <v>409</v>
      </c>
      <c r="V3478" s="21">
        <v>37</v>
      </c>
      <c r="W3478" s="21">
        <v>3</v>
      </c>
      <c r="X3478" s="22"/>
    </row>
    <row r="3479" spans="1:24" s="1" customFormat="1" ht="17.100000000000001" customHeight="1" x14ac:dyDescent="0.3">
      <c r="A3479" s="23" t="s">
        <v>3183</v>
      </c>
      <c r="B3479" s="23" t="s">
        <v>3719</v>
      </c>
      <c r="C3479" s="12" t="s">
        <v>3775</v>
      </c>
      <c r="D3479" s="84"/>
      <c r="E3479" s="69" t="str">
        <f t="shared" si="160"/>
        <v>Еще фото</v>
      </c>
      <c r="F3479" s="13"/>
      <c r="G3479" s="23" t="s">
        <v>394</v>
      </c>
      <c r="H3479" s="23" t="s">
        <v>151</v>
      </c>
      <c r="I3479" s="23" t="s">
        <v>424</v>
      </c>
      <c r="J3479" s="14" t="s">
        <v>29</v>
      </c>
      <c r="K3479" s="15" t="s">
        <v>47</v>
      </c>
      <c r="L3479" s="87"/>
      <c r="M3479" s="14"/>
      <c r="N3479" s="14" t="s">
        <v>3777</v>
      </c>
      <c r="O3479" s="14"/>
      <c r="P3479" s="15" t="s">
        <v>3778</v>
      </c>
      <c r="Q3479" s="16">
        <v>19299</v>
      </c>
      <c r="R3479" s="17">
        <v>56.28</v>
      </c>
      <c r="S3479" s="18">
        <v>9703.4354999999996</v>
      </c>
      <c r="T3479" s="19" t="s">
        <v>328</v>
      </c>
      <c r="U3479" s="20" t="s">
        <v>426</v>
      </c>
      <c r="V3479" s="21">
        <v>38</v>
      </c>
      <c r="W3479" s="21">
        <v>4</v>
      </c>
      <c r="X3479" s="22"/>
    </row>
    <row r="3480" spans="1:24" s="1" customFormat="1" ht="17.100000000000001" customHeight="1" x14ac:dyDescent="0.3">
      <c r="A3480" s="23" t="s">
        <v>3183</v>
      </c>
      <c r="B3480" s="23" t="s">
        <v>3719</v>
      </c>
      <c r="C3480" s="12" t="s">
        <v>3775</v>
      </c>
      <c r="D3480" s="84"/>
      <c r="E3480" s="69" t="str">
        <f t="shared" si="160"/>
        <v>Еще фото</v>
      </c>
      <c r="F3480" s="13"/>
      <c r="G3480" s="23" t="s">
        <v>394</v>
      </c>
      <c r="H3480" s="23" t="s">
        <v>151</v>
      </c>
      <c r="I3480" s="23" t="s">
        <v>424</v>
      </c>
      <c r="J3480" s="14" t="s">
        <v>29</v>
      </c>
      <c r="K3480" s="15" t="s">
        <v>47</v>
      </c>
      <c r="L3480" s="87"/>
      <c r="M3480" s="14"/>
      <c r="N3480" s="14" t="s">
        <v>3777</v>
      </c>
      <c r="O3480" s="14"/>
      <c r="P3480" s="15" t="s">
        <v>3778</v>
      </c>
      <c r="Q3480" s="16">
        <v>19299</v>
      </c>
      <c r="R3480" s="17">
        <v>56.28</v>
      </c>
      <c r="S3480" s="18">
        <v>9703.4354999999996</v>
      </c>
      <c r="T3480" s="19" t="s">
        <v>328</v>
      </c>
      <c r="U3480" s="20" t="s">
        <v>413</v>
      </c>
      <c r="V3480" s="21">
        <v>39</v>
      </c>
      <c r="W3480" s="21">
        <v>4</v>
      </c>
      <c r="X3480" s="22"/>
    </row>
    <row r="3481" spans="1:24" s="1" customFormat="1" ht="17.100000000000001" customHeight="1" x14ac:dyDescent="0.3">
      <c r="A3481" s="23" t="s">
        <v>3183</v>
      </c>
      <c r="B3481" s="23" t="s">
        <v>3719</v>
      </c>
      <c r="C3481" s="12" t="s">
        <v>3775</v>
      </c>
      <c r="D3481" s="84"/>
      <c r="E3481" s="69" t="str">
        <f t="shared" si="160"/>
        <v>Еще фото</v>
      </c>
      <c r="F3481" s="13"/>
      <c r="G3481" s="23" t="s">
        <v>394</v>
      </c>
      <c r="H3481" s="23" t="s">
        <v>151</v>
      </c>
      <c r="I3481" s="23" t="s">
        <v>424</v>
      </c>
      <c r="J3481" s="14" t="s">
        <v>29</v>
      </c>
      <c r="K3481" s="15" t="s">
        <v>47</v>
      </c>
      <c r="L3481" s="87"/>
      <c r="M3481" s="14"/>
      <c r="N3481" s="14" t="s">
        <v>3777</v>
      </c>
      <c r="O3481" s="14"/>
      <c r="P3481" s="15" t="s">
        <v>3778</v>
      </c>
      <c r="Q3481" s="16">
        <v>19299</v>
      </c>
      <c r="R3481" s="17">
        <v>56.28</v>
      </c>
      <c r="S3481" s="18">
        <v>9703.4354999999996</v>
      </c>
      <c r="T3481" s="19" t="s">
        <v>328</v>
      </c>
      <c r="U3481" s="20" t="s">
        <v>399</v>
      </c>
      <c r="V3481" s="21">
        <v>40</v>
      </c>
      <c r="W3481" s="21">
        <v>3</v>
      </c>
      <c r="X3481" s="22"/>
    </row>
    <row r="3482" spans="1:24" s="1" customFormat="1" ht="21.95" customHeight="1" x14ac:dyDescent="0.3">
      <c r="A3482" s="23" t="s">
        <v>3183</v>
      </c>
      <c r="B3482" s="23" t="s">
        <v>3719</v>
      </c>
      <c r="C3482" s="12" t="s">
        <v>3775</v>
      </c>
      <c r="D3482" s="85"/>
      <c r="E3482" s="69" t="str">
        <f t="shared" si="160"/>
        <v>Еще фото</v>
      </c>
      <c r="F3482" s="13"/>
      <c r="G3482" s="23" t="s">
        <v>394</v>
      </c>
      <c r="H3482" s="23" t="s">
        <v>151</v>
      </c>
      <c r="I3482" s="23" t="s">
        <v>424</v>
      </c>
      <c r="J3482" s="14" t="s">
        <v>29</v>
      </c>
      <c r="K3482" s="15" t="s">
        <v>47</v>
      </c>
      <c r="L3482" s="88"/>
      <c r="M3482" s="14"/>
      <c r="N3482" s="14" t="s">
        <v>3777</v>
      </c>
      <c r="O3482" s="14"/>
      <c r="P3482" s="15" t="s">
        <v>3778</v>
      </c>
      <c r="Q3482" s="16">
        <v>19299</v>
      </c>
      <c r="R3482" s="17">
        <v>56.28</v>
      </c>
      <c r="S3482" s="18">
        <v>9703.4354999999996</v>
      </c>
      <c r="T3482" s="19" t="s">
        <v>328</v>
      </c>
      <c r="U3482" s="20" t="s">
        <v>400</v>
      </c>
      <c r="V3482" s="21">
        <v>41</v>
      </c>
      <c r="W3482" s="21">
        <v>3</v>
      </c>
      <c r="X3482" s="22"/>
    </row>
    <row r="3483" spans="1:24" s="1" customFormat="1" ht="21" customHeight="1" x14ac:dyDescent="0.3">
      <c r="A3483" s="11" t="s">
        <v>3183</v>
      </c>
      <c r="B3483" s="11" t="s">
        <v>3779</v>
      </c>
      <c r="C3483" s="27" t="s">
        <v>3780</v>
      </c>
      <c r="D3483" s="83"/>
      <c r="E3483" s="69" t="str">
        <f>HYPERLINK("https://www.google.ru/search?q=D36UGB022BCC4K1Z&amp;newwindow=1&amp;tbm=isch","Еще фото")</f>
        <v>Еще фото</v>
      </c>
      <c r="F3483" s="13"/>
      <c r="G3483" s="11" t="s">
        <v>394</v>
      </c>
      <c r="H3483" s="11" t="s">
        <v>151</v>
      </c>
      <c r="I3483" s="14" t="s">
        <v>424</v>
      </c>
      <c r="J3483" s="14" t="s">
        <v>29</v>
      </c>
      <c r="K3483" s="15" t="s">
        <v>47</v>
      </c>
      <c r="L3483" s="86" t="s">
        <v>3781</v>
      </c>
      <c r="M3483" s="14"/>
      <c r="N3483" s="14" t="s">
        <v>3782</v>
      </c>
      <c r="O3483" s="14"/>
      <c r="P3483" s="15" t="s">
        <v>3783</v>
      </c>
      <c r="Q3483" s="16">
        <v>16599</v>
      </c>
      <c r="R3483" s="17">
        <v>56.28</v>
      </c>
      <c r="S3483" s="18">
        <v>8346.4354999999996</v>
      </c>
      <c r="T3483" s="19" t="s">
        <v>328</v>
      </c>
      <c r="U3483" s="20" t="s">
        <v>1503</v>
      </c>
      <c r="V3483" s="21">
        <v>36</v>
      </c>
      <c r="W3483" s="21">
        <v>2</v>
      </c>
      <c r="X3483" s="22"/>
    </row>
    <row r="3484" spans="1:24" s="1" customFormat="1" ht="21" customHeight="1" x14ac:dyDescent="0.3">
      <c r="A3484" s="23" t="s">
        <v>3183</v>
      </c>
      <c r="B3484" s="23" t="s">
        <v>3779</v>
      </c>
      <c r="C3484" s="28" t="s">
        <v>3780</v>
      </c>
      <c r="D3484" s="84"/>
      <c r="E3484" s="69" t="str">
        <f>HYPERLINK("https://www.google.ru/search?q=D36UGB022BCC4K1Z&amp;newwindow=1&amp;tbm=isch","Еще фото")</f>
        <v>Еще фото</v>
      </c>
      <c r="F3484" s="13"/>
      <c r="G3484" s="23" t="s">
        <v>394</v>
      </c>
      <c r="H3484" s="23" t="s">
        <v>151</v>
      </c>
      <c r="I3484" s="23" t="s">
        <v>424</v>
      </c>
      <c r="J3484" s="14" t="s">
        <v>29</v>
      </c>
      <c r="K3484" s="15" t="s">
        <v>47</v>
      </c>
      <c r="L3484" s="87"/>
      <c r="M3484" s="14"/>
      <c r="N3484" s="14" t="s">
        <v>3782</v>
      </c>
      <c r="O3484" s="14"/>
      <c r="P3484" s="15" t="s">
        <v>3783</v>
      </c>
      <c r="Q3484" s="16">
        <v>16599</v>
      </c>
      <c r="R3484" s="17">
        <v>56.28</v>
      </c>
      <c r="S3484" s="18">
        <v>8346.4354999999996</v>
      </c>
      <c r="T3484" s="19" t="s">
        <v>328</v>
      </c>
      <c r="U3484" s="20" t="s">
        <v>409</v>
      </c>
      <c r="V3484" s="21">
        <v>37</v>
      </c>
      <c r="W3484" s="21">
        <v>7</v>
      </c>
      <c r="X3484" s="22"/>
    </row>
    <row r="3485" spans="1:24" s="1" customFormat="1" ht="21" customHeight="1" x14ac:dyDescent="0.3">
      <c r="A3485" s="23" t="s">
        <v>3183</v>
      </c>
      <c r="B3485" s="23" t="s">
        <v>3779</v>
      </c>
      <c r="C3485" s="28" t="s">
        <v>3780</v>
      </c>
      <c r="D3485" s="84"/>
      <c r="E3485" s="69" t="str">
        <f>HYPERLINK("https://www.google.ru/search?q=D36UGB022BCC4K1Z&amp;newwindow=1&amp;tbm=isch","Еще фото")</f>
        <v>Еще фото</v>
      </c>
      <c r="F3485" s="13"/>
      <c r="G3485" s="23" t="s">
        <v>394</v>
      </c>
      <c r="H3485" s="23" t="s">
        <v>151</v>
      </c>
      <c r="I3485" s="23" t="s">
        <v>424</v>
      </c>
      <c r="J3485" s="14" t="s">
        <v>29</v>
      </c>
      <c r="K3485" s="15" t="s">
        <v>47</v>
      </c>
      <c r="L3485" s="87"/>
      <c r="M3485" s="14"/>
      <c r="N3485" s="14" t="s">
        <v>3782</v>
      </c>
      <c r="O3485" s="14"/>
      <c r="P3485" s="15" t="s">
        <v>3783</v>
      </c>
      <c r="Q3485" s="16">
        <v>16599</v>
      </c>
      <c r="R3485" s="17">
        <v>56.28</v>
      </c>
      <c r="S3485" s="18">
        <v>8346.4354999999996</v>
      </c>
      <c r="T3485" s="19" t="s">
        <v>328</v>
      </c>
      <c r="U3485" s="20" t="s">
        <v>426</v>
      </c>
      <c r="V3485" s="21">
        <v>38</v>
      </c>
      <c r="W3485" s="21">
        <v>4</v>
      </c>
      <c r="X3485" s="22"/>
    </row>
    <row r="3486" spans="1:24" s="1" customFormat="1" ht="21" customHeight="1" x14ac:dyDescent="0.3">
      <c r="A3486" s="23" t="s">
        <v>3183</v>
      </c>
      <c r="B3486" s="23" t="s">
        <v>3779</v>
      </c>
      <c r="C3486" s="28" t="s">
        <v>3780</v>
      </c>
      <c r="D3486" s="84"/>
      <c r="E3486" s="69" t="str">
        <f>HYPERLINK("https://www.google.ru/search?q=D36UGB022BCC4K1Z&amp;newwindow=1&amp;tbm=isch","Еще фото")</f>
        <v>Еще фото</v>
      </c>
      <c r="F3486" s="13"/>
      <c r="G3486" s="23" t="s">
        <v>394</v>
      </c>
      <c r="H3486" s="23" t="s">
        <v>151</v>
      </c>
      <c r="I3486" s="23" t="s">
        <v>424</v>
      </c>
      <c r="J3486" s="14" t="s">
        <v>29</v>
      </c>
      <c r="K3486" s="15" t="s">
        <v>47</v>
      </c>
      <c r="L3486" s="87"/>
      <c r="M3486" s="14"/>
      <c r="N3486" s="14" t="s">
        <v>3782</v>
      </c>
      <c r="O3486" s="14"/>
      <c r="P3486" s="15" t="s">
        <v>3783</v>
      </c>
      <c r="Q3486" s="16">
        <v>16599</v>
      </c>
      <c r="R3486" s="17">
        <v>56.28</v>
      </c>
      <c r="S3486" s="18">
        <v>8346.4354999999996</v>
      </c>
      <c r="T3486" s="19" t="s">
        <v>328</v>
      </c>
      <c r="U3486" s="20" t="s">
        <v>413</v>
      </c>
      <c r="V3486" s="21">
        <v>39</v>
      </c>
      <c r="W3486" s="21">
        <v>6</v>
      </c>
      <c r="X3486" s="22"/>
    </row>
    <row r="3487" spans="1:24" s="1" customFormat="1" ht="32.1" customHeight="1" x14ac:dyDescent="0.3">
      <c r="A3487" s="23" t="s">
        <v>3183</v>
      </c>
      <c r="B3487" s="23" t="s">
        <v>3779</v>
      </c>
      <c r="C3487" s="28" t="s">
        <v>3780</v>
      </c>
      <c r="D3487" s="85"/>
      <c r="E3487" s="69" t="str">
        <f>HYPERLINK("https://www.google.ru/search?q=D36UGB022BCC4K1Z&amp;newwindow=1&amp;tbm=isch","Еще фото")</f>
        <v>Еще фото</v>
      </c>
      <c r="F3487" s="13"/>
      <c r="G3487" s="23" t="s">
        <v>394</v>
      </c>
      <c r="H3487" s="23" t="s">
        <v>151</v>
      </c>
      <c r="I3487" s="23" t="s">
        <v>424</v>
      </c>
      <c r="J3487" s="14" t="s">
        <v>29</v>
      </c>
      <c r="K3487" s="15" t="s">
        <v>47</v>
      </c>
      <c r="L3487" s="88"/>
      <c r="M3487" s="14"/>
      <c r="N3487" s="14" t="s">
        <v>3782</v>
      </c>
      <c r="O3487" s="14"/>
      <c r="P3487" s="15" t="s">
        <v>3783</v>
      </c>
      <c r="Q3487" s="16">
        <v>16599</v>
      </c>
      <c r="R3487" s="17">
        <v>56.28</v>
      </c>
      <c r="S3487" s="18">
        <v>8346.4354999999996</v>
      </c>
      <c r="T3487" s="19" t="s">
        <v>328</v>
      </c>
      <c r="U3487" s="20" t="s">
        <v>399</v>
      </c>
      <c r="V3487" s="21">
        <v>40</v>
      </c>
      <c r="W3487" s="21">
        <v>3</v>
      </c>
      <c r="X3487" s="22"/>
    </row>
    <row r="3488" spans="1:24" s="1" customFormat="1" ht="17.100000000000001" customHeight="1" x14ac:dyDescent="0.3">
      <c r="A3488" s="11" t="s">
        <v>3183</v>
      </c>
      <c r="B3488" s="11" t="s">
        <v>3784</v>
      </c>
      <c r="C3488" s="12" t="s">
        <v>3785</v>
      </c>
      <c r="D3488" s="83"/>
      <c r="E3488" s="69" t="str">
        <f t="shared" ref="E3488:E3493" si="161">HYPERLINK("https://www.google.ru/search?q=D550UE022BCC0004&amp;newwindow=1&amp;tbm=isch","Еще фото")</f>
        <v>Еще фото</v>
      </c>
      <c r="F3488" s="13"/>
      <c r="G3488" s="11" t="s">
        <v>394</v>
      </c>
      <c r="H3488" s="11" t="s">
        <v>151</v>
      </c>
      <c r="I3488" s="14" t="s">
        <v>424</v>
      </c>
      <c r="J3488" s="14" t="s">
        <v>29</v>
      </c>
      <c r="K3488" s="15" t="s">
        <v>47</v>
      </c>
      <c r="L3488" s="86" t="s">
        <v>3786</v>
      </c>
      <c r="M3488" s="14"/>
      <c r="N3488" s="14" t="s">
        <v>3787</v>
      </c>
      <c r="O3488" s="14"/>
      <c r="P3488" s="15" t="s">
        <v>3788</v>
      </c>
      <c r="Q3488" s="16">
        <v>16599</v>
      </c>
      <c r="R3488" s="17">
        <v>56.28</v>
      </c>
      <c r="S3488" s="18">
        <v>8346.4354999999996</v>
      </c>
      <c r="T3488" s="19" t="s">
        <v>328</v>
      </c>
      <c r="U3488" s="20" t="s">
        <v>1503</v>
      </c>
      <c r="V3488" s="21">
        <v>36</v>
      </c>
      <c r="W3488" s="21">
        <v>2</v>
      </c>
      <c r="X3488" s="22"/>
    </row>
    <row r="3489" spans="1:24" s="1" customFormat="1" ht="17.100000000000001" customHeight="1" x14ac:dyDescent="0.3">
      <c r="A3489" s="23" t="s">
        <v>3183</v>
      </c>
      <c r="B3489" s="23" t="s">
        <v>3784</v>
      </c>
      <c r="C3489" s="12" t="s">
        <v>3785</v>
      </c>
      <c r="D3489" s="84"/>
      <c r="E3489" s="69" t="str">
        <f t="shared" si="161"/>
        <v>Еще фото</v>
      </c>
      <c r="F3489" s="13"/>
      <c r="G3489" s="23" t="s">
        <v>394</v>
      </c>
      <c r="H3489" s="23" t="s">
        <v>151</v>
      </c>
      <c r="I3489" s="23" t="s">
        <v>424</v>
      </c>
      <c r="J3489" s="14" t="s">
        <v>29</v>
      </c>
      <c r="K3489" s="15" t="s">
        <v>47</v>
      </c>
      <c r="L3489" s="87"/>
      <c r="M3489" s="14"/>
      <c r="N3489" s="14" t="s">
        <v>3787</v>
      </c>
      <c r="O3489" s="14"/>
      <c r="P3489" s="15" t="s">
        <v>3788</v>
      </c>
      <c r="Q3489" s="16">
        <v>16599</v>
      </c>
      <c r="R3489" s="17">
        <v>56.28</v>
      </c>
      <c r="S3489" s="18">
        <v>8346.4354999999996</v>
      </c>
      <c r="T3489" s="19" t="s">
        <v>328</v>
      </c>
      <c r="U3489" s="20" t="s">
        <v>409</v>
      </c>
      <c r="V3489" s="21">
        <v>37</v>
      </c>
      <c r="W3489" s="21">
        <v>6</v>
      </c>
      <c r="X3489" s="22"/>
    </row>
    <row r="3490" spans="1:24" s="1" customFormat="1" ht="17.100000000000001" customHeight="1" x14ac:dyDescent="0.3">
      <c r="A3490" s="23" t="s">
        <v>3183</v>
      </c>
      <c r="B3490" s="23" t="s">
        <v>3784</v>
      </c>
      <c r="C3490" s="12" t="s">
        <v>3785</v>
      </c>
      <c r="D3490" s="84"/>
      <c r="E3490" s="69" t="str">
        <f t="shared" si="161"/>
        <v>Еще фото</v>
      </c>
      <c r="F3490" s="13"/>
      <c r="G3490" s="23" t="s">
        <v>394</v>
      </c>
      <c r="H3490" s="23" t="s">
        <v>151</v>
      </c>
      <c r="I3490" s="23" t="s">
        <v>424</v>
      </c>
      <c r="J3490" s="14" t="s">
        <v>29</v>
      </c>
      <c r="K3490" s="15" t="s">
        <v>47</v>
      </c>
      <c r="L3490" s="87"/>
      <c r="M3490" s="14"/>
      <c r="N3490" s="14" t="s">
        <v>3787</v>
      </c>
      <c r="O3490" s="14"/>
      <c r="P3490" s="15" t="s">
        <v>3788</v>
      </c>
      <c r="Q3490" s="16">
        <v>16599</v>
      </c>
      <c r="R3490" s="17">
        <v>56.28</v>
      </c>
      <c r="S3490" s="18">
        <v>8346.4354999999996</v>
      </c>
      <c r="T3490" s="19" t="s">
        <v>328</v>
      </c>
      <c r="U3490" s="20" t="s">
        <v>426</v>
      </c>
      <c r="V3490" s="21">
        <v>38</v>
      </c>
      <c r="W3490" s="21">
        <v>5</v>
      </c>
      <c r="X3490" s="22"/>
    </row>
    <row r="3491" spans="1:24" s="1" customFormat="1" ht="17.100000000000001" customHeight="1" x14ac:dyDescent="0.3">
      <c r="A3491" s="23" t="s">
        <v>3183</v>
      </c>
      <c r="B3491" s="23" t="s">
        <v>3784</v>
      </c>
      <c r="C3491" s="12" t="s">
        <v>3785</v>
      </c>
      <c r="D3491" s="84"/>
      <c r="E3491" s="69" t="str">
        <f t="shared" si="161"/>
        <v>Еще фото</v>
      </c>
      <c r="F3491" s="13"/>
      <c r="G3491" s="23" t="s">
        <v>394</v>
      </c>
      <c r="H3491" s="23" t="s">
        <v>151</v>
      </c>
      <c r="I3491" s="23" t="s">
        <v>424</v>
      </c>
      <c r="J3491" s="14" t="s">
        <v>29</v>
      </c>
      <c r="K3491" s="15" t="s">
        <v>47</v>
      </c>
      <c r="L3491" s="87"/>
      <c r="M3491" s="14"/>
      <c r="N3491" s="14" t="s">
        <v>3787</v>
      </c>
      <c r="O3491" s="14"/>
      <c r="P3491" s="15" t="s">
        <v>3788</v>
      </c>
      <c r="Q3491" s="16">
        <v>16599</v>
      </c>
      <c r="R3491" s="17">
        <v>56.28</v>
      </c>
      <c r="S3491" s="18">
        <v>8346.4354999999996</v>
      </c>
      <c r="T3491" s="19" t="s">
        <v>328</v>
      </c>
      <c r="U3491" s="20" t="s">
        <v>413</v>
      </c>
      <c r="V3491" s="21">
        <v>39</v>
      </c>
      <c r="W3491" s="21">
        <v>2</v>
      </c>
      <c r="X3491" s="22"/>
    </row>
    <row r="3492" spans="1:24" s="1" customFormat="1" ht="17.100000000000001" customHeight="1" x14ac:dyDescent="0.3">
      <c r="A3492" s="23" t="s">
        <v>3183</v>
      </c>
      <c r="B3492" s="23" t="s">
        <v>3784</v>
      </c>
      <c r="C3492" s="12" t="s">
        <v>3785</v>
      </c>
      <c r="D3492" s="84"/>
      <c r="E3492" s="69" t="str">
        <f t="shared" si="161"/>
        <v>Еще фото</v>
      </c>
      <c r="F3492" s="13"/>
      <c r="G3492" s="23" t="s">
        <v>394</v>
      </c>
      <c r="H3492" s="23" t="s">
        <v>151</v>
      </c>
      <c r="I3492" s="23" t="s">
        <v>424</v>
      </c>
      <c r="J3492" s="14" t="s">
        <v>29</v>
      </c>
      <c r="K3492" s="15" t="s">
        <v>47</v>
      </c>
      <c r="L3492" s="87"/>
      <c r="M3492" s="14"/>
      <c r="N3492" s="14" t="s">
        <v>3787</v>
      </c>
      <c r="O3492" s="14"/>
      <c r="P3492" s="15" t="s">
        <v>3788</v>
      </c>
      <c r="Q3492" s="16">
        <v>16599</v>
      </c>
      <c r="R3492" s="17">
        <v>56.28</v>
      </c>
      <c r="S3492" s="18">
        <v>8346.4354999999996</v>
      </c>
      <c r="T3492" s="19" t="s">
        <v>328</v>
      </c>
      <c r="U3492" s="20" t="s">
        <v>399</v>
      </c>
      <c r="V3492" s="21">
        <v>40</v>
      </c>
      <c r="W3492" s="21">
        <v>2</v>
      </c>
      <c r="X3492" s="22"/>
    </row>
    <row r="3493" spans="1:24" s="1" customFormat="1" ht="21.95" customHeight="1" x14ac:dyDescent="0.3">
      <c r="A3493" s="23" t="s">
        <v>3183</v>
      </c>
      <c r="B3493" s="23" t="s">
        <v>3784</v>
      </c>
      <c r="C3493" s="12" t="s">
        <v>3785</v>
      </c>
      <c r="D3493" s="85"/>
      <c r="E3493" s="69" t="str">
        <f t="shared" si="161"/>
        <v>Еще фото</v>
      </c>
      <c r="F3493" s="13"/>
      <c r="G3493" s="23" t="s">
        <v>394</v>
      </c>
      <c r="H3493" s="23" t="s">
        <v>151</v>
      </c>
      <c r="I3493" s="23" t="s">
        <v>424</v>
      </c>
      <c r="J3493" s="14" t="s">
        <v>29</v>
      </c>
      <c r="K3493" s="15" t="s">
        <v>47</v>
      </c>
      <c r="L3493" s="88"/>
      <c r="M3493" s="14"/>
      <c r="N3493" s="14" t="s">
        <v>3787</v>
      </c>
      <c r="O3493" s="14"/>
      <c r="P3493" s="15" t="s">
        <v>3788</v>
      </c>
      <c r="Q3493" s="16">
        <v>16599</v>
      </c>
      <c r="R3493" s="17">
        <v>56.28</v>
      </c>
      <c r="S3493" s="18">
        <v>8346.4354999999996</v>
      </c>
      <c r="T3493" s="19" t="s">
        <v>328</v>
      </c>
      <c r="U3493" s="20" t="s">
        <v>400</v>
      </c>
      <c r="V3493" s="21">
        <v>41</v>
      </c>
      <c r="W3493" s="21">
        <v>1</v>
      </c>
      <c r="X3493" s="22"/>
    </row>
    <row r="3494" spans="1:24" s="1" customFormat="1" ht="26.1" customHeight="1" x14ac:dyDescent="0.3">
      <c r="A3494" s="11" t="s">
        <v>3183</v>
      </c>
      <c r="B3494" s="11" t="s">
        <v>3789</v>
      </c>
      <c r="C3494" s="12" t="s">
        <v>3790</v>
      </c>
      <c r="D3494" s="83"/>
      <c r="E3494" s="69" t="str">
        <f>HYPERLINK("https://www.google.ru/search?q=D46WTD05422C8191&amp;newwindow=1&amp;tbm=isch","Еще фото")</f>
        <v>Еще фото</v>
      </c>
      <c r="F3494" s="13"/>
      <c r="G3494" s="11" t="s">
        <v>394</v>
      </c>
      <c r="H3494" s="11" t="s">
        <v>151</v>
      </c>
      <c r="I3494" s="14" t="s">
        <v>424</v>
      </c>
      <c r="J3494" s="14" t="s">
        <v>29</v>
      </c>
      <c r="K3494" s="15" t="s">
        <v>47</v>
      </c>
      <c r="L3494" s="86" t="s">
        <v>3791</v>
      </c>
      <c r="M3494" s="14"/>
      <c r="N3494" s="14" t="s">
        <v>326</v>
      </c>
      <c r="O3494" s="14"/>
      <c r="P3494" s="15" t="s">
        <v>3792</v>
      </c>
      <c r="Q3494" s="16">
        <v>20799</v>
      </c>
      <c r="R3494" s="17">
        <v>56.26</v>
      </c>
      <c r="S3494" s="18">
        <v>10462.4355</v>
      </c>
      <c r="T3494" s="19" t="s">
        <v>328</v>
      </c>
      <c r="U3494" s="20" t="s">
        <v>1503</v>
      </c>
      <c r="V3494" s="21">
        <v>36</v>
      </c>
      <c r="W3494" s="21">
        <v>4</v>
      </c>
      <c r="X3494" s="22"/>
    </row>
    <row r="3495" spans="1:24" s="1" customFormat="1" ht="26.1" customHeight="1" x14ac:dyDescent="0.3">
      <c r="A3495" s="23" t="s">
        <v>3183</v>
      </c>
      <c r="B3495" s="23" t="s">
        <v>3789</v>
      </c>
      <c r="C3495" s="12" t="s">
        <v>3790</v>
      </c>
      <c r="D3495" s="84"/>
      <c r="E3495" s="69" t="str">
        <f>HYPERLINK("https://www.google.ru/search?q=D46WTD05422C8191&amp;newwindow=1&amp;tbm=isch","Еще фото")</f>
        <v>Еще фото</v>
      </c>
      <c r="F3495" s="13"/>
      <c r="G3495" s="23" t="s">
        <v>394</v>
      </c>
      <c r="H3495" s="23" t="s">
        <v>151</v>
      </c>
      <c r="I3495" s="23" t="s">
        <v>424</v>
      </c>
      <c r="J3495" s="14" t="s">
        <v>29</v>
      </c>
      <c r="K3495" s="15" t="s">
        <v>47</v>
      </c>
      <c r="L3495" s="87"/>
      <c r="M3495" s="14"/>
      <c r="N3495" s="14" t="s">
        <v>326</v>
      </c>
      <c r="O3495" s="14"/>
      <c r="P3495" s="15" t="s">
        <v>3792</v>
      </c>
      <c r="Q3495" s="16">
        <v>20799</v>
      </c>
      <c r="R3495" s="17">
        <v>56.26</v>
      </c>
      <c r="S3495" s="18">
        <v>10462.4355</v>
      </c>
      <c r="T3495" s="19" t="s">
        <v>328</v>
      </c>
      <c r="U3495" s="20" t="s">
        <v>409</v>
      </c>
      <c r="V3495" s="21">
        <v>37</v>
      </c>
      <c r="W3495" s="21">
        <v>5</v>
      </c>
      <c r="X3495" s="22"/>
    </row>
    <row r="3496" spans="1:24" s="1" customFormat="1" ht="26.1" customHeight="1" x14ac:dyDescent="0.3">
      <c r="A3496" s="23" t="s">
        <v>3183</v>
      </c>
      <c r="B3496" s="23" t="s">
        <v>3789</v>
      </c>
      <c r="C3496" s="12" t="s">
        <v>3790</v>
      </c>
      <c r="D3496" s="84"/>
      <c r="E3496" s="69" t="str">
        <f>HYPERLINK("https://www.google.ru/search?q=D46WTD05422C8191&amp;newwindow=1&amp;tbm=isch","Еще фото")</f>
        <v>Еще фото</v>
      </c>
      <c r="F3496" s="13"/>
      <c r="G3496" s="23" t="s">
        <v>394</v>
      </c>
      <c r="H3496" s="23" t="s">
        <v>151</v>
      </c>
      <c r="I3496" s="23" t="s">
        <v>424</v>
      </c>
      <c r="J3496" s="14" t="s">
        <v>29</v>
      </c>
      <c r="K3496" s="15" t="s">
        <v>47</v>
      </c>
      <c r="L3496" s="87"/>
      <c r="M3496" s="14"/>
      <c r="N3496" s="14" t="s">
        <v>326</v>
      </c>
      <c r="O3496" s="14"/>
      <c r="P3496" s="15" t="s">
        <v>3792</v>
      </c>
      <c r="Q3496" s="16">
        <v>20799</v>
      </c>
      <c r="R3496" s="17">
        <v>56.26</v>
      </c>
      <c r="S3496" s="18">
        <v>10462.4355</v>
      </c>
      <c r="T3496" s="19" t="s">
        <v>328</v>
      </c>
      <c r="U3496" s="20" t="s">
        <v>426</v>
      </c>
      <c r="V3496" s="21">
        <v>38</v>
      </c>
      <c r="W3496" s="21">
        <v>1</v>
      </c>
      <c r="X3496" s="22"/>
    </row>
    <row r="3497" spans="1:24" s="1" customFormat="1" ht="26.1" customHeight="1" x14ac:dyDescent="0.3">
      <c r="A3497" s="23" t="s">
        <v>3183</v>
      </c>
      <c r="B3497" s="23" t="s">
        <v>3789</v>
      </c>
      <c r="C3497" s="12" t="s">
        <v>3790</v>
      </c>
      <c r="D3497" s="85"/>
      <c r="E3497" s="69" t="str">
        <f>HYPERLINK("https://www.google.ru/search?q=D46WTD05422C8191&amp;newwindow=1&amp;tbm=isch","Еще фото")</f>
        <v>Еще фото</v>
      </c>
      <c r="F3497" s="13"/>
      <c r="G3497" s="23" t="s">
        <v>394</v>
      </c>
      <c r="H3497" s="23" t="s">
        <v>151</v>
      </c>
      <c r="I3497" s="23" t="s">
        <v>424</v>
      </c>
      <c r="J3497" s="14" t="s">
        <v>29</v>
      </c>
      <c r="K3497" s="15" t="s">
        <v>47</v>
      </c>
      <c r="L3497" s="88"/>
      <c r="M3497" s="14"/>
      <c r="N3497" s="14" t="s">
        <v>326</v>
      </c>
      <c r="O3497" s="14"/>
      <c r="P3497" s="15" t="s">
        <v>3792</v>
      </c>
      <c r="Q3497" s="16">
        <v>20799</v>
      </c>
      <c r="R3497" s="17">
        <v>56.26</v>
      </c>
      <c r="S3497" s="18">
        <v>10462.4355</v>
      </c>
      <c r="T3497" s="19" t="s">
        <v>328</v>
      </c>
      <c r="U3497" s="20" t="s">
        <v>399</v>
      </c>
      <c r="V3497" s="21">
        <v>40</v>
      </c>
      <c r="W3497" s="21">
        <v>4</v>
      </c>
      <c r="X3497" s="22"/>
    </row>
    <row r="3498" spans="1:24" s="1" customFormat="1" ht="51.95" customHeight="1" x14ac:dyDescent="0.3">
      <c r="A3498" s="11" t="s">
        <v>3183</v>
      </c>
      <c r="B3498" s="11" t="s">
        <v>3793</v>
      </c>
      <c r="C3498" s="12" t="s">
        <v>3794</v>
      </c>
      <c r="D3498" s="89"/>
      <c r="E3498" s="69" t="str">
        <f>HYPERLINK("https://www.google.ru/search?q=D55TCA08522C1Z8Z&amp;newwindow=1&amp;tbm=isch","Еще фото")</f>
        <v>Еще фото</v>
      </c>
      <c r="F3498" s="13"/>
      <c r="G3498" s="11" t="s">
        <v>394</v>
      </c>
      <c r="H3498" s="11" t="s">
        <v>151</v>
      </c>
      <c r="I3498" s="14" t="s">
        <v>424</v>
      </c>
      <c r="J3498" s="14" t="s">
        <v>29</v>
      </c>
      <c r="K3498" s="15" t="s">
        <v>47</v>
      </c>
      <c r="L3498" s="86" t="s">
        <v>3795</v>
      </c>
      <c r="M3498" s="14"/>
      <c r="N3498" s="14" t="s">
        <v>89</v>
      </c>
      <c r="O3498" s="14"/>
      <c r="P3498" s="15" t="s">
        <v>3796</v>
      </c>
      <c r="Q3498" s="16">
        <v>20799</v>
      </c>
      <c r="R3498" s="17">
        <v>56.26</v>
      </c>
      <c r="S3498" s="18">
        <v>10462.4355</v>
      </c>
      <c r="T3498" s="19" t="s">
        <v>328</v>
      </c>
      <c r="U3498" s="20" t="s">
        <v>413</v>
      </c>
      <c r="V3498" s="21">
        <v>39</v>
      </c>
      <c r="W3498" s="21">
        <v>7</v>
      </c>
      <c r="X3498" s="22"/>
    </row>
    <row r="3499" spans="1:24" s="1" customFormat="1" ht="60.95" customHeight="1" x14ac:dyDescent="0.3">
      <c r="A3499" s="23" t="s">
        <v>3183</v>
      </c>
      <c r="B3499" s="23" t="s">
        <v>3793</v>
      </c>
      <c r="C3499" s="12" t="s">
        <v>3794</v>
      </c>
      <c r="D3499" s="90"/>
      <c r="E3499" s="69" t="str">
        <f>HYPERLINK("https://www.google.ru/search?q=D55TCA08522C1Z8Z&amp;newwindow=1&amp;tbm=isch","Еще фото")</f>
        <v>Еще фото</v>
      </c>
      <c r="F3499" s="13"/>
      <c r="G3499" s="23" t="s">
        <v>394</v>
      </c>
      <c r="H3499" s="23" t="s">
        <v>151</v>
      </c>
      <c r="I3499" s="23" t="s">
        <v>424</v>
      </c>
      <c r="J3499" s="14" t="s">
        <v>29</v>
      </c>
      <c r="K3499" s="15" t="s">
        <v>47</v>
      </c>
      <c r="L3499" s="88"/>
      <c r="M3499" s="14"/>
      <c r="N3499" s="14" t="s">
        <v>89</v>
      </c>
      <c r="O3499" s="14"/>
      <c r="P3499" s="15" t="s">
        <v>3796</v>
      </c>
      <c r="Q3499" s="16">
        <v>20799</v>
      </c>
      <c r="R3499" s="17">
        <v>56.26</v>
      </c>
      <c r="S3499" s="18">
        <v>10462.4355</v>
      </c>
      <c r="T3499" s="19" t="s">
        <v>328</v>
      </c>
      <c r="U3499" s="20" t="s">
        <v>399</v>
      </c>
      <c r="V3499" s="21">
        <v>40</v>
      </c>
      <c r="W3499" s="21">
        <v>6</v>
      </c>
      <c r="X3499" s="22"/>
    </row>
    <row r="3500" spans="1:24" s="1" customFormat="1" ht="35.1" customHeight="1" x14ac:dyDescent="0.3">
      <c r="A3500" s="11" t="s">
        <v>3541</v>
      </c>
      <c r="B3500" s="11" t="s">
        <v>3797</v>
      </c>
      <c r="C3500" s="12" t="s">
        <v>3798</v>
      </c>
      <c r="D3500" s="83"/>
      <c r="E3500" s="69" t="str">
        <f>HYPERLINK("https://www.google.ru/search?q=DR101177703C0657&amp;newwindow=1&amp;tbm=isch","Еще фото")</f>
        <v>Еще фото</v>
      </c>
      <c r="F3500" s="13"/>
      <c r="G3500" s="11" t="s">
        <v>394</v>
      </c>
      <c r="H3500" s="11" t="s">
        <v>151</v>
      </c>
      <c r="I3500" s="14" t="s">
        <v>424</v>
      </c>
      <c r="J3500" s="14" t="s">
        <v>29</v>
      </c>
      <c r="K3500" s="15" t="s">
        <v>114</v>
      </c>
      <c r="L3500" s="86" t="s">
        <v>3799</v>
      </c>
      <c r="M3500" s="14"/>
      <c r="N3500" s="14" t="s">
        <v>89</v>
      </c>
      <c r="O3500" s="14"/>
      <c r="P3500" s="15" t="s">
        <v>3800</v>
      </c>
      <c r="Q3500" s="16">
        <v>8990</v>
      </c>
      <c r="R3500" s="17">
        <v>56.09</v>
      </c>
      <c r="S3500" s="18">
        <v>4539.9354999999996</v>
      </c>
      <c r="T3500" s="19" t="s">
        <v>328</v>
      </c>
      <c r="U3500" s="20" t="s">
        <v>426</v>
      </c>
      <c r="V3500" s="21">
        <v>37</v>
      </c>
      <c r="W3500" s="21">
        <v>1</v>
      </c>
      <c r="X3500" s="22"/>
    </row>
    <row r="3501" spans="1:24" s="1" customFormat="1" ht="35.1" customHeight="1" x14ac:dyDescent="0.3">
      <c r="A3501" s="23" t="s">
        <v>3541</v>
      </c>
      <c r="B3501" s="23" t="s">
        <v>3797</v>
      </c>
      <c r="C3501" s="12" t="s">
        <v>3798</v>
      </c>
      <c r="D3501" s="84"/>
      <c r="E3501" s="69" t="str">
        <f>HYPERLINK("https://www.google.ru/search?q=DR101177703C0657&amp;newwindow=1&amp;tbm=isch","Еще фото")</f>
        <v>Еще фото</v>
      </c>
      <c r="F3501" s="13"/>
      <c r="G3501" s="23" t="s">
        <v>394</v>
      </c>
      <c r="H3501" s="23" t="s">
        <v>151</v>
      </c>
      <c r="I3501" s="23" t="s">
        <v>424</v>
      </c>
      <c r="J3501" s="14" t="s">
        <v>29</v>
      </c>
      <c r="K3501" s="15" t="s">
        <v>114</v>
      </c>
      <c r="L3501" s="87"/>
      <c r="M3501" s="14"/>
      <c r="N3501" s="14" t="s">
        <v>89</v>
      </c>
      <c r="O3501" s="14"/>
      <c r="P3501" s="15" t="s">
        <v>3800</v>
      </c>
      <c r="Q3501" s="16">
        <v>8990</v>
      </c>
      <c r="R3501" s="17">
        <v>56.09</v>
      </c>
      <c r="S3501" s="18">
        <v>4539.9354999999996</v>
      </c>
      <c r="T3501" s="19" t="s">
        <v>328</v>
      </c>
      <c r="U3501" s="20" t="s">
        <v>413</v>
      </c>
      <c r="V3501" s="21">
        <v>38</v>
      </c>
      <c r="W3501" s="21">
        <v>2</v>
      </c>
      <c r="X3501" s="22"/>
    </row>
    <row r="3502" spans="1:24" s="1" customFormat="1" ht="36.950000000000003" customHeight="1" x14ac:dyDescent="0.3">
      <c r="A3502" s="23" t="s">
        <v>3541</v>
      </c>
      <c r="B3502" s="23" t="s">
        <v>3797</v>
      </c>
      <c r="C3502" s="12" t="s">
        <v>3798</v>
      </c>
      <c r="D3502" s="85"/>
      <c r="E3502" s="69" t="str">
        <f>HYPERLINK("https://www.google.ru/search?q=DR101177703C0657&amp;newwindow=1&amp;tbm=isch","Еще фото")</f>
        <v>Еще фото</v>
      </c>
      <c r="F3502" s="13"/>
      <c r="G3502" s="23" t="s">
        <v>394</v>
      </c>
      <c r="H3502" s="23" t="s">
        <v>151</v>
      </c>
      <c r="I3502" s="23" t="s">
        <v>424</v>
      </c>
      <c r="J3502" s="14" t="s">
        <v>29</v>
      </c>
      <c r="K3502" s="15" t="s">
        <v>114</v>
      </c>
      <c r="L3502" s="88"/>
      <c r="M3502" s="14"/>
      <c r="N3502" s="14" t="s">
        <v>89</v>
      </c>
      <c r="O3502" s="14"/>
      <c r="P3502" s="15" t="s">
        <v>3800</v>
      </c>
      <c r="Q3502" s="16">
        <v>8990</v>
      </c>
      <c r="R3502" s="17">
        <v>56.09</v>
      </c>
      <c r="S3502" s="18">
        <v>4539.9354999999996</v>
      </c>
      <c r="T3502" s="19" t="s">
        <v>328</v>
      </c>
      <c r="U3502" s="20" t="s">
        <v>399</v>
      </c>
      <c r="V3502" s="21">
        <v>39</v>
      </c>
      <c r="W3502" s="21">
        <v>1</v>
      </c>
      <c r="X3502" s="22"/>
    </row>
    <row r="3503" spans="1:24" s="1" customFormat="1" ht="108" customHeight="1" x14ac:dyDescent="0.3">
      <c r="A3503" s="11" t="s">
        <v>3541</v>
      </c>
      <c r="B3503" s="11" t="s">
        <v>3801</v>
      </c>
      <c r="C3503" s="12" t="s">
        <v>3802</v>
      </c>
      <c r="D3503" s="24"/>
      <c r="E3503" s="69" t="str">
        <f>HYPERLINK("https://www.google.ru/search?q=DR101178324D0314&amp;newwindow=1&amp;tbm=isch","Еще фото")</f>
        <v>Еще фото</v>
      </c>
      <c r="F3503" s="13"/>
      <c r="G3503" s="11" t="s">
        <v>394</v>
      </c>
      <c r="H3503" s="11" t="s">
        <v>151</v>
      </c>
      <c r="I3503" s="14" t="s">
        <v>424</v>
      </c>
      <c r="J3503" s="14" t="s">
        <v>29</v>
      </c>
      <c r="K3503" s="15" t="s">
        <v>55</v>
      </c>
      <c r="L3503" s="14" t="s">
        <v>3803</v>
      </c>
      <c r="M3503" s="14"/>
      <c r="N3503" s="14" t="s">
        <v>89</v>
      </c>
      <c r="O3503" s="14"/>
      <c r="P3503" s="15" t="s">
        <v>3804</v>
      </c>
      <c r="Q3503" s="16">
        <v>10790</v>
      </c>
      <c r="R3503" s="17">
        <v>55.91</v>
      </c>
      <c r="S3503" s="18">
        <v>5471.4355000000005</v>
      </c>
      <c r="T3503" s="19" t="s">
        <v>328</v>
      </c>
      <c r="U3503" s="20" t="s">
        <v>399</v>
      </c>
      <c r="V3503" s="21">
        <v>39</v>
      </c>
      <c r="W3503" s="21">
        <v>1</v>
      </c>
      <c r="X3503" s="22"/>
    </row>
    <row r="3504" spans="1:24" s="1" customFormat="1" ht="108" customHeight="1" x14ac:dyDescent="0.3">
      <c r="A3504" s="11" t="s">
        <v>3183</v>
      </c>
      <c r="B3504" s="11" t="s">
        <v>3805</v>
      </c>
      <c r="C3504" s="12" t="s">
        <v>3806</v>
      </c>
      <c r="D3504" s="24"/>
      <c r="E3504" s="69" t="str">
        <f>HYPERLINK("https://www.google.ru/search?q=D55Y3M000HHC1000&amp;newwindow=1&amp;tbm=isch","Еще фото")</f>
        <v>Еще фото</v>
      </c>
      <c r="F3504" s="13"/>
      <c r="G3504" s="11" t="s">
        <v>3807</v>
      </c>
      <c r="H3504" s="11" t="s">
        <v>151</v>
      </c>
      <c r="I3504" s="14" t="s">
        <v>424</v>
      </c>
      <c r="J3504" s="14" t="s">
        <v>138</v>
      </c>
      <c r="K3504" s="15" t="s">
        <v>47</v>
      </c>
      <c r="L3504" s="14" t="s">
        <v>3808</v>
      </c>
      <c r="M3504" s="14"/>
      <c r="N3504" s="14" t="s">
        <v>89</v>
      </c>
      <c r="O3504" s="14"/>
      <c r="P3504" s="15" t="s">
        <v>3809</v>
      </c>
      <c r="Q3504" s="16">
        <v>9999</v>
      </c>
      <c r="R3504" s="17">
        <v>53.52</v>
      </c>
      <c r="S3504" s="18">
        <v>5344.9355000000005</v>
      </c>
      <c r="T3504" s="19" t="s">
        <v>328</v>
      </c>
      <c r="U3504" s="20" t="s">
        <v>1503</v>
      </c>
      <c r="V3504" s="21">
        <v>36</v>
      </c>
      <c r="W3504" s="21">
        <v>1</v>
      </c>
      <c r="X3504" s="22"/>
    </row>
    <row r="3505" spans="1:24" s="1" customFormat="1" ht="17.100000000000001" customHeight="1" x14ac:dyDescent="0.3">
      <c r="A3505" s="11" t="s">
        <v>3183</v>
      </c>
      <c r="B3505" s="11" t="s">
        <v>3810</v>
      </c>
      <c r="C3505" s="12" t="s">
        <v>3811</v>
      </c>
      <c r="D3505" s="83"/>
      <c r="E3505" s="69" t="str">
        <f t="shared" ref="E3505:E3510" si="162">HYPERLINK("https://www.google.ru/search?q=D659AB0009BC9999&amp;newwindow=1&amp;tbm=isch","Еще фото")</f>
        <v>Еще фото</v>
      </c>
      <c r="F3505" s="13"/>
      <c r="G3505" s="11" t="s">
        <v>3812</v>
      </c>
      <c r="H3505" s="11" t="s">
        <v>151</v>
      </c>
      <c r="I3505" s="14" t="s">
        <v>424</v>
      </c>
      <c r="J3505" s="14" t="s">
        <v>29</v>
      </c>
      <c r="K3505" s="15" t="s">
        <v>47</v>
      </c>
      <c r="L3505" s="86" t="s">
        <v>3813</v>
      </c>
      <c r="M3505" s="14"/>
      <c r="N3505" s="14" t="s">
        <v>49</v>
      </c>
      <c r="O3505" s="14"/>
      <c r="P3505" s="15" t="s">
        <v>3814</v>
      </c>
      <c r="Q3505" s="16">
        <v>15999</v>
      </c>
      <c r="R3505" s="17">
        <v>53.51</v>
      </c>
      <c r="S3505" s="18">
        <v>8553.4354999999996</v>
      </c>
      <c r="T3505" s="19" t="s">
        <v>328</v>
      </c>
      <c r="U3505" s="20" t="s">
        <v>1503</v>
      </c>
      <c r="V3505" s="21">
        <v>36</v>
      </c>
      <c r="W3505" s="21">
        <v>1</v>
      </c>
      <c r="X3505" s="22"/>
    </row>
    <row r="3506" spans="1:24" s="1" customFormat="1" ht="17.100000000000001" customHeight="1" x14ac:dyDescent="0.3">
      <c r="A3506" s="23" t="s">
        <v>3183</v>
      </c>
      <c r="B3506" s="23" t="s">
        <v>3810</v>
      </c>
      <c r="C3506" s="12" t="s">
        <v>3811</v>
      </c>
      <c r="D3506" s="84"/>
      <c r="E3506" s="69" t="str">
        <f t="shared" si="162"/>
        <v>Еще фото</v>
      </c>
      <c r="F3506" s="13"/>
      <c r="G3506" s="23" t="s">
        <v>3812</v>
      </c>
      <c r="H3506" s="23" t="s">
        <v>151</v>
      </c>
      <c r="I3506" s="23" t="s">
        <v>424</v>
      </c>
      <c r="J3506" s="14" t="s">
        <v>29</v>
      </c>
      <c r="K3506" s="15" t="s">
        <v>47</v>
      </c>
      <c r="L3506" s="87"/>
      <c r="M3506" s="14"/>
      <c r="N3506" s="14" t="s">
        <v>49</v>
      </c>
      <c r="O3506" s="14"/>
      <c r="P3506" s="15" t="s">
        <v>3814</v>
      </c>
      <c r="Q3506" s="16">
        <v>15999</v>
      </c>
      <c r="R3506" s="17">
        <v>53.51</v>
      </c>
      <c r="S3506" s="18">
        <v>8553.4354999999996</v>
      </c>
      <c r="T3506" s="19" t="s">
        <v>328</v>
      </c>
      <c r="U3506" s="20" t="s">
        <v>409</v>
      </c>
      <c r="V3506" s="21">
        <v>37</v>
      </c>
      <c r="W3506" s="21">
        <v>6</v>
      </c>
      <c r="X3506" s="22"/>
    </row>
    <row r="3507" spans="1:24" s="1" customFormat="1" ht="17.100000000000001" customHeight="1" x14ac:dyDescent="0.3">
      <c r="A3507" s="23" t="s">
        <v>3183</v>
      </c>
      <c r="B3507" s="23" t="s">
        <v>3810</v>
      </c>
      <c r="C3507" s="12" t="s">
        <v>3811</v>
      </c>
      <c r="D3507" s="84"/>
      <c r="E3507" s="69" t="str">
        <f t="shared" si="162"/>
        <v>Еще фото</v>
      </c>
      <c r="F3507" s="13"/>
      <c r="G3507" s="23" t="s">
        <v>3812</v>
      </c>
      <c r="H3507" s="23" t="s">
        <v>151</v>
      </c>
      <c r="I3507" s="23" t="s">
        <v>424</v>
      </c>
      <c r="J3507" s="14" t="s">
        <v>29</v>
      </c>
      <c r="K3507" s="15" t="s">
        <v>47</v>
      </c>
      <c r="L3507" s="87"/>
      <c r="M3507" s="14"/>
      <c r="N3507" s="14" t="s">
        <v>49</v>
      </c>
      <c r="O3507" s="14"/>
      <c r="P3507" s="15" t="s">
        <v>3814</v>
      </c>
      <c r="Q3507" s="16">
        <v>15999</v>
      </c>
      <c r="R3507" s="17">
        <v>53.51</v>
      </c>
      <c r="S3507" s="18">
        <v>8553.4354999999996</v>
      </c>
      <c r="T3507" s="19" t="s">
        <v>328</v>
      </c>
      <c r="U3507" s="20" t="s">
        <v>426</v>
      </c>
      <c r="V3507" s="21">
        <v>38</v>
      </c>
      <c r="W3507" s="21">
        <v>6</v>
      </c>
      <c r="X3507" s="22"/>
    </row>
    <row r="3508" spans="1:24" s="1" customFormat="1" ht="17.100000000000001" customHeight="1" x14ac:dyDescent="0.3">
      <c r="A3508" s="23" t="s">
        <v>3183</v>
      </c>
      <c r="B3508" s="23" t="s">
        <v>3810</v>
      </c>
      <c r="C3508" s="12" t="s">
        <v>3811</v>
      </c>
      <c r="D3508" s="84"/>
      <c r="E3508" s="69" t="str">
        <f t="shared" si="162"/>
        <v>Еще фото</v>
      </c>
      <c r="F3508" s="13"/>
      <c r="G3508" s="23" t="s">
        <v>3812</v>
      </c>
      <c r="H3508" s="23" t="s">
        <v>151</v>
      </c>
      <c r="I3508" s="23" t="s">
        <v>424</v>
      </c>
      <c r="J3508" s="14" t="s">
        <v>29</v>
      </c>
      <c r="K3508" s="15" t="s">
        <v>47</v>
      </c>
      <c r="L3508" s="87"/>
      <c r="M3508" s="14"/>
      <c r="N3508" s="14" t="s">
        <v>49</v>
      </c>
      <c r="O3508" s="14"/>
      <c r="P3508" s="15" t="s">
        <v>3814</v>
      </c>
      <c r="Q3508" s="16">
        <v>15999</v>
      </c>
      <c r="R3508" s="17">
        <v>53.51</v>
      </c>
      <c r="S3508" s="18">
        <v>8553.4354999999996</v>
      </c>
      <c r="T3508" s="19" t="s">
        <v>328</v>
      </c>
      <c r="U3508" s="20" t="s">
        <v>413</v>
      </c>
      <c r="V3508" s="21">
        <v>39</v>
      </c>
      <c r="W3508" s="21">
        <v>6</v>
      </c>
      <c r="X3508" s="22"/>
    </row>
    <row r="3509" spans="1:24" s="1" customFormat="1" ht="17.100000000000001" customHeight="1" x14ac:dyDescent="0.3">
      <c r="A3509" s="23" t="s">
        <v>3183</v>
      </c>
      <c r="B3509" s="23" t="s">
        <v>3810</v>
      </c>
      <c r="C3509" s="12" t="s">
        <v>3811</v>
      </c>
      <c r="D3509" s="84"/>
      <c r="E3509" s="69" t="str">
        <f t="shared" si="162"/>
        <v>Еще фото</v>
      </c>
      <c r="F3509" s="13"/>
      <c r="G3509" s="23" t="s">
        <v>3812</v>
      </c>
      <c r="H3509" s="23" t="s">
        <v>151</v>
      </c>
      <c r="I3509" s="23" t="s">
        <v>424</v>
      </c>
      <c r="J3509" s="14" t="s">
        <v>29</v>
      </c>
      <c r="K3509" s="15" t="s">
        <v>47</v>
      </c>
      <c r="L3509" s="87"/>
      <c r="M3509" s="14"/>
      <c r="N3509" s="14" t="s">
        <v>49</v>
      </c>
      <c r="O3509" s="14"/>
      <c r="P3509" s="15" t="s">
        <v>3814</v>
      </c>
      <c r="Q3509" s="16">
        <v>15999</v>
      </c>
      <c r="R3509" s="17">
        <v>53.51</v>
      </c>
      <c r="S3509" s="18">
        <v>8553.4354999999996</v>
      </c>
      <c r="T3509" s="19" t="s">
        <v>328</v>
      </c>
      <c r="U3509" s="20" t="s">
        <v>399</v>
      </c>
      <c r="V3509" s="21">
        <v>40</v>
      </c>
      <c r="W3509" s="21">
        <v>2</v>
      </c>
      <c r="X3509" s="22"/>
    </row>
    <row r="3510" spans="1:24" s="1" customFormat="1" ht="21.95" customHeight="1" x14ac:dyDescent="0.3">
      <c r="A3510" s="23" t="s">
        <v>3183</v>
      </c>
      <c r="B3510" s="23" t="s">
        <v>3810</v>
      </c>
      <c r="C3510" s="12" t="s">
        <v>3811</v>
      </c>
      <c r="D3510" s="85"/>
      <c r="E3510" s="69" t="str">
        <f t="shared" si="162"/>
        <v>Еще фото</v>
      </c>
      <c r="F3510" s="13"/>
      <c r="G3510" s="23" t="s">
        <v>3812</v>
      </c>
      <c r="H3510" s="23" t="s">
        <v>151</v>
      </c>
      <c r="I3510" s="23" t="s">
        <v>424</v>
      </c>
      <c r="J3510" s="14" t="s">
        <v>29</v>
      </c>
      <c r="K3510" s="15" t="s">
        <v>47</v>
      </c>
      <c r="L3510" s="88"/>
      <c r="M3510" s="14"/>
      <c r="N3510" s="14" t="s">
        <v>49</v>
      </c>
      <c r="O3510" s="14"/>
      <c r="P3510" s="15" t="s">
        <v>3814</v>
      </c>
      <c r="Q3510" s="16">
        <v>15999</v>
      </c>
      <c r="R3510" s="17">
        <v>53.51</v>
      </c>
      <c r="S3510" s="18">
        <v>8553.4354999999996</v>
      </c>
      <c r="T3510" s="19" t="s">
        <v>328</v>
      </c>
      <c r="U3510" s="20" t="s">
        <v>400</v>
      </c>
      <c r="V3510" s="21">
        <v>41</v>
      </c>
      <c r="W3510" s="21">
        <v>1</v>
      </c>
      <c r="X3510" s="22"/>
    </row>
    <row r="3511" spans="1:24" s="1" customFormat="1" ht="35.1" customHeight="1" x14ac:dyDescent="0.3">
      <c r="A3511" s="11" t="s">
        <v>3183</v>
      </c>
      <c r="B3511" s="11" t="s">
        <v>3815</v>
      </c>
      <c r="C3511" s="12" t="s">
        <v>3816</v>
      </c>
      <c r="D3511" s="83"/>
      <c r="E3511" s="69" t="str">
        <f>HYPERLINK("https://www.google.ru/search?q=U024VB00043C9999&amp;newwindow=1&amp;tbm=isch","Еще фото")</f>
        <v>Еще фото</v>
      </c>
      <c r="F3511" s="13"/>
      <c r="G3511" s="11" t="s">
        <v>394</v>
      </c>
      <c r="H3511" s="11" t="s">
        <v>151</v>
      </c>
      <c r="I3511" s="14" t="s">
        <v>424</v>
      </c>
      <c r="J3511" s="14" t="s">
        <v>29</v>
      </c>
      <c r="K3511" s="15" t="s">
        <v>55</v>
      </c>
      <c r="L3511" s="86" t="s">
        <v>3817</v>
      </c>
      <c r="M3511" s="14"/>
      <c r="N3511" s="14" t="s">
        <v>49</v>
      </c>
      <c r="O3511" s="14"/>
      <c r="P3511" s="15" t="s">
        <v>3818</v>
      </c>
      <c r="Q3511" s="16">
        <v>15799</v>
      </c>
      <c r="R3511" s="17">
        <v>53.49</v>
      </c>
      <c r="S3511" s="18">
        <v>8449.9354999999996</v>
      </c>
      <c r="T3511" s="19" t="s">
        <v>328</v>
      </c>
      <c r="U3511" s="20" t="s">
        <v>400</v>
      </c>
      <c r="V3511" s="21">
        <v>41</v>
      </c>
      <c r="W3511" s="21">
        <v>3</v>
      </c>
      <c r="X3511" s="22"/>
    </row>
    <row r="3512" spans="1:24" s="1" customFormat="1" ht="35.1" customHeight="1" x14ac:dyDescent="0.3">
      <c r="A3512" s="23" t="s">
        <v>3183</v>
      </c>
      <c r="B3512" s="23" t="s">
        <v>3815</v>
      </c>
      <c r="C3512" s="12" t="s">
        <v>3816</v>
      </c>
      <c r="D3512" s="84"/>
      <c r="E3512" s="69" t="str">
        <f>HYPERLINK("https://www.google.ru/search?q=U024VB00043C9999&amp;newwindow=1&amp;tbm=isch","Еще фото")</f>
        <v>Еще фото</v>
      </c>
      <c r="F3512" s="13"/>
      <c r="G3512" s="23" t="s">
        <v>394</v>
      </c>
      <c r="H3512" s="23" t="s">
        <v>151</v>
      </c>
      <c r="I3512" s="23" t="s">
        <v>424</v>
      </c>
      <c r="J3512" s="14" t="s">
        <v>29</v>
      </c>
      <c r="K3512" s="15" t="s">
        <v>55</v>
      </c>
      <c r="L3512" s="87"/>
      <c r="M3512" s="14"/>
      <c r="N3512" s="14" t="s">
        <v>49</v>
      </c>
      <c r="O3512" s="14"/>
      <c r="P3512" s="15" t="s">
        <v>3818</v>
      </c>
      <c r="Q3512" s="16">
        <v>15799</v>
      </c>
      <c r="R3512" s="17">
        <v>53.49</v>
      </c>
      <c r="S3512" s="18">
        <v>8449.9354999999996</v>
      </c>
      <c r="T3512" s="19" t="s">
        <v>328</v>
      </c>
      <c r="U3512" s="20" t="s">
        <v>457</v>
      </c>
      <c r="V3512" s="21">
        <v>42</v>
      </c>
      <c r="W3512" s="21">
        <v>1</v>
      </c>
      <c r="X3512" s="22"/>
    </row>
    <row r="3513" spans="1:24" s="1" customFormat="1" ht="36.950000000000003" customHeight="1" x14ac:dyDescent="0.3">
      <c r="A3513" s="23" t="s">
        <v>3183</v>
      </c>
      <c r="B3513" s="23" t="s">
        <v>3815</v>
      </c>
      <c r="C3513" s="12" t="s">
        <v>3816</v>
      </c>
      <c r="D3513" s="85"/>
      <c r="E3513" s="69" t="str">
        <f>HYPERLINK("https://www.google.ru/search?q=U024VB00043C9999&amp;newwindow=1&amp;tbm=isch","Еще фото")</f>
        <v>Еще фото</v>
      </c>
      <c r="F3513" s="13"/>
      <c r="G3513" s="23" t="s">
        <v>394</v>
      </c>
      <c r="H3513" s="23" t="s">
        <v>151</v>
      </c>
      <c r="I3513" s="23" t="s">
        <v>424</v>
      </c>
      <c r="J3513" s="14" t="s">
        <v>29</v>
      </c>
      <c r="K3513" s="15" t="s">
        <v>55</v>
      </c>
      <c r="L3513" s="88"/>
      <c r="M3513" s="14"/>
      <c r="N3513" s="14" t="s">
        <v>49</v>
      </c>
      <c r="O3513" s="14"/>
      <c r="P3513" s="15" t="s">
        <v>3818</v>
      </c>
      <c r="Q3513" s="16">
        <v>15799</v>
      </c>
      <c r="R3513" s="17">
        <v>53.49</v>
      </c>
      <c r="S3513" s="18">
        <v>8449.9354999999996</v>
      </c>
      <c r="T3513" s="19" t="s">
        <v>328</v>
      </c>
      <c r="U3513" s="20" t="s">
        <v>403</v>
      </c>
      <c r="V3513" s="21">
        <v>45</v>
      </c>
      <c r="W3513" s="21">
        <v>1</v>
      </c>
      <c r="X3513" s="22"/>
    </row>
    <row r="3514" spans="1:24" s="1" customFormat="1" ht="14.1" customHeight="1" x14ac:dyDescent="0.3">
      <c r="A3514" s="11" t="s">
        <v>3183</v>
      </c>
      <c r="B3514" s="11" t="s">
        <v>3819</v>
      </c>
      <c r="C3514" s="12" t="s">
        <v>3820</v>
      </c>
      <c r="D3514" s="83"/>
      <c r="E3514" s="69" t="str">
        <f t="shared" ref="E3514:E3520" si="163">HYPERLINK("https://www.google.ru/search?q=J459EC01454C0735&amp;newwindow=1&amp;tbm=isch","Еще фото")</f>
        <v>Еще фото</v>
      </c>
      <c r="F3514" s="13"/>
      <c r="G3514" s="11" t="s">
        <v>394</v>
      </c>
      <c r="H3514" s="11" t="s">
        <v>151</v>
      </c>
      <c r="I3514" s="14" t="s">
        <v>424</v>
      </c>
      <c r="J3514" s="14" t="s">
        <v>29</v>
      </c>
      <c r="K3514" s="15" t="s">
        <v>30</v>
      </c>
      <c r="L3514" s="86" t="s">
        <v>3821</v>
      </c>
      <c r="M3514" s="14"/>
      <c r="N3514" s="14" t="s">
        <v>3822</v>
      </c>
      <c r="O3514" s="14"/>
      <c r="P3514" s="15" t="s">
        <v>3823</v>
      </c>
      <c r="Q3514" s="16">
        <v>7499</v>
      </c>
      <c r="R3514" s="17">
        <v>53.49</v>
      </c>
      <c r="S3514" s="18">
        <v>4010.9354999999996</v>
      </c>
      <c r="T3514" s="19" t="s">
        <v>328</v>
      </c>
      <c r="U3514" s="20" t="s">
        <v>550</v>
      </c>
      <c r="V3514" s="21">
        <v>29</v>
      </c>
      <c r="W3514" s="21">
        <v>1</v>
      </c>
      <c r="X3514" s="22"/>
    </row>
    <row r="3515" spans="1:24" s="1" customFormat="1" ht="14.1" customHeight="1" x14ac:dyDescent="0.3">
      <c r="A3515" s="23" t="s">
        <v>3183</v>
      </c>
      <c r="B3515" s="23" t="s">
        <v>3819</v>
      </c>
      <c r="C3515" s="12" t="s">
        <v>3820</v>
      </c>
      <c r="D3515" s="84"/>
      <c r="E3515" s="69" t="str">
        <f t="shared" si="163"/>
        <v>Еще фото</v>
      </c>
      <c r="F3515" s="13"/>
      <c r="G3515" s="23" t="s">
        <v>394</v>
      </c>
      <c r="H3515" s="23" t="s">
        <v>151</v>
      </c>
      <c r="I3515" s="23" t="s">
        <v>424</v>
      </c>
      <c r="J3515" s="14" t="s">
        <v>29</v>
      </c>
      <c r="K3515" s="15" t="s">
        <v>30</v>
      </c>
      <c r="L3515" s="87"/>
      <c r="M3515" s="14"/>
      <c r="N3515" s="14" t="s">
        <v>3822</v>
      </c>
      <c r="O3515" s="14"/>
      <c r="P3515" s="15" t="s">
        <v>3823</v>
      </c>
      <c r="Q3515" s="16">
        <v>7499</v>
      </c>
      <c r="R3515" s="17">
        <v>53.49</v>
      </c>
      <c r="S3515" s="18">
        <v>4010.9354999999996</v>
      </c>
      <c r="T3515" s="19" t="s">
        <v>328</v>
      </c>
      <c r="U3515" s="20" t="s">
        <v>3189</v>
      </c>
      <c r="V3515" s="21">
        <v>30</v>
      </c>
      <c r="W3515" s="21">
        <v>27</v>
      </c>
      <c r="X3515" s="22"/>
    </row>
    <row r="3516" spans="1:24" s="1" customFormat="1" ht="14.1" customHeight="1" x14ac:dyDescent="0.3">
      <c r="A3516" s="23" t="s">
        <v>3183</v>
      </c>
      <c r="B3516" s="23" t="s">
        <v>3819</v>
      </c>
      <c r="C3516" s="12" t="s">
        <v>3820</v>
      </c>
      <c r="D3516" s="84"/>
      <c r="E3516" s="69" t="str">
        <f t="shared" si="163"/>
        <v>Еще фото</v>
      </c>
      <c r="F3516" s="13"/>
      <c r="G3516" s="23" t="s">
        <v>394</v>
      </c>
      <c r="H3516" s="23" t="s">
        <v>151</v>
      </c>
      <c r="I3516" s="23" t="s">
        <v>424</v>
      </c>
      <c r="J3516" s="14" t="s">
        <v>29</v>
      </c>
      <c r="K3516" s="15" t="s">
        <v>30</v>
      </c>
      <c r="L3516" s="87"/>
      <c r="M3516" s="14"/>
      <c r="N3516" s="14" t="s">
        <v>3822</v>
      </c>
      <c r="O3516" s="14"/>
      <c r="P3516" s="15" t="s">
        <v>3823</v>
      </c>
      <c r="Q3516" s="16">
        <v>7499</v>
      </c>
      <c r="R3516" s="17">
        <v>53.49</v>
      </c>
      <c r="S3516" s="18">
        <v>4010.9354999999996</v>
      </c>
      <c r="T3516" s="19" t="s">
        <v>328</v>
      </c>
      <c r="U3516" s="20" t="s">
        <v>3190</v>
      </c>
      <c r="V3516" s="21">
        <v>31</v>
      </c>
      <c r="W3516" s="21">
        <v>24</v>
      </c>
      <c r="X3516" s="22"/>
    </row>
    <row r="3517" spans="1:24" s="1" customFormat="1" ht="14.1" customHeight="1" x14ac:dyDescent="0.3">
      <c r="A3517" s="23" t="s">
        <v>3183</v>
      </c>
      <c r="B3517" s="23" t="s">
        <v>3819</v>
      </c>
      <c r="C3517" s="12" t="s">
        <v>3820</v>
      </c>
      <c r="D3517" s="84"/>
      <c r="E3517" s="69" t="str">
        <f t="shared" si="163"/>
        <v>Еще фото</v>
      </c>
      <c r="F3517" s="13"/>
      <c r="G3517" s="23" t="s">
        <v>394</v>
      </c>
      <c r="H3517" s="23" t="s">
        <v>151</v>
      </c>
      <c r="I3517" s="23" t="s">
        <v>424</v>
      </c>
      <c r="J3517" s="14" t="s">
        <v>29</v>
      </c>
      <c r="K3517" s="15" t="s">
        <v>30</v>
      </c>
      <c r="L3517" s="87"/>
      <c r="M3517" s="14"/>
      <c r="N3517" s="14" t="s">
        <v>3822</v>
      </c>
      <c r="O3517" s="14"/>
      <c r="P3517" s="15" t="s">
        <v>3823</v>
      </c>
      <c r="Q3517" s="16">
        <v>7499</v>
      </c>
      <c r="R3517" s="17">
        <v>53.49</v>
      </c>
      <c r="S3517" s="18">
        <v>4010.9354999999996</v>
      </c>
      <c r="T3517" s="19" t="s">
        <v>328</v>
      </c>
      <c r="U3517" s="20" t="s">
        <v>552</v>
      </c>
      <c r="V3517" s="21">
        <v>32</v>
      </c>
      <c r="W3517" s="21">
        <v>16</v>
      </c>
      <c r="X3517" s="22"/>
    </row>
    <row r="3518" spans="1:24" s="1" customFormat="1" ht="14.1" customHeight="1" x14ac:dyDescent="0.3">
      <c r="A3518" s="23" t="s">
        <v>3183</v>
      </c>
      <c r="B3518" s="23" t="s">
        <v>3819</v>
      </c>
      <c r="C3518" s="12" t="s">
        <v>3820</v>
      </c>
      <c r="D3518" s="84"/>
      <c r="E3518" s="69" t="str">
        <f t="shared" si="163"/>
        <v>Еще фото</v>
      </c>
      <c r="F3518" s="13"/>
      <c r="G3518" s="23" t="s">
        <v>394</v>
      </c>
      <c r="H3518" s="23" t="s">
        <v>151</v>
      </c>
      <c r="I3518" s="23" t="s">
        <v>424</v>
      </c>
      <c r="J3518" s="14" t="s">
        <v>29</v>
      </c>
      <c r="K3518" s="15" t="s">
        <v>30</v>
      </c>
      <c r="L3518" s="87"/>
      <c r="M3518" s="14"/>
      <c r="N3518" s="14" t="s">
        <v>3822</v>
      </c>
      <c r="O3518" s="14"/>
      <c r="P3518" s="15" t="s">
        <v>3823</v>
      </c>
      <c r="Q3518" s="16">
        <v>7499</v>
      </c>
      <c r="R3518" s="17">
        <v>53.49</v>
      </c>
      <c r="S3518" s="18">
        <v>4010.9354999999996</v>
      </c>
      <c r="T3518" s="19" t="s">
        <v>328</v>
      </c>
      <c r="U3518" s="20" t="s">
        <v>553</v>
      </c>
      <c r="V3518" s="21">
        <v>33</v>
      </c>
      <c r="W3518" s="21">
        <v>7</v>
      </c>
      <c r="X3518" s="22"/>
    </row>
    <row r="3519" spans="1:24" s="1" customFormat="1" ht="14.1" customHeight="1" x14ac:dyDescent="0.3">
      <c r="A3519" s="23" t="s">
        <v>3183</v>
      </c>
      <c r="B3519" s="23" t="s">
        <v>3819</v>
      </c>
      <c r="C3519" s="12" t="s">
        <v>3820</v>
      </c>
      <c r="D3519" s="84"/>
      <c r="E3519" s="69" t="str">
        <f t="shared" si="163"/>
        <v>Еще фото</v>
      </c>
      <c r="F3519" s="13"/>
      <c r="G3519" s="23" t="s">
        <v>394</v>
      </c>
      <c r="H3519" s="23" t="s">
        <v>151</v>
      </c>
      <c r="I3519" s="23" t="s">
        <v>424</v>
      </c>
      <c r="J3519" s="14" t="s">
        <v>29</v>
      </c>
      <c r="K3519" s="15" t="s">
        <v>30</v>
      </c>
      <c r="L3519" s="87"/>
      <c r="M3519" s="14"/>
      <c r="N3519" s="14" t="s">
        <v>3822</v>
      </c>
      <c r="O3519" s="14"/>
      <c r="P3519" s="15" t="s">
        <v>3823</v>
      </c>
      <c r="Q3519" s="16">
        <v>7499</v>
      </c>
      <c r="R3519" s="17">
        <v>53.49</v>
      </c>
      <c r="S3519" s="18">
        <v>4010.9354999999996</v>
      </c>
      <c r="T3519" s="19" t="s">
        <v>328</v>
      </c>
      <c r="U3519" s="20" t="s">
        <v>554</v>
      </c>
      <c r="V3519" s="21">
        <v>34</v>
      </c>
      <c r="W3519" s="21">
        <v>4</v>
      </c>
      <c r="X3519" s="22"/>
    </row>
    <row r="3520" spans="1:24" s="1" customFormat="1" ht="17.100000000000001" customHeight="1" x14ac:dyDescent="0.3">
      <c r="A3520" s="23" t="s">
        <v>3183</v>
      </c>
      <c r="B3520" s="23" t="s">
        <v>3819</v>
      </c>
      <c r="C3520" s="12" t="s">
        <v>3820</v>
      </c>
      <c r="D3520" s="85"/>
      <c r="E3520" s="69" t="str">
        <f t="shared" si="163"/>
        <v>Еще фото</v>
      </c>
      <c r="F3520" s="13"/>
      <c r="G3520" s="23" t="s">
        <v>394</v>
      </c>
      <c r="H3520" s="23" t="s">
        <v>151</v>
      </c>
      <c r="I3520" s="23" t="s">
        <v>424</v>
      </c>
      <c r="J3520" s="14" t="s">
        <v>29</v>
      </c>
      <c r="K3520" s="15" t="s">
        <v>30</v>
      </c>
      <c r="L3520" s="88"/>
      <c r="M3520" s="14"/>
      <c r="N3520" s="14" t="s">
        <v>3822</v>
      </c>
      <c r="O3520" s="14"/>
      <c r="P3520" s="15" t="s">
        <v>3823</v>
      </c>
      <c r="Q3520" s="16">
        <v>7499</v>
      </c>
      <c r="R3520" s="17">
        <v>53.49</v>
      </c>
      <c r="S3520" s="18">
        <v>4010.9354999999996</v>
      </c>
      <c r="T3520" s="19" t="s">
        <v>328</v>
      </c>
      <c r="U3520" s="20" t="s">
        <v>431</v>
      </c>
      <c r="V3520" s="21">
        <v>35</v>
      </c>
      <c r="W3520" s="21">
        <v>2</v>
      </c>
      <c r="X3520" s="22"/>
    </row>
    <row r="3521" spans="1:24" s="1" customFormat="1" ht="21" customHeight="1" x14ac:dyDescent="0.3">
      <c r="A3521" s="11" t="s">
        <v>3183</v>
      </c>
      <c r="B3521" s="11" t="s">
        <v>3824</v>
      </c>
      <c r="C3521" s="27" t="s">
        <v>3825</v>
      </c>
      <c r="D3521" s="83"/>
      <c r="E3521" s="69" t="str">
        <f>HYPERLINK("https://www.google.ru/search?q=D56BMB00046C4692&amp;newwindow=1&amp;tbm=isch","Еще фото")</f>
        <v>Еще фото</v>
      </c>
      <c r="F3521" s="13"/>
      <c r="G3521" s="11" t="s">
        <v>3812</v>
      </c>
      <c r="H3521" s="11" t="s">
        <v>151</v>
      </c>
      <c r="I3521" s="14" t="s">
        <v>424</v>
      </c>
      <c r="J3521" s="14" t="s">
        <v>138</v>
      </c>
      <c r="K3521" s="15" t="s">
        <v>47</v>
      </c>
      <c r="L3521" s="86" t="s">
        <v>3826</v>
      </c>
      <c r="M3521" s="14"/>
      <c r="N3521" s="14" t="s">
        <v>70</v>
      </c>
      <c r="O3521" s="14"/>
      <c r="P3521" s="15" t="s">
        <v>3827</v>
      </c>
      <c r="Q3521" s="16">
        <v>17990</v>
      </c>
      <c r="R3521" s="17">
        <v>53.49</v>
      </c>
      <c r="S3521" s="18">
        <v>9622.9354999999996</v>
      </c>
      <c r="T3521" s="19" t="s">
        <v>328</v>
      </c>
      <c r="U3521" s="20" t="s">
        <v>409</v>
      </c>
      <c r="V3521" s="21">
        <v>37</v>
      </c>
      <c r="W3521" s="21">
        <v>6</v>
      </c>
      <c r="X3521" s="22"/>
    </row>
    <row r="3522" spans="1:24" s="1" customFormat="1" ht="21" customHeight="1" x14ac:dyDescent="0.3">
      <c r="A3522" s="23" t="s">
        <v>3183</v>
      </c>
      <c r="B3522" s="23" t="s">
        <v>3824</v>
      </c>
      <c r="C3522" s="28" t="s">
        <v>3825</v>
      </c>
      <c r="D3522" s="84"/>
      <c r="E3522" s="69" t="str">
        <f>HYPERLINK("https://www.google.ru/search?q=D56BMB00046C4692&amp;newwindow=1&amp;tbm=isch","Еще фото")</f>
        <v>Еще фото</v>
      </c>
      <c r="F3522" s="13"/>
      <c r="G3522" s="23" t="s">
        <v>3812</v>
      </c>
      <c r="H3522" s="23" t="s">
        <v>151</v>
      </c>
      <c r="I3522" s="23" t="s">
        <v>424</v>
      </c>
      <c r="J3522" s="14" t="s">
        <v>138</v>
      </c>
      <c r="K3522" s="15" t="s">
        <v>47</v>
      </c>
      <c r="L3522" s="87"/>
      <c r="M3522" s="14"/>
      <c r="N3522" s="14" t="s">
        <v>70</v>
      </c>
      <c r="O3522" s="14"/>
      <c r="P3522" s="15" t="s">
        <v>3827</v>
      </c>
      <c r="Q3522" s="16">
        <v>17990</v>
      </c>
      <c r="R3522" s="17">
        <v>53.49</v>
      </c>
      <c r="S3522" s="18">
        <v>9622.9354999999996</v>
      </c>
      <c r="T3522" s="19" t="s">
        <v>328</v>
      </c>
      <c r="U3522" s="20" t="s">
        <v>426</v>
      </c>
      <c r="V3522" s="21">
        <v>38</v>
      </c>
      <c r="W3522" s="21">
        <v>2</v>
      </c>
      <c r="X3522" s="22"/>
    </row>
    <row r="3523" spans="1:24" s="1" customFormat="1" ht="21" customHeight="1" x14ac:dyDescent="0.3">
      <c r="A3523" s="23" t="s">
        <v>3183</v>
      </c>
      <c r="B3523" s="23" t="s">
        <v>3824</v>
      </c>
      <c r="C3523" s="28" t="s">
        <v>3825</v>
      </c>
      <c r="D3523" s="84"/>
      <c r="E3523" s="69" t="str">
        <f>HYPERLINK("https://www.google.ru/search?q=D56BMB00046C4692&amp;newwindow=1&amp;tbm=isch","Еще фото")</f>
        <v>Еще фото</v>
      </c>
      <c r="F3523" s="13"/>
      <c r="G3523" s="23" t="s">
        <v>3812</v>
      </c>
      <c r="H3523" s="23" t="s">
        <v>151</v>
      </c>
      <c r="I3523" s="23" t="s">
        <v>424</v>
      </c>
      <c r="J3523" s="14" t="s">
        <v>138</v>
      </c>
      <c r="K3523" s="15" t="s">
        <v>47</v>
      </c>
      <c r="L3523" s="87"/>
      <c r="M3523" s="14"/>
      <c r="N3523" s="14" t="s">
        <v>70</v>
      </c>
      <c r="O3523" s="14"/>
      <c r="P3523" s="15" t="s">
        <v>3827</v>
      </c>
      <c r="Q3523" s="16">
        <v>17990</v>
      </c>
      <c r="R3523" s="17">
        <v>53.49</v>
      </c>
      <c r="S3523" s="18">
        <v>9622.9354999999996</v>
      </c>
      <c r="T3523" s="19" t="s">
        <v>328</v>
      </c>
      <c r="U3523" s="20" t="s">
        <v>413</v>
      </c>
      <c r="V3523" s="21">
        <v>39</v>
      </c>
      <c r="W3523" s="21">
        <v>16</v>
      </c>
      <c r="X3523" s="22"/>
    </row>
    <row r="3524" spans="1:24" s="1" customFormat="1" ht="21" customHeight="1" x14ac:dyDescent="0.3">
      <c r="A3524" s="23" t="s">
        <v>3183</v>
      </c>
      <c r="B3524" s="23" t="s">
        <v>3824</v>
      </c>
      <c r="C3524" s="28" t="s">
        <v>3825</v>
      </c>
      <c r="D3524" s="84"/>
      <c r="E3524" s="69" t="str">
        <f>HYPERLINK("https://www.google.ru/search?q=D56BMB00046C4692&amp;newwindow=1&amp;tbm=isch","Еще фото")</f>
        <v>Еще фото</v>
      </c>
      <c r="F3524" s="13"/>
      <c r="G3524" s="23" t="s">
        <v>3812</v>
      </c>
      <c r="H3524" s="23" t="s">
        <v>151</v>
      </c>
      <c r="I3524" s="23" t="s">
        <v>424</v>
      </c>
      <c r="J3524" s="14" t="s">
        <v>138</v>
      </c>
      <c r="K3524" s="15" t="s">
        <v>47</v>
      </c>
      <c r="L3524" s="87"/>
      <c r="M3524" s="14"/>
      <c r="N3524" s="14" t="s">
        <v>70</v>
      </c>
      <c r="O3524" s="14"/>
      <c r="P3524" s="15" t="s">
        <v>3827</v>
      </c>
      <c r="Q3524" s="16">
        <v>17990</v>
      </c>
      <c r="R3524" s="17">
        <v>53.49</v>
      </c>
      <c r="S3524" s="18">
        <v>9622.9354999999996</v>
      </c>
      <c r="T3524" s="19" t="s">
        <v>328</v>
      </c>
      <c r="U3524" s="20" t="s">
        <v>399</v>
      </c>
      <c r="V3524" s="21">
        <v>40</v>
      </c>
      <c r="W3524" s="21">
        <v>4</v>
      </c>
      <c r="X3524" s="22"/>
    </row>
    <row r="3525" spans="1:24" s="1" customFormat="1" ht="32.1" customHeight="1" x14ac:dyDescent="0.3">
      <c r="A3525" s="23" t="s">
        <v>3183</v>
      </c>
      <c r="B3525" s="23" t="s">
        <v>3824</v>
      </c>
      <c r="C3525" s="28" t="s">
        <v>3825</v>
      </c>
      <c r="D3525" s="85"/>
      <c r="E3525" s="69" t="str">
        <f>HYPERLINK("https://www.google.ru/search?q=D56BMB00046C4692&amp;newwindow=1&amp;tbm=isch","Еще фото")</f>
        <v>Еще фото</v>
      </c>
      <c r="F3525" s="13"/>
      <c r="G3525" s="23" t="s">
        <v>3812</v>
      </c>
      <c r="H3525" s="23" t="s">
        <v>151</v>
      </c>
      <c r="I3525" s="23" t="s">
        <v>424</v>
      </c>
      <c r="J3525" s="14" t="s">
        <v>138</v>
      </c>
      <c r="K3525" s="15" t="s">
        <v>47</v>
      </c>
      <c r="L3525" s="88"/>
      <c r="M3525" s="14"/>
      <c r="N3525" s="14" t="s">
        <v>70</v>
      </c>
      <c r="O3525" s="14"/>
      <c r="P3525" s="15" t="s">
        <v>3827</v>
      </c>
      <c r="Q3525" s="16">
        <v>17990</v>
      </c>
      <c r="R3525" s="17">
        <v>53.49</v>
      </c>
      <c r="S3525" s="18">
        <v>9622.9354999999996</v>
      </c>
      <c r="T3525" s="19" t="s">
        <v>328</v>
      </c>
      <c r="U3525" s="20" t="s">
        <v>400</v>
      </c>
      <c r="V3525" s="21">
        <v>41</v>
      </c>
      <c r="W3525" s="21">
        <v>1</v>
      </c>
      <c r="X3525" s="22"/>
    </row>
    <row r="3526" spans="1:24" s="1" customFormat="1" ht="21" customHeight="1" x14ac:dyDescent="0.3">
      <c r="A3526" s="11" t="s">
        <v>3183</v>
      </c>
      <c r="B3526" s="11" t="s">
        <v>3828</v>
      </c>
      <c r="C3526" s="27" t="s">
        <v>3829</v>
      </c>
      <c r="D3526" s="83"/>
      <c r="E3526" s="69" t="str">
        <f>HYPERLINK("https://www.google.ru/search?q=D657NA000TUC9999&amp;newwindow=1&amp;tbm=isch","Еще фото")</f>
        <v>Еще фото</v>
      </c>
      <c r="F3526" s="13"/>
      <c r="G3526" s="11" t="s">
        <v>3830</v>
      </c>
      <c r="H3526" s="11" t="s">
        <v>151</v>
      </c>
      <c r="I3526" s="14" t="s">
        <v>424</v>
      </c>
      <c r="J3526" s="14" t="s">
        <v>138</v>
      </c>
      <c r="K3526" s="15" t="s">
        <v>47</v>
      </c>
      <c r="L3526" s="86" t="s">
        <v>3831</v>
      </c>
      <c r="M3526" s="14"/>
      <c r="N3526" s="14" t="s">
        <v>49</v>
      </c>
      <c r="O3526" s="14"/>
      <c r="P3526" s="15" t="s">
        <v>3832</v>
      </c>
      <c r="Q3526" s="16">
        <v>17990</v>
      </c>
      <c r="R3526" s="17">
        <v>53.49</v>
      </c>
      <c r="S3526" s="18">
        <v>9622.9354999999996</v>
      </c>
      <c r="T3526" s="19" t="s">
        <v>328</v>
      </c>
      <c r="U3526" s="20" t="s">
        <v>409</v>
      </c>
      <c r="V3526" s="21">
        <v>37</v>
      </c>
      <c r="W3526" s="21">
        <v>2</v>
      </c>
      <c r="X3526" s="22"/>
    </row>
    <row r="3527" spans="1:24" s="1" customFormat="1" ht="21" customHeight="1" x14ac:dyDescent="0.3">
      <c r="A3527" s="23" t="s">
        <v>3183</v>
      </c>
      <c r="B3527" s="23" t="s">
        <v>3828</v>
      </c>
      <c r="C3527" s="28" t="s">
        <v>3829</v>
      </c>
      <c r="D3527" s="84"/>
      <c r="E3527" s="69" t="str">
        <f>HYPERLINK("https://www.google.ru/search?q=D657NA000TUC9999&amp;newwindow=1&amp;tbm=isch","Еще фото")</f>
        <v>Еще фото</v>
      </c>
      <c r="F3527" s="13"/>
      <c r="G3527" s="23" t="s">
        <v>3830</v>
      </c>
      <c r="H3527" s="23" t="s">
        <v>151</v>
      </c>
      <c r="I3527" s="23" t="s">
        <v>424</v>
      </c>
      <c r="J3527" s="14" t="s">
        <v>138</v>
      </c>
      <c r="K3527" s="15" t="s">
        <v>47</v>
      </c>
      <c r="L3527" s="87"/>
      <c r="M3527" s="14"/>
      <c r="N3527" s="14" t="s">
        <v>49</v>
      </c>
      <c r="O3527" s="14"/>
      <c r="P3527" s="15" t="s">
        <v>3832</v>
      </c>
      <c r="Q3527" s="16">
        <v>17990</v>
      </c>
      <c r="R3527" s="17">
        <v>53.49</v>
      </c>
      <c r="S3527" s="18">
        <v>9622.9354999999996</v>
      </c>
      <c r="T3527" s="19" t="s">
        <v>328</v>
      </c>
      <c r="U3527" s="20" t="s">
        <v>426</v>
      </c>
      <c r="V3527" s="21">
        <v>38</v>
      </c>
      <c r="W3527" s="21">
        <v>6</v>
      </c>
      <c r="X3527" s="22"/>
    </row>
    <row r="3528" spans="1:24" s="1" customFormat="1" ht="21" customHeight="1" x14ac:dyDescent="0.3">
      <c r="A3528" s="23" t="s">
        <v>3183</v>
      </c>
      <c r="B3528" s="23" t="s">
        <v>3828</v>
      </c>
      <c r="C3528" s="28" t="s">
        <v>3829</v>
      </c>
      <c r="D3528" s="84"/>
      <c r="E3528" s="69" t="str">
        <f>HYPERLINK("https://www.google.ru/search?q=D657NA000TUC9999&amp;newwindow=1&amp;tbm=isch","Еще фото")</f>
        <v>Еще фото</v>
      </c>
      <c r="F3528" s="13"/>
      <c r="G3528" s="23" t="s">
        <v>3830</v>
      </c>
      <c r="H3528" s="23" t="s">
        <v>151</v>
      </c>
      <c r="I3528" s="23" t="s">
        <v>424</v>
      </c>
      <c r="J3528" s="14" t="s">
        <v>138</v>
      </c>
      <c r="K3528" s="15" t="s">
        <v>47</v>
      </c>
      <c r="L3528" s="87"/>
      <c r="M3528" s="14"/>
      <c r="N3528" s="14" t="s">
        <v>49</v>
      </c>
      <c r="O3528" s="14"/>
      <c r="P3528" s="15" t="s">
        <v>3832</v>
      </c>
      <c r="Q3528" s="16">
        <v>17990</v>
      </c>
      <c r="R3528" s="17">
        <v>53.49</v>
      </c>
      <c r="S3528" s="18">
        <v>9622.9354999999996</v>
      </c>
      <c r="T3528" s="19" t="s">
        <v>328</v>
      </c>
      <c r="U3528" s="20" t="s">
        <v>413</v>
      </c>
      <c r="V3528" s="21">
        <v>39</v>
      </c>
      <c r="W3528" s="21">
        <v>9</v>
      </c>
      <c r="X3528" s="22"/>
    </row>
    <row r="3529" spans="1:24" s="1" customFormat="1" ht="21" customHeight="1" x14ac:dyDescent="0.3">
      <c r="A3529" s="23" t="s">
        <v>3183</v>
      </c>
      <c r="B3529" s="23" t="s">
        <v>3828</v>
      </c>
      <c r="C3529" s="28" t="s">
        <v>3829</v>
      </c>
      <c r="D3529" s="84"/>
      <c r="E3529" s="69" t="str">
        <f>HYPERLINK("https://www.google.ru/search?q=D657NA000TUC9999&amp;newwindow=1&amp;tbm=isch","Еще фото")</f>
        <v>Еще фото</v>
      </c>
      <c r="F3529" s="13"/>
      <c r="G3529" s="23" t="s">
        <v>3830</v>
      </c>
      <c r="H3529" s="23" t="s">
        <v>151</v>
      </c>
      <c r="I3529" s="23" t="s">
        <v>424</v>
      </c>
      <c r="J3529" s="14" t="s">
        <v>138</v>
      </c>
      <c r="K3529" s="15" t="s">
        <v>47</v>
      </c>
      <c r="L3529" s="87"/>
      <c r="M3529" s="14"/>
      <c r="N3529" s="14" t="s">
        <v>49</v>
      </c>
      <c r="O3529" s="14"/>
      <c r="P3529" s="15" t="s">
        <v>3832</v>
      </c>
      <c r="Q3529" s="16">
        <v>17990</v>
      </c>
      <c r="R3529" s="17">
        <v>53.49</v>
      </c>
      <c r="S3529" s="18">
        <v>9622.9354999999996</v>
      </c>
      <c r="T3529" s="19" t="s">
        <v>328</v>
      </c>
      <c r="U3529" s="20" t="s">
        <v>399</v>
      </c>
      <c r="V3529" s="21">
        <v>40</v>
      </c>
      <c r="W3529" s="21">
        <v>4</v>
      </c>
      <c r="X3529" s="22"/>
    </row>
    <row r="3530" spans="1:24" s="1" customFormat="1" ht="32.1" customHeight="1" x14ac:dyDescent="0.3">
      <c r="A3530" s="23" t="s">
        <v>3183</v>
      </c>
      <c r="B3530" s="23" t="s">
        <v>3828</v>
      </c>
      <c r="C3530" s="28" t="s">
        <v>3829</v>
      </c>
      <c r="D3530" s="85"/>
      <c r="E3530" s="69" t="str">
        <f>HYPERLINK("https://www.google.ru/search?q=D657NA000TUC9999&amp;newwindow=1&amp;tbm=isch","Еще фото")</f>
        <v>Еще фото</v>
      </c>
      <c r="F3530" s="13"/>
      <c r="G3530" s="23" t="s">
        <v>3830</v>
      </c>
      <c r="H3530" s="23" t="s">
        <v>151</v>
      </c>
      <c r="I3530" s="23" t="s">
        <v>424</v>
      </c>
      <c r="J3530" s="14" t="s">
        <v>138</v>
      </c>
      <c r="K3530" s="15" t="s">
        <v>47</v>
      </c>
      <c r="L3530" s="88"/>
      <c r="M3530" s="14"/>
      <c r="N3530" s="14" t="s">
        <v>49</v>
      </c>
      <c r="O3530" s="14"/>
      <c r="P3530" s="15" t="s">
        <v>3832</v>
      </c>
      <c r="Q3530" s="16">
        <v>17990</v>
      </c>
      <c r="R3530" s="17">
        <v>53.49</v>
      </c>
      <c r="S3530" s="18">
        <v>9622.9354999999996</v>
      </c>
      <c r="T3530" s="19" t="s">
        <v>328</v>
      </c>
      <c r="U3530" s="20" t="s">
        <v>400</v>
      </c>
      <c r="V3530" s="21">
        <v>41</v>
      </c>
      <c r="W3530" s="21">
        <v>2</v>
      </c>
      <c r="X3530" s="22"/>
    </row>
    <row r="3531" spans="1:24" s="1" customFormat="1" ht="26.1" customHeight="1" x14ac:dyDescent="0.3">
      <c r="A3531" s="11" t="s">
        <v>3183</v>
      </c>
      <c r="B3531" s="11" t="s">
        <v>3833</v>
      </c>
      <c r="C3531" s="12" t="s">
        <v>3834</v>
      </c>
      <c r="D3531" s="83"/>
      <c r="E3531" s="69" t="str">
        <f>HYPERLINK("https://www.google.ru/search?q=D654JA0TU11C9999&amp;newwindow=1&amp;tbm=isch","Еще фото")</f>
        <v>Еще фото</v>
      </c>
      <c r="F3531" s="13"/>
      <c r="G3531" s="11" t="s">
        <v>3830</v>
      </c>
      <c r="H3531" s="11" t="s">
        <v>151</v>
      </c>
      <c r="I3531" s="14" t="s">
        <v>424</v>
      </c>
      <c r="J3531" s="14" t="s">
        <v>138</v>
      </c>
      <c r="K3531" s="15" t="s">
        <v>47</v>
      </c>
      <c r="L3531" s="86" t="s">
        <v>3835</v>
      </c>
      <c r="M3531" s="14"/>
      <c r="N3531" s="14" t="s">
        <v>49</v>
      </c>
      <c r="O3531" s="14"/>
      <c r="P3531" s="15" t="s">
        <v>3836</v>
      </c>
      <c r="Q3531" s="16">
        <v>15990</v>
      </c>
      <c r="R3531" s="17">
        <v>53.48</v>
      </c>
      <c r="S3531" s="18">
        <v>8553.4354999999996</v>
      </c>
      <c r="T3531" s="19" t="s">
        <v>328</v>
      </c>
      <c r="U3531" s="20" t="s">
        <v>1503</v>
      </c>
      <c r="V3531" s="21">
        <v>36</v>
      </c>
      <c r="W3531" s="21">
        <v>2</v>
      </c>
      <c r="X3531" s="22"/>
    </row>
    <row r="3532" spans="1:24" s="1" customFormat="1" ht="26.1" customHeight="1" x14ac:dyDescent="0.3">
      <c r="A3532" s="23" t="s">
        <v>3183</v>
      </c>
      <c r="B3532" s="23" t="s">
        <v>3833</v>
      </c>
      <c r="C3532" s="12" t="s">
        <v>3834</v>
      </c>
      <c r="D3532" s="84"/>
      <c r="E3532" s="69" t="str">
        <f>HYPERLINK("https://www.google.ru/search?q=D654JA0TU11C9999&amp;newwindow=1&amp;tbm=isch","Еще фото")</f>
        <v>Еще фото</v>
      </c>
      <c r="F3532" s="13"/>
      <c r="G3532" s="23" t="s">
        <v>3830</v>
      </c>
      <c r="H3532" s="23" t="s">
        <v>151</v>
      </c>
      <c r="I3532" s="23" t="s">
        <v>424</v>
      </c>
      <c r="J3532" s="14" t="s">
        <v>138</v>
      </c>
      <c r="K3532" s="15" t="s">
        <v>47</v>
      </c>
      <c r="L3532" s="87"/>
      <c r="M3532" s="14"/>
      <c r="N3532" s="14" t="s">
        <v>49</v>
      </c>
      <c r="O3532" s="14"/>
      <c r="P3532" s="15" t="s">
        <v>3836</v>
      </c>
      <c r="Q3532" s="16">
        <v>15990</v>
      </c>
      <c r="R3532" s="17">
        <v>53.48</v>
      </c>
      <c r="S3532" s="18">
        <v>8553.4354999999996</v>
      </c>
      <c r="T3532" s="19" t="s">
        <v>328</v>
      </c>
      <c r="U3532" s="20" t="s">
        <v>426</v>
      </c>
      <c r="V3532" s="21">
        <v>38</v>
      </c>
      <c r="W3532" s="21">
        <v>2</v>
      </c>
      <c r="X3532" s="22"/>
    </row>
    <row r="3533" spans="1:24" s="1" customFormat="1" ht="26.1" customHeight="1" x14ac:dyDescent="0.3">
      <c r="A3533" s="23" t="s">
        <v>3183</v>
      </c>
      <c r="B3533" s="23" t="s">
        <v>3833</v>
      </c>
      <c r="C3533" s="12" t="s">
        <v>3834</v>
      </c>
      <c r="D3533" s="84"/>
      <c r="E3533" s="69" t="str">
        <f>HYPERLINK("https://www.google.ru/search?q=D654JA0TU11C9999&amp;newwindow=1&amp;tbm=isch","Еще фото")</f>
        <v>Еще фото</v>
      </c>
      <c r="F3533" s="13"/>
      <c r="G3533" s="23" t="s">
        <v>3830</v>
      </c>
      <c r="H3533" s="23" t="s">
        <v>151</v>
      </c>
      <c r="I3533" s="23" t="s">
        <v>424</v>
      </c>
      <c r="J3533" s="14" t="s">
        <v>138</v>
      </c>
      <c r="K3533" s="15" t="s">
        <v>47</v>
      </c>
      <c r="L3533" s="87"/>
      <c r="M3533" s="14"/>
      <c r="N3533" s="14" t="s">
        <v>49</v>
      </c>
      <c r="O3533" s="14"/>
      <c r="P3533" s="15" t="s">
        <v>3836</v>
      </c>
      <c r="Q3533" s="16">
        <v>15990</v>
      </c>
      <c r="R3533" s="17">
        <v>53.48</v>
      </c>
      <c r="S3533" s="18">
        <v>8553.4354999999996</v>
      </c>
      <c r="T3533" s="19" t="s">
        <v>328</v>
      </c>
      <c r="U3533" s="20" t="s">
        <v>413</v>
      </c>
      <c r="V3533" s="21">
        <v>39</v>
      </c>
      <c r="W3533" s="21">
        <v>2</v>
      </c>
      <c r="X3533" s="22"/>
    </row>
    <row r="3534" spans="1:24" s="1" customFormat="1" ht="26.1" customHeight="1" x14ac:dyDescent="0.3">
      <c r="A3534" s="23" t="s">
        <v>3183</v>
      </c>
      <c r="B3534" s="23" t="s">
        <v>3833</v>
      </c>
      <c r="C3534" s="12" t="s">
        <v>3834</v>
      </c>
      <c r="D3534" s="85"/>
      <c r="E3534" s="69" t="str">
        <f>HYPERLINK("https://www.google.ru/search?q=D654JA0TU11C9999&amp;newwindow=1&amp;tbm=isch","Еще фото")</f>
        <v>Еще фото</v>
      </c>
      <c r="F3534" s="13"/>
      <c r="G3534" s="23" t="s">
        <v>3830</v>
      </c>
      <c r="H3534" s="23" t="s">
        <v>151</v>
      </c>
      <c r="I3534" s="23" t="s">
        <v>424</v>
      </c>
      <c r="J3534" s="14" t="s">
        <v>138</v>
      </c>
      <c r="K3534" s="15" t="s">
        <v>47</v>
      </c>
      <c r="L3534" s="88"/>
      <c r="M3534" s="14"/>
      <c r="N3534" s="14" t="s">
        <v>49</v>
      </c>
      <c r="O3534" s="14"/>
      <c r="P3534" s="15" t="s">
        <v>3836</v>
      </c>
      <c r="Q3534" s="16">
        <v>15990</v>
      </c>
      <c r="R3534" s="17">
        <v>53.48</v>
      </c>
      <c r="S3534" s="18">
        <v>8553.4354999999996</v>
      </c>
      <c r="T3534" s="19" t="s">
        <v>328</v>
      </c>
      <c r="U3534" s="20" t="s">
        <v>399</v>
      </c>
      <c r="V3534" s="21">
        <v>40</v>
      </c>
      <c r="W3534" s="21">
        <v>5</v>
      </c>
      <c r="X3534" s="22"/>
    </row>
    <row r="3535" spans="1:24" s="1" customFormat="1" ht="108" customHeight="1" x14ac:dyDescent="0.3">
      <c r="A3535" s="11" t="s">
        <v>3183</v>
      </c>
      <c r="B3535" s="11" t="s">
        <v>3833</v>
      </c>
      <c r="C3535" s="12" t="s">
        <v>3837</v>
      </c>
      <c r="D3535" s="24"/>
      <c r="E3535" s="69" t="str">
        <f>HYPERLINK("https://www.google.ru/search?q=D654JF0TU11C9999&amp;newwindow=1&amp;tbm=isch","Еще фото")</f>
        <v>Еще фото</v>
      </c>
      <c r="F3535" s="13"/>
      <c r="G3535" s="11" t="s">
        <v>3830</v>
      </c>
      <c r="H3535" s="11" t="s">
        <v>151</v>
      </c>
      <c r="I3535" s="14" t="s">
        <v>424</v>
      </c>
      <c r="J3535" s="14" t="s">
        <v>138</v>
      </c>
      <c r="K3535" s="15" t="s">
        <v>47</v>
      </c>
      <c r="L3535" s="14" t="s">
        <v>3838</v>
      </c>
      <c r="M3535" s="14"/>
      <c r="N3535" s="14" t="s">
        <v>49</v>
      </c>
      <c r="O3535" s="14"/>
      <c r="P3535" s="15" t="s">
        <v>3839</v>
      </c>
      <c r="Q3535" s="16">
        <v>15990</v>
      </c>
      <c r="R3535" s="17">
        <v>53.48</v>
      </c>
      <c r="S3535" s="18">
        <v>8553.4354999999996</v>
      </c>
      <c r="T3535" s="19" t="s">
        <v>328</v>
      </c>
      <c r="U3535" s="20" t="s">
        <v>413</v>
      </c>
      <c r="V3535" s="21">
        <v>39</v>
      </c>
      <c r="W3535" s="21">
        <v>1</v>
      </c>
      <c r="X3535" s="22"/>
    </row>
    <row r="3536" spans="1:24" s="1" customFormat="1" ht="21" customHeight="1" x14ac:dyDescent="0.3">
      <c r="A3536" s="11" t="s">
        <v>3183</v>
      </c>
      <c r="B3536" s="11" t="s">
        <v>3840</v>
      </c>
      <c r="C3536" s="27" t="s">
        <v>3841</v>
      </c>
      <c r="D3536" s="83"/>
      <c r="E3536" s="69" t="str">
        <f>HYPERLINK("https://www.google.ru/search?q=D46XTA01454C5000&amp;newwindow=1&amp;tbm=isch","Еще фото")</f>
        <v>Еще фото</v>
      </c>
      <c r="F3536" s="13"/>
      <c r="G3536" s="11" t="s">
        <v>394</v>
      </c>
      <c r="H3536" s="11" t="s">
        <v>151</v>
      </c>
      <c r="I3536" s="14" t="s">
        <v>424</v>
      </c>
      <c r="J3536" s="14" t="s">
        <v>29</v>
      </c>
      <c r="K3536" s="15" t="s">
        <v>47</v>
      </c>
      <c r="L3536" s="86" t="s">
        <v>3842</v>
      </c>
      <c r="M3536" s="14"/>
      <c r="N3536" s="14" t="s">
        <v>326</v>
      </c>
      <c r="O3536" s="14"/>
      <c r="P3536" s="15" t="s">
        <v>3843</v>
      </c>
      <c r="Q3536" s="16">
        <v>12999</v>
      </c>
      <c r="R3536" s="17">
        <v>53.48</v>
      </c>
      <c r="S3536" s="18">
        <v>6954.9354999999996</v>
      </c>
      <c r="T3536" s="19" t="s">
        <v>328</v>
      </c>
      <c r="U3536" s="20" t="s">
        <v>1503</v>
      </c>
      <c r="V3536" s="21">
        <v>36</v>
      </c>
      <c r="W3536" s="21">
        <v>1</v>
      </c>
      <c r="X3536" s="22"/>
    </row>
    <row r="3537" spans="1:24" s="1" customFormat="1" ht="21" customHeight="1" x14ac:dyDescent="0.3">
      <c r="A3537" s="23" t="s">
        <v>3183</v>
      </c>
      <c r="B3537" s="23" t="s">
        <v>3840</v>
      </c>
      <c r="C3537" s="28" t="s">
        <v>3841</v>
      </c>
      <c r="D3537" s="84"/>
      <c r="E3537" s="69" t="str">
        <f>HYPERLINK("https://www.google.ru/search?q=D46XTA01454C5000&amp;newwindow=1&amp;tbm=isch","Еще фото")</f>
        <v>Еще фото</v>
      </c>
      <c r="F3537" s="13"/>
      <c r="G3537" s="23" t="s">
        <v>394</v>
      </c>
      <c r="H3537" s="23" t="s">
        <v>151</v>
      </c>
      <c r="I3537" s="23" t="s">
        <v>424</v>
      </c>
      <c r="J3537" s="14" t="s">
        <v>29</v>
      </c>
      <c r="K3537" s="15" t="s">
        <v>47</v>
      </c>
      <c r="L3537" s="87"/>
      <c r="M3537" s="14"/>
      <c r="N3537" s="14" t="s">
        <v>326</v>
      </c>
      <c r="O3537" s="14"/>
      <c r="P3537" s="15" t="s">
        <v>3843</v>
      </c>
      <c r="Q3537" s="16">
        <v>12999</v>
      </c>
      <c r="R3537" s="17">
        <v>53.48</v>
      </c>
      <c r="S3537" s="18">
        <v>6954.9354999999996</v>
      </c>
      <c r="T3537" s="19" t="s">
        <v>328</v>
      </c>
      <c r="U3537" s="20" t="s">
        <v>409</v>
      </c>
      <c r="V3537" s="21">
        <v>37</v>
      </c>
      <c r="W3537" s="21">
        <v>5</v>
      </c>
      <c r="X3537" s="22"/>
    </row>
    <row r="3538" spans="1:24" s="1" customFormat="1" ht="21" customHeight="1" x14ac:dyDescent="0.3">
      <c r="A3538" s="23" t="s">
        <v>3183</v>
      </c>
      <c r="B3538" s="23" t="s">
        <v>3840</v>
      </c>
      <c r="C3538" s="28" t="s">
        <v>3841</v>
      </c>
      <c r="D3538" s="84"/>
      <c r="E3538" s="69" t="str">
        <f>HYPERLINK("https://www.google.ru/search?q=D46XTA01454C5000&amp;newwindow=1&amp;tbm=isch","Еще фото")</f>
        <v>Еще фото</v>
      </c>
      <c r="F3538" s="13"/>
      <c r="G3538" s="23" t="s">
        <v>394</v>
      </c>
      <c r="H3538" s="23" t="s">
        <v>151</v>
      </c>
      <c r="I3538" s="23" t="s">
        <v>424</v>
      </c>
      <c r="J3538" s="14" t="s">
        <v>29</v>
      </c>
      <c r="K3538" s="15" t="s">
        <v>47</v>
      </c>
      <c r="L3538" s="87"/>
      <c r="M3538" s="14"/>
      <c r="N3538" s="14" t="s">
        <v>326</v>
      </c>
      <c r="O3538" s="14"/>
      <c r="P3538" s="15" t="s">
        <v>3843</v>
      </c>
      <c r="Q3538" s="16">
        <v>12999</v>
      </c>
      <c r="R3538" s="17">
        <v>53.48</v>
      </c>
      <c r="S3538" s="18">
        <v>6954.9354999999996</v>
      </c>
      <c r="T3538" s="19" t="s">
        <v>328</v>
      </c>
      <c r="U3538" s="20" t="s">
        <v>413</v>
      </c>
      <c r="V3538" s="21">
        <v>39</v>
      </c>
      <c r="W3538" s="21">
        <v>7</v>
      </c>
      <c r="X3538" s="22"/>
    </row>
    <row r="3539" spans="1:24" s="1" customFormat="1" ht="21" customHeight="1" x14ac:dyDescent="0.3">
      <c r="A3539" s="23" t="s">
        <v>3183</v>
      </c>
      <c r="B3539" s="23" t="s">
        <v>3840</v>
      </c>
      <c r="C3539" s="28" t="s">
        <v>3841</v>
      </c>
      <c r="D3539" s="84"/>
      <c r="E3539" s="69" t="str">
        <f>HYPERLINK("https://www.google.ru/search?q=D46XTA01454C5000&amp;newwindow=1&amp;tbm=isch","Еще фото")</f>
        <v>Еще фото</v>
      </c>
      <c r="F3539" s="13"/>
      <c r="G3539" s="23" t="s">
        <v>394</v>
      </c>
      <c r="H3539" s="23" t="s">
        <v>151</v>
      </c>
      <c r="I3539" s="23" t="s">
        <v>424</v>
      </c>
      <c r="J3539" s="14" t="s">
        <v>29</v>
      </c>
      <c r="K3539" s="15" t="s">
        <v>47</v>
      </c>
      <c r="L3539" s="87"/>
      <c r="M3539" s="14"/>
      <c r="N3539" s="14" t="s">
        <v>326</v>
      </c>
      <c r="O3539" s="14"/>
      <c r="P3539" s="15" t="s">
        <v>3843</v>
      </c>
      <c r="Q3539" s="16">
        <v>12999</v>
      </c>
      <c r="R3539" s="17">
        <v>53.48</v>
      </c>
      <c r="S3539" s="18">
        <v>6954.9354999999996</v>
      </c>
      <c r="T3539" s="19" t="s">
        <v>328</v>
      </c>
      <c r="U3539" s="20" t="s">
        <v>399</v>
      </c>
      <c r="V3539" s="21">
        <v>40</v>
      </c>
      <c r="W3539" s="21">
        <v>3</v>
      </c>
      <c r="X3539" s="22"/>
    </row>
    <row r="3540" spans="1:24" s="1" customFormat="1" ht="32.1" customHeight="1" x14ac:dyDescent="0.3">
      <c r="A3540" s="23" t="s">
        <v>3183</v>
      </c>
      <c r="B3540" s="23" t="s">
        <v>3840</v>
      </c>
      <c r="C3540" s="28" t="s">
        <v>3841</v>
      </c>
      <c r="D3540" s="85"/>
      <c r="E3540" s="69" t="str">
        <f>HYPERLINK("https://www.google.ru/search?q=D46XTA01454C5000&amp;newwindow=1&amp;tbm=isch","Еще фото")</f>
        <v>Еще фото</v>
      </c>
      <c r="F3540" s="13"/>
      <c r="G3540" s="23" t="s">
        <v>394</v>
      </c>
      <c r="H3540" s="23" t="s">
        <v>151</v>
      </c>
      <c r="I3540" s="23" t="s">
        <v>424</v>
      </c>
      <c r="J3540" s="14" t="s">
        <v>29</v>
      </c>
      <c r="K3540" s="15" t="s">
        <v>47</v>
      </c>
      <c r="L3540" s="88"/>
      <c r="M3540" s="14"/>
      <c r="N3540" s="14" t="s">
        <v>326</v>
      </c>
      <c r="O3540" s="14"/>
      <c r="P3540" s="15" t="s">
        <v>3843</v>
      </c>
      <c r="Q3540" s="16">
        <v>12999</v>
      </c>
      <c r="R3540" s="17">
        <v>53.48</v>
      </c>
      <c r="S3540" s="18">
        <v>6954.9354999999996</v>
      </c>
      <c r="T3540" s="19" t="s">
        <v>328</v>
      </c>
      <c r="U3540" s="20" t="s">
        <v>431</v>
      </c>
      <c r="V3540" s="21">
        <v>35</v>
      </c>
      <c r="W3540" s="21">
        <v>1</v>
      </c>
      <c r="X3540" s="22"/>
    </row>
    <row r="3541" spans="1:24" s="1" customFormat="1" ht="21" customHeight="1" x14ac:dyDescent="0.3">
      <c r="A3541" s="11" t="s">
        <v>3183</v>
      </c>
      <c r="B3541" s="11" t="s">
        <v>3779</v>
      </c>
      <c r="C3541" s="27" t="s">
        <v>3844</v>
      </c>
      <c r="D3541" s="83"/>
      <c r="E3541" s="69" t="str">
        <f>HYPERLINK("https://www.google.ru/search?q=D55UGB05422C1352&amp;newwindow=1&amp;tbm=isch","Еще фото")</f>
        <v>Еще фото</v>
      </c>
      <c r="F3541" s="13"/>
      <c r="G3541" s="11" t="s">
        <v>394</v>
      </c>
      <c r="H3541" s="11" t="s">
        <v>151</v>
      </c>
      <c r="I3541" s="14" t="s">
        <v>424</v>
      </c>
      <c r="J3541" s="14" t="s">
        <v>29</v>
      </c>
      <c r="K3541" s="15" t="s">
        <v>47</v>
      </c>
      <c r="L3541" s="86" t="s">
        <v>3845</v>
      </c>
      <c r="M3541" s="14"/>
      <c r="N3541" s="14" t="s">
        <v>3846</v>
      </c>
      <c r="O3541" s="14"/>
      <c r="P3541" s="15" t="s">
        <v>3847</v>
      </c>
      <c r="Q3541" s="16">
        <v>12999</v>
      </c>
      <c r="R3541" s="17">
        <v>53.48</v>
      </c>
      <c r="S3541" s="18">
        <v>6954.9354999999996</v>
      </c>
      <c r="T3541" s="19" t="s">
        <v>328</v>
      </c>
      <c r="U3541" s="20" t="s">
        <v>1503</v>
      </c>
      <c r="V3541" s="21">
        <v>36</v>
      </c>
      <c r="W3541" s="21">
        <v>5</v>
      </c>
      <c r="X3541" s="22"/>
    </row>
    <row r="3542" spans="1:24" s="1" customFormat="1" ht="21" customHeight="1" x14ac:dyDescent="0.3">
      <c r="A3542" s="23" t="s">
        <v>3183</v>
      </c>
      <c r="B3542" s="23" t="s">
        <v>3779</v>
      </c>
      <c r="C3542" s="28" t="s">
        <v>3844</v>
      </c>
      <c r="D3542" s="84"/>
      <c r="E3542" s="69" t="str">
        <f>HYPERLINK("https://www.google.ru/search?q=D55UGB05422C1352&amp;newwindow=1&amp;tbm=isch","Еще фото")</f>
        <v>Еще фото</v>
      </c>
      <c r="F3542" s="13"/>
      <c r="G3542" s="23" t="s">
        <v>394</v>
      </c>
      <c r="H3542" s="23" t="s">
        <v>151</v>
      </c>
      <c r="I3542" s="23" t="s">
        <v>424</v>
      </c>
      <c r="J3542" s="14" t="s">
        <v>29</v>
      </c>
      <c r="K3542" s="15" t="s">
        <v>47</v>
      </c>
      <c r="L3542" s="87"/>
      <c r="M3542" s="14"/>
      <c r="N3542" s="14" t="s">
        <v>3846</v>
      </c>
      <c r="O3542" s="14"/>
      <c r="P3542" s="15" t="s">
        <v>3847</v>
      </c>
      <c r="Q3542" s="16">
        <v>12999</v>
      </c>
      <c r="R3542" s="17">
        <v>53.48</v>
      </c>
      <c r="S3542" s="18">
        <v>6954.9354999999996</v>
      </c>
      <c r="T3542" s="19" t="s">
        <v>328</v>
      </c>
      <c r="U3542" s="20" t="s">
        <v>409</v>
      </c>
      <c r="V3542" s="21">
        <v>37</v>
      </c>
      <c r="W3542" s="21">
        <v>16</v>
      </c>
      <c r="X3542" s="22"/>
    </row>
    <row r="3543" spans="1:24" s="1" customFormat="1" ht="21" customHeight="1" x14ac:dyDescent="0.3">
      <c r="A3543" s="23" t="s">
        <v>3183</v>
      </c>
      <c r="B3543" s="23" t="s">
        <v>3779</v>
      </c>
      <c r="C3543" s="28" t="s">
        <v>3844</v>
      </c>
      <c r="D3543" s="84"/>
      <c r="E3543" s="69" t="str">
        <f>HYPERLINK("https://www.google.ru/search?q=D55UGB05422C1352&amp;newwindow=1&amp;tbm=isch","Еще фото")</f>
        <v>Еще фото</v>
      </c>
      <c r="F3543" s="13"/>
      <c r="G3543" s="23" t="s">
        <v>394</v>
      </c>
      <c r="H3543" s="23" t="s">
        <v>151</v>
      </c>
      <c r="I3543" s="23" t="s">
        <v>424</v>
      </c>
      <c r="J3543" s="14" t="s">
        <v>29</v>
      </c>
      <c r="K3543" s="15" t="s">
        <v>47</v>
      </c>
      <c r="L3543" s="87"/>
      <c r="M3543" s="14"/>
      <c r="N3543" s="14" t="s">
        <v>3846</v>
      </c>
      <c r="O3543" s="14"/>
      <c r="P3543" s="15" t="s">
        <v>3847</v>
      </c>
      <c r="Q3543" s="16">
        <v>12999</v>
      </c>
      <c r="R3543" s="17">
        <v>53.48</v>
      </c>
      <c r="S3543" s="18">
        <v>6954.9354999999996</v>
      </c>
      <c r="T3543" s="19" t="s">
        <v>328</v>
      </c>
      <c r="U3543" s="20" t="s">
        <v>426</v>
      </c>
      <c r="V3543" s="21">
        <v>38</v>
      </c>
      <c r="W3543" s="21">
        <v>11</v>
      </c>
      <c r="X3543" s="22"/>
    </row>
    <row r="3544" spans="1:24" s="1" customFormat="1" ht="21" customHeight="1" x14ac:dyDescent="0.3">
      <c r="A3544" s="23" t="s">
        <v>3183</v>
      </c>
      <c r="B3544" s="23" t="s">
        <v>3779</v>
      </c>
      <c r="C3544" s="28" t="s">
        <v>3844</v>
      </c>
      <c r="D3544" s="84"/>
      <c r="E3544" s="69" t="str">
        <f>HYPERLINK("https://www.google.ru/search?q=D55UGB05422C1352&amp;newwindow=1&amp;tbm=isch","Еще фото")</f>
        <v>Еще фото</v>
      </c>
      <c r="F3544" s="13"/>
      <c r="G3544" s="23" t="s">
        <v>394</v>
      </c>
      <c r="H3544" s="23" t="s">
        <v>151</v>
      </c>
      <c r="I3544" s="23" t="s">
        <v>424</v>
      </c>
      <c r="J3544" s="14" t="s">
        <v>29</v>
      </c>
      <c r="K3544" s="15" t="s">
        <v>47</v>
      </c>
      <c r="L3544" s="87"/>
      <c r="M3544" s="14"/>
      <c r="N3544" s="14" t="s">
        <v>3846</v>
      </c>
      <c r="O3544" s="14"/>
      <c r="P3544" s="15" t="s">
        <v>3847</v>
      </c>
      <c r="Q3544" s="16">
        <v>12999</v>
      </c>
      <c r="R3544" s="17">
        <v>53.48</v>
      </c>
      <c r="S3544" s="18">
        <v>6954.9354999999996</v>
      </c>
      <c r="T3544" s="19" t="s">
        <v>328</v>
      </c>
      <c r="U3544" s="20" t="s">
        <v>413</v>
      </c>
      <c r="V3544" s="21">
        <v>39</v>
      </c>
      <c r="W3544" s="21">
        <v>16</v>
      </c>
      <c r="X3544" s="22"/>
    </row>
    <row r="3545" spans="1:24" s="1" customFormat="1" ht="32.1" customHeight="1" x14ac:dyDescent="0.3">
      <c r="A3545" s="23" t="s">
        <v>3183</v>
      </c>
      <c r="B3545" s="23" t="s">
        <v>3779</v>
      </c>
      <c r="C3545" s="28" t="s">
        <v>3844</v>
      </c>
      <c r="D3545" s="85"/>
      <c r="E3545" s="69" t="str">
        <f>HYPERLINK("https://www.google.ru/search?q=D55UGB05422C1352&amp;newwindow=1&amp;tbm=isch","Еще фото")</f>
        <v>Еще фото</v>
      </c>
      <c r="F3545" s="13"/>
      <c r="G3545" s="23" t="s">
        <v>394</v>
      </c>
      <c r="H3545" s="23" t="s">
        <v>151</v>
      </c>
      <c r="I3545" s="23" t="s">
        <v>424</v>
      </c>
      <c r="J3545" s="14" t="s">
        <v>29</v>
      </c>
      <c r="K3545" s="15" t="s">
        <v>47</v>
      </c>
      <c r="L3545" s="88"/>
      <c r="M3545" s="14"/>
      <c r="N3545" s="14" t="s">
        <v>3846</v>
      </c>
      <c r="O3545" s="14"/>
      <c r="P3545" s="15" t="s">
        <v>3847</v>
      </c>
      <c r="Q3545" s="16">
        <v>12999</v>
      </c>
      <c r="R3545" s="17">
        <v>53.48</v>
      </c>
      <c r="S3545" s="18">
        <v>6954.9354999999996</v>
      </c>
      <c r="T3545" s="19" t="s">
        <v>328</v>
      </c>
      <c r="U3545" s="20" t="s">
        <v>399</v>
      </c>
      <c r="V3545" s="21">
        <v>40</v>
      </c>
      <c r="W3545" s="21">
        <v>12</v>
      </c>
      <c r="X3545" s="22"/>
    </row>
    <row r="3546" spans="1:24" s="1" customFormat="1" ht="35.1" customHeight="1" x14ac:dyDescent="0.3">
      <c r="A3546" s="11" t="s">
        <v>3183</v>
      </c>
      <c r="B3546" s="11" t="s">
        <v>3848</v>
      </c>
      <c r="C3546" s="12" t="s">
        <v>3849</v>
      </c>
      <c r="D3546" s="83"/>
      <c r="E3546" s="69" t="str">
        <f>HYPERLINK("https://www.google.ru/search?q=U55LSA000BUC4002&amp;newwindow=1&amp;tbm=isch","Еще фото")</f>
        <v>Еще фото</v>
      </c>
      <c r="F3546" s="13"/>
      <c r="G3546" s="11" t="s">
        <v>394</v>
      </c>
      <c r="H3546" s="11" t="s">
        <v>151</v>
      </c>
      <c r="I3546" s="14" t="s">
        <v>424</v>
      </c>
      <c r="J3546" s="14" t="s">
        <v>29</v>
      </c>
      <c r="K3546" s="15" t="s">
        <v>55</v>
      </c>
      <c r="L3546" s="86" t="s">
        <v>3850</v>
      </c>
      <c r="M3546" s="14"/>
      <c r="N3546" s="14" t="s">
        <v>70</v>
      </c>
      <c r="O3546" s="14"/>
      <c r="P3546" s="15" t="s">
        <v>3851</v>
      </c>
      <c r="Q3546" s="16">
        <v>12999</v>
      </c>
      <c r="R3546" s="17">
        <v>53.48</v>
      </c>
      <c r="S3546" s="18">
        <v>6954.9354999999996</v>
      </c>
      <c r="T3546" s="19" t="s">
        <v>328</v>
      </c>
      <c r="U3546" s="20" t="s">
        <v>399</v>
      </c>
      <c r="V3546" s="21">
        <v>40</v>
      </c>
      <c r="W3546" s="21">
        <v>2</v>
      </c>
      <c r="X3546" s="22"/>
    </row>
    <row r="3547" spans="1:24" s="1" customFormat="1" ht="35.1" customHeight="1" x14ac:dyDescent="0.3">
      <c r="A3547" s="23" t="s">
        <v>3183</v>
      </c>
      <c r="B3547" s="23" t="s">
        <v>3848</v>
      </c>
      <c r="C3547" s="12" t="s">
        <v>3849</v>
      </c>
      <c r="D3547" s="84"/>
      <c r="E3547" s="69" t="str">
        <f>HYPERLINK("https://www.google.ru/search?q=U55LSA000BUC4002&amp;newwindow=1&amp;tbm=isch","Еще фото")</f>
        <v>Еще фото</v>
      </c>
      <c r="F3547" s="13"/>
      <c r="G3547" s="23" t="s">
        <v>394</v>
      </c>
      <c r="H3547" s="23" t="s">
        <v>151</v>
      </c>
      <c r="I3547" s="23" t="s">
        <v>424</v>
      </c>
      <c r="J3547" s="14" t="s">
        <v>29</v>
      </c>
      <c r="K3547" s="15" t="s">
        <v>55</v>
      </c>
      <c r="L3547" s="87"/>
      <c r="M3547" s="14"/>
      <c r="N3547" s="14" t="s">
        <v>70</v>
      </c>
      <c r="O3547" s="14"/>
      <c r="P3547" s="15" t="s">
        <v>3851</v>
      </c>
      <c r="Q3547" s="16">
        <v>12999</v>
      </c>
      <c r="R3547" s="17">
        <v>53.48</v>
      </c>
      <c r="S3547" s="18">
        <v>6954.9354999999996</v>
      </c>
      <c r="T3547" s="19" t="s">
        <v>328</v>
      </c>
      <c r="U3547" s="20" t="s">
        <v>401</v>
      </c>
      <c r="V3547" s="21">
        <v>43</v>
      </c>
      <c r="W3547" s="21">
        <v>3</v>
      </c>
      <c r="X3547" s="22"/>
    </row>
    <row r="3548" spans="1:24" s="1" customFormat="1" ht="36.950000000000003" customHeight="1" x14ac:dyDescent="0.3">
      <c r="A3548" s="23" t="s">
        <v>3183</v>
      </c>
      <c r="B3548" s="23" t="s">
        <v>3848</v>
      </c>
      <c r="C3548" s="12" t="s">
        <v>3849</v>
      </c>
      <c r="D3548" s="85"/>
      <c r="E3548" s="69" t="str">
        <f>HYPERLINK("https://www.google.ru/search?q=U55LSA000BUC4002&amp;newwindow=1&amp;tbm=isch","Еще фото")</f>
        <v>Еще фото</v>
      </c>
      <c r="F3548" s="13"/>
      <c r="G3548" s="23" t="s">
        <v>394</v>
      </c>
      <c r="H3548" s="23" t="s">
        <v>151</v>
      </c>
      <c r="I3548" s="23" t="s">
        <v>424</v>
      </c>
      <c r="J3548" s="14" t="s">
        <v>29</v>
      </c>
      <c r="K3548" s="15" t="s">
        <v>55</v>
      </c>
      <c r="L3548" s="88"/>
      <c r="M3548" s="14"/>
      <c r="N3548" s="14" t="s">
        <v>70</v>
      </c>
      <c r="O3548" s="14"/>
      <c r="P3548" s="15" t="s">
        <v>3851</v>
      </c>
      <c r="Q3548" s="16">
        <v>12999</v>
      </c>
      <c r="R3548" s="17">
        <v>53.48</v>
      </c>
      <c r="S3548" s="18">
        <v>6954.9354999999996</v>
      </c>
      <c r="T3548" s="19" t="s">
        <v>328</v>
      </c>
      <c r="U3548" s="20" t="s">
        <v>402</v>
      </c>
      <c r="V3548" s="21">
        <v>44</v>
      </c>
      <c r="W3548" s="21">
        <v>11</v>
      </c>
      <c r="X3548" s="22"/>
    </row>
    <row r="3549" spans="1:24" s="1" customFormat="1" ht="51.95" customHeight="1" x14ac:dyDescent="0.3">
      <c r="A3549" s="11" t="s">
        <v>3183</v>
      </c>
      <c r="B3549" s="11" t="s">
        <v>3852</v>
      </c>
      <c r="C3549" s="12" t="s">
        <v>3853</v>
      </c>
      <c r="D3549" s="89"/>
      <c r="E3549" s="69" t="str">
        <f>HYPERLINK("https://www.google.ru/search?q=B462DC04322C4429&amp;newwindow=1&amp;tbm=isch","Еще фото")</f>
        <v>Еще фото</v>
      </c>
      <c r="F3549" s="13"/>
      <c r="G3549" s="11" t="s">
        <v>3659</v>
      </c>
      <c r="H3549" s="11" t="s">
        <v>151</v>
      </c>
      <c r="I3549" s="14" t="s">
        <v>424</v>
      </c>
      <c r="J3549" s="14" t="s">
        <v>138</v>
      </c>
      <c r="K3549" s="15" t="s">
        <v>30</v>
      </c>
      <c r="L3549" s="86" t="s">
        <v>3854</v>
      </c>
      <c r="M3549" s="14"/>
      <c r="N3549" s="14" t="s">
        <v>3855</v>
      </c>
      <c r="O3549" s="14"/>
      <c r="P3549" s="15" t="s">
        <v>3856</v>
      </c>
      <c r="Q3549" s="16">
        <v>10290</v>
      </c>
      <c r="R3549" s="17">
        <v>53.47</v>
      </c>
      <c r="S3549" s="18">
        <v>5505.9355000000005</v>
      </c>
      <c r="T3549" s="19" t="s">
        <v>328</v>
      </c>
      <c r="U3549" s="20" t="s">
        <v>559</v>
      </c>
      <c r="V3549" s="21">
        <v>24</v>
      </c>
      <c r="W3549" s="21">
        <v>1</v>
      </c>
      <c r="X3549" s="22"/>
    </row>
    <row r="3550" spans="1:24" s="1" customFormat="1" ht="60.95" customHeight="1" x14ac:dyDescent="0.3">
      <c r="A3550" s="23" t="s">
        <v>3183</v>
      </c>
      <c r="B3550" s="23" t="s">
        <v>3852</v>
      </c>
      <c r="C3550" s="12" t="s">
        <v>3853</v>
      </c>
      <c r="D3550" s="90"/>
      <c r="E3550" s="69" t="str">
        <f>HYPERLINK("https://www.google.ru/search?q=B462DC04322C4429&amp;newwindow=1&amp;tbm=isch","Еще фото")</f>
        <v>Еще фото</v>
      </c>
      <c r="F3550" s="13"/>
      <c r="G3550" s="23" t="s">
        <v>3659</v>
      </c>
      <c r="H3550" s="23" t="s">
        <v>151</v>
      </c>
      <c r="I3550" s="23" t="s">
        <v>424</v>
      </c>
      <c r="J3550" s="14" t="s">
        <v>138</v>
      </c>
      <c r="K3550" s="15" t="s">
        <v>30</v>
      </c>
      <c r="L3550" s="88"/>
      <c r="M3550" s="14"/>
      <c r="N3550" s="14" t="s">
        <v>3855</v>
      </c>
      <c r="O3550" s="14"/>
      <c r="P3550" s="15" t="s">
        <v>3856</v>
      </c>
      <c r="Q3550" s="16">
        <v>10290</v>
      </c>
      <c r="R3550" s="17">
        <v>53.47</v>
      </c>
      <c r="S3550" s="18">
        <v>5505.9355000000005</v>
      </c>
      <c r="T3550" s="19" t="s">
        <v>328</v>
      </c>
      <c r="U3550" s="20" t="s">
        <v>3857</v>
      </c>
      <c r="V3550" s="21">
        <v>25</v>
      </c>
      <c r="W3550" s="21">
        <v>1</v>
      </c>
      <c r="X3550" s="22"/>
    </row>
    <row r="3551" spans="1:24" s="1" customFormat="1" ht="17.100000000000001" customHeight="1" x14ac:dyDescent="0.3">
      <c r="A3551" s="11" t="s">
        <v>3183</v>
      </c>
      <c r="B3551" s="11" t="s">
        <v>3858</v>
      </c>
      <c r="C3551" s="12" t="s">
        <v>3859</v>
      </c>
      <c r="D3551" s="83"/>
      <c r="E3551" s="69" t="str">
        <f t="shared" ref="E3551:E3556" si="164">HYPERLINK("https://www.google.ru/search?q=D556HE011BCC1405&amp;newwindow=1&amp;tbm=isch","Еще фото")</f>
        <v>Еще фото</v>
      </c>
      <c r="F3551" s="13"/>
      <c r="G3551" s="11" t="s">
        <v>394</v>
      </c>
      <c r="H3551" s="11" t="s">
        <v>151</v>
      </c>
      <c r="I3551" s="14" t="s">
        <v>424</v>
      </c>
      <c r="J3551" s="14" t="s">
        <v>29</v>
      </c>
      <c r="K3551" s="15" t="s">
        <v>47</v>
      </c>
      <c r="L3551" s="86" t="s">
        <v>3860</v>
      </c>
      <c r="M3551" s="14"/>
      <c r="N3551" s="14" t="s">
        <v>89</v>
      </c>
      <c r="O3551" s="14"/>
      <c r="P3551" s="15" t="s">
        <v>3861</v>
      </c>
      <c r="Q3551" s="16">
        <v>11299</v>
      </c>
      <c r="R3551" s="17">
        <v>53.47</v>
      </c>
      <c r="S3551" s="18">
        <v>6046.4354999999996</v>
      </c>
      <c r="T3551" s="19" t="s">
        <v>328</v>
      </c>
      <c r="U3551" s="20" t="s">
        <v>1503</v>
      </c>
      <c r="V3551" s="21">
        <v>36</v>
      </c>
      <c r="W3551" s="21">
        <v>4</v>
      </c>
      <c r="X3551" s="22"/>
    </row>
    <row r="3552" spans="1:24" s="1" customFormat="1" ht="17.100000000000001" customHeight="1" x14ac:dyDescent="0.3">
      <c r="A3552" s="23" t="s">
        <v>3183</v>
      </c>
      <c r="B3552" s="23" t="s">
        <v>3858</v>
      </c>
      <c r="C3552" s="12" t="s">
        <v>3859</v>
      </c>
      <c r="D3552" s="84"/>
      <c r="E3552" s="69" t="str">
        <f t="shared" si="164"/>
        <v>Еще фото</v>
      </c>
      <c r="F3552" s="13"/>
      <c r="G3552" s="23" t="s">
        <v>394</v>
      </c>
      <c r="H3552" s="23" t="s">
        <v>151</v>
      </c>
      <c r="I3552" s="23" t="s">
        <v>424</v>
      </c>
      <c r="J3552" s="14" t="s">
        <v>29</v>
      </c>
      <c r="K3552" s="15" t="s">
        <v>47</v>
      </c>
      <c r="L3552" s="87"/>
      <c r="M3552" s="14"/>
      <c r="N3552" s="14" t="s">
        <v>89</v>
      </c>
      <c r="O3552" s="14"/>
      <c r="P3552" s="15" t="s">
        <v>3861</v>
      </c>
      <c r="Q3552" s="16">
        <v>11299</v>
      </c>
      <c r="R3552" s="17">
        <v>53.47</v>
      </c>
      <c r="S3552" s="18">
        <v>6046.4354999999996</v>
      </c>
      <c r="T3552" s="19" t="s">
        <v>328</v>
      </c>
      <c r="U3552" s="20" t="s">
        <v>409</v>
      </c>
      <c r="V3552" s="21">
        <v>37</v>
      </c>
      <c r="W3552" s="21">
        <v>15</v>
      </c>
      <c r="X3552" s="22"/>
    </row>
    <row r="3553" spans="1:24" s="1" customFormat="1" ht="17.100000000000001" customHeight="1" x14ac:dyDescent="0.3">
      <c r="A3553" s="23" t="s">
        <v>3183</v>
      </c>
      <c r="B3553" s="23" t="s">
        <v>3858</v>
      </c>
      <c r="C3553" s="12" t="s">
        <v>3859</v>
      </c>
      <c r="D3553" s="84"/>
      <c r="E3553" s="69" t="str">
        <f t="shared" si="164"/>
        <v>Еще фото</v>
      </c>
      <c r="F3553" s="13"/>
      <c r="G3553" s="23" t="s">
        <v>394</v>
      </c>
      <c r="H3553" s="23" t="s">
        <v>151</v>
      </c>
      <c r="I3553" s="23" t="s">
        <v>424</v>
      </c>
      <c r="J3553" s="14" t="s">
        <v>29</v>
      </c>
      <c r="K3553" s="15" t="s">
        <v>47</v>
      </c>
      <c r="L3553" s="87"/>
      <c r="M3553" s="14"/>
      <c r="N3553" s="14" t="s">
        <v>89</v>
      </c>
      <c r="O3553" s="14"/>
      <c r="P3553" s="15" t="s">
        <v>3861</v>
      </c>
      <c r="Q3553" s="16">
        <v>11299</v>
      </c>
      <c r="R3553" s="17">
        <v>53.47</v>
      </c>
      <c r="S3553" s="18">
        <v>6046.4354999999996</v>
      </c>
      <c r="T3553" s="19" t="s">
        <v>328</v>
      </c>
      <c r="U3553" s="20" t="s">
        <v>426</v>
      </c>
      <c r="V3553" s="21">
        <v>38</v>
      </c>
      <c r="W3553" s="21">
        <v>4</v>
      </c>
      <c r="X3553" s="22"/>
    </row>
    <row r="3554" spans="1:24" s="1" customFormat="1" ht="17.100000000000001" customHeight="1" x14ac:dyDescent="0.3">
      <c r="A3554" s="23" t="s">
        <v>3183</v>
      </c>
      <c r="B3554" s="23" t="s">
        <v>3858</v>
      </c>
      <c r="C3554" s="12" t="s">
        <v>3859</v>
      </c>
      <c r="D3554" s="84"/>
      <c r="E3554" s="69" t="str">
        <f t="shared" si="164"/>
        <v>Еще фото</v>
      </c>
      <c r="F3554" s="13"/>
      <c r="G3554" s="23" t="s">
        <v>394</v>
      </c>
      <c r="H3554" s="23" t="s">
        <v>151</v>
      </c>
      <c r="I3554" s="23" t="s">
        <v>424</v>
      </c>
      <c r="J3554" s="14" t="s">
        <v>29</v>
      </c>
      <c r="K3554" s="15" t="s">
        <v>47</v>
      </c>
      <c r="L3554" s="87"/>
      <c r="M3554" s="14"/>
      <c r="N3554" s="14" t="s">
        <v>89</v>
      </c>
      <c r="O3554" s="14"/>
      <c r="P3554" s="15" t="s">
        <v>3861</v>
      </c>
      <c r="Q3554" s="16">
        <v>11299</v>
      </c>
      <c r="R3554" s="17">
        <v>53.47</v>
      </c>
      <c r="S3554" s="18">
        <v>6046.4354999999996</v>
      </c>
      <c r="T3554" s="19" t="s">
        <v>328</v>
      </c>
      <c r="U3554" s="20" t="s">
        <v>413</v>
      </c>
      <c r="V3554" s="21">
        <v>39</v>
      </c>
      <c r="W3554" s="21">
        <v>11</v>
      </c>
      <c r="X3554" s="22"/>
    </row>
    <row r="3555" spans="1:24" s="1" customFormat="1" ht="17.100000000000001" customHeight="1" x14ac:dyDescent="0.3">
      <c r="A3555" s="23" t="s">
        <v>3183</v>
      </c>
      <c r="B3555" s="23" t="s">
        <v>3858</v>
      </c>
      <c r="C3555" s="12" t="s">
        <v>3859</v>
      </c>
      <c r="D3555" s="84"/>
      <c r="E3555" s="69" t="str">
        <f t="shared" si="164"/>
        <v>Еще фото</v>
      </c>
      <c r="F3555" s="13"/>
      <c r="G3555" s="23" t="s">
        <v>394</v>
      </c>
      <c r="H3555" s="23" t="s">
        <v>151</v>
      </c>
      <c r="I3555" s="23" t="s">
        <v>424</v>
      </c>
      <c r="J3555" s="14" t="s">
        <v>29</v>
      </c>
      <c r="K3555" s="15" t="s">
        <v>47</v>
      </c>
      <c r="L3555" s="87"/>
      <c r="M3555" s="14"/>
      <c r="N3555" s="14" t="s">
        <v>89</v>
      </c>
      <c r="O3555" s="14"/>
      <c r="P3555" s="15" t="s">
        <v>3861</v>
      </c>
      <c r="Q3555" s="16">
        <v>11299</v>
      </c>
      <c r="R3555" s="17">
        <v>53.47</v>
      </c>
      <c r="S3555" s="18">
        <v>6046.4354999999996</v>
      </c>
      <c r="T3555" s="19" t="s">
        <v>328</v>
      </c>
      <c r="U3555" s="20" t="s">
        <v>399</v>
      </c>
      <c r="V3555" s="21">
        <v>40</v>
      </c>
      <c r="W3555" s="21">
        <v>12</v>
      </c>
      <c r="X3555" s="22"/>
    </row>
    <row r="3556" spans="1:24" s="1" customFormat="1" ht="21.95" customHeight="1" x14ac:dyDescent="0.3">
      <c r="A3556" s="23" t="s">
        <v>3183</v>
      </c>
      <c r="B3556" s="23" t="s">
        <v>3858</v>
      </c>
      <c r="C3556" s="12" t="s">
        <v>3859</v>
      </c>
      <c r="D3556" s="85"/>
      <c r="E3556" s="69" t="str">
        <f t="shared" si="164"/>
        <v>Еще фото</v>
      </c>
      <c r="F3556" s="13"/>
      <c r="G3556" s="23" t="s">
        <v>394</v>
      </c>
      <c r="H3556" s="23" t="s">
        <v>151</v>
      </c>
      <c r="I3556" s="23" t="s">
        <v>424</v>
      </c>
      <c r="J3556" s="14" t="s">
        <v>29</v>
      </c>
      <c r="K3556" s="15" t="s">
        <v>47</v>
      </c>
      <c r="L3556" s="88"/>
      <c r="M3556" s="14"/>
      <c r="N3556" s="14" t="s">
        <v>89</v>
      </c>
      <c r="O3556" s="14"/>
      <c r="P3556" s="15" t="s">
        <v>3861</v>
      </c>
      <c r="Q3556" s="16">
        <v>11299</v>
      </c>
      <c r="R3556" s="17">
        <v>53.47</v>
      </c>
      <c r="S3556" s="18">
        <v>6046.4354999999996</v>
      </c>
      <c r="T3556" s="19" t="s">
        <v>328</v>
      </c>
      <c r="U3556" s="20" t="s">
        <v>400</v>
      </c>
      <c r="V3556" s="21">
        <v>41</v>
      </c>
      <c r="W3556" s="21">
        <v>3</v>
      </c>
      <c r="X3556" s="22"/>
    </row>
    <row r="3557" spans="1:24" s="1" customFormat="1" ht="35.1" customHeight="1" x14ac:dyDescent="0.3">
      <c r="A3557" s="11" t="s">
        <v>3183</v>
      </c>
      <c r="B3557" s="11" t="s">
        <v>3862</v>
      </c>
      <c r="C3557" s="12" t="s">
        <v>3863</v>
      </c>
      <c r="D3557" s="83"/>
      <c r="E3557" s="69" t="str">
        <f>HYPERLINK("https://www.google.ru/search?q=J36GMA01454C4244&amp;newwindow=1&amp;tbm=isch","Еще фото")</f>
        <v>Еще фото</v>
      </c>
      <c r="F3557" s="13"/>
      <c r="G3557" s="11" t="s">
        <v>394</v>
      </c>
      <c r="H3557" s="11" t="s">
        <v>151</v>
      </c>
      <c r="I3557" s="14" t="s">
        <v>424</v>
      </c>
      <c r="J3557" s="14" t="s">
        <v>29</v>
      </c>
      <c r="K3557" s="15" t="s">
        <v>30</v>
      </c>
      <c r="L3557" s="86" t="s">
        <v>3864</v>
      </c>
      <c r="M3557" s="14"/>
      <c r="N3557" s="14" t="s">
        <v>70</v>
      </c>
      <c r="O3557" s="14"/>
      <c r="P3557" s="15" t="s">
        <v>3865</v>
      </c>
      <c r="Q3557" s="16">
        <v>8999</v>
      </c>
      <c r="R3557" s="17">
        <v>53.46</v>
      </c>
      <c r="S3557" s="18">
        <v>4815.9355000000005</v>
      </c>
      <c r="T3557" s="19" t="s">
        <v>328</v>
      </c>
      <c r="U3557" s="20" t="s">
        <v>3189</v>
      </c>
      <c r="V3557" s="21">
        <v>30</v>
      </c>
      <c r="W3557" s="21">
        <v>5</v>
      </c>
      <c r="X3557" s="22"/>
    </row>
    <row r="3558" spans="1:24" s="1" customFormat="1" ht="35.1" customHeight="1" x14ac:dyDescent="0.3">
      <c r="A3558" s="23" t="s">
        <v>3183</v>
      </c>
      <c r="B3558" s="23" t="s">
        <v>3862</v>
      </c>
      <c r="C3558" s="12" t="s">
        <v>3863</v>
      </c>
      <c r="D3558" s="84"/>
      <c r="E3558" s="69" t="str">
        <f>HYPERLINK("https://www.google.ru/search?q=J36GMA01454C4244&amp;newwindow=1&amp;tbm=isch","Еще фото")</f>
        <v>Еще фото</v>
      </c>
      <c r="F3558" s="13"/>
      <c r="G3558" s="23" t="s">
        <v>394</v>
      </c>
      <c r="H3558" s="23" t="s">
        <v>151</v>
      </c>
      <c r="I3558" s="23" t="s">
        <v>424</v>
      </c>
      <c r="J3558" s="14" t="s">
        <v>29</v>
      </c>
      <c r="K3558" s="15" t="s">
        <v>30</v>
      </c>
      <c r="L3558" s="87"/>
      <c r="M3558" s="14"/>
      <c r="N3558" s="14" t="s">
        <v>70</v>
      </c>
      <c r="O3558" s="14"/>
      <c r="P3558" s="15" t="s">
        <v>3865</v>
      </c>
      <c r="Q3558" s="16">
        <v>8999</v>
      </c>
      <c r="R3558" s="17">
        <v>53.46</v>
      </c>
      <c r="S3558" s="18">
        <v>4815.9355000000005</v>
      </c>
      <c r="T3558" s="19" t="s">
        <v>328</v>
      </c>
      <c r="U3558" s="20" t="s">
        <v>3190</v>
      </c>
      <c r="V3558" s="21">
        <v>31</v>
      </c>
      <c r="W3558" s="21">
        <v>1</v>
      </c>
      <c r="X3558" s="22"/>
    </row>
    <row r="3559" spans="1:24" s="1" customFormat="1" ht="36.950000000000003" customHeight="1" x14ac:dyDescent="0.3">
      <c r="A3559" s="23" t="s">
        <v>3183</v>
      </c>
      <c r="B3559" s="23" t="s">
        <v>3862</v>
      </c>
      <c r="C3559" s="12" t="s">
        <v>3863</v>
      </c>
      <c r="D3559" s="85"/>
      <c r="E3559" s="69" t="str">
        <f>HYPERLINK("https://www.google.ru/search?q=J36GMA01454C4244&amp;newwindow=1&amp;tbm=isch","Еще фото")</f>
        <v>Еще фото</v>
      </c>
      <c r="F3559" s="13"/>
      <c r="G3559" s="23" t="s">
        <v>394</v>
      </c>
      <c r="H3559" s="23" t="s">
        <v>151</v>
      </c>
      <c r="I3559" s="23" t="s">
        <v>424</v>
      </c>
      <c r="J3559" s="14" t="s">
        <v>29</v>
      </c>
      <c r="K3559" s="15" t="s">
        <v>30</v>
      </c>
      <c r="L3559" s="88"/>
      <c r="M3559" s="14"/>
      <c r="N3559" s="14" t="s">
        <v>70</v>
      </c>
      <c r="O3559" s="14"/>
      <c r="P3559" s="15" t="s">
        <v>3865</v>
      </c>
      <c r="Q3559" s="16">
        <v>8999</v>
      </c>
      <c r="R3559" s="17">
        <v>53.46</v>
      </c>
      <c r="S3559" s="18">
        <v>4815.9355000000005</v>
      </c>
      <c r="T3559" s="19" t="s">
        <v>328</v>
      </c>
      <c r="U3559" s="20" t="s">
        <v>552</v>
      </c>
      <c r="V3559" s="21">
        <v>32</v>
      </c>
      <c r="W3559" s="21">
        <v>3</v>
      </c>
      <c r="X3559" s="22"/>
    </row>
    <row r="3560" spans="1:24" s="1" customFormat="1" ht="35.1" customHeight="1" x14ac:dyDescent="0.3">
      <c r="A3560" s="11" t="s">
        <v>3183</v>
      </c>
      <c r="B3560" s="11" t="s">
        <v>3866</v>
      </c>
      <c r="C3560" s="12" t="s">
        <v>3867</v>
      </c>
      <c r="D3560" s="83"/>
      <c r="E3560" s="69" t="str">
        <f>HYPERLINK("https://www.google.ru/search?q=J463ZB050FUC4231&amp;newwindow=1&amp;tbm=isch","Еще фото")</f>
        <v>Еще фото</v>
      </c>
      <c r="F3560" s="13"/>
      <c r="G3560" s="11" t="s">
        <v>394</v>
      </c>
      <c r="H3560" s="11" t="s">
        <v>151</v>
      </c>
      <c r="I3560" s="14" t="s">
        <v>424</v>
      </c>
      <c r="J3560" s="14" t="s">
        <v>29</v>
      </c>
      <c r="K3560" s="15" t="s">
        <v>30</v>
      </c>
      <c r="L3560" s="86" t="s">
        <v>3868</v>
      </c>
      <c r="M3560" s="14"/>
      <c r="N3560" s="14" t="s">
        <v>3869</v>
      </c>
      <c r="O3560" s="14"/>
      <c r="P3560" s="15" t="s">
        <v>3870</v>
      </c>
      <c r="Q3560" s="16">
        <v>11190</v>
      </c>
      <c r="R3560" s="17">
        <v>53.46</v>
      </c>
      <c r="S3560" s="18">
        <v>5988.9354999999996</v>
      </c>
      <c r="T3560" s="19" t="s">
        <v>328</v>
      </c>
      <c r="U3560" s="20" t="s">
        <v>3190</v>
      </c>
      <c r="V3560" s="21">
        <v>31</v>
      </c>
      <c r="W3560" s="21">
        <v>5</v>
      </c>
      <c r="X3560" s="22"/>
    </row>
    <row r="3561" spans="1:24" s="1" customFormat="1" ht="35.1" customHeight="1" x14ac:dyDescent="0.3">
      <c r="A3561" s="23" t="s">
        <v>3183</v>
      </c>
      <c r="B3561" s="23" t="s">
        <v>3866</v>
      </c>
      <c r="C3561" s="12" t="s">
        <v>3867</v>
      </c>
      <c r="D3561" s="84"/>
      <c r="E3561" s="69" t="str">
        <f>HYPERLINK("https://www.google.ru/search?q=J463ZB050FUC4231&amp;newwindow=1&amp;tbm=isch","Еще фото")</f>
        <v>Еще фото</v>
      </c>
      <c r="F3561" s="13"/>
      <c r="G3561" s="23" t="s">
        <v>394</v>
      </c>
      <c r="H3561" s="23" t="s">
        <v>151</v>
      </c>
      <c r="I3561" s="23" t="s">
        <v>424</v>
      </c>
      <c r="J3561" s="14" t="s">
        <v>29</v>
      </c>
      <c r="K3561" s="15" t="s">
        <v>30</v>
      </c>
      <c r="L3561" s="87"/>
      <c r="M3561" s="14"/>
      <c r="N3561" s="14" t="s">
        <v>3869</v>
      </c>
      <c r="O3561" s="14"/>
      <c r="P3561" s="15" t="s">
        <v>3870</v>
      </c>
      <c r="Q3561" s="16">
        <v>11190</v>
      </c>
      <c r="R3561" s="17">
        <v>53.46</v>
      </c>
      <c r="S3561" s="18">
        <v>5988.9354999999996</v>
      </c>
      <c r="T3561" s="19" t="s">
        <v>328</v>
      </c>
      <c r="U3561" s="20" t="s">
        <v>552</v>
      </c>
      <c r="V3561" s="21">
        <v>32</v>
      </c>
      <c r="W3561" s="21">
        <v>3</v>
      </c>
      <c r="X3561" s="22"/>
    </row>
    <row r="3562" spans="1:24" s="1" customFormat="1" ht="36.950000000000003" customHeight="1" x14ac:dyDescent="0.3">
      <c r="A3562" s="23" t="s">
        <v>3183</v>
      </c>
      <c r="B3562" s="23" t="s">
        <v>3866</v>
      </c>
      <c r="C3562" s="12" t="s">
        <v>3867</v>
      </c>
      <c r="D3562" s="85"/>
      <c r="E3562" s="69" t="str">
        <f>HYPERLINK("https://www.google.ru/search?q=J463ZB050FUC4231&amp;newwindow=1&amp;tbm=isch","Еще фото")</f>
        <v>Еще фото</v>
      </c>
      <c r="F3562" s="13"/>
      <c r="G3562" s="23" t="s">
        <v>394</v>
      </c>
      <c r="H3562" s="23" t="s">
        <v>151</v>
      </c>
      <c r="I3562" s="23" t="s">
        <v>424</v>
      </c>
      <c r="J3562" s="14" t="s">
        <v>29</v>
      </c>
      <c r="K3562" s="15" t="s">
        <v>30</v>
      </c>
      <c r="L3562" s="88"/>
      <c r="M3562" s="14"/>
      <c r="N3562" s="14" t="s">
        <v>3869</v>
      </c>
      <c r="O3562" s="14"/>
      <c r="P3562" s="15" t="s">
        <v>3870</v>
      </c>
      <c r="Q3562" s="16">
        <v>11190</v>
      </c>
      <c r="R3562" s="17">
        <v>53.46</v>
      </c>
      <c r="S3562" s="18">
        <v>5988.9354999999996</v>
      </c>
      <c r="T3562" s="19" t="s">
        <v>328</v>
      </c>
      <c r="U3562" s="20" t="s">
        <v>553</v>
      </c>
      <c r="V3562" s="21">
        <v>33</v>
      </c>
      <c r="W3562" s="21">
        <v>6</v>
      </c>
      <c r="X3562" s="22"/>
    </row>
    <row r="3563" spans="1:24" s="1" customFormat="1" ht="21" customHeight="1" x14ac:dyDescent="0.3">
      <c r="A3563" s="11" t="s">
        <v>3183</v>
      </c>
      <c r="B3563" s="11" t="s">
        <v>3871</v>
      </c>
      <c r="C3563" s="27" t="s">
        <v>3872</v>
      </c>
      <c r="D3563" s="83"/>
      <c r="E3563" s="69" t="str">
        <f>HYPERLINK("https://www.google.ru/search?q=J559CE01454C0693&amp;newwindow=1&amp;tbm=isch","Еще фото")</f>
        <v>Еще фото</v>
      </c>
      <c r="F3563" s="13"/>
      <c r="G3563" s="11" t="s">
        <v>394</v>
      </c>
      <c r="H3563" s="11" t="s">
        <v>151</v>
      </c>
      <c r="I3563" s="14" t="s">
        <v>424</v>
      </c>
      <c r="J3563" s="14" t="s">
        <v>29</v>
      </c>
      <c r="K3563" s="15" t="s">
        <v>30</v>
      </c>
      <c r="L3563" s="86" t="s">
        <v>3873</v>
      </c>
      <c r="M3563" s="14"/>
      <c r="N3563" s="14" t="s">
        <v>3874</v>
      </c>
      <c r="O3563" s="14"/>
      <c r="P3563" s="15" t="s">
        <v>3875</v>
      </c>
      <c r="Q3563" s="16">
        <v>9299</v>
      </c>
      <c r="R3563" s="17">
        <v>53.46</v>
      </c>
      <c r="S3563" s="18">
        <v>4976.9355000000005</v>
      </c>
      <c r="T3563" s="19" t="s">
        <v>328</v>
      </c>
      <c r="U3563" s="20" t="s">
        <v>552</v>
      </c>
      <c r="V3563" s="21">
        <v>32</v>
      </c>
      <c r="W3563" s="21">
        <v>1</v>
      </c>
      <c r="X3563" s="22"/>
    </row>
    <row r="3564" spans="1:24" s="1" customFormat="1" ht="21" customHeight="1" x14ac:dyDescent="0.3">
      <c r="A3564" s="23" t="s">
        <v>3183</v>
      </c>
      <c r="B3564" s="23" t="s">
        <v>3871</v>
      </c>
      <c r="C3564" s="28" t="s">
        <v>3872</v>
      </c>
      <c r="D3564" s="84"/>
      <c r="E3564" s="69" t="str">
        <f>HYPERLINK("https://www.google.ru/search?q=J559CE01454C0693&amp;newwindow=1&amp;tbm=isch","Еще фото")</f>
        <v>Еще фото</v>
      </c>
      <c r="F3564" s="13"/>
      <c r="G3564" s="23" t="s">
        <v>394</v>
      </c>
      <c r="H3564" s="23" t="s">
        <v>151</v>
      </c>
      <c r="I3564" s="23" t="s">
        <v>424</v>
      </c>
      <c r="J3564" s="14" t="s">
        <v>29</v>
      </c>
      <c r="K3564" s="15" t="s">
        <v>30</v>
      </c>
      <c r="L3564" s="87"/>
      <c r="M3564" s="14"/>
      <c r="N3564" s="14" t="s">
        <v>3874</v>
      </c>
      <c r="O3564" s="14"/>
      <c r="P3564" s="15" t="s">
        <v>3875</v>
      </c>
      <c r="Q3564" s="16">
        <v>9299</v>
      </c>
      <c r="R3564" s="17">
        <v>53.46</v>
      </c>
      <c r="S3564" s="18">
        <v>4976.9355000000005</v>
      </c>
      <c r="T3564" s="19" t="s">
        <v>328</v>
      </c>
      <c r="U3564" s="20" t="s">
        <v>553</v>
      </c>
      <c r="V3564" s="21">
        <v>33</v>
      </c>
      <c r="W3564" s="21">
        <v>3</v>
      </c>
      <c r="X3564" s="22"/>
    </row>
    <row r="3565" spans="1:24" s="1" customFormat="1" ht="21" customHeight="1" x14ac:dyDescent="0.3">
      <c r="A3565" s="23" t="s">
        <v>3183</v>
      </c>
      <c r="B3565" s="23" t="s">
        <v>3871</v>
      </c>
      <c r="C3565" s="28" t="s">
        <v>3872</v>
      </c>
      <c r="D3565" s="84"/>
      <c r="E3565" s="69" t="str">
        <f>HYPERLINK("https://www.google.ru/search?q=J559CE01454C0693&amp;newwindow=1&amp;tbm=isch","Еще фото")</f>
        <v>Еще фото</v>
      </c>
      <c r="F3565" s="13"/>
      <c r="G3565" s="23" t="s">
        <v>394</v>
      </c>
      <c r="H3565" s="23" t="s">
        <v>151</v>
      </c>
      <c r="I3565" s="23" t="s">
        <v>424</v>
      </c>
      <c r="J3565" s="14" t="s">
        <v>29</v>
      </c>
      <c r="K3565" s="15" t="s">
        <v>30</v>
      </c>
      <c r="L3565" s="87"/>
      <c r="M3565" s="14"/>
      <c r="N3565" s="14" t="s">
        <v>3874</v>
      </c>
      <c r="O3565" s="14"/>
      <c r="P3565" s="15" t="s">
        <v>3875</v>
      </c>
      <c r="Q3565" s="16">
        <v>9299</v>
      </c>
      <c r="R3565" s="17">
        <v>53.46</v>
      </c>
      <c r="S3565" s="18">
        <v>4976.9355000000005</v>
      </c>
      <c r="T3565" s="19" t="s">
        <v>328</v>
      </c>
      <c r="U3565" s="20" t="s">
        <v>554</v>
      </c>
      <c r="V3565" s="21">
        <v>34</v>
      </c>
      <c r="W3565" s="21">
        <v>4</v>
      </c>
      <c r="X3565" s="22"/>
    </row>
    <row r="3566" spans="1:24" s="1" customFormat="1" ht="21" customHeight="1" x14ac:dyDescent="0.3">
      <c r="A3566" s="23" t="s">
        <v>3183</v>
      </c>
      <c r="B3566" s="23" t="s">
        <v>3871</v>
      </c>
      <c r="C3566" s="28" t="s">
        <v>3872</v>
      </c>
      <c r="D3566" s="84"/>
      <c r="E3566" s="69" t="str">
        <f>HYPERLINK("https://www.google.ru/search?q=J559CE01454C0693&amp;newwindow=1&amp;tbm=isch","Еще фото")</f>
        <v>Еще фото</v>
      </c>
      <c r="F3566" s="13"/>
      <c r="G3566" s="23" t="s">
        <v>394</v>
      </c>
      <c r="H3566" s="23" t="s">
        <v>151</v>
      </c>
      <c r="I3566" s="23" t="s">
        <v>424</v>
      </c>
      <c r="J3566" s="14" t="s">
        <v>29</v>
      </c>
      <c r="K3566" s="15" t="s">
        <v>30</v>
      </c>
      <c r="L3566" s="87"/>
      <c r="M3566" s="14"/>
      <c r="N3566" s="14" t="s">
        <v>3874</v>
      </c>
      <c r="O3566" s="14"/>
      <c r="P3566" s="15" t="s">
        <v>3875</v>
      </c>
      <c r="Q3566" s="16">
        <v>9299</v>
      </c>
      <c r="R3566" s="17">
        <v>53.46</v>
      </c>
      <c r="S3566" s="18">
        <v>4976.9355000000005</v>
      </c>
      <c r="T3566" s="19" t="s">
        <v>328</v>
      </c>
      <c r="U3566" s="20" t="s">
        <v>431</v>
      </c>
      <c r="V3566" s="21">
        <v>35</v>
      </c>
      <c r="W3566" s="21">
        <v>5</v>
      </c>
      <c r="X3566" s="22"/>
    </row>
    <row r="3567" spans="1:24" s="1" customFormat="1" ht="32.1" customHeight="1" x14ac:dyDescent="0.3">
      <c r="A3567" s="23" t="s">
        <v>3183</v>
      </c>
      <c r="B3567" s="23" t="s">
        <v>3871</v>
      </c>
      <c r="C3567" s="28" t="s">
        <v>3872</v>
      </c>
      <c r="D3567" s="85"/>
      <c r="E3567" s="69" t="str">
        <f>HYPERLINK("https://www.google.ru/search?q=J559CE01454C0693&amp;newwindow=1&amp;tbm=isch","Еще фото")</f>
        <v>Еще фото</v>
      </c>
      <c r="F3567" s="13"/>
      <c r="G3567" s="23" t="s">
        <v>394</v>
      </c>
      <c r="H3567" s="23" t="s">
        <v>151</v>
      </c>
      <c r="I3567" s="23" t="s">
        <v>424</v>
      </c>
      <c r="J3567" s="14" t="s">
        <v>29</v>
      </c>
      <c r="K3567" s="15" t="s">
        <v>30</v>
      </c>
      <c r="L3567" s="88"/>
      <c r="M3567" s="14"/>
      <c r="N3567" s="14" t="s">
        <v>3874</v>
      </c>
      <c r="O3567" s="14"/>
      <c r="P3567" s="15" t="s">
        <v>3875</v>
      </c>
      <c r="Q3567" s="16">
        <v>9299</v>
      </c>
      <c r="R3567" s="17">
        <v>53.46</v>
      </c>
      <c r="S3567" s="18">
        <v>4976.9355000000005</v>
      </c>
      <c r="T3567" s="19" t="s">
        <v>328</v>
      </c>
      <c r="U3567" s="20" t="s">
        <v>1503</v>
      </c>
      <c r="V3567" s="21">
        <v>36</v>
      </c>
      <c r="W3567" s="21">
        <v>4</v>
      </c>
      <c r="X3567" s="22"/>
    </row>
    <row r="3568" spans="1:24" s="1" customFormat="1" ht="14.1" customHeight="1" x14ac:dyDescent="0.3">
      <c r="A3568" s="11" t="s">
        <v>3183</v>
      </c>
      <c r="B3568" s="11" t="s">
        <v>3876</v>
      </c>
      <c r="C3568" s="12" t="s">
        <v>3877</v>
      </c>
      <c r="D3568" s="83"/>
      <c r="E3568" s="69" t="str">
        <f t="shared" ref="E3568:E3574" si="165">HYPERLINK("https://www.google.ru/search?q=J458CA0BC14CF48L&amp;newwindow=1&amp;tbm=isch","Еще фото")</f>
        <v>Еще фото</v>
      </c>
      <c r="F3568" s="13"/>
      <c r="G3568" s="11" t="s">
        <v>394</v>
      </c>
      <c r="H3568" s="11" t="s">
        <v>151</v>
      </c>
      <c r="I3568" s="14" t="s">
        <v>424</v>
      </c>
      <c r="J3568" s="14" t="s">
        <v>29</v>
      </c>
      <c r="K3568" s="15" t="s">
        <v>30</v>
      </c>
      <c r="L3568" s="86" t="s">
        <v>3878</v>
      </c>
      <c r="M3568" s="14"/>
      <c r="N3568" s="14" t="s">
        <v>3879</v>
      </c>
      <c r="O3568" s="14"/>
      <c r="P3568" s="15" t="s">
        <v>3880</v>
      </c>
      <c r="Q3568" s="16">
        <v>6699</v>
      </c>
      <c r="R3568" s="17">
        <v>53.46</v>
      </c>
      <c r="S3568" s="18">
        <v>3585.4354999999996</v>
      </c>
      <c r="T3568" s="19" t="s">
        <v>328</v>
      </c>
      <c r="U3568" s="20" t="s">
        <v>3189</v>
      </c>
      <c r="V3568" s="21">
        <v>30</v>
      </c>
      <c r="W3568" s="21">
        <v>4</v>
      </c>
      <c r="X3568" s="22"/>
    </row>
    <row r="3569" spans="1:24" s="1" customFormat="1" ht="14.1" customHeight="1" x14ac:dyDescent="0.3">
      <c r="A3569" s="23" t="s">
        <v>3183</v>
      </c>
      <c r="B3569" s="23" t="s">
        <v>3876</v>
      </c>
      <c r="C3569" s="12" t="s">
        <v>3877</v>
      </c>
      <c r="D3569" s="84"/>
      <c r="E3569" s="69" t="str">
        <f t="shared" si="165"/>
        <v>Еще фото</v>
      </c>
      <c r="F3569" s="13"/>
      <c r="G3569" s="23" t="s">
        <v>394</v>
      </c>
      <c r="H3569" s="23" t="s">
        <v>151</v>
      </c>
      <c r="I3569" s="23" t="s">
        <v>424</v>
      </c>
      <c r="J3569" s="14" t="s">
        <v>29</v>
      </c>
      <c r="K3569" s="15" t="s">
        <v>30</v>
      </c>
      <c r="L3569" s="87"/>
      <c r="M3569" s="14"/>
      <c r="N3569" s="14" t="s">
        <v>3879</v>
      </c>
      <c r="O3569" s="14"/>
      <c r="P3569" s="15" t="s">
        <v>3880</v>
      </c>
      <c r="Q3569" s="16">
        <v>6699</v>
      </c>
      <c r="R3569" s="17">
        <v>53.46</v>
      </c>
      <c r="S3569" s="18">
        <v>3585.4354999999996</v>
      </c>
      <c r="T3569" s="19" t="s">
        <v>328</v>
      </c>
      <c r="U3569" s="20" t="s">
        <v>3190</v>
      </c>
      <c r="V3569" s="21">
        <v>31</v>
      </c>
      <c r="W3569" s="21">
        <v>26</v>
      </c>
      <c r="X3569" s="22"/>
    </row>
    <row r="3570" spans="1:24" s="1" customFormat="1" ht="14.1" customHeight="1" x14ac:dyDescent="0.3">
      <c r="A3570" s="23" t="s">
        <v>3183</v>
      </c>
      <c r="B3570" s="23" t="s">
        <v>3876</v>
      </c>
      <c r="C3570" s="12" t="s">
        <v>3877</v>
      </c>
      <c r="D3570" s="84"/>
      <c r="E3570" s="69" t="str">
        <f t="shared" si="165"/>
        <v>Еще фото</v>
      </c>
      <c r="F3570" s="13"/>
      <c r="G3570" s="23" t="s">
        <v>394</v>
      </c>
      <c r="H3570" s="23" t="s">
        <v>151</v>
      </c>
      <c r="I3570" s="23" t="s">
        <v>424</v>
      </c>
      <c r="J3570" s="14" t="s">
        <v>29</v>
      </c>
      <c r="K3570" s="15" t="s">
        <v>30</v>
      </c>
      <c r="L3570" s="87"/>
      <c r="M3570" s="14"/>
      <c r="N3570" s="14" t="s">
        <v>3879</v>
      </c>
      <c r="O3570" s="14"/>
      <c r="P3570" s="15" t="s">
        <v>3880</v>
      </c>
      <c r="Q3570" s="16">
        <v>6699</v>
      </c>
      <c r="R3570" s="17">
        <v>53.46</v>
      </c>
      <c r="S3570" s="18">
        <v>3585.4354999999996</v>
      </c>
      <c r="T3570" s="19" t="s">
        <v>328</v>
      </c>
      <c r="U3570" s="20" t="s">
        <v>552</v>
      </c>
      <c r="V3570" s="21">
        <v>32</v>
      </c>
      <c r="W3570" s="21">
        <v>21</v>
      </c>
      <c r="X3570" s="22"/>
    </row>
    <row r="3571" spans="1:24" s="1" customFormat="1" ht="14.1" customHeight="1" x14ac:dyDescent="0.3">
      <c r="A3571" s="23" t="s">
        <v>3183</v>
      </c>
      <c r="B3571" s="23" t="s">
        <v>3876</v>
      </c>
      <c r="C3571" s="12" t="s">
        <v>3877</v>
      </c>
      <c r="D3571" s="84"/>
      <c r="E3571" s="69" t="str">
        <f t="shared" si="165"/>
        <v>Еще фото</v>
      </c>
      <c r="F3571" s="13"/>
      <c r="G3571" s="23" t="s">
        <v>394</v>
      </c>
      <c r="H3571" s="23" t="s">
        <v>151</v>
      </c>
      <c r="I3571" s="23" t="s">
        <v>424</v>
      </c>
      <c r="J3571" s="14" t="s">
        <v>29</v>
      </c>
      <c r="K3571" s="15" t="s">
        <v>30</v>
      </c>
      <c r="L3571" s="87"/>
      <c r="M3571" s="14"/>
      <c r="N3571" s="14" t="s">
        <v>3879</v>
      </c>
      <c r="O3571" s="14"/>
      <c r="P3571" s="15" t="s">
        <v>3880</v>
      </c>
      <c r="Q3571" s="16">
        <v>6699</v>
      </c>
      <c r="R3571" s="17">
        <v>53.46</v>
      </c>
      <c r="S3571" s="18">
        <v>3585.4354999999996</v>
      </c>
      <c r="T3571" s="19" t="s">
        <v>328</v>
      </c>
      <c r="U3571" s="20" t="s">
        <v>553</v>
      </c>
      <c r="V3571" s="21">
        <v>33</v>
      </c>
      <c r="W3571" s="21">
        <v>32</v>
      </c>
      <c r="X3571" s="22"/>
    </row>
    <row r="3572" spans="1:24" s="1" customFormat="1" ht="14.1" customHeight="1" x14ac:dyDescent="0.3">
      <c r="A3572" s="23" t="s">
        <v>3183</v>
      </c>
      <c r="B3572" s="23" t="s">
        <v>3876</v>
      </c>
      <c r="C3572" s="12" t="s">
        <v>3877</v>
      </c>
      <c r="D3572" s="84"/>
      <c r="E3572" s="69" t="str">
        <f t="shared" si="165"/>
        <v>Еще фото</v>
      </c>
      <c r="F3572" s="13"/>
      <c r="G3572" s="23" t="s">
        <v>394</v>
      </c>
      <c r="H3572" s="23" t="s">
        <v>151</v>
      </c>
      <c r="I3572" s="23" t="s">
        <v>424</v>
      </c>
      <c r="J3572" s="14" t="s">
        <v>29</v>
      </c>
      <c r="K3572" s="15" t="s">
        <v>30</v>
      </c>
      <c r="L3572" s="87"/>
      <c r="M3572" s="14"/>
      <c r="N3572" s="14" t="s">
        <v>3879</v>
      </c>
      <c r="O3572" s="14"/>
      <c r="P3572" s="15" t="s">
        <v>3880</v>
      </c>
      <c r="Q3572" s="16">
        <v>6699</v>
      </c>
      <c r="R3572" s="17">
        <v>53.46</v>
      </c>
      <c r="S3572" s="18">
        <v>3585.4354999999996</v>
      </c>
      <c r="T3572" s="19" t="s">
        <v>328</v>
      </c>
      <c r="U3572" s="20" t="s">
        <v>431</v>
      </c>
      <c r="V3572" s="21">
        <v>35</v>
      </c>
      <c r="W3572" s="21">
        <v>7</v>
      </c>
      <c r="X3572" s="22"/>
    </row>
    <row r="3573" spans="1:24" s="1" customFormat="1" ht="14.1" customHeight="1" x14ac:dyDescent="0.3">
      <c r="A3573" s="23" t="s">
        <v>3183</v>
      </c>
      <c r="B3573" s="23" t="s">
        <v>3876</v>
      </c>
      <c r="C3573" s="12" t="s">
        <v>3877</v>
      </c>
      <c r="D3573" s="84"/>
      <c r="E3573" s="69" t="str">
        <f t="shared" si="165"/>
        <v>Еще фото</v>
      </c>
      <c r="F3573" s="13"/>
      <c r="G3573" s="23" t="s">
        <v>394</v>
      </c>
      <c r="H3573" s="23" t="s">
        <v>151</v>
      </c>
      <c r="I3573" s="23" t="s">
        <v>424</v>
      </c>
      <c r="J3573" s="14" t="s">
        <v>29</v>
      </c>
      <c r="K3573" s="15" t="s">
        <v>30</v>
      </c>
      <c r="L3573" s="87"/>
      <c r="M3573" s="14"/>
      <c r="N3573" s="14" t="s">
        <v>3879</v>
      </c>
      <c r="O3573" s="14"/>
      <c r="P3573" s="15" t="s">
        <v>3880</v>
      </c>
      <c r="Q3573" s="16">
        <v>6699</v>
      </c>
      <c r="R3573" s="17">
        <v>53.46</v>
      </c>
      <c r="S3573" s="18">
        <v>3585.4354999999996</v>
      </c>
      <c r="T3573" s="19" t="s">
        <v>328</v>
      </c>
      <c r="U3573" s="20" t="s">
        <v>1503</v>
      </c>
      <c r="V3573" s="21">
        <v>36</v>
      </c>
      <c r="W3573" s="21">
        <v>6</v>
      </c>
      <c r="X3573" s="22"/>
    </row>
    <row r="3574" spans="1:24" s="1" customFormat="1" ht="17.100000000000001" customHeight="1" x14ac:dyDescent="0.3">
      <c r="A3574" s="23" t="s">
        <v>3183</v>
      </c>
      <c r="B3574" s="23" t="s">
        <v>3876</v>
      </c>
      <c r="C3574" s="12" t="s">
        <v>3877</v>
      </c>
      <c r="D3574" s="85"/>
      <c r="E3574" s="69" t="str">
        <f t="shared" si="165"/>
        <v>Еще фото</v>
      </c>
      <c r="F3574" s="13"/>
      <c r="G3574" s="23" t="s">
        <v>394</v>
      </c>
      <c r="H3574" s="23" t="s">
        <v>151</v>
      </c>
      <c r="I3574" s="23" t="s">
        <v>424</v>
      </c>
      <c r="J3574" s="14" t="s">
        <v>29</v>
      </c>
      <c r="K3574" s="15" t="s">
        <v>30</v>
      </c>
      <c r="L3574" s="88"/>
      <c r="M3574" s="14"/>
      <c r="N3574" s="14" t="s">
        <v>3879</v>
      </c>
      <c r="O3574" s="14"/>
      <c r="P3574" s="15" t="s">
        <v>3880</v>
      </c>
      <c r="Q3574" s="16">
        <v>6699</v>
      </c>
      <c r="R3574" s="17">
        <v>53.46</v>
      </c>
      <c r="S3574" s="18">
        <v>3585.4354999999996</v>
      </c>
      <c r="T3574" s="19" t="s">
        <v>328</v>
      </c>
      <c r="U3574" s="20" t="s">
        <v>409</v>
      </c>
      <c r="V3574" s="21">
        <v>37</v>
      </c>
      <c r="W3574" s="21">
        <v>3</v>
      </c>
      <c r="X3574" s="22"/>
    </row>
    <row r="3575" spans="1:24" s="1" customFormat="1" ht="26.1" customHeight="1" x14ac:dyDescent="0.3">
      <c r="A3575" s="11" t="s">
        <v>3183</v>
      </c>
      <c r="B3575" s="11" t="s">
        <v>3881</v>
      </c>
      <c r="C3575" s="12" t="s">
        <v>3882</v>
      </c>
      <c r="D3575" s="83"/>
      <c r="E3575" s="69" t="str">
        <f>HYPERLINK("https://www.google.ru/search?q=D659LA0AU54C5W1S&amp;newwindow=1&amp;tbm=isch","Еще фото")</f>
        <v>Еще фото</v>
      </c>
      <c r="F3575" s="13"/>
      <c r="G3575" s="11" t="s">
        <v>394</v>
      </c>
      <c r="H3575" s="11" t="s">
        <v>151</v>
      </c>
      <c r="I3575" s="14" t="s">
        <v>424</v>
      </c>
      <c r="J3575" s="14" t="s">
        <v>29</v>
      </c>
      <c r="K3575" s="15" t="s">
        <v>47</v>
      </c>
      <c r="L3575" s="86" t="s">
        <v>3883</v>
      </c>
      <c r="M3575" s="14"/>
      <c r="N3575" s="14" t="s">
        <v>326</v>
      </c>
      <c r="O3575" s="14"/>
      <c r="P3575" s="15" t="s">
        <v>3884</v>
      </c>
      <c r="Q3575" s="16">
        <v>14990</v>
      </c>
      <c r="R3575" s="17">
        <v>53.45</v>
      </c>
      <c r="S3575" s="18">
        <v>8024.4354999999996</v>
      </c>
      <c r="T3575" s="19" t="s">
        <v>328</v>
      </c>
      <c r="U3575" s="20" t="s">
        <v>409</v>
      </c>
      <c r="V3575" s="21">
        <v>37</v>
      </c>
      <c r="W3575" s="21">
        <v>2</v>
      </c>
      <c r="X3575" s="22"/>
    </row>
    <row r="3576" spans="1:24" s="1" customFormat="1" ht="26.1" customHeight="1" x14ac:dyDescent="0.3">
      <c r="A3576" s="23" t="s">
        <v>3183</v>
      </c>
      <c r="B3576" s="23" t="s">
        <v>3881</v>
      </c>
      <c r="C3576" s="12" t="s">
        <v>3882</v>
      </c>
      <c r="D3576" s="84"/>
      <c r="E3576" s="69" t="str">
        <f>HYPERLINK("https://www.google.ru/search?q=D659LA0AU54C5W1S&amp;newwindow=1&amp;tbm=isch","Еще фото")</f>
        <v>Еще фото</v>
      </c>
      <c r="F3576" s="13"/>
      <c r="G3576" s="23" t="s">
        <v>394</v>
      </c>
      <c r="H3576" s="23" t="s">
        <v>151</v>
      </c>
      <c r="I3576" s="23" t="s">
        <v>424</v>
      </c>
      <c r="J3576" s="14" t="s">
        <v>29</v>
      </c>
      <c r="K3576" s="15" t="s">
        <v>47</v>
      </c>
      <c r="L3576" s="87"/>
      <c r="M3576" s="14"/>
      <c r="N3576" s="14" t="s">
        <v>326</v>
      </c>
      <c r="O3576" s="14"/>
      <c r="P3576" s="15" t="s">
        <v>3884</v>
      </c>
      <c r="Q3576" s="16">
        <v>14990</v>
      </c>
      <c r="R3576" s="17">
        <v>53.45</v>
      </c>
      <c r="S3576" s="18">
        <v>8024.4354999999996</v>
      </c>
      <c r="T3576" s="19" t="s">
        <v>328</v>
      </c>
      <c r="U3576" s="20" t="s">
        <v>413</v>
      </c>
      <c r="V3576" s="21">
        <v>39</v>
      </c>
      <c r="W3576" s="21">
        <v>5</v>
      </c>
      <c r="X3576" s="22"/>
    </row>
    <row r="3577" spans="1:24" s="1" customFormat="1" ht="26.1" customHeight="1" x14ac:dyDescent="0.3">
      <c r="A3577" s="23" t="s">
        <v>3183</v>
      </c>
      <c r="B3577" s="23" t="s">
        <v>3881</v>
      </c>
      <c r="C3577" s="12" t="s">
        <v>3882</v>
      </c>
      <c r="D3577" s="84"/>
      <c r="E3577" s="69" t="str">
        <f>HYPERLINK("https://www.google.ru/search?q=D659LA0AU54C5W1S&amp;newwindow=1&amp;tbm=isch","Еще фото")</f>
        <v>Еще фото</v>
      </c>
      <c r="F3577" s="13"/>
      <c r="G3577" s="23" t="s">
        <v>394</v>
      </c>
      <c r="H3577" s="23" t="s">
        <v>151</v>
      </c>
      <c r="I3577" s="23" t="s">
        <v>424</v>
      </c>
      <c r="J3577" s="14" t="s">
        <v>29</v>
      </c>
      <c r="K3577" s="15" t="s">
        <v>47</v>
      </c>
      <c r="L3577" s="87"/>
      <c r="M3577" s="14"/>
      <c r="N3577" s="14" t="s">
        <v>326</v>
      </c>
      <c r="O3577" s="14"/>
      <c r="P3577" s="15" t="s">
        <v>3884</v>
      </c>
      <c r="Q3577" s="16">
        <v>14990</v>
      </c>
      <c r="R3577" s="17">
        <v>53.45</v>
      </c>
      <c r="S3577" s="18">
        <v>8024.4354999999996</v>
      </c>
      <c r="T3577" s="19" t="s">
        <v>328</v>
      </c>
      <c r="U3577" s="20" t="s">
        <v>399</v>
      </c>
      <c r="V3577" s="21">
        <v>40</v>
      </c>
      <c r="W3577" s="21">
        <v>4</v>
      </c>
      <c r="X3577" s="22"/>
    </row>
    <row r="3578" spans="1:24" s="1" customFormat="1" ht="26.1" customHeight="1" x14ac:dyDescent="0.3">
      <c r="A3578" s="23" t="s">
        <v>3183</v>
      </c>
      <c r="B3578" s="23" t="s">
        <v>3881</v>
      </c>
      <c r="C3578" s="12" t="s">
        <v>3882</v>
      </c>
      <c r="D3578" s="85"/>
      <c r="E3578" s="69" t="str">
        <f>HYPERLINK("https://www.google.ru/search?q=D659LA0AU54C5W1S&amp;newwindow=1&amp;tbm=isch","Еще фото")</f>
        <v>Еще фото</v>
      </c>
      <c r="F3578" s="13"/>
      <c r="G3578" s="23" t="s">
        <v>394</v>
      </c>
      <c r="H3578" s="23" t="s">
        <v>151</v>
      </c>
      <c r="I3578" s="23" t="s">
        <v>424</v>
      </c>
      <c r="J3578" s="14" t="s">
        <v>29</v>
      </c>
      <c r="K3578" s="15" t="s">
        <v>47</v>
      </c>
      <c r="L3578" s="88"/>
      <c r="M3578" s="14"/>
      <c r="N3578" s="14" t="s">
        <v>326</v>
      </c>
      <c r="O3578" s="14"/>
      <c r="P3578" s="15" t="s">
        <v>3884</v>
      </c>
      <c r="Q3578" s="16">
        <v>14990</v>
      </c>
      <c r="R3578" s="17">
        <v>53.45</v>
      </c>
      <c r="S3578" s="18">
        <v>8024.4354999999996</v>
      </c>
      <c r="T3578" s="19" t="s">
        <v>328</v>
      </c>
      <c r="U3578" s="20" t="s">
        <v>400</v>
      </c>
      <c r="V3578" s="21">
        <v>41</v>
      </c>
      <c r="W3578" s="21">
        <v>2</v>
      </c>
      <c r="X3578" s="22"/>
    </row>
    <row r="3579" spans="1:24" s="1" customFormat="1" ht="21" customHeight="1" x14ac:dyDescent="0.3">
      <c r="A3579" s="11" t="s">
        <v>3183</v>
      </c>
      <c r="B3579" s="11" t="s">
        <v>3779</v>
      </c>
      <c r="C3579" s="27" t="s">
        <v>3885</v>
      </c>
      <c r="D3579" s="83"/>
      <c r="E3579" s="69" t="str">
        <f>HYPERLINK("https://www.google.ru/search?q=D65UGA09B22C1Z1M&amp;newwindow=1&amp;tbm=isch","Еще фото")</f>
        <v>Еще фото</v>
      </c>
      <c r="F3579" s="13"/>
      <c r="G3579" s="11" t="s">
        <v>394</v>
      </c>
      <c r="H3579" s="11" t="s">
        <v>151</v>
      </c>
      <c r="I3579" s="14" t="s">
        <v>424</v>
      </c>
      <c r="J3579" s="14" t="s">
        <v>29</v>
      </c>
      <c r="K3579" s="15" t="s">
        <v>47</v>
      </c>
      <c r="L3579" s="86" t="s">
        <v>3883</v>
      </c>
      <c r="M3579" s="14"/>
      <c r="N3579" s="14" t="s">
        <v>89</v>
      </c>
      <c r="O3579" s="14"/>
      <c r="P3579" s="15" t="s">
        <v>3886</v>
      </c>
      <c r="Q3579" s="16">
        <v>14990</v>
      </c>
      <c r="R3579" s="17">
        <v>53.45</v>
      </c>
      <c r="S3579" s="18">
        <v>8024.4354999999996</v>
      </c>
      <c r="T3579" s="19" t="s">
        <v>328</v>
      </c>
      <c r="U3579" s="20" t="s">
        <v>1503</v>
      </c>
      <c r="V3579" s="21">
        <v>36</v>
      </c>
      <c r="W3579" s="21">
        <v>2</v>
      </c>
      <c r="X3579" s="22"/>
    </row>
    <row r="3580" spans="1:24" s="1" customFormat="1" ht="21" customHeight="1" x14ac:dyDescent="0.3">
      <c r="A3580" s="23" t="s">
        <v>3183</v>
      </c>
      <c r="B3580" s="23" t="s">
        <v>3779</v>
      </c>
      <c r="C3580" s="28" t="s">
        <v>3885</v>
      </c>
      <c r="D3580" s="84"/>
      <c r="E3580" s="69" t="str">
        <f>HYPERLINK("https://www.google.ru/search?q=D65UGA09B22C1Z1M&amp;newwindow=1&amp;tbm=isch","Еще фото")</f>
        <v>Еще фото</v>
      </c>
      <c r="F3580" s="13"/>
      <c r="G3580" s="23" t="s">
        <v>394</v>
      </c>
      <c r="H3580" s="23" t="s">
        <v>151</v>
      </c>
      <c r="I3580" s="23" t="s">
        <v>424</v>
      </c>
      <c r="J3580" s="14" t="s">
        <v>29</v>
      </c>
      <c r="K3580" s="15" t="s">
        <v>47</v>
      </c>
      <c r="L3580" s="87"/>
      <c r="M3580" s="14"/>
      <c r="N3580" s="14" t="s">
        <v>89</v>
      </c>
      <c r="O3580" s="14"/>
      <c r="P3580" s="15" t="s">
        <v>3886</v>
      </c>
      <c r="Q3580" s="16">
        <v>14990</v>
      </c>
      <c r="R3580" s="17">
        <v>53.45</v>
      </c>
      <c r="S3580" s="18">
        <v>8024.4354999999996</v>
      </c>
      <c r="T3580" s="19" t="s">
        <v>328</v>
      </c>
      <c r="U3580" s="20" t="s">
        <v>409</v>
      </c>
      <c r="V3580" s="21">
        <v>37</v>
      </c>
      <c r="W3580" s="21">
        <v>4</v>
      </c>
      <c r="X3580" s="22"/>
    </row>
    <row r="3581" spans="1:24" s="1" customFormat="1" ht="21" customHeight="1" x14ac:dyDescent="0.3">
      <c r="A3581" s="23" t="s">
        <v>3183</v>
      </c>
      <c r="B3581" s="23" t="s">
        <v>3779</v>
      </c>
      <c r="C3581" s="28" t="s">
        <v>3885</v>
      </c>
      <c r="D3581" s="84"/>
      <c r="E3581" s="69" t="str">
        <f>HYPERLINK("https://www.google.ru/search?q=D65UGA09B22C1Z1M&amp;newwindow=1&amp;tbm=isch","Еще фото")</f>
        <v>Еще фото</v>
      </c>
      <c r="F3581" s="13"/>
      <c r="G3581" s="23" t="s">
        <v>394</v>
      </c>
      <c r="H3581" s="23" t="s">
        <v>151</v>
      </c>
      <c r="I3581" s="23" t="s">
        <v>424</v>
      </c>
      <c r="J3581" s="14" t="s">
        <v>29</v>
      </c>
      <c r="K3581" s="15" t="s">
        <v>47</v>
      </c>
      <c r="L3581" s="87"/>
      <c r="M3581" s="14"/>
      <c r="N3581" s="14" t="s">
        <v>89</v>
      </c>
      <c r="O3581" s="14"/>
      <c r="P3581" s="15" t="s">
        <v>3886</v>
      </c>
      <c r="Q3581" s="16">
        <v>14990</v>
      </c>
      <c r="R3581" s="17">
        <v>53.45</v>
      </c>
      <c r="S3581" s="18">
        <v>8024.4354999999996</v>
      </c>
      <c r="T3581" s="19" t="s">
        <v>328</v>
      </c>
      <c r="U3581" s="20" t="s">
        <v>426</v>
      </c>
      <c r="V3581" s="21">
        <v>38</v>
      </c>
      <c r="W3581" s="21">
        <v>4</v>
      </c>
      <c r="X3581" s="22"/>
    </row>
    <row r="3582" spans="1:24" s="1" customFormat="1" ht="21" customHeight="1" x14ac:dyDescent="0.3">
      <c r="A3582" s="23" t="s">
        <v>3183</v>
      </c>
      <c r="B3582" s="23" t="s">
        <v>3779</v>
      </c>
      <c r="C3582" s="28" t="s">
        <v>3885</v>
      </c>
      <c r="D3582" s="84"/>
      <c r="E3582" s="69" t="str">
        <f>HYPERLINK("https://www.google.ru/search?q=D65UGA09B22C1Z1M&amp;newwindow=1&amp;tbm=isch","Еще фото")</f>
        <v>Еще фото</v>
      </c>
      <c r="F3582" s="13"/>
      <c r="G3582" s="23" t="s">
        <v>394</v>
      </c>
      <c r="H3582" s="23" t="s">
        <v>151</v>
      </c>
      <c r="I3582" s="23" t="s">
        <v>424</v>
      </c>
      <c r="J3582" s="14" t="s">
        <v>29</v>
      </c>
      <c r="K3582" s="15" t="s">
        <v>47</v>
      </c>
      <c r="L3582" s="87"/>
      <c r="M3582" s="14"/>
      <c r="N3582" s="14" t="s">
        <v>89</v>
      </c>
      <c r="O3582" s="14"/>
      <c r="P3582" s="15" t="s">
        <v>3886</v>
      </c>
      <c r="Q3582" s="16">
        <v>14990</v>
      </c>
      <c r="R3582" s="17">
        <v>53.45</v>
      </c>
      <c r="S3582" s="18">
        <v>8024.4354999999996</v>
      </c>
      <c r="T3582" s="19" t="s">
        <v>328</v>
      </c>
      <c r="U3582" s="20" t="s">
        <v>413</v>
      </c>
      <c r="V3582" s="21">
        <v>39</v>
      </c>
      <c r="W3582" s="21">
        <v>6</v>
      </c>
      <c r="X3582" s="22"/>
    </row>
    <row r="3583" spans="1:24" s="1" customFormat="1" ht="32.1" customHeight="1" x14ac:dyDescent="0.3">
      <c r="A3583" s="23" t="s">
        <v>3183</v>
      </c>
      <c r="B3583" s="23" t="s">
        <v>3779</v>
      </c>
      <c r="C3583" s="28" t="s">
        <v>3885</v>
      </c>
      <c r="D3583" s="85"/>
      <c r="E3583" s="69" t="str">
        <f>HYPERLINK("https://www.google.ru/search?q=D65UGA09B22C1Z1M&amp;newwindow=1&amp;tbm=isch","Еще фото")</f>
        <v>Еще фото</v>
      </c>
      <c r="F3583" s="13"/>
      <c r="G3583" s="23" t="s">
        <v>394</v>
      </c>
      <c r="H3583" s="23" t="s">
        <v>151</v>
      </c>
      <c r="I3583" s="23" t="s">
        <v>424</v>
      </c>
      <c r="J3583" s="14" t="s">
        <v>29</v>
      </c>
      <c r="K3583" s="15" t="s">
        <v>47</v>
      </c>
      <c r="L3583" s="88"/>
      <c r="M3583" s="14"/>
      <c r="N3583" s="14" t="s">
        <v>89</v>
      </c>
      <c r="O3583" s="14"/>
      <c r="P3583" s="15" t="s">
        <v>3886</v>
      </c>
      <c r="Q3583" s="16">
        <v>14990</v>
      </c>
      <c r="R3583" s="17">
        <v>53.45</v>
      </c>
      <c r="S3583" s="18">
        <v>8024.4354999999996</v>
      </c>
      <c r="T3583" s="19" t="s">
        <v>328</v>
      </c>
      <c r="U3583" s="20" t="s">
        <v>399</v>
      </c>
      <c r="V3583" s="21">
        <v>40</v>
      </c>
      <c r="W3583" s="21">
        <v>1</v>
      </c>
      <c r="X3583" s="22"/>
    </row>
    <row r="3584" spans="1:24" s="1" customFormat="1" ht="17.100000000000001" customHeight="1" x14ac:dyDescent="0.3">
      <c r="A3584" s="11" t="s">
        <v>3183</v>
      </c>
      <c r="B3584" s="11" t="s">
        <v>3887</v>
      </c>
      <c r="C3584" s="12" t="s">
        <v>3888</v>
      </c>
      <c r="D3584" s="83"/>
      <c r="E3584" s="69" t="str">
        <f t="shared" ref="E3584:E3589" si="166">HYPERLINK("https://www.google.ru/search?q=D670JB01402C0B1Z&amp;newwindow=1&amp;tbm=isch","Еще фото")</f>
        <v>Еще фото</v>
      </c>
      <c r="F3584" s="13"/>
      <c r="G3584" s="11" t="s">
        <v>394</v>
      </c>
      <c r="H3584" s="11" t="s">
        <v>151</v>
      </c>
      <c r="I3584" s="14" t="s">
        <v>424</v>
      </c>
      <c r="J3584" s="14" t="s">
        <v>29</v>
      </c>
      <c r="K3584" s="15" t="s">
        <v>47</v>
      </c>
      <c r="L3584" s="86" t="s">
        <v>3889</v>
      </c>
      <c r="M3584" s="14"/>
      <c r="N3584" s="14" t="s">
        <v>265</v>
      </c>
      <c r="O3584" s="14"/>
      <c r="P3584" s="15" t="s">
        <v>3890</v>
      </c>
      <c r="Q3584" s="16">
        <v>14990</v>
      </c>
      <c r="R3584" s="17">
        <v>53.45</v>
      </c>
      <c r="S3584" s="18">
        <v>8024.4354999999996</v>
      </c>
      <c r="T3584" s="19" t="s">
        <v>328</v>
      </c>
      <c r="U3584" s="20" t="s">
        <v>1503</v>
      </c>
      <c r="V3584" s="21">
        <v>36</v>
      </c>
      <c r="W3584" s="21">
        <v>1</v>
      </c>
      <c r="X3584" s="22"/>
    </row>
    <row r="3585" spans="1:24" s="1" customFormat="1" ht="17.100000000000001" customHeight="1" x14ac:dyDescent="0.3">
      <c r="A3585" s="23" t="s">
        <v>3183</v>
      </c>
      <c r="B3585" s="23" t="s">
        <v>3887</v>
      </c>
      <c r="C3585" s="12" t="s">
        <v>3888</v>
      </c>
      <c r="D3585" s="84"/>
      <c r="E3585" s="69" t="str">
        <f t="shared" si="166"/>
        <v>Еще фото</v>
      </c>
      <c r="F3585" s="13"/>
      <c r="G3585" s="23" t="s">
        <v>394</v>
      </c>
      <c r="H3585" s="23" t="s">
        <v>151</v>
      </c>
      <c r="I3585" s="23" t="s">
        <v>424</v>
      </c>
      <c r="J3585" s="14" t="s">
        <v>29</v>
      </c>
      <c r="K3585" s="15" t="s">
        <v>47</v>
      </c>
      <c r="L3585" s="87"/>
      <c r="M3585" s="14"/>
      <c r="N3585" s="14" t="s">
        <v>265</v>
      </c>
      <c r="O3585" s="14"/>
      <c r="P3585" s="15" t="s">
        <v>3890</v>
      </c>
      <c r="Q3585" s="16">
        <v>14990</v>
      </c>
      <c r="R3585" s="17">
        <v>53.45</v>
      </c>
      <c r="S3585" s="18">
        <v>8024.4354999999996</v>
      </c>
      <c r="T3585" s="19" t="s">
        <v>328</v>
      </c>
      <c r="U3585" s="20" t="s">
        <v>409</v>
      </c>
      <c r="V3585" s="21">
        <v>37</v>
      </c>
      <c r="W3585" s="21">
        <v>4</v>
      </c>
      <c r="X3585" s="22"/>
    </row>
    <row r="3586" spans="1:24" s="1" customFormat="1" ht="17.100000000000001" customHeight="1" x14ac:dyDescent="0.3">
      <c r="A3586" s="23" t="s">
        <v>3183</v>
      </c>
      <c r="B3586" s="23" t="s">
        <v>3887</v>
      </c>
      <c r="C3586" s="12" t="s">
        <v>3888</v>
      </c>
      <c r="D3586" s="84"/>
      <c r="E3586" s="69" t="str">
        <f t="shared" si="166"/>
        <v>Еще фото</v>
      </c>
      <c r="F3586" s="13"/>
      <c r="G3586" s="23" t="s">
        <v>394</v>
      </c>
      <c r="H3586" s="23" t="s">
        <v>151</v>
      </c>
      <c r="I3586" s="23" t="s">
        <v>424</v>
      </c>
      <c r="J3586" s="14" t="s">
        <v>29</v>
      </c>
      <c r="K3586" s="15" t="s">
        <v>47</v>
      </c>
      <c r="L3586" s="87"/>
      <c r="M3586" s="14"/>
      <c r="N3586" s="14" t="s">
        <v>265</v>
      </c>
      <c r="O3586" s="14"/>
      <c r="P3586" s="15" t="s">
        <v>3890</v>
      </c>
      <c r="Q3586" s="16">
        <v>14990</v>
      </c>
      <c r="R3586" s="17">
        <v>53.45</v>
      </c>
      <c r="S3586" s="18">
        <v>8024.4354999999996</v>
      </c>
      <c r="T3586" s="19" t="s">
        <v>328</v>
      </c>
      <c r="U3586" s="20" t="s">
        <v>426</v>
      </c>
      <c r="V3586" s="21">
        <v>38</v>
      </c>
      <c r="W3586" s="21">
        <v>7</v>
      </c>
      <c r="X3586" s="22"/>
    </row>
    <row r="3587" spans="1:24" s="1" customFormat="1" ht="17.100000000000001" customHeight="1" x14ac:dyDescent="0.3">
      <c r="A3587" s="23" t="s">
        <v>3183</v>
      </c>
      <c r="B3587" s="23" t="s">
        <v>3887</v>
      </c>
      <c r="C3587" s="12" t="s">
        <v>3888</v>
      </c>
      <c r="D3587" s="84"/>
      <c r="E3587" s="69" t="str">
        <f t="shared" si="166"/>
        <v>Еще фото</v>
      </c>
      <c r="F3587" s="13"/>
      <c r="G3587" s="23" t="s">
        <v>394</v>
      </c>
      <c r="H3587" s="23" t="s">
        <v>151</v>
      </c>
      <c r="I3587" s="23" t="s">
        <v>424</v>
      </c>
      <c r="J3587" s="14" t="s">
        <v>29</v>
      </c>
      <c r="K3587" s="15" t="s">
        <v>47</v>
      </c>
      <c r="L3587" s="87"/>
      <c r="M3587" s="14"/>
      <c r="N3587" s="14" t="s">
        <v>265</v>
      </c>
      <c r="O3587" s="14"/>
      <c r="P3587" s="15" t="s">
        <v>3890</v>
      </c>
      <c r="Q3587" s="16">
        <v>14990</v>
      </c>
      <c r="R3587" s="17">
        <v>53.45</v>
      </c>
      <c r="S3587" s="18">
        <v>8024.4354999999996</v>
      </c>
      <c r="T3587" s="19" t="s">
        <v>328</v>
      </c>
      <c r="U3587" s="20" t="s">
        <v>413</v>
      </c>
      <c r="V3587" s="21">
        <v>39</v>
      </c>
      <c r="W3587" s="21">
        <v>8</v>
      </c>
      <c r="X3587" s="22"/>
    </row>
    <row r="3588" spans="1:24" s="1" customFormat="1" ht="17.100000000000001" customHeight="1" x14ac:dyDescent="0.3">
      <c r="A3588" s="23" t="s">
        <v>3183</v>
      </c>
      <c r="B3588" s="23" t="s">
        <v>3887</v>
      </c>
      <c r="C3588" s="12" t="s">
        <v>3888</v>
      </c>
      <c r="D3588" s="84"/>
      <c r="E3588" s="69" t="str">
        <f t="shared" si="166"/>
        <v>Еще фото</v>
      </c>
      <c r="F3588" s="13"/>
      <c r="G3588" s="23" t="s">
        <v>394</v>
      </c>
      <c r="H3588" s="23" t="s">
        <v>151</v>
      </c>
      <c r="I3588" s="23" t="s">
        <v>424</v>
      </c>
      <c r="J3588" s="14" t="s">
        <v>29</v>
      </c>
      <c r="K3588" s="15" t="s">
        <v>47</v>
      </c>
      <c r="L3588" s="87"/>
      <c r="M3588" s="14"/>
      <c r="N3588" s="14" t="s">
        <v>265</v>
      </c>
      <c r="O3588" s="14"/>
      <c r="P3588" s="15" t="s">
        <v>3890</v>
      </c>
      <c r="Q3588" s="16">
        <v>14990</v>
      </c>
      <c r="R3588" s="17">
        <v>53.45</v>
      </c>
      <c r="S3588" s="18">
        <v>8024.4354999999996</v>
      </c>
      <c r="T3588" s="19" t="s">
        <v>328</v>
      </c>
      <c r="U3588" s="20" t="s">
        <v>399</v>
      </c>
      <c r="V3588" s="21">
        <v>40</v>
      </c>
      <c r="W3588" s="21">
        <v>2</v>
      </c>
      <c r="X3588" s="22"/>
    </row>
    <row r="3589" spans="1:24" s="1" customFormat="1" ht="21.95" customHeight="1" x14ac:dyDescent="0.3">
      <c r="A3589" s="23" t="s">
        <v>3183</v>
      </c>
      <c r="B3589" s="23" t="s">
        <v>3887</v>
      </c>
      <c r="C3589" s="12" t="s">
        <v>3888</v>
      </c>
      <c r="D3589" s="85"/>
      <c r="E3589" s="69" t="str">
        <f t="shared" si="166"/>
        <v>Еще фото</v>
      </c>
      <c r="F3589" s="13"/>
      <c r="G3589" s="23" t="s">
        <v>394</v>
      </c>
      <c r="H3589" s="23" t="s">
        <v>151</v>
      </c>
      <c r="I3589" s="23" t="s">
        <v>424</v>
      </c>
      <c r="J3589" s="14" t="s">
        <v>29</v>
      </c>
      <c r="K3589" s="15" t="s">
        <v>47</v>
      </c>
      <c r="L3589" s="88"/>
      <c r="M3589" s="14"/>
      <c r="N3589" s="14" t="s">
        <v>265</v>
      </c>
      <c r="O3589" s="14"/>
      <c r="P3589" s="15" t="s">
        <v>3890</v>
      </c>
      <c r="Q3589" s="16">
        <v>14990</v>
      </c>
      <c r="R3589" s="17">
        <v>53.45</v>
      </c>
      <c r="S3589" s="18">
        <v>8024.4354999999996</v>
      </c>
      <c r="T3589" s="19" t="s">
        <v>328</v>
      </c>
      <c r="U3589" s="20" t="s">
        <v>400</v>
      </c>
      <c r="V3589" s="21">
        <v>41</v>
      </c>
      <c r="W3589" s="21">
        <v>3</v>
      </c>
      <c r="X3589" s="22"/>
    </row>
    <row r="3590" spans="1:24" s="1" customFormat="1" ht="26.1" customHeight="1" x14ac:dyDescent="0.3">
      <c r="A3590" s="11" t="s">
        <v>3183</v>
      </c>
      <c r="B3590" s="11" t="s">
        <v>3887</v>
      </c>
      <c r="C3590" s="12" t="s">
        <v>3891</v>
      </c>
      <c r="D3590" s="83"/>
      <c r="E3590" s="69" t="str">
        <f>HYPERLINK("https://www.google.ru/search?q=D670JB01402C9999&amp;newwindow=1&amp;tbm=isch","Еще фото")</f>
        <v>Еще фото</v>
      </c>
      <c r="F3590" s="13"/>
      <c r="G3590" s="11" t="s">
        <v>394</v>
      </c>
      <c r="H3590" s="11" t="s">
        <v>151</v>
      </c>
      <c r="I3590" s="14" t="s">
        <v>424</v>
      </c>
      <c r="J3590" s="14" t="s">
        <v>29</v>
      </c>
      <c r="K3590" s="15" t="s">
        <v>47</v>
      </c>
      <c r="L3590" s="86" t="s">
        <v>3889</v>
      </c>
      <c r="M3590" s="14"/>
      <c r="N3590" s="14" t="s">
        <v>49</v>
      </c>
      <c r="O3590" s="14"/>
      <c r="P3590" s="15" t="s">
        <v>3890</v>
      </c>
      <c r="Q3590" s="16">
        <v>14990</v>
      </c>
      <c r="R3590" s="17">
        <v>53.45</v>
      </c>
      <c r="S3590" s="18">
        <v>8024.4354999999996</v>
      </c>
      <c r="T3590" s="19" t="s">
        <v>328</v>
      </c>
      <c r="U3590" s="20" t="s">
        <v>1503</v>
      </c>
      <c r="V3590" s="21">
        <v>36</v>
      </c>
      <c r="W3590" s="21">
        <v>1</v>
      </c>
      <c r="X3590" s="22"/>
    </row>
    <row r="3591" spans="1:24" s="1" customFormat="1" ht="26.1" customHeight="1" x14ac:dyDescent="0.3">
      <c r="A3591" s="23" t="s">
        <v>3183</v>
      </c>
      <c r="B3591" s="23" t="s">
        <v>3887</v>
      </c>
      <c r="C3591" s="12" t="s">
        <v>3891</v>
      </c>
      <c r="D3591" s="84"/>
      <c r="E3591" s="69" t="str">
        <f>HYPERLINK("https://www.google.ru/search?q=D670JB01402C9999&amp;newwindow=1&amp;tbm=isch","Еще фото")</f>
        <v>Еще фото</v>
      </c>
      <c r="F3591" s="13"/>
      <c r="G3591" s="23" t="s">
        <v>394</v>
      </c>
      <c r="H3591" s="23" t="s">
        <v>151</v>
      </c>
      <c r="I3591" s="23" t="s">
        <v>424</v>
      </c>
      <c r="J3591" s="14" t="s">
        <v>29</v>
      </c>
      <c r="K3591" s="15" t="s">
        <v>47</v>
      </c>
      <c r="L3591" s="87"/>
      <c r="M3591" s="14"/>
      <c r="N3591" s="14" t="s">
        <v>49</v>
      </c>
      <c r="O3591" s="14"/>
      <c r="P3591" s="15" t="s">
        <v>3890</v>
      </c>
      <c r="Q3591" s="16">
        <v>14990</v>
      </c>
      <c r="R3591" s="17">
        <v>53.45</v>
      </c>
      <c r="S3591" s="18">
        <v>8024.4354999999996</v>
      </c>
      <c r="T3591" s="19" t="s">
        <v>328</v>
      </c>
      <c r="U3591" s="20" t="s">
        <v>409</v>
      </c>
      <c r="V3591" s="21">
        <v>37</v>
      </c>
      <c r="W3591" s="21">
        <v>3</v>
      </c>
      <c r="X3591" s="22"/>
    </row>
    <row r="3592" spans="1:24" s="1" customFormat="1" ht="26.1" customHeight="1" x14ac:dyDescent="0.3">
      <c r="A3592" s="23" t="s">
        <v>3183</v>
      </c>
      <c r="B3592" s="23" t="s">
        <v>3887</v>
      </c>
      <c r="C3592" s="12" t="s">
        <v>3891</v>
      </c>
      <c r="D3592" s="84"/>
      <c r="E3592" s="69" t="str">
        <f>HYPERLINK("https://www.google.ru/search?q=D670JB01402C9999&amp;newwindow=1&amp;tbm=isch","Еще фото")</f>
        <v>Еще фото</v>
      </c>
      <c r="F3592" s="13"/>
      <c r="G3592" s="23" t="s">
        <v>394</v>
      </c>
      <c r="H3592" s="23" t="s">
        <v>151</v>
      </c>
      <c r="I3592" s="23" t="s">
        <v>424</v>
      </c>
      <c r="J3592" s="14" t="s">
        <v>29</v>
      </c>
      <c r="K3592" s="15" t="s">
        <v>47</v>
      </c>
      <c r="L3592" s="87"/>
      <c r="M3592" s="14"/>
      <c r="N3592" s="14" t="s">
        <v>49</v>
      </c>
      <c r="O3592" s="14"/>
      <c r="P3592" s="15" t="s">
        <v>3890</v>
      </c>
      <c r="Q3592" s="16">
        <v>14990</v>
      </c>
      <c r="R3592" s="17">
        <v>53.45</v>
      </c>
      <c r="S3592" s="18">
        <v>8024.4354999999996</v>
      </c>
      <c r="T3592" s="19" t="s">
        <v>328</v>
      </c>
      <c r="U3592" s="20" t="s">
        <v>426</v>
      </c>
      <c r="V3592" s="21">
        <v>38</v>
      </c>
      <c r="W3592" s="21">
        <v>6</v>
      </c>
      <c r="X3592" s="22"/>
    </row>
    <row r="3593" spans="1:24" s="1" customFormat="1" ht="26.1" customHeight="1" x14ac:dyDescent="0.3">
      <c r="A3593" s="23" t="s">
        <v>3183</v>
      </c>
      <c r="B3593" s="23" t="s">
        <v>3887</v>
      </c>
      <c r="C3593" s="12" t="s">
        <v>3891</v>
      </c>
      <c r="D3593" s="85"/>
      <c r="E3593" s="69" t="str">
        <f>HYPERLINK("https://www.google.ru/search?q=D670JB01402C9999&amp;newwindow=1&amp;tbm=isch","Еще фото")</f>
        <v>Еще фото</v>
      </c>
      <c r="F3593" s="13"/>
      <c r="G3593" s="23" t="s">
        <v>394</v>
      </c>
      <c r="H3593" s="23" t="s">
        <v>151</v>
      </c>
      <c r="I3593" s="23" t="s">
        <v>424</v>
      </c>
      <c r="J3593" s="14" t="s">
        <v>29</v>
      </c>
      <c r="K3593" s="15" t="s">
        <v>47</v>
      </c>
      <c r="L3593" s="88"/>
      <c r="M3593" s="14"/>
      <c r="N3593" s="14" t="s">
        <v>49</v>
      </c>
      <c r="O3593" s="14"/>
      <c r="P3593" s="15" t="s">
        <v>3890</v>
      </c>
      <c r="Q3593" s="16">
        <v>14990</v>
      </c>
      <c r="R3593" s="17">
        <v>53.45</v>
      </c>
      <c r="S3593" s="18">
        <v>8024.4354999999996</v>
      </c>
      <c r="T3593" s="19" t="s">
        <v>328</v>
      </c>
      <c r="U3593" s="20" t="s">
        <v>413</v>
      </c>
      <c r="V3593" s="21">
        <v>39</v>
      </c>
      <c r="W3593" s="21">
        <v>3</v>
      </c>
      <c r="X3593" s="22"/>
    </row>
    <row r="3594" spans="1:24" s="1" customFormat="1" ht="21" customHeight="1" x14ac:dyDescent="0.3">
      <c r="A3594" s="11" t="s">
        <v>3183</v>
      </c>
      <c r="B3594" s="11" t="s">
        <v>3892</v>
      </c>
      <c r="C3594" s="27" t="s">
        <v>3893</v>
      </c>
      <c r="D3594" s="83"/>
      <c r="E3594" s="69" t="str">
        <f>HYPERLINK("https://www.google.ru/search?q=U659KA0EK14C0866&amp;newwindow=1&amp;tbm=isch","Еще фото")</f>
        <v>Еще фото</v>
      </c>
      <c r="F3594" s="13"/>
      <c r="G3594" s="11" t="s">
        <v>394</v>
      </c>
      <c r="H3594" s="11" t="s">
        <v>151</v>
      </c>
      <c r="I3594" s="14" t="s">
        <v>424</v>
      </c>
      <c r="J3594" s="14" t="s">
        <v>29</v>
      </c>
      <c r="K3594" s="15" t="s">
        <v>55</v>
      </c>
      <c r="L3594" s="86" t="s">
        <v>3894</v>
      </c>
      <c r="M3594" s="14"/>
      <c r="N3594" s="14" t="s">
        <v>826</v>
      </c>
      <c r="O3594" s="14"/>
      <c r="P3594" s="15" t="s">
        <v>3895</v>
      </c>
      <c r="Q3594" s="16">
        <v>14990</v>
      </c>
      <c r="R3594" s="17">
        <v>53.45</v>
      </c>
      <c r="S3594" s="18">
        <v>8024.4354999999996</v>
      </c>
      <c r="T3594" s="19" t="s">
        <v>328</v>
      </c>
      <c r="U3594" s="20" t="s">
        <v>399</v>
      </c>
      <c r="V3594" s="21">
        <v>40</v>
      </c>
      <c r="W3594" s="21">
        <v>1</v>
      </c>
      <c r="X3594" s="22"/>
    </row>
    <row r="3595" spans="1:24" s="1" customFormat="1" ht="21" customHeight="1" x14ac:dyDescent="0.3">
      <c r="A3595" s="23" t="s">
        <v>3183</v>
      </c>
      <c r="B3595" s="23" t="s">
        <v>3892</v>
      </c>
      <c r="C3595" s="28" t="s">
        <v>3893</v>
      </c>
      <c r="D3595" s="84"/>
      <c r="E3595" s="69" t="str">
        <f>HYPERLINK("https://www.google.ru/search?q=U659KA0EK14C0866&amp;newwindow=1&amp;tbm=isch","Еще фото")</f>
        <v>Еще фото</v>
      </c>
      <c r="F3595" s="13"/>
      <c r="G3595" s="23" t="s">
        <v>394</v>
      </c>
      <c r="H3595" s="23" t="s">
        <v>151</v>
      </c>
      <c r="I3595" s="23" t="s">
        <v>424</v>
      </c>
      <c r="J3595" s="14" t="s">
        <v>29</v>
      </c>
      <c r="K3595" s="15" t="s">
        <v>55</v>
      </c>
      <c r="L3595" s="87"/>
      <c r="M3595" s="14"/>
      <c r="N3595" s="14" t="s">
        <v>826</v>
      </c>
      <c r="O3595" s="14"/>
      <c r="P3595" s="15" t="s">
        <v>3895</v>
      </c>
      <c r="Q3595" s="16">
        <v>14990</v>
      </c>
      <c r="R3595" s="17">
        <v>53.45</v>
      </c>
      <c r="S3595" s="18">
        <v>8024.4354999999996</v>
      </c>
      <c r="T3595" s="19" t="s">
        <v>328</v>
      </c>
      <c r="U3595" s="20" t="s">
        <v>400</v>
      </c>
      <c r="V3595" s="21">
        <v>41</v>
      </c>
      <c r="W3595" s="21">
        <v>4</v>
      </c>
      <c r="X3595" s="22"/>
    </row>
    <row r="3596" spans="1:24" s="1" customFormat="1" ht="21" customHeight="1" x14ac:dyDescent="0.3">
      <c r="A3596" s="23" t="s">
        <v>3183</v>
      </c>
      <c r="B3596" s="23" t="s">
        <v>3892</v>
      </c>
      <c r="C3596" s="28" t="s">
        <v>3893</v>
      </c>
      <c r="D3596" s="84"/>
      <c r="E3596" s="69" t="str">
        <f>HYPERLINK("https://www.google.ru/search?q=U659KA0EK14C0866&amp;newwindow=1&amp;tbm=isch","Еще фото")</f>
        <v>Еще фото</v>
      </c>
      <c r="F3596" s="13"/>
      <c r="G3596" s="23" t="s">
        <v>394</v>
      </c>
      <c r="H3596" s="23" t="s">
        <v>151</v>
      </c>
      <c r="I3596" s="23" t="s">
        <v>424</v>
      </c>
      <c r="J3596" s="14" t="s">
        <v>29</v>
      </c>
      <c r="K3596" s="15" t="s">
        <v>55</v>
      </c>
      <c r="L3596" s="87"/>
      <c r="M3596" s="14"/>
      <c r="N3596" s="14" t="s">
        <v>826</v>
      </c>
      <c r="O3596" s="14"/>
      <c r="P3596" s="15" t="s">
        <v>3895</v>
      </c>
      <c r="Q3596" s="16">
        <v>14990</v>
      </c>
      <c r="R3596" s="17">
        <v>53.45</v>
      </c>
      <c r="S3596" s="18">
        <v>8024.4354999999996</v>
      </c>
      <c r="T3596" s="19" t="s">
        <v>328</v>
      </c>
      <c r="U3596" s="20" t="s">
        <v>457</v>
      </c>
      <c r="V3596" s="21">
        <v>42</v>
      </c>
      <c r="W3596" s="21">
        <v>7</v>
      </c>
      <c r="X3596" s="22"/>
    </row>
    <row r="3597" spans="1:24" s="1" customFormat="1" ht="21" customHeight="1" x14ac:dyDescent="0.3">
      <c r="A3597" s="23" t="s">
        <v>3183</v>
      </c>
      <c r="B3597" s="23" t="s">
        <v>3892</v>
      </c>
      <c r="C3597" s="28" t="s">
        <v>3893</v>
      </c>
      <c r="D3597" s="84"/>
      <c r="E3597" s="69" t="str">
        <f>HYPERLINK("https://www.google.ru/search?q=U659KA0EK14C0866&amp;newwindow=1&amp;tbm=isch","Еще фото")</f>
        <v>Еще фото</v>
      </c>
      <c r="F3597" s="13"/>
      <c r="G3597" s="23" t="s">
        <v>394</v>
      </c>
      <c r="H3597" s="23" t="s">
        <v>151</v>
      </c>
      <c r="I3597" s="23" t="s">
        <v>424</v>
      </c>
      <c r="J3597" s="14" t="s">
        <v>29</v>
      </c>
      <c r="K3597" s="15" t="s">
        <v>55</v>
      </c>
      <c r="L3597" s="87"/>
      <c r="M3597" s="14"/>
      <c r="N3597" s="14" t="s">
        <v>826</v>
      </c>
      <c r="O3597" s="14"/>
      <c r="P3597" s="15" t="s">
        <v>3895</v>
      </c>
      <c r="Q3597" s="16">
        <v>14990</v>
      </c>
      <c r="R3597" s="17">
        <v>53.45</v>
      </c>
      <c r="S3597" s="18">
        <v>8024.4354999999996</v>
      </c>
      <c r="T3597" s="19" t="s">
        <v>328</v>
      </c>
      <c r="U3597" s="20" t="s">
        <v>401</v>
      </c>
      <c r="V3597" s="21">
        <v>43</v>
      </c>
      <c r="W3597" s="21">
        <v>6</v>
      </c>
      <c r="X3597" s="22"/>
    </row>
    <row r="3598" spans="1:24" s="1" customFormat="1" ht="32.1" customHeight="1" x14ac:dyDescent="0.3">
      <c r="A3598" s="23" t="s">
        <v>3183</v>
      </c>
      <c r="B3598" s="23" t="s">
        <v>3892</v>
      </c>
      <c r="C3598" s="28" t="s">
        <v>3893</v>
      </c>
      <c r="D3598" s="85"/>
      <c r="E3598" s="69" t="str">
        <f>HYPERLINK("https://www.google.ru/search?q=U659KA0EK14C0866&amp;newwindow=1&amp;tbm=isch","Еще фото")</f>
        <v>Еще фото</v>
      </c>
      <c r="F3598" s="13"/>
      <c r="G3598" s="23" t="s">
        <v>394</v>
      </c>
      <c r="H3598" s="23" t="s">
        <v>151</v>
      </c>
      <c r="I3598" s="23" t="s">
        <v>424</v>
      </c>
      <c r="J3598" s="14" t="s">
        <v>29</v>
      </c>
      <c r="K3598" s="15" t="s">
        <v>55</v>
      </c>
      <c r="L3598" s="88"/>
      <c r="M3598" s="14"/>
      <c r="N3598" s="14" t="s">
        <v>826</v>
      </c>
      <c r="O3598" s="14"/>
      <c r="P3598" s="15" t="s">
        <v>3895</v>
      </c>
      <c r="Q3598" s="16">
        <v>14990</v>
      </c>
      <c r="R3598" s="17">
        <v>53.45</v>
      </c>
      <c r="S3598" s="18">
        <v>8024.4354999999996</v>
      </c>
      <c r="T3598" s="19" t="s">
        <v>328</v>
      </c>
      <c r="U3598" s="20" t="s">
        <v>402</v>
      </c>
      <c r="V3598" s="21">
        <v>44</v>
      </c>
      <c r="W3598" s="21">
        <v>3</v>
      </c>
      <c r="X3598" s="22"/>
    </row>
    <row r="3599" spans="1:24" s="1" customFormat="1" ht="14.1" customHeight="1" x14ac:dyDescent="0.3">
      <c r="A3599" s="11" t="s">
        <v>3183</v>
      </c>
      <c r="B3599" s="11" t="s">
        <v>3892</v>
      </c>
      <c r="C3599" s="12" t="s">
        <v>3896</v>
      </c>
      <c r="D3599" s="83"/>
      <c r="E3599" s="69" t="str">
        <f t="shared" ref="E3599:E3605" si="167">HYPERLINK("https://www.google.ru/search?q=U659KA0EK14C1352&amp;newwindow=1&amp;tbm=isch","Еще фото")</f>
        <v>Еще фото</v>
      </c>
      <c r="F3599" s="13"/>
      <c r="G3599" s="11" t="s">
        <v>394</v>
      </c>
      <c r="H3599" s="11" t="s">
        <v>151</v>
      </c>
      <c r="I3599" s="14" t="s">
        <v>424</v>
      </c>
      <c r="J3599" s="14" t="s">
        <v>29</v>
      </c>
      <c r="K3599" s="15" t="s">
        <v>55</v>
      </c>
      <c r="L3599" s="86" t="s">
        <v>3894</v>
      </c>
      <c r="M3599" s="14"/>
      <c r="N3599" s="14" t="s">
        <v>89</v>
      </c>
      <c r="O3599" s="14"/>
      <c r="P3599" s="15" t="s">
        <v>3895</v>
      </c>
      <c r="Q3599" s="16">
        <v>14990</v>
      </c>
      <c r="R3599" s="17">
        <v>53.45</v>
      </c>
      <c r="S3599" s="18">
        <v>8024.4354999999996</v>
      </c>
      <c r="T3599" s="19" t="s">
        <v>328</v>
      </c>
      <c r="U3599" s="20" t="s">
        <v>413</v>
      </c>
      <c r="V3599" s="21">
        <v>39</v>
      </c>
      <c r="W3599" s="21">
        <v>2</v>
      </c>
      <c r="X3599" s="22"/>
    </row>
    <row r="3600" spans="1:24" s="1" customFormat="1" ht="14.1" customHeight="1" x14ac:dyDescent="0.3">
      <c r="A3600" s="23" t="s">
        <v>3183</v>
      </c>
      <c r="B3600" s="23" t="s">
        <v>3892</v>
      </c>
      <c r="C3600" s="12" t="s">
        <v>3896</v>
      </c>
      <c r="D3600" s="84"/>
      <c r="E3600" s="69" t="str">
        <f t="shared" si="167"/>
        <v>Еще фото</v>
      </c>
      <c r="F3600" s="13"/>
      <c r="G3600" s="23" t="s">
        <v>394</v>
      </c>
      <c r="H3600" s="23" t="s">
        <v>151</v>
      </c>
      <c r="I3600" s="23" t="s">
        <v>424</v>
      </c>
      <c r="J3600" s="14" t="s">
        <v>29</v>
      </c>
      <c r="K3600" s="15" t="s">
        <v>55</v>
      </c>
      <c r="L3600" s="87"/>
      <c r="M3600" s="14"/>
      <c r="N3600" s="14" t="s">
        <v>89</v>
      </c>
      <c r="O3600" s="14"/>
      <c r="P3600" s="15" t="s">
        <v>3895</v>
      </c>
      <c r="Q3600" s="16">
        <v>14990</v>
      </c>
      <c r="R3600" s="17">
        <v>53.45</v>
      </c>
      <c r="S3600" s="18">
        <v>8024.4354999999996</v>
      </c>
      <c r="T3600" s="19" t="s">
        <v>328</v>
      </c>
      <c r="U3600" s="20" t="s">
        <v>399</v>
      </c>
      <c r="V3600" s="21">
        <v>40</v>
      </c>
      <c r="W3600" s="21">
        <v>3</v>
      </c>
      <c r="X3600" s="22"/>
    </row>
    <row r="3601" spans="1:24" s="1" customFormat="1" ht="14.1" customHeight="1" x14ac:dyDescent="0.3">
      <c r="A3601" s="23" t="s">
        <v>3183</v>
      </c>
      <c r="B3601" s="23" t="s">
        <v>3892</v>
      </c>
      <c r="C3601" s="12" t="s">
        <v>3896</v>
      </c>
      <c r="D3601" s="84"/>
      <c r="E3601" s="69" t="str">
        <f t="shared" si="167"/>
        <v>Еще фото</v>
      </c>
      <c r="F3601" s="13"/>
      <c r="G3601" s="23" t="s">
        <v>394</v>
      </c>
      <c r="H3601" s="23" t="s">
        <v>151</v>
      </c>
      <c r="I3601" s="23" t="s">
        <v>424</v>
      </c>
      <c r="J3601" s="14" t="s">
        <v>29</v>
      </c>
      <c r="K3601" s="15" t="s">
        <v>55</v>
      </c>
      <c r="L3601" s="87"/>
      <c r="M3601" s="14"/>
      <c r="N3601" s="14" t="s">
        <v>89</v>
      </c>
      <c r="O3601" s="14"/>
      <c r="P3601" s="15" t="s">
        <v>3895</v>
      </c>
      <c r="Q3601" s="16">
        <v>14990</v>
      </c>
      <c r="R3601" s="17">
        <v>53.45</v>
      </c>
      <c r="S3601" s="18">
        <v>8024.4354999999996</v>
      </c>
      <c r="T3601" s="19" t="s">
        <v>328</v>
      </c>
      <c r="U3601" s="20" t="s">
        <v>400</v>
      </c>
      <c r="V3601" s="21">
        <v>41</v>
      </c>
      <c r="W3601" s="21">
        <v>1</v>
      </c>
      <c r="X3601" s="22"/>
    </row>
    <row r="3602" spans="1:24" s="1" customFormat="1" ht="14.1" customHeight="1" x14ac:dyDescent="0.3">
      <c r="A3602" s="23" t="s">
        <v>3183</v>
      </c>
      <c r="B3602" s="23" t="s">
        <v>3892</v>
      </c>
      <c r="C3602" s="12" t="s">
        <v>3896</v>
      </c>
      <c r="D3602" s="84"/>
      <c r="E3602" s="69" t="str">
        <f t="shared" si="167"/>
        <v>Еще фото</v>
      </c>
      <c r="F3602" s="13"/>
      <c r="G3602" s="23" t="s">
        <v>394</v>
      </c>
      <c r="H3602" s="23" t="s">
        <v>151</v>
      </c>
      <c r="I3602" s="23" t="s">
        <v>424</v>
      </c>
      <c r="J3602" s="14" t="s">
        <v>29</v>
      </c>
      <c r="K3602" s="15" t="s">
        <v>55</v>
      </c>
      <c r="L3602" s="87"/>
      <c r="M3602" s="14"/>
      <c r="N3602" s="14" t="s">
        <v>89</v>
      </c>
      <c r="O3602" s="14"/>
      <c r="P3602" s="15" t="s">
        <v>3895</v>
      </c>
      <c r="Q3602" s="16">
        <v>14990</v>
      </c>
      <c r="R3602" s="17">
        <v>53.45</v>
      </c>
      <c r="S3602" s="18">
        <v>8024.4354999999996</v>
      </c>
      <c r="T3602" s="19" t="s">
        <v>328</v>
      </c>
      <c r="U3602" s="20" t="s">
        <v>457</v>
      </c>
      <c r="V3602" s="21">
        <v>42</v>
      </c>
      <c r="W3602" s="21">
        <v>1</v>
      </c>
      <c r="X3602" s="22"/>
    </row>
    <row r="3603" spans="1:24" s="1" customFormat="1" ht="14.1" customHeight="1" x14ac:dyDescent="0.3">
      <c r="A3603" s="23" t="s">
        <v>3183</v>
      </c>
      <c r="B3603" s="23" t="s">
        <v>3892</v>
      </c>
      <c r="C3603" s="12" t="s">
        <v>3896</v>
      </c>
      <c r="D3603" s="84"/>
      <c r="E3603" s="69" t="str">
        <f t="shared" si="167"/>
        <v>Еще фото</v>
      </c>
      <c r="F3603" s="13"/>
      <c r="G3603" s="23" t="s">
        <v>394</v>
      </c>
      <c r="H3603" s="23" t="s">
        <v>151</v>
      </c>
      <c r="I3603" s="23" t="s">
        <v>424</v>
      </c>
      <c r="J3603" s="14" t="s">
        <v>29</v>
      </c>
      <c r="K3603" s="15" t="s">
        <v>55</v>
      </c>
      <c r="L3603" s="87"/>
      <c r="M3603" s="14"/>
      <c r="N3603" s="14" t="s">
        <v>89</v>
      </c>
      <c r="O3603" s="14"/>
      <c r="P3603" s="15" t="s">
        <v>3895</v>
      </c>
      <c r="Q3603" s="16">
        <v>14990</v>
      </c>
      <c r="R3603" s="17">
        <v>53.45</v>
      </c>
      <c r="S3603" s="18">
        <v>8024.4354999999996</v>
      </c>
      <c r="T3603" s="19" t="s">
        <v>328</v>
      </c>
      <c r="U3603" s="20" t="s">
        <v>401</v>
      </c>
      <c r="V3603" s="21">
        <v>43</v>
      </c>
      <c r="W3603" s="21">
        <v>1</v>
      </c>
      <c r="X3603" s="22"/>
    </row>
    <row r="3604" spans="1:24" s="1" customFormat="1" ht="14.1" customHeight="1" x14ac:dyDescent="0.3">
      <c r="A3604" s="23" t="s">
        <v>3183</v>
      </c>
      <c r="B3604" s="23" t="s">
        <v>3892</v>
      </c>
      <c r="C3604" s="12" t="s">
        <v>3896</v>
      </c>
      <c r="D3604" s="84"/>
      <c r="E3604" s="69" t="str">
        <f t="shared" si="167"/>
        <v>Еще фото</v>
      </c>
      <c r="F3604" s="13"/>
      <c r="G3604" s="23" t="s">
        <v>394</v>
      </c>
      <c r="H3604" s="23" t="s">
        <v>151</v>
      </c>
      <c r="I3604" s="23" t="s">
        <v>424</v>
      </c>
      <c r="J3604" s="14" t="s">
        <v>29</v>
      </c>
      <c r="K3604" s="15" t="s">
        <v>55</v>
      </c>
      <c r="L3604" s="87"/>
      <c r="M3604" s="14"/>
      <c r="N3604" s="14" t="s">
        <v>89</v>
      </c>
      <c r="O3604" s="14"/>
      <c r="P3604" s="15" t="s">
        <v>3895</v>
      </c>
      <c r="Q3604" s="16">
        <v>14990</v>
      </c>
      <c r="R3604" s="17">
        <v>53.45</v>
      </c>
      <c r="S3604" s="18">
        <v>8024.4354999999996</v>
      </c>
      <c r="T3604" s="19" t="s">
        <v>328</v>
      </c>
      <c r="U3604" s="20" t="s">
        <v>402</v>
      </c>
      <c r="V3604" s="21">
        <v>44</v>
      </c>
      <c r="W3604" s="21">
        <v>1</v>
      </c>
      <c r="X3604" s="22"/>
    </row>
    <row r="3605" spans="1:24" s="1" customFormat="1" ht="17.100000000000001" customHeight="1" x14ac:dyDescent="0.3">
      <c r="A3605" s="23" t="s">
        <v>3183</v>
      </c>
      <c r="B3605" s="23" t="s">
        <v>3892</v>
      </c>
      <c r="C3605" s="12" t="s">
        <v>3896</v>
      </c>
      <c r="D3605" s="85"/>
      <c r="E3605" s="69" t="str">
        <f t="shared" si="167"/>
        <v>Еще фото</v>
      </c>
      <c r="F3605" s="13"/>
      <c r="G3605" s="23" t="s">
        <v>394</v>
      </c>
      <c r="H3605" s="23" t="s">
        <v>151</v>
      </c>
      <c r="I3605" s="23" t="s">
        <v>424</v>
      </c>
      <c r="J3605" s="14" t="s">
        <v>29</v>
      </c>
      <c r="K3605" s="15" t="s">
        <v>55</v>
      </c>
      <c r="L3605" s="88"/>
      <c r="M3605" s="14"/>
      <c r="N3605" s="14" t="s">
        <v>89</v>
      </c>
      <c r="O3605" s="14"/>
      <c r="P3605" s="15" t="s">
        <v>3895</v>
      </c>
      <c r="Q3605" s="16">
        <v>14990</v>
      </c>
      <c r="R3605" s="17">
        <v>53.45</v>
      </c>
      <c r="S3605" s="18">
        <v>8024.4354999999996</v>
      </c>
      <c r="T3605" s="19" t="s">
        <v>328</v>
      </c>
      <c r="U3605" s="20" t="s">
        <v>403</v>
      </c>
      <c r="V3605" s="21">
        <v>45</v>
      </c>
      <c r="W3605" s="21">
        <v>1</v>
      </c>
      <c r="X3605" s="22"/>
    </row>
    <row r="3606" spans="1:24" s="1" customFormat="1" ht="51.95" customHeight="1" x14ac:dyDescent="0.3">
      <c r="A3606" s="11" t="s">
        <v>3183</v>
      </c>
      <c r="B3606" s="11" t="s">
        <v>3897</v>
      </c>
      <c r="C3606" s="12" t="s">
        <v>3898</v>
      </c>
      <c r="D3606" s="89"/>
      <c r="E3606" s="69" t="str">
        <f>HYPERLINK("https://www.google.ru/search?q=U65N4B014EKC4078&amp;newwindow=1&amp;tbm=isch","Еще фото")</f>
        <v>Еще фото</v>
      </c>
      <c r="F3606" s="13"/>
      <c r="G3606" s="11" t="s">
        <v>394</v>
      </c>
      <c r="H3606" s="11" t="s">
        <v>151</v>
      </c>
      <c r="I3606" s="14" t="s">
        <v>424</v>
      </c>
      <c r="J3606" s="14" t="s">
        <v>29</v>
      </c>
      <c r="K3606" s="15" t="s">
        <v>55</v>
      </c>
      <c r="L3606" s="86" t="s">
        <v>3899</v>
      </c>
      <c r="M3606" s="14"/>
      <c r="N3606" s="14" t="s">
        <v>70</v>
      </c>
      <c r="O3606" s="14"/>
      <c r="P3606" s="15" t="s">
        <v>3900</v>
      </c>
      <c r="Q3606" s="16">
        <v>14990</v>
      </c>
      <c r="R3606" s="17">
        <v>53.45</v>
      </c>
      <c r="S3606" s="18">
        <v>8024.4354999999996</v>
      </c>
      <c r="T3606" s="19" t="s">
        <v>328</v>
      </c>
      <c r="U3606" s="20" t="s">
        <v>402</v>
      </c>
      <c r="V3606" s="21">
        <v>44</v>
      </c>
      <c r="W3606" s="21">
        <v>7</v>
      </c>
      <c r="X3606" s="22"/>
    </row>
    <row r="3607" spans="1:24" s="1" customFormat="1" ht="60.95" customHeight="1" x14ac:dyDescent="0.3">
      <c r="A3607" s="23" t="s">
        <v>3183</v>
      </c>
      <c r="B3607" s="23" t="s">
        <v>3897</v>
      </c>
      <c r="C3607" s="12" t="s">
        <v>3898</v>
      </c>
      <c r="D3607" s="90"/>
      <c r="E3607" s="69" t="str">
        <f>HYPERLINK("https://www.google.ru/search?q=U65N4B014EKC4078&amp;newwindow=1&amp;tbm=isch","Еще фото")</f>
        <v>Еще фото</v>
      </c>
      <c r="F3607" s="13"/>
      <c r="G3607" s="23" t="s">
        <v>394</v>
      </c>
      <c r="H3607" s="23" t="s">
        <v>151</v>
      </c>
      <c r="I3607" s="23" t="s">
        <v>424</v>
      </c>
      <c r="J3607" s="14" t="s">
        <v>29</v>
      </c>
      <c r="K3607" s="15" t="s">
        <v>55</v>
      </c>
      <c r="L3607" s="88"/>
      <c r="M3607" s="14"/>
      <c r="N3607" s="14" t="s">
        <v>70</v>
      </c>
      <c r="O3607" s="14"/>
      <c r="P3607" s="15" t="s">
        <v>3900</v>
      </c>
      <c r="Q3607" s="16">
        <v>14990</v>
      </c>
      <c r="R3607" s="17">
        <v>53.45</v>
      </c>
      <c r="S3607" s="18">
        <v>8024.4354999999996</v>
      </c>
      <c r="T3607" s="19" t="s">
        <v>328</v>
      </c>
      <c r="U3607" s="20" t="s">
        <v>403</v>
      </c>
      <c r="V3607" s="21">
        <v>45</v>
      </c>
      <c r="W3607" s="21">
        <v>3</v>
      </c>
      <c r="X3607" s="22"/>
    </row>
    <row r="3608" spans="1:24" s="1" customFormat="1" ht="21" customHeight="1" x14ac:dyDescent="0.3">
      <c r="A3608" s="11" t="s">
        <v>3183</v>
      </c>
      <c r="B3608" s="11" t="s">
        <v>3901</v>
      </c>
      <c r="C3608" s="27" t="s">
        <v>3902</v>
      </c>
      <c r="D3608" s="83"/>
      <c r="E3608" s="69" t="str">
        <f>HYPERLINK("https://www.google.ru/search?q=J55LSD05411C0899&amp;newwindow=1&amp;tbm=isch","Еще фото")</f>
        <v>Еще фото</v>
      </c>
      <c r="F3608" s="13"/>
      <c r="G3608" s="11" t="s">
        <v>394</v>
      </c>
      <c r="H3608" s="11" t="s">
        <v>151</v>
      </c>
      <c r="I3608" s="14" t="s">
        <v>424</v>
      </c>
      <c r="J3608" s="14" t="s">
        <v>29</v>
      </c>
      <c r="K3608" s="15" t="s">
        <v>30</v>
      </c>
      <c r="L3608" s="86" t="s">
        <v>3903</v>
      </c>
      <c r="M3608" s="14"/>
      <c r="N3608" s="14" t="s">
        <v>816</v>
      </c>
      <c r="O3608" s="14"/>
      <c r="P3608" s="15" t="s">
        <v>3904</v>
      </c>
      <c r="Q3608" s="16">
        <v>7299</v>
      </c>
      <c r="R3608" s="17">
        <v>53.45</v>
      </c>
      <c r="S3608" s="18">
        <v>3907.4354999999996</v>
      </c>
      <c r="T3608" s="19" t="s">
        <v>328</v>
      </c>
      <c r="U3608" s="20" t="s">
        <v>142</v>
      </c>
      <c r="V3608" s="21">
        <v>28</v>
      </c>
      <c r="W3608" s="21">
        <v>1</v>
      </c>
      <c r="X3608" s="22"/>
    </row>
    <row r="3609" spans="1:24" s="1" customFormat="1" ht="21" customHeight="1" x14ac:dyDescent="0.3">
      <c r="A3609" s="23" t="s">
        <v>3183</v>
      </c>
      <c r="B3609" s="23" t="s">
        <v>3901</v>
      </c>
      <c r="C3609" s="28" t="s">
        <v>3902</v>
      </c>
      <c r="D3609" s="84"/>
      <c r="E3609" s="69" t="str">
        <f>HYPERLINK("https://www.google.ru/search?q=J55LSD05411C0899&amp;newwindow=1&amp;tbm=isch","Еще фото")</f>
        <v>Еще фото</v>
      </c>
      <c r="F3609" s="13"/>
      <c r="G3609" s="23" t="s">
        <v>394</v>
      </c>
      <c r="H3609" s="23" t="s">
        <v>151</v>
      </c>
      <c r="I3609" s="23" t="s">
        <v>424</v>
      </c>
      <c r="J3609" s="14" t="s">
        <v>29</v>
      </c>
      <c r="K3609" s="15" t="s">
        <v>30</v>
      </c>
      <c r="L3609" s="87"/>
      <c r="M3609" s="14"/>
      <c r="N3609" s="14" t="s">
        <v>816</v>
      </c>
      <c r="O3609" s="14"/>
      <c r="P3609" s="15" t="s">
        <v>3904</v>
      </c>
      <c r="Q3609" s="16">
        <v>7299</v>
      </c>
      <c r="R3609" s="17">
        <v>53.45</v>
      </c>
      <c r="S3609" s="18">
        <v>3907.4354999999996</v>
      </c>
      <c r="T3609" s="19" t="s">
        <v>328</v>
      </c>
      <c r="U3609" s="20" t="s">
        <v>550</v>
      </c>
      <c r="V3609" s="21">
        <v>29</v>
      </c>
      <c r="W3609" s="21">
        <v>6</v>
      </c>
      <c r="X3609" s="22"/>
    </row>
    <row r="3610" spans="1:24" s="1" customFormat="1" ht="21" customHeight="1" x14ac:dyDescent="0.3">
      <c r="A3610" s="23" t="s">
        <v>3183</v>
      </c>
      <c r="B3610" s="23" t="s">
        <v>3901</v>
      </c>
      <c r="C3610" s="28" t="s">
        <v>3902</v>
      </c>
      <c r="D3610" s="84"/>
      <c r="E3610" s="69" t="str">
        <f>HYPERLINK("https://www.google.ru/search?q=J55LSD05411C0899&amp;newwindow=1&amp;tbm=isch","Еще фото")</f>
        <v>Еще фото</v>
      </c>
      <c r="F3610" s="13"/>
      <c r="G3610" s="23" t="s">
        <v>394</v>
      </c>
      <c r="H3610" s="23" t="s">
        <v>151</v>
      </c>
      <c r="I3610" s="23" t="s">
        <v>424</v>
      </c>
      <c r="J3610" s="14" t="s">
        <v>29</v>
      </c>
      <c r="K3610" s="15" t="s">
        <v>30</v>
      </c>
      <c r="L3610" s="87"/>
      <c r="M3610" s="14"/>
      <c r="N3610" s="14" t="s">
        <v>816</v>
      </c>
      <c r="O3610" s="14"/>
      <c r="P3610" s="15" t="s">
        <v>3904</v>
      </c>
      <c r="Q3610" s="16">
        <v>7299</v>
      </c>
      <c r="R3610" s="17">
        <v>53.45</v>
      </c>
      <c r="S3610" s="18">
        <v>3907.4354999999996</v>
      </c>
      <c r="T3610" s="19" t="s">
        <v>328</v>
      </c>
      <c r="U3610" s="20" t="s">
        <v>3189</v>
      </c>
      <c r="V3610" s="21">
        <v>30</v>
      </c>
      <c r="W3610" s="21">
        <v>9</v>
      </c>
      <c r="X3610" s="22"/>
    </row>
    <row r="3611" spans="1:24" s="1" customFormat="1" ht="21" customHeight="1" x14ac:dyDescent="0.3">
      <c r="A3611" s="23" t="s">
        <v>3183</v>
      </c>
      <c r="B3611" s="23" t="s">
        <v>3901</v>
      </c>
      <c r="C3611" s="28" t="s">
        <v>3902</v>
      </c>
      <c r="D3611" s="84"/>
      <c r="E3611" s="69" t="str">
        <f>HYPERLINK("https://www.google.ru/search?q=J55LSD05411C0899&amp;newwindow=1&amp;tbm=isch","Еще фото")</f>
        <v>Еще фото</v>
      </c>
      <c r="F3611" s="13"/>
      <c r="G3611" s="23" t="s">
        <v>394</v>
      </c>
      <c r="H3611" s="23" t="s">
        <v>151</v>
      </c>
      <c r="I3611" s="23" t="s">
        <v>424</v>
      </c>
      <c r="J3611" s="14" t="s">
        <v>29</v>
      </c>
      <c r="K3611" s="15" t="s">
        <v>30</v>
      </c>
      <c r="L3611" s="87"/>
      <c r="M3611" s="14"/>
      <c r="N3611" s="14" t="s">
        <v>816</v>
      </c>
      <c r="O3611" s="14"/>
      <c r="P3611" s="15" t="s">
        <v>3904</v>
      </c>
      <c r="Q3611" s="16">
        <v>7299</v>
      </c>
      <c r="R3611" s="17">
        <v>53.45</v>
      </c>
      <c r="S3611" s="18">
        <v>3907.4354999999996</v>
      </c>
      <c r="T3611" s="19" t="s">
        <v>328</v>
      </c>
      <c r="U3611" s="20" t="s">
        <v>3190</v>
      </c>
      <c r="V3611" s="21">
        <v>31</v>
      </c>
      <c r="W3611" s="21">
        <v>4</v>
      </c>
      <c r="X3611" s="22"/>
    </row>
    <row r="3612" spans="1:24" s="1" customFormat="1" ht="32.1" customHeight="1" x14ac:dyDescent="0.3">
      <c r="A3612" s="23" t="s">
        <v>3183</v>
      </c>
      <c r="B3612" s="23" t="s">
        <v>3901</v>
      </c>
      <c r="C3612" s="28" t="s">
        <v>3902</v>
      </c>
      <c r="D3612" s="85"/>
      <c r="E3612" s="69" t="str">
        <f>HYPERLINK("https://www.google.ru/search?q=J55LSD05411C0899&amp;newwindow=1&amp;tbm=isch","Еще фото")</f>
        <v>Еще фото</v>
      </c>
      <c r="F3612" s="13"/>
      <c r="G3612" s="23" t="s">
        <v>394</v>
      </c>
      <c r="H3612" s="23" t="s">
        <v>151</v>
      </c>
      <c r="I3612" s="23" t="s">
        <v>424</v>
      </c>
      <c r="J3612" s="14" t="s">
        <v>29</v>
      </c>
      <c r="K3612" s="15" t="s">
        <v>30</v>
      </c>
      <c r="L3612" s="88"/>
      <c r="M3612" s="14"/>
      <c r="N3612" s="14" t="s">
        <v>816</v>
      </c>
      <c r="O3612" s="14"/>
      <c r="P3612" s="15" t="s">
        <v>3904</v>
      </c>
      <c r="Q3612" s="16">
        <v>7299</v>
      </c>
      <c r="R3612" s="17">
        <v>53.45</v>
      </c>
      <c r="S3612" s="18">
        <v>3907.4354999999996</v>
      </c>
      <c r="T3612" s="19" t="s">
        <v>328</v>
      </c>
      <c r="U3612" s="20" t="s">
        <v>552</v>
      </c>
      <c r="V3612" s="21">
        <v>32</v>
      </c>
      <c r="W3612" s="21">
        <v>8</v>
      </c>
      <c r="X3612" s="22"/>
    </row>
    <row r="3613" spans="1:24" s="1" customFormat="1" ht="51.95" customHeight="1" x14ac:dyDescent="0.3">
      <c r="A3613" s="11" t="s">
        <v>3183</v>
      </c>
      <c r="B3613" s="11" t="s">
        <v>3866</v>
      </c>
      <c r="C3613" s="12" t="s">
        <v>3905</v>
      </c>
      <c r="D3613" s="89"/>
      <c r="E3613" s="69" t="str">
        <f>HYPERLINK("https://www.google.ru/search?q=J463ZC050FUC4231&amp;newwindow=1&amp;tbm=isch","Еще фото")</f>
        <v>Еще фото</v>
      </c>
      <c r="F3613" s="13"/>
      <c r="G3613" s="11" t="s">
        <v>394</v>
      </c>
      <c r="H3613" s="11" t="s">
        <v>151</v>
      </c>
      <c r="I3613" s="14" t="s">
        <v>424</v>
      </c>
      <c r="J3613" s="14" t="s">
        <v>29</v>
      </c>
      <c r="K3613" s="15" t="s">
        <v>30</v>
      </c>
      <c r="L3613" s="86" t="s">
        <v>3906</v>
      </c>
      <c r="M3613" s="14"/>
      <c r="N3613" s="14" t="s">
        <v>3869</v>
      </c>
      <c r="O3613" s="14"/>
      <c r="P3613" s="15" t="s">
        <v>3907</v>
      </c>
      <c r="Q3613" s="16">
        <v>12390</v>
      </c>
      <c r="R3613" s="17">
        <v>53.45</v>
      </c>
      <c r="S3613" s="18">
        <v>6632.9354999999996</v>
      </c>
      <c r="T3613" s="19" t="s">
        <v>328</v>
      </c>
      <c r="U3613" s="20" t="s">
        <v>552</v>
      </c>
      <c r="V3613" s="21">
        <v>32</v>
      </c>
      <c r="W3613" s="21">
        <v>3</v>
      </c>
      <c r="X3613" s="22"/>
    </row>
    <row r="3614" spans="1:24" s="1" customFormat="1" ht="60.95" customHeight="1" x14ac:dyDescent="0.3">
      <c r="A3614" s="23" t="s">
        <v>3183</v>
      </c>
      <c r="B3614" s="23" t="s">
        <v>3866</v>
      </c>
      <c r="C3614" s="12" t="s">
        <v>3905</v>
      </c>
      <c r="D3614" s="90"/>
      <c r="E3614" s="69" t="str">
        <f>HYPERLINK("https://www.google.ru/search?q=J463ZC050FUC4231&amp;newwindow=1&amp;tbm=isch","Еще фото")</f>
        <v>Еще фото</v>
      </c>
      <c r="F3614" s="13"/>
      <c r="G3614" s="23" t="s">
        <v>394</v>
      </c>
      <c r="H3614" s="23" t="s">
        <v>151</v>
      </c>
      <c r="I3614" s="23" t="s">
        <v>424</v>
      </c>
      <c r="J3614" s="14" t="s">
        <v>29</v>
      </c>
      <c r="K3614" s="15" t="s">
        <v>30</v>
      </c>
      <c r="L3614" s="88"/>
      <c r="M3614" s="14"/>
      <c r="N3614" s="14" t="s">
        <v>3869</v>
      </c>
      <c r="O3614" s="14"/>
      <c r="P3614" s="15" t="s">
        <v>3907</v>
      </c>
      <c r="Q3614" s="16">
        <v>12390</v>
      </c>
      <c r="R3614" s="17">
        <v>53.45</v>
      </c>
      <c r="S3614" s="18">
        <v>6632.9354999999996</v>
      </c>
      <c r="T3614" s="19" t="s">
        <v>328</v>
      </c>
      <c r="U3614" s="20" t="s">
        <v>431</v>
      </c>
      <c r="V3614" s="21">
        <v>35</v>
      </c>
      <c r="W3614" s="21">
        <v>1</v>
      </c>
      <c r="X3614" s="22"/>
    </row>
    <row r="3615" spans="1:24" s="1" customFormat="1" ht="51.95" customHeight="1" x14ac:dyDescent="0.3">
      <c r="A3615" s="11" t="s">
        <v>3183</v>
      </c>
      <c r="B3615" s="11" t="s">
        <v>3908</v>
      </c>
      <c r="C3615" s="12" t="s">
        <v>3909</v>
      </c>
      <c r="D3615" s="89"/>
      <c r="E3615" s="69" t="str">
        <f>HYPERLINK("https://www.google.ru/search?q=J454AA0FU54C4327&amp;newwindow=1&amp;tbm=isch","Еще фото")</f>
        <v>Еще фото</v>
      </c>
      <c r="F3615" s="13"/>
      <c r="G3615" s="11" t="s">
        <v>394</v>
      </c>
      <c r="H3615" s="11" t="s">
        <v>151</v>
      </c>
      <c r="I3615" s="14" t="s">
        <v>424</v>
      </c>
      <c r="J3615" s="14" t="s">
        <v>29</v>
      </c>
      <c r="K3615" s="15" t="s">
        <v>30</v>
      </c>
      <c r="L3615" s="86" t="s">
        <v>3910</v>
      </c>
      <c r="M3615" s="14"/>
      <c r="N3615" s="14" t="s">
        <v>3822</v>
      </c>
      <c r="O3615" s="14"/>
      <c r="P3615" s="15" t="s">
        <v>3911</v>
      </c>
      <c r="Q3615" s="16">
        <v>8199</v>
      </c>
      <c r="R3615" s="17">
        <v>53.44</v>
      </c>
      <c r="S3615" s="18">
        <v>4390.4354999999996</v>
      </c>
      <c r="T3615" s="19" t="s">
        <v>328</v>
      </c>
      <c r="U3615" s="20" t="s">
        <v>3189</v>
      </c>
      <c r="V3615" s="21">
        <v>30</v>
      </c>
      <c r="W3615" s="21">
        <v>2</v>
      </c>
      <c r="X3615" s="22"/>
    </row>
    <row r="3616" spans="1:24" s="1" customFormat="1" ht="60.95" customHeight="1" x14ac:dyDescent="0.3">
      <c r="A3616" s="23" t="s">
        <v>3183</v>
      </c>
      <c r="B3616" s="23" t="s">
        <v>3908</v>
      </c>
      <c r="C3616" s="12" t="s">
        <v>3909</v>
      </c>
      <c r="D3616" s="90"/>
      <c r="E3616" s="69" t="str">
        <f>HYPERLINK("https://www.google.ru/search?q=J454AA0FU54C4327&amp;newwindow=1&amp;tbm=isch","Еще фото")</f>
        <v>Еще фото</v>
      </c>
      <c r="F3616" s="13"/>
      <c r="G3616" s="23" t="s">
        <v>394</v>
      </c>
      <c r="H3616" s="23" t="s">
        <v>151</v>
      </c>
      <c r="I3616" s="23" t="s">
        <v>424</v>
      </c>
      <c r="J3616" s="14" t="s">
        <v>29</v>
      </c>
      <c r="K3616" s="15" t="s">
        <v>30</v>
      </c>
      <c r="L3616" s="88"/>
      <c r="M3616" s="14"/>
      <c r="N3616" s="14" t="s">
        <v>3822</v>
      </c>
      <c r="O3616" s="14"/>
      <c r="P3616" s="15" t="s">
        <v>3911</v>
      </c>
      <c r="Q3616" s="16">
        <v>8199</v>
      </c>
      <c r="R3616" s="17">
        <v>53.44</v>
      </c>
      <c r="S3616" s="18">
        <v>4390.4354999999996</v>
      </c>
      <c r="T3616" s="19" t="s">
        <v>328</v>
      </c>
      <c r="U3616" s="20" t="s">
        <v>552</v>
      </c>
      <c r="V3616" s="21">
        <v>32</v>
      </c>
      <c r="W3616" s="21">
        <v>8</v>
      </c>
      <c r="X3616" s="22"/>
    </row>
    <row r="3617" spans="1:24" s="1" customFormat="1" ht="21" customHeight="1" x14ac:dyDescent="0.3">
      <c r="A3617" s="11" t="s">
        <v>3183</v>
      </c>
      <c r="B3617" s="11" t="s">
        <v>3912</v>
      </c>
      <c r="C3617" s="27" t="s">
        <v>3913</v>
      </c>
      <c r="D3617" s="83"/>
      <c r="E3617" s="69" t="str">
        <f>HYPERLINK("https://www.google.ru/search?q=J45DZC014CEC0820&amp;newwindow=1&amp;tbm=isch","Еще фото")</f>
        <v>Еще фото</v>
      </c>
      <c r="F3617" s="13"/>
      <c r="G3617" s="11" t="s">
        <v>394</v>
      </c>
      <c r="H3617" s="11" t="s">
        <v>151</v>
      </c>
      <c r="I3617" s="14" t="s">
        <v>424</v>
      </c>
      <c r="J3617" s="14" t="s">
        <v>29</v>
      </c>
      <c r="K3617" s="15" t="s">
        <v>30</v>
      </c>
      <c r="L3617" s="86" t="s">
        <v>3914</v>
      </c>
      <c r="M3617" s="14"/>
      <c r="N3617" s="14" t="s">
        <v>70</v>
      </c>
      <c r="O3617" s="14"/>
      <c r="P3617" s="15" t="s">
        <v>3915</v>
      </c>
      <c r="Q3617" s="16">
        <v>8199</v>
      </c>
      <c r="R3617" s="17">
        <v>53.44</v>
      </c>
      <c r="S3617" s="18">
        <v>4390.4354999999996</v>
      </c>
      <c r="T3617" s="19" t="s">
        <v>328</v>
      </c>
      <c r="U3617" s="20" t="s">
        <v>3189</v>
      </c>
      <c r="V3617" s="21">
        <v>30</v>
      </c>
      <c r="W3617" s="21">
        <v>2</v>
      </c>
      <c r="X3617" s="22"/>
    </row>
    <row r="3618" spans="1:24" s="1" customFormat="1" ht="21" customHeight="1" x14ac:dyDescent="0.3">
      <c r="A3618" s="23" t="s">
        <v>3183</v>
      </c>
      <c r="B3618" s="23" t="s">
        <v>3912</v>
      </c>
      <c r="C3618" s="28" t="s">
        <v>3913</v>
      </c>
      <c r="D3618" s="84"/>
      <c r="E3618" s="69" t="str">
        <f>HYPERLINK("https://www.google.ru/search?q=J45DZC014CEC0820&amp;newwindow=1&amp;tbm=isch","Еще фото")</f>
        <v>Еще фото</v>
      </c>
      <c r="F3618" s="13"/>
      <c r="G3618" s="23" t="s">
        <v>394</v>
      </c>
      <c r="H3618" s="23" t="s">
        <v>151</v>
      </c>
      <c r="I3618" s="23" t="s">
        <v>424</v>
      </c>
      <c r="J3618" s="14" t="s">
        <v>29</v>
      </c>
      <c r="K3618" s="15" t="s">
        <v>30</v>
      </c>
      <c r="L3618" s="87"/>
      <c r="M3618" s="14"/>
      <c r="N3618" s="14" t="s">
        <v>70</v>
      </c>
      <c r="O3618" s="14"/>
      <c r="P3618" s="15" t="s">
        <v>3915</v>
      </c>
      <c r="Q3618" s="16">
        <v>8199</v>
      </c>
      <c r="R3618" s="17">
        <v>53.44</v>
      </c>
      <c r="S3618" s="18">
        <v>4390.4354999999996</v>
      </c>
      <c r="T3618" s="19" t="s">
        <v>328</v>
      </c>
      <c r="U3618" s="20" t="s">
        <v>3190</v>
      </c>
      <c r="V3618" s="21">
        <v>31</v>
      </c>
      <c r="W3618" s="21">
        <v>3</v>
      </c>
      <c r="X3618" s="22"/>
    </row>
    <row r="3619" spans="1:24" s="1" customFormat="1" ht="21" customHeight="1" x14ac:dyDescent="0.3">
      <c r="A3619" s="23" t="s">
        <v>3183</v>
      </c>
      <c r="B3619" s="23" t="s">
        <v>3912</v>
      </c>
      <c r="C3619" s="28" t="s">
        <v>3913</v>
      </c>
      <c r="D3619" s="84"/>
      <c r="E3619" s="69" t="str">
        <f>HYPERLINK("https://www.google.ru/search?q=J45DZC014CEC0820&amp;newwindow=1&amp;tbm=isch","Еще фото")</f>
        <v>Еще фото</v>
      </c>
      <c r="F3619" s="13"/>
      <c r="G3619" s="23" t="s">
        <v>394</v>
      </c>
      <c r="H3619" s="23" t="s">
        <v>151</v>
      </c>
      <c r="I3619" s="23" t="s">
        <v>424</v>
      </c>
      <c r="J3619" s="14" t="s">
        <v>29</v>
      </c>
      <c r="K3619" s="15" t="s">
        <v>30</v>
      </c>
      <c r="L3619" s="87"/>
      <c r="M3619" s="14"/>
      <c r="N3619" s="14" t="s">
        <v>70</v>
      </c>
      <c r="O3619" s="14"/>
      <c r="P3619" s="15" t="s">
        <v>3915</v>
      </c>
      <c r="Q3619" s="16">
        <v>8199</v>
      </c>
      <c r="R3619" s="17">
        <v>53.44</v>
      </c>
      <c r="S3619" s="18">
        <v>4390.4354999999996</v>
      </c>
      <c r="T3619" s="19" t="s">
        <v>328</v>
      </c>
      <c r="U3619" s="20" t="s">
        <v>552</v>
      </c>
      <c r="V3619" s="21">
        <v>32</v>
      </c>
      <c r="W3619" s="21">
        <v>2</v>
      </c>
      <c r="X3619" s="22"/>
    </row>
    <row r="3620" spans="1:24" s="1" customFormat="1" ht="21" customHeight="1" x14ac:dyDescent="0.3">
      <c r="A3620" s="23" t="s">
        <v>3183</v>
      </c>
      <c r="B3620" s="23" t="s">
        <v>3912</v>
      </c>
      <c r="C3620" s="28" t="s">
        <v>3913</v>
      </c>
      <c r="D3620" s="84"/>
      <c r="E3620" s="69" t="str">
        <f>HYPERLINK("https://www.google.ru/search?q=J45DZC014CEC0820&amp;newwindow=1&amp;tbm=isch","Еще фото")</f>
        <v>Еще фото</v>
      </c>
      <c r="F3620" s="13"/>
      <c r="G3620" s="23" t="s">
        <v>394</v>
      </c>
      <c r="H3620" s="23" t="s">
        <v>151</v>
      </c>
      <c r="I3620" s="23" t="s">
        <v>424</v>
      </c>
      <c r="J3620" s="14" t="s">
        <v>29</v>
      </c>
      <c r="K3620" s="15" t="s">
        <v>30</v>
      </c>
      <c r="L3620" s="87"/>
      <c r="M3620" s="14"/>
      <c r="N3620" s="14" t="s">
        <v>70</v>
      </c>
      <c r="O3620" s="14"/>
      <c r="P3620" s="15" t="s">
        <v>3915</v>
      </c>
      <c r="Q3620" s="16">
        <v>8199</v>
      </c>
      <c r="R3620" s="17">
        <v>53.44</v>
      </c>
      <c r="S3620" s="18">
        <v>4390.4354999999996</v>
      </c>
      <c r="T3620" s="19" t="s">
        <v>328</v>
      </c>
      <c r="U3620" s="20" t="s">
        <v>431</v>
      </c>
      <c r="V3620" s="21">
        <v>35</v>
      </c>
      <c r="W3620" s="21">
        <v>1</v>
      </c>
      <c r="X3620" s="22"/>
    </row>
    <row r="3621" spans="1:24" s="1" customFormat="1" ht="32.1" customHeight="1" x14ac:dyDescent="0.3">
      <c r="A3621" s="23" t="s">
        <v>3183</v>
      </c>
      <c r="B3621" s="23" t="s">
        <v>3912</v>
      </c>
      <c r="C3621" s="28" t="s">
        <v>3913</v>
      </c>
      <c r="D3621" s="85"/>
      <c r="E3621" s="69" t="str">
        <f>HYPERLINK("https://www.google.ru/search?q=J45DZC014CEC0820&amp;newwindow=1&amp;tbm=isch","Еще фото")</f>
        <v>Еще фото</v>
      </c>
      <c r="F3621" s="13"/>
      <c r="G3621" s="23" t="s">
        <v>394</v>
      </c>
      <c r="H3621" s="23" t="s">
        <v>151</v>
      </c>
      <c r="I3621" s="23" t="s">
        <v>424</v>
      </c>
      <c r="J3621" s="14" t="s">
        <v>29</v>
      </c>
      <c r="K3621" s="15" t="s">
        <v>30</v>
      </c>
      <c r="L3621" s="88"/>
      <c r="M3621" s="14"/>
      <c r="N3621" s="14" t="s">
        <v>70</v>
      </c>
      <c r="O3621" s="14"/>
      <c r="P3621" s="15" t="s">
        <v>3915</v>
      </c>
      <c r="Q3621" s="16">
        <v>8199</v>
      </c>
      <c r="R3621" s="17">
        <v>53.44</v>
      </c>
      <c r="S3621" s="18">
        <v>4390.4354999999996</v>
      </c>
      <c r="T3621" s="19" t="s">
        <v>328</v>
      </c>
      <c r="U3621" s="20" t="s">
        <v>1503</v>
      </c>
      <c r="V3621" s="21">
        <v>36</v>
      </c>
      <c r="W3621" s="21">
        <v>2</v>
      </c>
      <c r="X3621" s="22"/>
    </row>
    <row r="3622" spans="1:24" s="1" customFormat="1" ht="21" customHeight="1" x14ac:dyDescent="0.3">
      <c r="A3622" s="11" t="s">
        <v>3183</v>
      </c>
      <c r="B3622" s="11" t="s">
        <v>3916</v>
      </c>
      <c r="C3622" s="27" t="s">
        <v>3917</v>
      </c>
      <c r="D3622" s="83"/>
      <c r="E3622" s="69" t="str">
        <f>HYPERLINK("https://www.google.ru/search?q=J65DZC01454CF43U&amp;newwindow=1&amp;tbm=isch","Еще фото")</f>
        <v>Еще фото</v>
      </c>
      <c r="F3622" s="13"/>
      <c r="G3622" s="11" t="s">
        <v>394</v>
      </c>
      <c r="H3622" s="11" t="s">
        <v>151</v>
      </c>
      <c r="I3622" s="14" t="s">
        <v>424</v>
      </c>
      <c r="J3622" s="14" t="s">
        <v>29</v>
      </c>
      <c r="K3622" s="15" t="s">
        <v>30</v>
      </c>
      <c r="L3622" s="86" t="s">
        <v>3914</v>
      </c>
      <c r="M3622" s="14"/>
      <c r="N3622" s="14" t="s">
        <v>70</v>
      </c>
      <c r="O3622" s="14"/>
      <c r="P3622" s="15" t="s">
        <v>3918</v>
      </c>
      <c r="Q3622" s="16">
        <v>8199</v>
      </c>
      <c r="R3622" s="17">
        <v>53.44</v>
      </c>
      <c r="S3622" s="18">
        <v>4390.4354999999996</v>
      </c>
      <c r="T3622" s="19" t="s">
        <v>328</v>
      </c>
      <c r="U3622" s="20" t="s">
        <v>3189</v>
      </c>
      <c r="V3622" s="21">
        <v>30</v>
      </c>
      <c r="W3622" s="21">
        <v>1</v>
      </c>
      <c r="X3622" s="22"/>
    </row>
    <row r="3623" spans="1:24" s="1" customFormat="1" ht="21" customHeight="1" x14ac:dyDescent="0.3">
      <c r="A3623" s="23" t="s">
        <v>3183</v>
      </c>
      <c r="B3623" s="23" t="s">
        <v>3916</v>
      </c>
      <c r="C3623" s="28" t="s">
        <v>3917</v>
      </c>
      <c r="D3623" s="84"/>
      <c r="E3623" s="69" t="str">
        <f>HYPERLINK("https://www.google.ru/search?q=J65DZC01454CF43U&amp;newwindow=1&amp;tbm=isch","Еще фото")</f>
        <v>Еще фото</v>
      </c>
      <c r="F3623" s="13"/>
      <c r="G3623" s="23" t="s">
        <v>394</v>
      </c>
      <c r="H3623" s="23" t="s">
        <v>151</v>
      </c>
      <c r="I3623" s="23" t="s">
        <v>424</v>
      </c>
      <c r="J3623" s="14" t="s">
        <v>29</v>
      </c>
      <c r="K3623" s="15" t="s">
        <v>30</v>
      </c>
      <c r="L3623" s="87"/>
      <c r="M3623" s="14"/>
      <c r="N3623" s="14" t="s">
        <v>70</v>
      </c>
      <c r="O3623" s="14"/>
      <c r="P3623" s="15" t="s">
        <v>3918</v>
      </c>
      <c r="Q3623" s="16">
        <v>8199</v>
      </c>
      <c r="R3623" s="17">
        <v>53.44</v>
      </c>
      <c r="S3623" s="18">
        <v>4390.4354999999996</v>
      </c>
      <c r="T3623" s="19" t="s">
        <v>328</v>
      </c>
      <c r="U3623" s="20" t="s">
        <v>3190</v>
      </c>
      <c r="V3623" s="21">
        <v>31</v>
      </c>
      <c r="W3623" s="21">
        <v>1</v>
      </c>
      <c r="X3623" s="22"/>
    </row>
    <row r="3624" spans="1:24" s="1" customFormat="1" ht="21" customHeight="1" x14ac:dyDescent="0.3">
      <c r="A3624" s="23" t="s">
        <v>3183</v>
      </c>
      <c r="B3624" s="23" t="s">
        <v>3916</v>
      </c>
      <c r="C3624" s="28" t="s">
        <v>3917</v>
      </c>
      <c r="D3624" s="84"/>
      <c r="E3624" s="69" t="str">
        <f>HYPERLINK("https://www.google.ru/search?q=J65DZC01454CF43U&amp;newwindow=1&amp;tbm=isch","Еще фото")</f>
        <v>Еще фото</v>
      </c>
      <c r="F3624" s="13"/>
      <c r="G3624" s="23" t="s">
        <v>394</v>
      </c>
      <c r="H3624" s="23" t="s">
        <v>151</v>
      </c>
      <c r="I3624" s="23" t="s">
        <v>424</v>
      </c>
      <c r="J3624" s="14" t="s">
        <v>29</v>
      </c>
      <c r="K3624" s="15" t="s">
        <v>30</v>
      </c>
      <c r="L3624" s="87"/>
      <c r="M3624" s="14"/>
      <c r="N3624" s="14" t="s">
        <v>70</v>
      </c>
      <c r="O3624" s="14"/>
      <c r="P3624" s="15" t="s">
        <v>3918</v>
      </c>
      <c r="Q3624" s="16">
        <v>8199</v>
      </c>
      <c r="R3624" s="17">
        <v>53.44</v>
      </c>
      <c r="S3624" s="18">
        <v>4390.4354999999996</v>
      </c>
      <c r="T3624" s="19" t="s">
        <v>328</v>
      </c>
      <c r="U3624" s="20" t="s">
        <v>552</v>
      </c>
      <c r="V3624" s="21">
        <v>32</v>
      </c>
      <c r="W3624" s="21">
        <v>2</v>
      </c>
      <c r="X3624" s="22"/>
    </row>
    <row r="3625" spans="1:24" s="1" customFormat="1" ht="21" customHeight="1" x14ac:dyDescent="0.3">
      <c r="A3625" s="23" t="s">
        <v>3183</v>
      </c>
      <c r="B3625" s="23" t="s">
        <v>3916</v>
      </c>
      <c r="C3625" s="28" t="s">
        <v>3917</v>
      </c>
      <c r="D3625" s="84"/>
      <c r="E3625" s="69" t="str">
        <f>HYPERLINK("https://www.google.ru/search?q=J65DZC01454CF43U&amp;newwindow=1&amp;tbm=isch","Еще фото")</f>
        <v>Еще фото</v>
      </c>
      <c r="F3625" s="13"/>
      <c r="G3625" s="23" t="s">
        <v>394</v>
      </c>
      <c r="H3625" s="23" t="s">
        <v>151</v>
      </c>
      <c r="I3625" s="23" t="s">
        <v>424</v>
      </c>
      <c r="J3625" s="14" t="s">
        <v>29</v>
      </c>
      <c r="K3625" s="15" t="s">
        <v>30</v>
      </c>
      <c r="L3625" s="87"/>
      <c r="M3625" s="14"/>
      <c r="N3625" s="14" t="s">
        <v>70</v>
      </c>
      <c r="O3625" s="14"/>
      <c r="P3625" s="15" t="s">
        <v>3918</v>
      </c>
      <c r="Q3625" s="16">
        <v>8199</v>
      </c>
      <c r="R3625" s="17">
        <v>53.44</v>
      </c>
      <c r="S3625" s="18">
        <v>4390.4354999999996</v>
      </c>
      <c r="T3625" s="19" t="s">
        <v>328</v>
      </c>
      <c r="U3625" s="20" t="s">
        <v>554</v>
      </c>
      <c r="V3625" s="21">
        <v>34</v>
      </c>
      <c r="W3625" s="21">
        <v>2</v>
      </c>
      <c r="X3625" s="22"/>
    </row>
    <row r="3626" spans="1:24" s="1" customFormat="1" ht="32.1" customHeight="1" x14ac:dyDescent="0.3">
      <c r="A3626" s="23" t="s">
        <v>3183</v>
      </c>
      <c r="B3626" s="23" t="s">
        <v>3916</v>
      </c>
      <c r="C3626" s="28" t="s">
        <v>3917</v>
      </c>
      <c r="D3626" s="85"/>
      <c r="E3626" s="69" t="str">
        <f>HYPERLINK("https://www.google.ru/search?q=J65DZC01454CF43U&amp;newwindow=1&amp;tbm=isch","Еще фото")</f>
        <v>Еще фото</v>
      </c>
      <c r="F3626" s="13"/>
      <c r="G3626" s="23" t="s">
        <v>394</v>
      </c>
      <c r="H3626" s="23" t="s">
        <v>151</v>
      </c>
      <c r="I3626" s="23" t="s">
        <v>424</v>
      </c>
      <c r="J3626" s="14" t="s">
        <v>29</v>
      </c>
      <c r="K3626" s="15" t="s">
        <v>30</v>
      </c>
      <c r="L3626" s="88"/>
      <c r="M3626" s="14"/>
      <c r="N3626" s="14" t="s">
        <v>70</v>
      </c>
      <c r="O3626" s="14"/>
      <c r="P3626" s="15" t="s">
        <v>3918</v>
      </c>
      <c r="Q3626" s="16">
        <v>8199</v>
      </c>
      <c r="R3626" s="17">
        <v>53.44</v>
      </c>
      <c r="S3626" s="18">
        <v>4390.4354999999996</v>
      </c>
      <c r="T3626" s="19" t="s">
        <v>328</v>
      </c>
      <c r="U3626" s="20" t="s">
        <v>1503</v>
      </c>
      <c r="V3626" s="21">
        <v>36</v>
      </c>
      <c r="W3626" s="21">
        <v>1</v>
      </c>
      <c r="X3626" s="22"/>
    </row>
    <row r="3627" spans="1:24" s="1" customFormat="1" ht="35.1" customHeight="1" x14ac:dyDescent="0.3">
      <c r="A3627" s="11" t="s">
        <v>3183</v>
      </c>
      <c r="B3627" s="11" t="s">
        <v>3919</v>
      </c>
      <c r="C3627" s="12" t="s">
        <v>3920</v>
      </c>
      <c r="D3627" s="83"/>
      <c r="E3627" s="69" t="str">
        <f>HYPERLINK("https://www.google.ru/search?q=J45HXD000BCC0563&amp;newwindow=1&amp;tbm=isch","Еще фото")</f>
        <v>Еще фото</v>
      </c>
      <c r="F3627" s="13"/>
      <c r="G3627" s="11" t="s">
        <v>394</v>
      </c>
      <c r="H3627" s="11" t="s">
        <v>151</v>
      </c>
      <c r="I3627" s="14" t="s">
        <v>424</v>
      </c>
      <c r="J3627" s="14" t="s">
        <v>29</v>
      </c>
      <c r="K3627" s="15" t="s">
        <v>30</v>
      </c>
      <c r="L3627" s="86" t="s">
        <v>3921</v>
      </c>
      <c r="M3627" s="14"/>
      <c r="N3627" s="14" t="s">
        <v>3922</v>
      </c>
      <c r="O3627" s="14"/>
      <c r="P3627" s="15" t="s">
        <v>3923</v>
      </c>
      <c r="Q3627" s="16">
        <v>8499</v>
      </c>
      <c r="R3627" s="17">
        <v>53.43</v>
      </c>
      <c r="S3627" s="18">
        <v>4551.4354999999996</v>
      </c>
      <c r="T3627" s="19" t="s">
        <v>328</v>
      </c>
      <c r="U3627" s="20" t="s">
        <v>142</v>
      </c>
      <c r="V3627" s="21">
        <v>28</v>
      </c>
      <c r="W3627" s="21">
        <v>4</v>
      </c>
      <c r="X3627" s="22"/>
    </row>
    <row r="3628" spans="1:24" s="1" customFormat="1" ht="35.1" customHeight="1" x14ac:dyDescent="0.3">
      <c r="A3628" s="23" t="s">
        <v>3183</v>
      </c>
      <c r="B3628" s="23" t="s">
        <v>3919</v>
      </c>
      <c r="C3628" s="12" t="s">
        <v>3920</v>
      </c>
      <c r="D3628" s="84"/>
      <c r="E3628" s="69" t="str">
        <f>HYPERLINK("https://www.google.ru/search?q=J45HXD000BCC0563&amp;newwindow=1&amp;tbm=isch","Еще фото")</f>
        <v>Еще фото</v>
      </c>
      <c r="F3628" s="13"/>
      <c r="G3628" s="23" t="s">
        <v>394</v>
      </c>
      <c r="H3628" s="23" t="s">
        <v>151</v>
      </c>
      <c r="I3628" s="23" t="s">
        <v>424</v>
      </c>
      <c r="J3628" s="14" t="s">
        <v>29</v>
      </c>
      <c r="K3628" s="15" t="s">
        <v>30</v>
      </c>
      <c r="L3628" s="87"/>
      <c r="M3628" s="14"/>
      <c r="N3628" s="14" t="s">
        <v>3922</v>
      </c>
      <c r="O3628" s="14"/>
      <c r="P3628" s="15" t="s">
        <v>3923</v>
      </c>
      <c r="Q3628" s="16">
        <v>8499</v>
      </c>
      <c r="R3628" s="17">
        <v>53.43</v>
      </c>
      <c r="S3628" s="18">
        <v>4551.4354999999996</v>
      </c>
      <c r="T3628" s="19" t="s">
        <v>328</v>
      </c>
      <c r="U3628" s="20" t="s">
        <v>550</v>
      </c>
      <c r="V3628" s="21">
        <v>29</v>
      </c>
      <c r="W3628" s="21">
        <v>5</v>
      </c>
      <c r="X3628" s="22"/>
    </row>
    <row r="3629" spans="1:24" s="1" customFormat="1" ht="36.950000000000003" customHeight="1" x14ac:dyDescent="0.3">
      <c r="A3629" s="23" t="s">
        <v>3183</v>
      </c>
      <c r="B3629" s="23" t="s">
        <v>3919</v>
      </c>
      <c r="C3629" s="12" t="s">
        <v>3920</v>
      </c>
      <c r="D3629" s="85"/>
      <c r="E3629" s="69" t="str">
        <f>HYPERLINK("https://www.google.ru/search?q=J45HXD000BCC0563&amp;newwindow=1&amp;tbm=isch","Еще фото")</f>
        <v>Еще фото</v>
      </c>
      <c r="F3629" s="13"/>
      <c r="G3629" s="23" t="s">
        <v>394</v>
      </c>
      <c r="H3629" s="23" t="s">
        <v>151</v>
      </c>
      <c r="I3629" s="23" t="s">
        <v>424</v>
      </c>
      <c r="J3629" s="14" t="s">
        <v>29</v>
      </c>
      <c r="K3629" s="15" t="s">
        <v>30</v>
      </c>
      <c r="L3629" s="88"/>
      <c r="M3629" s="14"/>
      <c r="N3629" s="14" t="s">
        <v>3922</v>
      </c>
      <c r="O3629" s="14"/>
      <c r="P3629" s="15" t="s">
        <v>3923</v>
      </c>
      <c r="Q3629" s="16">
        <v>8499</v>
      </c>
      <c r="R3629" s="17">
        <v>53.43</v>
      </c>
      <c r="S3629" s="18">
        <v>4551.4354999999996</v>
      </c>
      <c r="T3629" s="19" t="s">
        <v>328</v>
      </c>
      <c r="U3629" s="20" t="s">
        <v>3189</v>
      </c>
      <c r="V3629" s="21">
        <v>30</v>
      </c>
      <c r="W3629" s="21">
        <v>3</v>
      </c>
      <c r="X3629" s="22"/>
    </row>
    <row r="3630" spans="1:24" s="1" customFormat="1" ht="26.1" customHeight="1" x14ac:dyDescent="0.3">
      <c r="A3630" s="11" t="s">
        <v>3183</v>
      </c>
      <c r="B3630" s="11" t="s">
        <v>3924</v>
      </c>
      <c r="C3630" s="12" t="s">
        <v>3925</v>
      </c>
      <c r="D3630" s="83"/>
      <c r="E3630" s="69" t="str">
        <f>HYPERLINK("https://www.google.ru/search?q=J55MQB01454CK44D&amp;newwindow=1&amp;tbm=isch","Еще фото")</f>
        <v>Еще фото</v>
      </c>
      <c r="F3630" s="13"/>
      <c r="G3630" s="11" t="s">
        <v>394</v>
      </c>
      <c r="H3630" s="11" t="s">
        <v>151</v>
      </c>
      <c r="I3630" s="14" t="s">
        <v>424</v>
      </c>
      <c r="J3630" s="14" t="s">
        <v>29</v>
      </c>
      <c r="K3630" s="15" t="s">
        <v>30</v>
      </c>
      <c r="L3630" s="86" t="s">
        <v>3926</v>
      </c>
      <c r="M3630" s="14"/>
      <c r="N3630" s="14" t="s">
        <v>70</v>
      </c>
      <c r="O3630" s="14"/>
      <c r="P3630" s="15" t="s">
        <v>3927</v>
      </c>
      <c r="Q3630" s="16">
        <v>7399</v>
      </c>
      <c r="R3630" s="17">
        <v>53.4</v>
      </c>
      <c r="S3630" s="18">
        <v>3964.9354999999996</v>
      </c>
      <c r="T3630" s="19" t="s">
        <v>328</v>
      </c>
      <c r="U3630" s="20" t="s">
        <v>3189</v>
      </c>
      <c r="V3630" s="21">
        <v>30</v>
      </c>
      <c r="W3630" s="21">
        <v>1</v>
      </c>
      <c r="X3630" s="22"/>
    </row>
    <row r="3631" spans="1:24" s="1" customFormat="1" ht="26.1" customHeight="1" x14ac:dyDescent="0.3">
      <c r="A3631" s="23" t="s">
        <v>3183</v>
      </c>
      <c r="B3631" s="23" t="s">
        <v>3924</v>
      </c>
      <c r="C3631" s="12" t="s">
        <v>3925</v>
      </c>
      <c r="D3631" s="84"/>
      <c r="E3631" s="69" t="str">
        <f>HYPERLINK("https://www.google.ru/search?q=J55MQB01454CK44D&amp;newwindow=1&amp;tbm=isch","Еще фото")</f>
        <v>Еще фото</v>
      </c>
      <c r="F3631" s="13"/>
      <c r="G3631" s="23" t="s">
        <v>394</v>
      </c>
      <c r="H3631" s="23" t="s">
        <v>151</v>
      </c>
      <c r="I3631" s="23" t="s">
        <v>424</v>
      </c>
      <c r="J3631" s="14" t="s">
        <v>29</v>
      </c>
      <c r="K3631" s="15" t="s">
        <v>30</v>
      </c>
      <c r="L3631" s="87"/>
      <c r="M3631" s="14"/>
      <c r="N3631" s="14" t="s">
        <v>70</v>
      </c>
      <c r="O3631" s="14"/>
      <c r="P3631" s="15" t="s">
        <v>3927</v>
      </c>
      <c r="Q3631" s="16">
        <v>7399</v>
      </c>
      <c r="R3631" s="17">
        <v>53.4</v>
      </c>
      <c r="S3631" s="18">
        <v>3964.9354999999996</v>
      </c>
      <c r="T3631" s="19" t="s">
        <v>328</v>
      </c>
      <c r="U3631" s="20" t="s">
        <v>3190</v>
      </c>
      <c r="V3631" s="21">
        <v>31</v>
      </c>
      <c r="W3631" s="21">
        <v>8</v>
      </c>
      <c r="X3631" s="22"/>
    </row>
    <row r="3632" spans="1:24" s="1" customFormat="1" ht="26.1" customHeight="1" x14ac:dyDescent="0.3">
      <c r="A3632" s="23" t="s">
        <v>3183</v>
      </c>
      <c r="B3632" s="23" t="s">
        <v>3924</v>
      </c>
      <c r="C3632" s="12" t="s">
        <v>3925</v>
      </c>
      <c r="D3632" s="84"/>
      <c r="E3632" s="69" t="str">
        <f>HYPERLINK("https://www.google.ru/search?q=J55MQB01454CK44D&amp;newwindow=1&amp;tbm=isch","Еще фото")</f>
        <v>Еще фото</v>
      </c>
      <c r="F3632" s="13"/>
      <c r="G3632" s="23" t="s">
        <v>394</v>
      </c>
      <c r="H3632" s="23" t="s">
        <v>151</v>
      </c>
      <c r="I3632" s="23" t="s">
        <v>424</v>
      </c>
      <c r="J3632" s="14" t="s">
        <v>29</v>
      </c>
      <c r="K3632" s="15" t="s">
        <v>30</v>
      </c>
      <c r="L3632" s="87"/>
      <c r="M3632" s="14"/>
      <c r="N3632" s="14" t="s">
        <v>70</v>
      </c>
      <c r="O3632" s="14"/>
      <c r="P3632" s="15" t="s">
        <v>3927</v>
      </c>
      <c r="Q3632" s="16">
        <v>7399</v>
      </c>
      <c r="R3632" s="17">
        <v>53.4</v>
      </c>
      <c r="S3632" s="18">
        <v>3964.9354999999996</v>
      </c>
      <c r="T3632" s="19" t="s">
        <v>328</v>
      </c>
      <c r="U3632" s="20" t="s">
        <v>552</v>
      </c>
      <c r="V3632" s="21">
        <v>32</v>
      </c>
      <c r="W3632" s="21">
        <v>3</v>
      </c>
      <c r="X3632" s="22"/>
    </row>
    <row r="3633" spans="1:24" s="1" customFormat="1" ht="26.1" customHeight="1" x14ac:dyDescent="0.3">
      <c r="A3633" s="23" t="s">
        <v>3183</v>
      </c>
      <c r="B3633" s="23" t="s">
        <v>3924</v>
      </c>
      <c r="C3633" s="12" t="s">
        <v>3925</v>
      </c>
      <c r="D3633" s="85"/>
      <c r="E3633" s="69" t="str">
        <f>HYPERLINK("https://www.google.ru/search?q=J55MQB01454CK44D&amp;newwindow=1&amp;tbm=isch","Еще фото")</f>
        <v>Еще фото</v>
      </c>
      <c r="F3633" s="13"/>
      <c r="G3633" s="23" t="s">
        <v>394</v>
      </c>
      <c r="H3633" s="23" t="s">
        <v>151</v>
      </c>
      <c r="I3633" s="23" t="s">
        <v>424</v>
      </c>
      <c r="J3633" s="14" t="s">
        <v>29</v>
      </c>
      <c r="K3633" s="15" t="s">
        <v>30</v>
      </c>
      <c r="L3633" s="88"/>
      <c r="M3633" s="14"/>
      <c r="N3633" s="14" t="s">
        <v>70</v>
      </c>
      <c r="O3633" s="14"/>
      <c r="P3633" s="15" t="s">
        <v>3927</v>
      </c>
      <c r="Q3633" s="16">
        <v>7399</v>
      </c>
      <c r="R3633" s="17">
        <v>53.4</v>
      </c>
      <c r="S3633" s="18">
        <v>3964.9354999999996</v>
      </c>
      <c r="T3633" s="19" t="s">
        <v>328</v>
      </c>
      <c r="U3633" s="20" t="s">
        <v>431</v>
      </c>
      <c r="V3633" s="21">
        <v>35</v>
      </c>
      <c r="W3633" s="21">
        <v>1</v>
      </c>
      <c r="X3633" s="22"/>
    </row>
    <row r="3634" spans="1:24" s="1" customFormat="1" ht="108" customHeight="1" x14ac:dyDescent="0.3">
      <c r="A3634" s="11" t="s">
        <v>3183</v>
      </c>
      <c r="B3634" s="11" t="s">
        <v>3840</v>
      </c>
      <c r="C3634" s="12" t="s">
        <v>3928</v>
      </c>
      <c r="D3634" s="24"/>
      <c r="E3634" s="69" t="str">
        <f>HYPERLINK("https://www.google.ru/search?q=D46XTA01454C9999&amp;newwindow=1&amp;tbm=isch","Еще фото")</f>
        <v>Еще фото</v>
      </c>
      <c r="F3634" s="13"/>
      <c r="G3634" s="11" t="s">
        <v>394</v>
      </c>
      <c r="H3634" s="11" t="s">
        <v>151</v>
      </c>
      <c r="I3634" s="14" t="s">
        <v>424</v>
      </c>
      <c r="J3634" s="14" t="s">
        <v>29</v>
      </c>
      <c r="K3634" s="15" t="s">
        <v>47</v>
      </c>
      <c r="L3634" s="14" t="s">
        <v>3842</v>
      </c>
      <c r="M3634" s="14"/>
      <c r="N3634" s="14" t="s">
        <v>3661</v>
      </c>
      <c r="O3634" s="14"/>
      <c r="P3634" s="15" t="s">
        <v>3929</v>
      </c>
      <c r="Q3634" s="16">
        <v>12990</v>
      </c>
      <c r="R3634" s="17">
        <v>50.73</v>
      </c>
      <c r="S3634" s="18">
        <v>7359.9884999999995</v>
      </c>
      <c r="T3634" s="19" t="s">
        <v>328</v>
      </c>
      <c r="U3634" s="20" t="s">
        <v>409</v>
      </c>
      <c r="V3634" s="21">
        <v>37</v>
      </c>
      <c r="W3634" s="21">
        <v>2</v>
      </c>
      <c r="X3634" s="22"/>
    </row>
    <row r="3635" spans="1:24" s="1" customFormat="1" ht="108" customHeight="1" x14ac:dyDescent="0.3">
      <c r="A3635" s="11" t="s">
        <v>3183</v>
      </c>
      <c r="B3635" s="11" t="s">
        <v>3930</v>
      </c>
      <c r="C3635" s="12" t="s">
        <v>3931</v>
      </c>
      <c r="D3635" s="24"/>
      <c r="E3635" s="69" t="str">
        <f>HYPERLINK("https://www.google.ru/search?q=U55Q3A00022C4002&amp;newwindow=1&amp;tbm=isch","Еще фото")</f>
        <v>Еще фото</v>
      </c>
      <c r="F3635" s="13"/>
      <c r="G3635" s="11" t="s">
        <v>3812</v>
      </c>
      <c r="H3635" s="11" t="s">
        <v>151</v>
      </c>
      <c r="I3635" s="14" t="s">
        <v>424</v>
      </c>
      <c r="J3635" s="14" t="s">
        <v>29</v>
      </c>
      <c r="K3635" s="15" t="s">
        <v>55</v>
      </c>
      <c r="L3635" s="14" t="s">
        <v>3932</v>
      </c>
      <c r="M3635" s="14"/>
      <c r="N3635" s="14" t="s">
        <v>70</v>
      </c>
      <c r="O3635" s="14"/>
      <c r="P3635" s="15" t="s">
        <v>3933</v>
      </c>
      <c r="Q3635" s="16">
        <v>14990</v>
      </c>
      <c r="R3635" s="17">
        <v>50.63</v>
      </c>
      <c r="S3635" s="18">
        <v>8509.9884999999995</v>
      </c>
      <c r="T3635" s="19" t="s">
        <v>328</v>
      </c>
      <c r="U3635" s="20" t="s">
        <v>413</v>
      </c>
      <c r="V3635" s="21">
        <v>39</v>
      </c>
      <c r="W3635" s="21">
        <v>1</v>
      </c>
      <c r="X3635" s="22"/>
    </row>
    <row r="3636" spans="1:24" s="1" customFormat="1" ht="108" customHeight="1" x14ac:dyDescent="0.3">
      <c r="A3636" s="11" t="s">
        <v>3183</v>
      </c>
      <c r="B3636" s="11" t="s">
        <v>3934</v>
      </c>
      <c r="C3636" s="12" t="s">
        <v>3935</v>
      </c>
      <c r="D3636" s="24"/>
      <c r="E3636" s="69" t="str">
        <f>HYPERLINK("https://www.google.ru/search?q=U56M5A08522C1056&amp;newwindow=1&amp;tbm=isch","Еще фото")</f>
        <v>Еще фото</v>
      </c>
      <c r="F3636" s="13"/>
      <c r="G3636" s="11" t="s">
        <v>394</v>
      </c>
      <c r="H3636" s="11" t="s">
        <v>151</v>
      </c>
      <c r="I3636" s="14" t="s">
        <v>424</v>
      </c>
      <c r="J3636" s="14" t="s">
        <v>29</v>
      </c>
      <c r="K3636" s="15" t="s">
        <v>55</v>
      </c>
      <c r="L3636" s="14" t="s">
        <v>3936</v>
      </c>
      <c r="M3636" s="14"/>
      <c r="N3636" s="14" t="s">
        <v>326</v>
      </c>
      <c r="O3636" s="14"/>
      <c r="P3636" s="15" t="s">
        <v>3937</v>
      </c>
      <c r="Q3636" s="16">
        <v>19390</v>
      </c>
      <c r="R3636" s="17">
        <v>50.49</v>
      </c>
      <c r="S3636" s="18">
        <v>11039.988499999999</v>
      </c>
      <c r="T3636" s="19" t="s">
        <v>328</v>
      </c>
      <c r="U3636" s="20" t="s">
        <v>400</v>
      </c>
      <c r="V3636" s="21">
        <v>41</v>
      </c>
      <c r="W3636" s="21">
        <v>1</v>
      </c>
      <c r="X3636" s="22"/>
    </row>
    <row r="3637" spans="1:24" s="1" customFormat="1" ht="108" customHeight="1" x14ac:dyDescent="0.3">
      <c r="A3637" s="11" t="s">
        <v>3183</v>
      </c>
      <c r="B3637" s="11" t="s">
        <v>3938</v>
      </c>
      <c r="C3637" s="12" t="s">
        <v>3939</v>
      </c>
      <c r="D3637" s="24"/>
      <c r="E3637" s="69" t="str">
        <f>HYPERLINK("https://www.google.ru/search?q=D46UAH00022C6372&amp;newwindow=1&amp;tbm=isch","Еще фото")</f>
        <v>Еще фото</v>
      </c>
      <c r="F3637" s="13"/>
      <c r="G3637" s="11" t="s">
        <v>3812</v>
      </c>
      <c r="H3637" s="11" t="s">
        <v>151</v>
      </c>
      <c r="I3637" s="14" t="s">
        <v>424</v>
      </c>
      <c r="J3637" s="14" t="s">
        <v>138</v>
      </c>
      <c r="K3637" s="15" t="s">
        <v>47</v>
      </c>
      <c r="L3637" s="14" t="s">
        <v>3940</v>
      </c>
      <c r="M3637" s="14"/>
      <c r="N3637" s="14" t="s">
        <v>41</v>
      </c>
      <c r="O3637" s="14"/>
      <c r="P3637" s="15" t="s">
        <v>3941</v>
      </c>
      <c r="Q3637" s="16">
        <v>20790</v>
      </c>
      <c r="R3637" s="17">
        <v>50.46</v>
      </c>
      <c r="S3637" s="18">
        <v>11844.988499999999</v>
      </c>
      <c r="T3637" s="19" t="s">
        <v>328</v>
      </c>
      <c r="U3637" s="20" t="s">
        <v>399</v>
      </c>
      <c r="V3637" s="21">
        <v>40</v>
      </c>
      <c r="W3637" s="21">
        <v>1</v>
      </c>
      <c r="X3637" s="22"/>
    </row>
    <row r="3638" spans="1:24" s="1" customFormat="1" ht="51.95" customHeight="1" x14ac:dyDescent="0.3">
      <c r="A3638" s="11" t="s">
        <v>3183</v>
      </c>
      <c r="B3638" s="11" t="s">
        <v>3942</v>
      </c>
      <c r="C3638" s="12" t="s">
        <v>3943</v>
      </c>
      <c r="D3638" s="89"/>
      <c r="E3638" s="69" t="str">
        <f>HYPERLINK("https://www.google.ru/search?q=U56LZF000FFC9999&amp;newwindow=1&amp;tbm=isch","Еще фото")</f>
        <v>Еще фото</v>
      </c>
      <c r="F3638" s="13"/>
      <c r="G3638" s="11" t="s">
        <v>3659</v>
      </c>
      <c r="H3638" s="11" t="s">
        <v>151</v>
      </c>
      <c r="I3638" s="14" t="s">
        <v>424</v>
      </c>
      <c r="J3638" s="14" t="s">
        <v>138</v>
      </c>
      <c r="K3638" s="15" t="s">
        <v>55</v>
      </c>
      <c r="L3638" s="86" t="s">
        <v>3944</v>
      </c>
      <c r="M3638" s="14"/>
      <c r="N3638" s="14" t="s">
        <v>49</v>
      </c>
      <c r="O3638" s="14"/>
      <c r="P3638" s="15" t="s">
        <v>3945</v>
      </c>
      <c r="Q3638" s="16">
        <v>20790</v>
      </c>
      <c r="R3638" s="17">
        <v>50.46</v>
      </c>
      <c r="S3638" s="18">
        <v>11844.988499999999</v>
      </c>
      <c r="T3638" s="19" t="s">
        <v>328</v>
      </c>
      <c r="U3638" s="20" t="s">
        <v>399</v>
      </c>
      <c r="V3638" s="21">
        <v>40</v>
      </c>
      <c r="W3638" s="21">
        <v>1</v>
      </c>
      <c r="X3638" s="22"/>
    </row>
    <row r="3639" spans="1:24" s="1" customFormat="1" ht="60.95" customHeight="1" x14ac:dyDescent="0.3">
      <c r="A3639" s="23" t="s">
        <v>3183</v>
      </c>
      <c r="B3639" s="23" t="s">
        <v>3942</v>
      </c>
      <c r="C3639" s="12" t="s">
        <v>3943</v>
      </c>
      <c r="D3639" s="90"/>
      <c r="E3639" s="69" t="str">
        <f>HYPERLINK("https://www.google.ru/search?q=U56LZF000FFC9999&amp;newwindow=1&amp;tbm=isch","Еще фото")</f>
        <v>Еще фото</v>
      </c>
      <c r="F3639" s="13"/>
      <c r="G3639" s="23" t="s">
        <v>3659</v>
      </c>
      <c r="H3639" s="23" t="s">
        <v>151</v>
      </c>
      <c r="I3639" s="23" t="s">
        <v>424</v>
      </c>
      <c r="J3639" s="14" t="s">
        <v>138</v>
      </c>
      <c r="K3639" s="15" t="s">
        <v>55</v>
      </c>
      <c r="L3639" s="88"/>
      <c r="M3639" s="14"/>
      <c r="N3639" s="14" t="s">
        <v>49</v>
      </c>
      <c r="O3639" s="14"/>
      <c r="P3639" s="15" t="s">
        <v>3945</v>
      </c>
      <c r="Q3639" s="16">
        <v>20790</v>
      </c>
      <c r="R3639" s="17">
        <v>50.46</v>
      </c>
      <c r="S3639" s="18">
        <v>11844.988499999999</v>
      </c>
      <c r="T3639" s="19" t="s">
        <v>328</v>
      </c>
      <c r="U3639" s="20" t="s">
        <v>1253</v>
      </c>
      <c r="V3639" s="21">
        <v>46</v>
      </c>
      <c r="W3639" s="21">
        <v>1</v>
      </c>
      <c r="X3639" s="22"/>
    </row>
    <row r="3640" spans="1:24" s="1" customFormat="1" ht="108" customHeight="1" x14ac:dyDescent="0.3">
      <c r="A3640" s="11" t="s">
        <v>3183</v>
      </c>
      <c r="B3640" s="11" t="s">
        <v>3946</v>
      </c>
      <c r="C3640" s="12" t="s">
        <v>3947</v>
      </c>
      <c r="D3640" s="24"/>
      <c r="E3640" s="69" t="str">
        <f>HYPERLINK("https://www.google.ru/search?q=U55LDA0009BC4002&amp;newwindow=1&amp;tbm=isch","Еще фото")</f>
        <v>Еще фото</v>
      </c>
      <c r="F3640" s="13"/>
      <c r="G3640" s="11" t="s">
        <v>394</v>
      </c>
      <c r="H3640" s="11" t="s">
        <v>151</v>
      </c>
      <c r="I3640" s="14" t="s">
        <v>424</v>
      </c>
      <c r="J3640" s="14" t="s">
        <v>29</v>
      </c>
      <c r="K3640" s="15" t="s">
        <v>55</v>
      </c>
      <c r="L3640" s="14" t="s">
        <v>3948</v>
      </c>
      <c r="M3640" s="14"/>
      <c r="N3640" s="14" t="s">
        <v>70</v>
      </c>
      <c r="O3640" s="14"/>
      <c r="P3640" s="15" t="s">
        <v>3949</v>
      </c>
      <c r="Q3640" s="16">
        <v>14299</v>
      </c>
      <c r="R3640" s="17">
        <v>50.35</v>
      </c>
      <c r="S3640" s="18">
        <v>8164.9884999999995</v>
      </c>
      <c r="T3640" s="19" t="s">
        <v>328</v>
      </c>
      <c r="U3640" s="20" t="s">
        <v>413</v>
      </c>
      <c r="V3640" s="21">
        <v>39</v>
      </c>
      <c r="W3640" s="21">
        <v>3</v>
      </c>
      <c r="X3640" s="22"/>
    </row>
    <row r="3641" spans="1:24" s="1" customFormat="1" ht="108" customHeight="1" x14ac:dyDescent="0.3">
      <c r="A3641" s="11" t="s">
        <v>3183</v>
      </c>
      <c r="B3641" s="11" t="s">
        <v>3950</v>
      </c>
      <c r="C3641" s="12" t="s">
        <v>3951</v>
      </c>
      <c r="D3641" s="24"/>
      <c r="E3641" s="69" t="str">
        <f>HYPERLINK("https://www.google.ru/search?q=D45WEA09BNFC0761&amp;newwindow=1&amp;tbm=isch","Еще фото")</f>
        <v>Еще фото</v>
      </c>
      <c r="F3641" s="13"/>
      <c r="G3641" s="11" t="s">
        <v>394</v>
      </c>
      <c r="H3641" s="11" t="s">
        <v>151</v>
      </c>
      <c r="I3641" s="14" t="s">
        <v>424</v>
      </c>
      <c r="J3641" s="14" t="s">
        <v>29</v>
      </c>
      <c r="K3641" s="15" t="s">
        <v>47</v>
      </c>
      <c r="L3641" s="14" t="s">
        <v>3952</v>
      </c>
      <c r="M3641" s="14"/>
      <c r="N3641" s="14" t="s">
        <v>3953</v>
      </c>
      <c r="O3641" s="14"/>
      <c r="P3641" s="15" t="s">
        <v>3954</v>
      </c>
      <c r="Q3641" s="16">
        <v>17499</v>
      </c>
      <c r="R3641" s="17">
        <v>50.28</v>
      </c>
      <c r="S3641" s="18">
        <v>10004.988499999999</v>
      </c>
      <c r="T3641" s="19" t="s">
        <v>328</v>
      </c>
      <c r="U3641" s="20" t="s">
        <v>409</v>
      </c>
      <c r="V3641" s="21">
        <v>37</v>
      </c>
      <c r="W3641" s="21">
        <v>1</v>
      </c>
      <c r="X3641" s="22"/>
    </row>
    <row r="3642" spans="1:24" s="1" customFormat="1" ht="51.95" customHeight="1" x14ac:dyDescent="0.3">
      <c r="A3642" s="11" t="s">
        <v>3183</v>
      </c>
      <c r="B3642" s="11" t="s">
        <v>3955</v>
      </c>
      <c r="C3642" s="12" t="s">
        <v>3956</v>
      </c>
      <c r="D3642" s="89"/>
      <c r="E3642" s="69" t="str">
        <f>HYPERLINK("https://www.google.ru/search?q=B462LC022FUC9228&amp;newwindow=1&amp;tbm=isch","Еще фото")</f>
        <v>Еще фото</v>
      </c>
      <c r="F3642" s="13"/>
      <c r="G3642" s="11" t="s">
        <v>3659</v>
      </c>
      <c r="H3642" s="11" t="s">
        <v>151</v>
      </c>
      <c r="I3642" s="14" t="s">
        <v>424</v>
      </c>
      <c r="J3642" s="14" t="s">
        <v>138</v>
      </c>
      <c r="K3642" s="15" t="s">
        <v>30</v>
      </c>
      <c r="L3642" s="86" t="s">
        <v>3957</v>
      </c>
      <c r="M3642" s="14"/>
      <c r="N3642" s="14" t="s">
        <v>3958</v>
      </c>
      <c r="O3642" s="14"/>
      <c r="P3642" s="15" t="s">
        <v>3959</v>
      </c>
      <c r="Q3642" s="16">
        <v>10290</v>
      </c>
      <c r="R3642" s="17">
        <v>50</v>
      </c>
      <c r="S3642" s="18">
        <v>5916.7499999999991</v>
      </c>
      <c r="T3642" s="19" t="s">
        <v>328</v>
      </c>
      <c r="U3642" s="20" t="s">
        <v>3857</v>
      </c>
      <c r="V3642" s="21">
        <v>25</v>
      </c>
      <c r="W3642" s="21">
        <v>1</v>
      </c>
      <c r="X3642" s="22"/>
    </row>
    <row r="3643" spans="1:24" s="1" customFormat="1" ht="60.95" customHeight="1" x14ac:dyDescent="0.3">
      <c r="A3643" s="23" t="s">
        <v>3183</v>
      </c>
      <c r="B3643" s="23" t="s">
        <v>3955</v>
      </c>
      <c r="C3643" s="12" t="s">
        <v>3956</v>
      </c>
      <c r="D3643" s="90"/>
      <c r="E3643" s="69" t="str">
        <f>HYPERLINK("https://www.google.ru/search?q=B462LC022FUC9228&amp;newwindow=1&amp;tbm=isch","Еще фото")</f>
        <v>Еще фото</v>
      </c>
      <c r="F3643" s="13"/>
      <c r="G3643" s="23" t="s">
        <v>3659</v>
      </c>
      <c r="H3643" s="23" t="s">
        <v>151</v>
      </c>
      <c r="I3643" s="23" t="s">
        <v>424</v>
      </c>
      <c r="J3643" s="14" t="s">
        <v>138</v>
      </c>
      <c r="K3643" s="15" t="s">
        <v>30</v>
      </c>
      <c r="L3643" s="88"/>
      <c r="M3643" s="14"/>
      <c r="N3643" s="14" t="s">
        <v>3958</v>
      </c>
      <c r="O3643" s="14"/>
      <c r="P3643" s="15" t="s">
        <v>3959</v>
      </c>
      <c r="Q3643" s="16">
        <v>10290</v>
      </c>
      <c r="R3643" s="17">
        <v>50</v>
      </c>
      <c r="S3643" s="18">
        <v>5916.7499999999991</v>
      </c>
      <c r="T3643" s="19" t="s">
        <v>328</v>
      </c>
      <c r="U3643" s="20" t="s">
        <v>3960</v>
      </c>
      <c r="V3643" s="21">
        <v>27</v>
      </c>
      <c r="W3643" s="21">
        <v>1</v>
      </c>
      <c r="X3643" s="22"/>
    </row>
    <row r="3644" spans="1:24" s="1" customFormat="1" ht="51.95" customHeight="1" x14ac:dyDescent="0.3">
      <c r="A3644" s="11" t="s">
        <v>3183</v>
      </c>
      <c r="B3644" s="11" t="s">
        <v>3961</v>
      </c>
      <c r="C3644" s="12" t="s">
        <v>3962</v>
      </c>
      <c r="D3644" s="89"/>
      <c r="E3644" s="69" t="str">
        <f>HYPERLINK("https://www.google.ru/search?q=D02F2B00022C6738&amp;newwindow=1&amp;tbm=isch","Еще фото")</f>
        <v>Еще фото</v>
      </c>
      <c r="F3644" s="13"/>
      <c r="G3644" s="11" t="s">
        <v>394</v>
      </c>
      <c r="H3644" s="11" t="s">
        <v>151</v>
      </c>
      <c r="I3644" s="14" t="s">
        <v>424</v>
      </c>
      <c r="J3644" s="14" t="s">
        <v>29</v>
      </c>
      <c r="K3644" s="15" t="s">
        <v>30</v>
      </c>
      <c r="L3644" s="86" t="s">
        <v>3963</v>
      </c>
      <c r="M3644" s="14"/>
      <c r="N3644" s="14" t="s">
        <v>326</v>
      </c>
      <c r="O3644" s="14"/>
      <c r="P3644" s="15" t="s">
        <v>3964</v>
      </c>
      <c r="Q3644" s="16">
        <v>16599</v>
      </c>
      <c r="R3644" s="17">
        <v>50</v>
      </c>
      <c r="S3644" s="18">
        <v>9544.4249999999993</v>
      </c>
      <c r="T3644" s="19" t="s">
        <v>328</v>
      </c>
      <c r="U3644" s="20" t="s">
        <v>431</v>
      </c>
      <c r="V3644" s="21">
        <v>35</v>
      </c>
      <c r="W3644" s="21">
        <v>1</v>
      </c>
      <c r="X3644" s="22"/>
    </row>
    <row r="3645" spans="1:24" s="1" customFormat="1" ht="60.95" customHeight="1" x14ac:dyDescent="0.3">
      <c r="A3645" s="23" t="s">
        <v>3183</v>
      </c>
      <c r="B3645" s="23" t="s">
        <v>3961</v>
      </c>
      <c r="C3645" s="12" t="s">
        <v>3962</v>
      </c>
      <c r="D3645" s="90"/>
      <c r="E3645" s="69" t="str">
        <f>HYPERLINK("https://www.google.ru/search?q=D02F2B00022C6738&amp;newwindow=1&amp;tbm=isch","Еще фото")</f>
        <v>Еще фото</v>
      </c>
      <c r="F3645" s="13"/>
      <c r="G3645" s="23" t="s">
        <v>394</v>
      </c>
      <c r="H3645" s="23" t="s">
        <v>151</v>
      </c>
      <c r="I3645" s="23" t="s">
        <v>424</v>
      </c>
      <c r="J3645" s="14" t="s">
        <v>29</v>
      </c>
      <c r="K3645" s="15" t="s">
        <v>30</v>
      </c>
      <c r="L3645" s="88"/>
      <c r="M3645" s="14"/>
      <c r="N3645" s="14" t="s">
        <v>326</v>
      </c>
      <c r="O3645" s="14"/>
      <c r="P3645" s="15" t="s">
        <v>3964</v>
      </c>
      <c r="Q3645" s="16">
        <v>16599</v>
      </c>
      <c r="R3645" s="17">
        <v>50</v>
      </c>
      <c r="S3645" s="18">
        <v>9544.4249999999993</v>
      </c>
      <c r="T3645" s="19" t="s">
        <v>328</v>
      </c>
      <c r="U3645" s="20" t="s">
        <v>409</v>
      </c>
      <c r="V3645" s="21">
        <v>37</v>
      </c>
      <c r="W3645" s="21">
        <v>1</v>
      </c>
      <c r="X3645" s="22"/>
    </row>
    <row r="3646" spans="1:24" s="1" customFormat="1" ht="51.95" customHeight="1" x14ac:dyDescent="0.3">
      <c r="A3646" s="11" t="s">
        <v>3183</v>
      </c>
      <c r="B3646" s="11" t="s">
        <v>3965</v>
      </c>
      <c r="C3646" s="12" t="s">
        <v>3966</v>
      </c>
      <c r="D3646" s="89"/>
      <c r="E3646" s="69" t="str">
        <f>HYPERLINK("https://www.google.ru/search?q=D46NQA01422C1ZJ8&amp;newwindow=1&amp;tbm=isch","Еще фото")</f>
        <v>Еще фото</v>
      </c>
      <c r="F3646" s="13"/>
      <c r="G3646" s="11" t="s">
        <v>394</v>
      </c>
      <c r="H3646" s="11" t="s">
        <v>151</v>
      </c>
      <c r="I3646" s="14" t="s">
        <v>424</v>
      </c>
      <c r="J3646" s="14" t="s">
        <v>29</v>
      </c>
      <c r="K3646" s="15" t="s">
        <v>47</v>
      </c>
      <c r="L3646" s="86" t="s">
        <v>3967</v>
      </c>
      <c r="M3646" s="14"/>
      <c r="N3646" s="14" t="s">
        <v>1065</v>
      </c>
      <c r="O3646" s="14"/>
      <c r="P3646" s="15" t="s">
        <v>3968</v>
      </c>
      <c r="Q3646" s="16">
        <v>12990</v>
      </c>
      <c r="R3646" s="17">
        <v>50</v>
      </c>
      <c r="S3646" s="18">
        <v>7469.2499999999991</v>
      </c>
      <c r="T3646" s="19" t="s">
        <v>328</v>
      </c>
      <c r="U3646" s="20" t="s">
        <v>409</v>
      </c>
      <c r="V3646" s="21">
        <v>37</v>
      </c>
      <c r="W3646" s="21">
        <v>2</v>
      </c>
      <c r="X3646" s="22"/>
    </row>
    <row r="3647" spans="1:24" s="1" customFormat="1" ht="60.95" customHeight="1" x14ac:dyDescent="0.3">
      <c r="A3647" s="23" t="s">
        <v>3183</v>
      </c>
      <c r="B3647" s="23" t="s">
        <v>3965</v>
      </c>
      <c r="C3647" s="12" t="s">
        <v>3966</v>
      </c>
      <c r="D3647" s="90"/>
      <c r="E3647" s="69" t="str">
        <f>HYPERLINK("https://www.google.ru/search?q=D46NQA01422C1ZJ8&amp;newwindow=1&amp;tbm=isch","Еще фото")</f>
        <v>Еще фото</v>
      </c>
      <c r="F3647" s="13"/>
      <c r="G3647" s="23" t="s">
        <v>394</v>
      </c>
      <c r="H3647" s="23" t="s">
        <v>151</v>
      </c>
      <c r="I3647" s="23" t="s">
        <v>424</v>
      </c>
      <c r="J3647" s="14" t="s">
        <v>29</v>
      </c>
      <c r="K3647" s="15" t="s">
        <v>47</v>
      </c>
      <c r="L3647" s="88"/>
      <c r="M3647" s="14"/>
      <c r="N3647" s="14" t="s">
        <v>1065</v>
      </c>
      <c r="O3647" s="14"/>
      <c r="P3647" s="15" t="s">
        <v>3968</v>
      </c>
      <c r="Q3647" s="16">
        <v>12990</v>
      </c>
      <c r="R3647" s="17">
        <v>50</v>
      </c>
      <c r="S3647" s="18">
        <v>7469.2499999999991</v>
      </c>
      <c r="T3647" s="19" t="s">
        <v>328</v>
      </c>
      <c r="U3647" s="20" t="s">
        <v>413</v>
      </c>
      <c r="V3647" s="21">
        <v>39</v>
      </c>
      <c r="W3647" s="21">
        <v>1</v>
      </c>
      <c r="X3647" s="22"/>
    </row>
    <row r="3648" spans="1:24" s="1" customFormat="1" ht="26.1" customHeight="1" x14ac:dyDescent="0.3">
      <c r="A3648" s="11" t="s">
        <v>3183</v>
      </c>
      <c r="B3648" s="11" t="s">
        <v>3965</v>
      </c>
      <c r="C3648" s="12" t="s">
        <v>3969</v>
      </c>
      <c r="D3648" s="83"/>
      <c r="E3648" s="69" t="str">
        <f>HYPERLINK("https://www.google.ru/search?q=D46NQA05422C1Z4Y&amp;newwindow=1&amp;tbm=isch","Еще фото")</f>
        <v>Еще фото</v>
      </c>
      <c r="F3648" s="13"/>
      <c r="G3648" s="11" t="s">
        <v>394</v>
      </c>
      <c r="H3648" s="11" t="s">
        <v>151</v>
      </c>
      <c r="I3648" s="14" t="s">
        <v>424</v>
      </c>
      <c r="J3648" s="14" t="s">
        <v>29</v>
      </c>
      <c r="K3648" s="15" t="s">
        <v>47</v>
      </c>
      <c r="L3648" s="86" t="s">
        <v>3970</v>
      </c>
      <c r="M3648" s="14"/>
      <c r="N3648" s="14" t="s">
        <v>3773</v>
      </c>
      <c r="O3648" s="14"/>
      <c r="P3648" s="15" t="s">
        <v>3971</v>
      </c>
      <c r="Q3648" s="16">
        <v>12999</v>
      </c>
      <c r="R3648" s="17">
        <v>50</v>
      </c>
      <c r="S3648" s="18">
        <v>7474.4249999999993</v>
      </c>
      <c r="T3648" s="19" t="s">
        <v>328</v>
      </c>
      <c r="U3648" s="20" t="s">
        <v>1503</v>
      </c>
      <c r="V3648" s="21">
        <v>36</v>
      </c>
      <c r="W3648" s="21">
        <v>1</v>
      </c>
      <c r="X3648" s="22"/>
    </row>
    <row r="3649" spans="1:24" s="1" customFormat="1" ht="26.1" customHeight="1" x14ac:dyDescent="0.3">
      <c r="A3649" s="23" t="s">
        <v>3183</v>
      </c>
      <c r="B3649" s="23" t="s">
        <v>3965</v>
      </c>
      <c r="C3649" s="12" t="s">
        <v>3969</v>
      </c>
      <c r="D3649" s="84"/>
      <c r="E3649" s="69" t="str">
        <f>HYPERLINK("https://www.google.ru/search?q=D46NQA05422C1Z4Y&amp;newwindow=1&amp;tbm=isch","Еще фото")</f>
        <v>Еще фото</v>
      </c>
      <c r="F3649" s="13"/>
      <c r="G3649" s="23" t="s">
        <v>394</v>
      </c>
      <c r="H3649" s="23" t="s">
        <v>151</v>
      </c>
      <c r="I3649" s="23" t="s">
        <v>424</v>
      </c>
      <c r="J3649" s="14" t="s">
        <v>29</v>
      </c>
      <c r="K3649" s="15" t="s">
        <v>47</v>
      </c>
      <c r="L3649" s="87"/>
      <c r="M3649" s="14"/>
      <c r="N3649" s="14" t="s">
        <v>3773</v>
      </c>
      <c r="O3649" s="14"/>
      <c r="P3649" s="15" t="s">
        <v>3971</v>
      </c>
      <c r="Q3649" s="16">
        <v>12999</v>
      </c>
      <c r="R3649" s="17">
        <v>50</v>
      </c>
      <c r="S3649" s="18">
        <v>7474.4249999999993</v>
      </c>
      <c r="T3649" s="19" t="s">
        <v>328</v>
      </c>
      <c r="U3649" s="20" t="s">
        <v>409</v>
      </c>
      <c r="V3649" s="21">
        <v>37</v>
      </c>
      <c r="W3649" s="21">
        <v>3</v>
      </c>
      <c r="X3649" s="22"/>
    </row>
    <row r="3650" spans="1:24" s="1" customFormat="1" ht="26.1" customHeight="1" x14ac:dyDescent="0.3">
      <c r="A3650" s="23" t="s">
        <v>3183</v>
      </c>
      <c r="B3650" s="23" t="s">
        <v>3965</v>
      </c>
      <c r="C3650" s="12" t="s">
        <v>3969</v>
      </c>
      <c r="D3650" s="84"/>
      <c r="E3650" s="69" t="str">
        <f>HYPERLINK("https://www.google.ru/search?q=D46NQA05422C1Z4Y&amp;newwindow=1&amp;tbm=isch","Еще фото")</f>
        <v>Еще фото</v>
      </c>
      <c r="F3650" s="13"/>
      <c r="G3650" s="23" t="s">
        <v>394</v>
      </c>
      <c r="H3650" s="23" t="s">
        <v>151</v>
      </c>
      <c r="I3650" s="23" t="s">
        <v>424</v>
      </c>
      <c r="J3650" s="14" t="s">
        <v>29</v>
      </c>
      <c r="K3650" s="15" t="s">
        <v>47</v>
      </c>
      <c r="L3650" s="87"/>
      <c r="M3650" s="14"/>
      <c r="N3650" s="14" t="s">
        <v>3773</v>
      </c>
      <c r="O3650" s="14"/>
      <c r="P3650" s="15" t="s">
        <v>3971</v>
      </c>
      <c r="Q3650" s="16">
        <v>12999</v>
      </c>
      <c r="R3650" s="17">
        <v>50</v>
      </c>
      <c r="S3650" s="18">
        <v>7474.4249999999993</v>
      </c>
      <c r="T3650" s="19" t="s">
        <v>328</v>
      </c>
      <c r="U3650" s="20" t="s">
        <v>413</v>
      </c>
      <c r="V3650" s="21">
        <v>39</v>
      </c>
      <c r="W3650" s="21">
        <v>10</v>
      </c>
      <c r="X3650" s="22"/>
    </row>
    <row r="3651" spans="1:24" s="1" customFormat="1" ht="26.1" customHeight="1" x14ac:dyDescent="0.3">
      <c r="A3651" s="23" t="s">
        <v>3183</v>
      </c>
      <c r="B3651" s="23" t="s">
        <v>3965</v>
      </c>
      <c r="C3651" s="12" t="s">
        <v>3969</v>
      </c>
      <c r="D3651" s="85"/>
      <c r="E3651" s="69" t="str">
        <f>HYPERLINK("https://www.google.ru/search?q=D46NQA05422C1Z4Y&amp;newwindow=1&amp;tbm=isch","Еще фото")</f>
        <v>Еще фото</v>
      </c>
      <c r="F3651" s="13"/>
      <c r="G3651" s="23" t="s">
        <v>394</v>
      </c>
      <c r="H3651" s="23" t="s">
        <v>151</v>
      </c>
      <c r="I3651" s="23" t="s">
        <v>424</v>
      </c>
      <c r="J3651" s="14" t="s">
        <v>29</v>
      </c>
      <c r="K3651" s="15" t="s">
        <v>47</v>
      </c>
      <c r="L3651" s="88"/>
      <c r="M3651" s="14"/>
      <c r="N3651" s="14" t="s">
        <v>3773</v>
      </c>
      <c r="O3651" s="14"/>
      <c r="P3651" s="15" t="s">
        <v>3971</v>
      </c>
      <c r="Q3651" s="16">
        <v>12999</v>
      </c>
      <c r="R3651" s="17">
        <v>50</v>
      </c>
      <c r="S3651" s="18">
        <v>7474.4249999999993</v>
      </c>
      <c r="T3651" s="19" t="s">
        <v>328</v>
      </c>
      <c r="U3651" s="20" t="s">
        <v>399</v>
      </c>
      <c r="V3651" s="21">
        <v>40</v>
      </c>
      <c r="W3651" s="21">
        <v>1</v>
      </c>
      <c r="X3651" s="22"/>
    </row>
    <row r="3652" spans="1:24" s="1" customFormat="1" ht="35.1" customHeight="1" x14ac:dyDescent="0.3">
      <c r="A3652" s="11" t="s">
        <v>3183</v>
      </c>
      <c r="B3652" s="11" t="s">
        <v>3789</v>
      </c>
      <c r="C3652" s="12" t="s">
        <v>3972</v>
      </c>
      <c r="D3652" s="83"/>
      <c r="E3652" s="69" t="str">
        <f>HYPERLINK("https://www.google.ru/search?q=D46WTD0CK22C4005&amp;newwindow=1&amp;tbm=isch","Еще фото")</f>
        <v>Еще фото</v>
      </c>
      <c r="F3652" s="13"/>
      <c r="G3652" s="11" t="s">
        <v>394</v>
      </c>
      <c r="H3652" s="11" t="s">
        <v>151</v>
      </c>
      <c r="I3652" s="14" t="s">
        <v>424</v>
      </c>
      <c r="J3652" s="14" t="s">
        <v>29</v>
      </c>
      <c r="K3652" s="15" t="s">
        <v>47</v>
      </c>
      <c r="L3652" s="86" t="s">
        <v>3973</v>
      </c>
      <c r="M3652" s="14"/>
      <c r="N3652" s="14" t="s">
        <v>3974</v>
      </c>
      <c r="O3652" s="14"/>
      <c r="P3652" s="15" t="s">
        <v>3975</v>
      </c>
      <c r="Q3652" s="16">
        <v>20799</v>
      </c>
      <c r="R3652" s="17">
        <v>50</v>
      </c>
      <c r="S3652" s="18">
        <v>11959.424999999999</v>
      </c>
      <c r="T3652" s="19" t="s">
        <v>328</v>
      </c>
      <c r="U3652" s="20" t="s">
        <v>1503</v>
      </c>
      <c r="V3652" s="21">
        <v>36</v>
      </c>
      <c r="W3652" s="21">
        <v>1</v>
      </c>
      <c r="X3652" s="22"/>
    </row>
    <row r="3653" spans="1:24" s="1" customFormat="1" ht="35.1" customHeight="1" x14ac:dyDescent="0.3">
      <c r="A3653" s="23" t="s">
        <v>3183</v>
      </c>
      <c r="B3653" s="23" t="s">
        <v>3789</v>
      </c>
      <c r="C3653" s="12" t="s">
        <v>3972</v>
      </c>
      <c r="D3653" s="84"/>
      <c r="E3653" s="69" t="str">
        <f>HYPERLINK("https://www.google.ru/search?q=D46WTD0CK22C4005&amp;newwindow=1&amp;tbm=isch","Еще фото")</f>
        <v>Еще фото</v>
      </c>
      <c r="F3653" s="13"/>
      <c r="G3653" s="23" t="s">
        <v>394</v>
      </c>
      <c r="H3653" s="23" t="s">
        <v>151</v>
      </c>
      <c r="I3653" s="23" t="s">
        <v>424</v>
      </c>
      <c r="J3653" s="14" t="s">
        <v>29</v>
      </c>
      <c r="K3653" s="15" t="s">
        <v>47</v>
      </c>
      <c r="L3653" s="87"/>
      <c r="M3653" s="14"/>
      <c r="N3653" s="14" t="s">
        <v>3974</v>
      </c>
      <c r="O3653" s="14"/>
      <c r="P3653" s="15" t="s">
        <v>3975</v>
      </c>
      <c r="Q3653" s="16">
        <v>20799</v>
      </c>
      <c r="R3653" s="17">
        <v>50</v>
      </c>
      <c r="S3653" s="18">
        <v>11959.424999999999</v>
      </c>
      <c r="T3653" s="19" t="s">
        <v>328</v>
      </c>
      <c r="U3653" s="20" t="s">
        <v>413</v>
      </c>
      <c r="V3653" s="21">
        <v>39</v>
      </c>
      <c r="W3653" s="21">
        <v>1</v>
      </c>
      <c r="X3653" s="22"/>
    </row>
    <row r="3654" spans="1:24" s="1" customFormat="1" ht="36.950000000000003" customHeight="1" x14ac:dyDescent="0.3">
      <c r="A3654" s="23" t="s">
        <v>3183</v>
      </c>
      <c r="B3654" s="23" t="s">
        <v>3789</v>
      </c>
      <c r="C3654" s="12" t="s">
        <v>3972</v>
      </c>
      <c r="D3654" s="85"/>
      <c r="E3654" s="69" t="str">
        <f>HYPERLINK("https://www.google.ru/search?q=D46WTD0CK22C4005&amp;newwindow=1&amp;tbm=isch","Еще фото")</f>
        <v>Еще фото</v>
      </c>
      <c r="F3654" s="13"/>
      <c r="G3654" s="23" t="s">
        <v>394</v>
      </c>
      <c r="H3654" s="23" t="s">
        <v>151</v>
      </c>
      <c r="I3654" s="23" t="s">
        <v>424</v>
      </c>
      <c r="J3654" s="14" t="s">
        <v>29</v>
      </c>
      <c r="K3654" s="15" t="s">
        <v>47</v>
      </c>
      <c r="L3654" s="88"/>
      <c r="M3654" s="14"/>
      <c r="N3654" s="14" t="s">
        <v>3974</v>
      </c>
      <c r="O3654" s="14"/>
      <c r="P3654" s="15" t="s">
        <v>3975</v>
      </c>
      <c r="Q3654" s="16">
        <v>20799</v>
      </c>
      <c r="R3654" s="17">
        <v>50</v>
      </c>
      <c r="S3654" s="18">
        <v>11959.424999999999</v>
      </c>
      <c r="T3654" s="19" t="s">
        <v>328</v>
      </c>
      <c r="U3654" s="20" t="s">
        <v>399</v>
      </c>
      <c r="V3654" s="21">
        <v>40</v>
      </c>
      <c r="W3654" s="21">
        <v>1</v>
      </c>
      <c r="X3654" s="22"/>
    </row>
    <row r="3655" spans="1:24" s="1" customFormat="1" ht="51.95" customHeight="1" x14ac:dyDescent="0.3">
      <c r="A3655" s="11" t="s">
        <v>3183</v>
      </c>
      <c r="B3655" s="11" t="s">
        <v>3719</v>
      </c>
      <c r="C3655" s="12" t="s">
        <v>3976</v>
      </c>
      <c r="D3655" s="89"/>
      <c r="E3655" s="69" t="str">
        <f>HYPERLINK("https://www.google.ru/search?q=D55MDA02211C5VH6&amp;newwindow=1&amp;tbm=isch","Еще фото")</f>
        <v>Еще фото</v>
      </c>
      <c r="F3655" s="13"/>
      <c r="G3655" s="11" t="s">
        <v>394</v>
      </c>
      <c r="H3655" s="11" t="s">
        <v>151</v>
      </c>
      <c r="I3655" s="14" t="s">
        <v>424</v>
      </c>
      <c r="J3655" s="14" t="s">
        <v>29</v>
      </c>
      <c r="K3655" s="15" t="s">
        <v>47</v>
      </c>
      <c r="L3655" s="86" t="s">
        <v>3977</v>
      </c>
      <c r="M3655" s="14"/>
      <c r="N3655" s="14" t="s">
        <v>1053</v>
      </c>
      <c r="O3655" s="14"/>
      <c r="P3655" s="15" t="s">
        <v>3978</v>
      </c>
      <c r="Q3655" s="16">
        <v>17999</v>
      </c>
      <c r="R3655" s="17">
        <v>50</v>
      </c>
      <c r="S3655" s="18">
        <v>10349.424999999999</v>
      </c>
      <c r="T3655" s="19" t="s">
        <v>328</v>
      </c>
      <c r="U3655" s="20" t="s">
        <v>399</v>
      </c>
      <c r="V3655" s="21">
        <v>40</v>
      </c>
      <c r="W3655" s="21">
        <v>1</v>
      </c>
      <c r="X3655" s="22"/>
    </row>
    <row r="3656" spans="1:24" s="1" customFormat="1" ht="60.95" customHeight="1" x14ac:dyDescent="0.3">
      <c r="A3656" s="23" t="s">
        <v>3183</v>
      </c>
      <c r="B3656" s="23" t="s">
        <v>3719</v>
      </c>
      <c r="C3656" s="12" t="s">
        <v>3976</v>
      </c>
      <c r="D3656" s="90"/>
      <c r="E3656" s="69" t="str">
        <f>HYPERLINK("https://www.google.ru/search?q=D55MDA02211C5VH6&amp;newwindow=1&amp;tbm=isch","Еще фото")</f>
        <v>Еще фото</v>
      </c>
      <c r="F3656" s="13"/>
      <c r="G3656" s="23" t="s">
        <v>394</v>
      </c>
      <c r="H3656" s="23" t="s">
        <v>151</v>
      </c>
      <c r="I3656" s="23" t="s">
        <v>424</v>
      </c>
      <c r="J3656" s="14" t="s">
        <v>29</v>
      </c>
      <c r="K3656" s="15" t="s">
        <v>47</v>
      </c>
      <c r="L3656" s="88"/>
      <c r="M3656" s="14"/>
      <c r="N3656" s="14" t="s">
        <v>1053</v>
      </c>
      <c r="O3656" s="14"/>
      <c r="P3656" s="15" t="s">
        <v>3978</v>
      </c>
      <c r="Q3656" s="16">
        <v>17999</v>
      </c>
      <c r="R3656" s="17">
        <v>50</v>
      </c>
      <c r="S3656" s="18">
        <v>10349.424999999999</v>
      </c>
      <c r="T3656" s="19" t="s">
        <v>328</v>
      </c>
      <c r="U3656" s="20" t="s">
        <v>400</v>
      </c>
      <c r="V3656" s="21">
        <v>41</v>
      </c>
      <c r="W3656" s="21">
        <v>1</v>
      </c>
      <c r="X3656" s="22"/>
    </row>
    <row r="3657" spans="1:24" s="1" customFormat="1" ht="108" customHeight="1" x14ac:dyDescent="0.3">
      <c r="A3657" s="11" t="s">
        <v>3183</v>
      </c>
      <c r="B3657" s="11" t="s">
        <v>3979</v>
      </c>
      <c r="C3657" s="12" t="s">
        <v>3980</v>
      </c>
      <c r="D3657" s="24"/>
      <c r="E3657" s="69" t="str">
        <f>HYPERLINK("https://www.google.ru/search?q=D55WVC0CK22C4005&amp;newwindow=1&amp;tbm=isch","Еще фото")</f>
        <v>Еще фото</v>
      </c>
      <c r="F3657" s="13"/>
      <c r="G3657" s="11" t="s">
        <v>394</v>
      </c>
      <c r="H3657" s="11" t="s">
        <v>151</v>
      </c>
      <c r="I3657" s="14" t="s">
        <v>424</v>
      </c>
      <c r="J3657" s="14" t="s">
        <v>29</v>
      </c>
      <c r="K3657" s="15" t="s">
        <v>47</v>
      </c>
      <c r="L3657" s="14" t="s">
        <v>3981</v>
      </c>
      <c r="M3657" s="14"/>
      <c r="N3657" s="14" t="s">
        <v>3974</v>
      </c>
      <c r="O3657" s="14"/>
      <c r="P3657" s="15" t="s">
        <v>3982</v>
      </c>
      <c r="Q3657" s="16">
        <v>20799</v>
      </c>
      <c r="R3657" s="17">
        <v>50</v>
      </c>
      <c r="S3657" s="18">
        <v>11959.424999999999</v>
      </c>
      <c r="T3657" s="19" t="s">
        <v>328</v>
      </c>
      <c r="U3657" s="20" t="s">
        <v>413</v>
      </c>
      <c r="V3657" s="21">
        <v>39</v>
      </c>
      <c r="W3657" s="21">
        <v>1</v>
      </c>
      <c r="X3657" s="22"/>
    </row>
    <row r="3658" spans="1:24" s="1" customFormat="1" ht="35.1" customHeight="1" x14ac:dyDescent="0.3">
      <c r="A3658" s="11" t="s">
        <v>3183</v>
      </c>
      <c r="B3658" s="11" t="s">
        <v>3805</v>
      </c>
      <c r="C3658" s="12" t="s">
        <v>3983</v>
      </c>
      <c r="D3658" s="83"/>
      <c r="E3658" s="69" t="str">
        <f>HYPERLINK("https://www.google.ru/search?q=D55Y3S00011C1122&amp;newwindow=1&amp;tbm=isch","Еще фото")</f>
        <v>Еще фото</v>
      </c>
      <c r="F3658" s="13"/>
      <c r="G3658" s="11" t="s">
        <v>3807</v>
      </c>
      <c r="H3658" s="11" t="s">
        <v>151</v>
      </c>
      <c r="I3658" s="14" t="s">
        <v>424</v>
      </c>
      <c r="J3658" s="14" t="s">
        <v>138</v>
      </c>
      <c r="K3658" s="15" t="s">
        <v>47</v>
      </c>
      <c r="L3658" s="86" t="s">
        <v>3984</v>
      </c>
      <c r="M3658" s="14"/>
      <c r="N3658" s="14" t="s">
        <v>3985</v>
      </c>
      <c r="O3658" s="14"/>
      <c r="P3658" s="15" t="s">
        <v>3986</v>
      </c>
      <c r="Q3658" s="16">
        <v>16599</v>
      </c>
      <c r="R3658" s="17">
        <v>50</v>
      </c>
      <c r="S3658" s="18">
        <v>9544.4249999999993</v>
      </c>
      <c r="T3658" s="19" t="s">
        <v>328</v>
      </c>
      <c r="U3658" s="20" t="s">
        <v>409</v>
      </c>
      <c r="V3658" s="21">
        <v>37</v>
      </c>
      <c r="W3658" s="21">
        <v>8</v>
      </c>
      <c r="X3658" s="22"/>
    </row>
    <row r="3659" spans="1:24" s="1" customFormat="1" ht="35.1" customHeight="1" x14ac:dyDescent="0.3">
      <c r="A3659" s="23" t="s">
        <v>3183</v>
      </c>
      <c r="B3659" s="23" t="s">
        <v>3805</v>
      </c>
      <c r="C3659" s="12" t="s">
        <v>3983</v>
      </c>
      <c r="D3659" s="84"/>
      <c r="E3659" s="69" t="str">
        <f>HYPERLINK("https://www.google.ru/search?q=D55Y3S00011C1122&amp;newwindow=1&amp;tbm=isch","Еще фото")</f>
        <v>Еще фото</v>
      </c>
      <c r="F3659" s="13"/>
      <c r="G3659" s="23" t="s">
        <v>3807</v>
      </c>
      <c r="H3659" s="23" t="s">
        <v>151</v>
      </c>
      <c r="I3659" s="23" t="s">
        <v>424</v>
      </c>
      <c r="J3659" s="14" t="s">
        <v>138</v>
      </c>
      <c r="K3659" s="15" t="s">
        <v>47</v>
      </c>
      <c r="L3659" s="87"/>
      <c r="M3659" s="14"/>
      <c r="N3659" s="14" t="s">
        <v>3985</v>
      </c>
      <c r="O3659" s="14"/>
      <c r="P3659" s="15" t="s">
        <v>3986</v>
      </c>
      <c r="Q3659" s="16">
        <v>16599</v>
      </c>
      <c r="R3659" s="17">
        <v>50</v>
      </c>
      <c r="S3659" s="18">
        <v>9544.4249999999993</v>
      </c>
      <c r="T3659" s="19" t="s">
        <v>328</v>
      </c>
      <c r="U3659" s="20" t="s">
        <v>426</v>
      </c>
      <c r="V3659" s="21">
        <v>38</v>
      </c>
      <c r="W3659" s="21">
        <v>3</v>
      </c>
      <c r="X3659" s="22"/>
    </row>
    <row r="3660" spans="1:24" s="1" customFormat="1" ht="36.950000000000003" customHeight="1" x14ac:dyDescent="0.3">
      <c r="A3660" s="23" t="s">
        <v>3183</v>
      </c>
      <c r="B3660" s="23" t="s">
        <v>3805</v>
      </c>
      <c r="C3660" s="12" t="s">
        <v>3983</v>
      </c>
      <c r="D3660" s="85"/>
      <c r="E3660" s="69" t="str">
        <f>HYPERLINK("https://www.google.ru/search?q=D55Y3S00011C1122&amp;newwindow=1&amp;tbm=isch","Еще фото")</f>
        <v>Еще фото</v>
      </c>
      <c r="F3660" s="13"/>
      <c r="G3660" s="23" t="s">
        <v>3807</v>
      </c>
      <c r="H3660" s="23" t="s">
        <v>151</v>
      </c>
      <c r="I3660" s="23" t="s">
        <v>424</v>
      </c>
      <c r="J3660" s="14" t="s">
        <v>138</v>
      </c>
      <c r="K3660" s="15" t="s">
        <v>47</v>
      </c>
      <c r="L3660" s="88"/>
      <c r="M3660" s="14"/>
      <c r="N3660" s="14" t="s">
        <v>3985</v>
      </c>
      <c r="O3660" s="14"/>
      <c r="P3660" s="15" t="s">
        <v>3986</v>
      </c>
      <c r="Q3660" s="16">
        <v>16599</v>
      </c>
      <c r="R3660" s="17">
        <v>50</v>
      </c>
      <c r="S3660" s="18">
        <v>9544.4249999999993</v>
      </c>
      <c r="T3660" s="19" t="s">
        <v>328</v>
      </c>
      <c r="U3660" s="20" t="s">
        <v>399</v>
      </c>
      <c r="V3660" s="21">
        <v>40</v>
      </c>
      <c r="W3660" s="21">
        <v>1</v>
      </c>
      <c r="X3660" s="22"/>
    </row>
    <row r="3661" spans="1:24" s="1" customFormat="1" ht="35.1" customHeight="1" x14ac:dyDescent="0.3">
      <c r="A3661" s="11" t="s">
        <v>3183</v>
      </c>
      <c r="B3661" s="11" t="s">
        <v>3824</v>
      </c>
      <c r="C3661" s="12" t="s">
        <v>3987</v>
      </c>
      <c r="D3661" s="83"/>
      <c r="E3661" s="69" t="str">
        <f>HYPERLINK("https://www.google.ru/search?q=D56BMB00046C7008&amp;newwindow=1&amp;tbm=isch","Еще фото")</f>
        <v>Еще фото</v>
      </c>
      <c r="F3661" s="13"/>
      <c r="G3661" s="11" t="s">
        <v>3812</v>
      </c>
      <c r="H3661" s="11" t="s">
        <v>151</v>
      </c>
      <c r="I3661" s="14" t="s">
        <v>424</v>
      </c>
      <c r="J3661" s="14" t="s">
        <v>138</v>
      </c>
      <c r="K3661" s="15" t="s">
        <v>47</v>
      </c>
      <c r="L3661" s="86" t="s">
        <v>3826</v>
      </c>
      <c r="M3661" s="14"/>
      <c r="N3661" s="14" t="s">
        <v>116</v>
      </c>
      <c r="O3661" s="14"/>
      <c r="P3661" s="15" t="s">
        <v>3827</v>
      </c>
      <c r="Q3661" s="16">
        <v>17990</v>
      </c>
      <c r="R3661" s="17">
        <v>50</v>
      </c>
      <c r="S3661" s="18">
        <v>10344.25</v>
      </c>
      <c r="T3661" s="19" t="s">
        <v>328</v>
      </c>
      <c r="U3661" s="20" t="s">
        <v>409</v>
      </c>
      <c r="V3661" s="21">
        <v>37</v>
      </c>
      <c r="W3661" s="21">
        <v>2</v>
      </c>
      <c r="X3661" s="22"/>
    </row>
    <row r="3662" spans="1:24" s="1" customFormat="1" ht="35.1" customHeight="1" x14ac:dyDescent="0.3">
      <c r="A3662" s="23" t="s">
        <v>3183</v>
      </c>
      <c r="B3662" s="23" t="s">
        <v>3824</v>
      </c>
      <c r="C3662" s="12" t="s">
        <v>3987</v>
      </c>
      <c r="D3662" s="84"/>
      <c r="E3662" s="69" t="str">
        <f>HYPERLINK("https://www.google.ru/search?q=D56BMB00046C7008&amp;newwindow=1&amp;tbm=isch","Еще фото")</f>
        <v>Еще фото</v>
      </c>
      <c r="F3662" s="13"/>
      <c r="G3662" s="23" t="s">
        <v>3812</v>
      </c>
      <c r="H3662" s="23" t="s">
        <v>151</v>
      </c>
      <c r="I3662" s="23" t="s">
        <v>424</v>
      </c>
      <c r="J3662" s="14" t="s">
        <v>138</v>
      </c>
      <c r="K3662" s="15" t="s">
        <v>47</v>
      </c>
      <c r="L3662" s="87"/>
      <c r="M3662" s="14"/>
      <c r="N3662" s="14" t="s">
        <v>116</v>
      </c>
      <c r="O3662" s="14"/>
      <c r="P3662" s="15" t="s">
        <v>3827</v>
      </c>
      <c r="Q3662" s="16">
        <v>17990</v>
      </c>
      <c r="R3662" s="17">
        <v>50</v>
      </c>
      <c r="S3662" s="18">
        <v>10344.25</v>
      </c>
      <c r="T3662" s="19" t="s">
        <v>328</v>
      </c>
      <c r="U3662" s="20" t="s">
        <v>413</v>
      </c>
      <c r="V3662" s="21">
        <v>39</v>
      </c>
      <c r="W3662" s="21">
        <v>1</v>
      </c>
      <c r="X3662" s="22"/>
    </row>
    <row r="3663" spans="1:24" s="1" customFormat="1" ht="36.950000000000003" customHeight="1" x14ac:dyDescent="0.3">
      <c r="A3663" s="23" t="s">
        <v>3183</v>
      </c>
      <c r="B3663" s="23" t="s">
        <v>3824</v>
      </c>
      <c r="C3663" s="12" t="s">
        <v>3987</v>
      </c>
      <c r="D3663" s="85"/>
      <c r="E3663" s="69" t="str">
        <f>HYPERLINK("https://www.google.ru/search?q=D56BMB00046C7008&amp;newwindow=1&amp;tbm=isch","Еще фото")</f>
        <v>Еще фото</v>
      </c>
      <c r="F3663" s="13"/>
      <c r="G3663" s="23" t="s">
        <v>3812</v>
      </c>
      <c r="H3663" s="23" t="s">
        <v>151</v>
      </c>
      <c r="I3663" s="23" t="s">
        <v>424</v>
      </c>
      <c r="J3663" s="14" t="s">
        <v>138</v>
      </c>
      <c r="K3663" s="15" t="s">
        <v>47</v>
      </c>
      <c r="L3663" s="88"/>
      <c r="M3663" s="14"/>
      <c r="N3663" s="14" t="s">
        <v>116</v>
      </c>
      <c r="O3663" s="14"/>
      <c r="P3663" s="15" t="s">
        <v>3827</v>
      </c>
      <c r="Q3663" s="16">
        <v>17990</v>
      </c>
      <c r="R3663" s="17">
        <v>50</v>
      </c>
      <c r="S3663" s="18">
        <v>10344.25</v>
      </c>
      <c r="T3663" s="19" t="s">
        <v>328</v>
      </c>
      <c r="U3663" s="20" t="s">
        <v>399</v>
      </c>
      <c r="V3663" s="21">
        <v>40</v>
      </c>
      <c r="W3663" s="21">
        <v>1</v>
      </c>
      <c r="X3663" s="22"/>
    </row>
    <row r="3664" spans="1:24" s="1" customFormat="1" ht="108" customHeight="1" x14ac:dyDescent="0.3">
      <c r="A3664" s="11" t="s">
        <v>3183</v>
      </c>
      <c r="B3664" s="11" t="s">
        <v>3824</v>
      </c>
      <c r="C3664" s="12" t="s">
        <v>3988</v>
      </c>
      <c r="D3664" s="24"/>
      <c r="E3664" s="69" t="str">
        <f>HYPERLINK("https://www.google.ru/search?q=D56BMB00046C9999&amp;newwindow=1&amp;tbm=isch","Еще фото")</f>
        <v>Еще фото</v>
      </c>
      <c r="F3664" s="13"/>
      <c r="G3664" s="11" t="s">
        <v>3812</v>
      </c>
      <c r="H3664" s="11" t="s">
        <v>151</v>
      </c>
      <c r="I3664" s="14" t="s">
        <v>424</v>
      </c>
      <c r="J3664" s="14" t="s">
        <v>138</v>
      </c>
      <c r="K3664" s="15" t="s">
        <v>47</v>
      </c>
      <c r="L3664" s="14" t="s">
        <v>3826</v>
      </c>
      <c r="M3664" s="14"/>
      <c r="N3664" s="14" t="s">
        <v>49</v>
      </c>
      <c r="O3664" s="14"/>
      <c r="P3664" s="15" t="s">
        <v>3827</v>
      </c>
      <c r="Q3664" s="16">
        <v>17990</v>
      </c>
      <c r="R3664" s="17">
        <v>50</v>
      </c>
      <c r="S3664" s="18">
        <v>10344.25</v>
      </c>
      <c r="T3664" s="19" t="s">
        <v>328</v>
      </c>
      <c r="U3664" s="20" t="s">
        <v>426</v>
      </c>
      <c r="V3664" s="21">
        <v>38</v>
      </c>
      <c r="W3664" s="21">
        <v>1</v>
      </c>
      <c r="X3664" s="22"/>
    </row>
    <row r="3665" spans="1:24" s="1" customFormat="1" ht="51.95" customHeight="1" x14ac:dyDescent="0.3">
      <c r="A3665" s="11" t="s">
        <v>3183</v>
      </c>
      <c r="B3665" s="11" t="s">
        <v>3989</v>
      </c>
      <c r="C3665" s="12" t="s">
        <v>3990</v>
      </c>
      <c r="D3665" s="89"/>
      <c r="E3665" s="69" t="str">
        <f>HYPERLINK("https://www.google.ru/search?q=D56YNE0BCBNC0007&amp;newwindow=1&amp;tbm=isch","Еще фото")</f>
        <v>Еще фото</v>
      </c>
      <c r="F3665" s="13"/>
      <c r="G3665" s="11" t="s">
        <v>394</v>
      </c>
      <c r="H3665" s="11" t="s">
        <v>151</v>
      </c>
      <c r="I3665" s="14" t="s">
        <v>424</v>
      </c>
      <c r="J3665" s="14" t="s">
        <v>29</v>
      </c>
      <c r="K3665" s="15" t="s">
        <v>47</v>
      </c>
      <c r="L3665" s="86" t="s">
        <v>3991</v>
      </c>
      <c r="M3665" s="14"/>
      <c r="N3665" s="14" t="s">
        <v>89</v>
      </c>
      <c r="O3665" s="14"/>
      <c r="P3665" s="15" t="s">
        <v>3992</v>
      </c>
      <c r="Q3665" s="16">
        <v>15199</v>
      </c>
      <c r="R3665" s="17">
        <v>50</v>
      </c>
      <c r="S3665" s="18">
        <v>8739.4249999999993</v>
      </c>
      <c r="T3665" s="19" t="s">
        <v>328</v>
      </c>
      <c r="U3665" s="20" t="s">
        <v>426</v>
      </c>
      <c r="V3665" s="21">
        <v>38</v>
      </c>
      <c r="W3665" s="21">
        <v>3</v>
      </c>
      <c r="X3665" s="22"/>
    </row>
    <row r="3666" spans="1:24" s="1" customFormat="1" ht="60.95" customHeight="1" x14ac:dyDescent="0.3">
      <c r="A3666" s="23" t="s">
        <v>3183</v>
      </c>
      <c r="B3666" s="23" t="s">
        <v>3989</v>
      </c>
      <c r="C3666" s="12" t="s">
        <v>3990</v>
      </c>
      <c r="D3666" s="90"/>
      <c r="E3666" s="69" t="str">
        <f>HYPERLINK("https://www.google.ru/search?q=D56YNE0BCBNC0007&amp;newwindow=1&amp;tbm=isch","Еще фото")</f>
        <v>Еще фото</v>
      </c>
      <c r="F3666" s="13"/>
      <c r="G3666" s="23" t="s">
        <v>394</v>
      </c>
      <c r="H3666" s="23" t="s">
        <v>151</v>
      </c>
      <c r="I3666" s="23" t="s">
        <v>424</v>
      </c>
      <c r="J3666" s="14" t="s">
        <v>29</v>
      </c>
      <c r="K3666" s="15" t="s">
        <v>47</v>
      </c>
      <c r="L3666" s="88"/>
      <c r="M3666" s="14"/>
      <c r="N3666" s="14" t="s">
        <v>89</v>
      </c>
      <c r="O3666" s="14"/>
      <c r="P3666" s="15" t="s">
        <v>3992</v>
      </c>
      <c r="Q3666" s="16">
        <v>15199</v>
      </c>
      <c r="R3666" s="17">
        <v>50</v>
      </c>
      <c r="S3666" s="18">
        <v>8739.4249999999993</v>
      </c>
      <c r="T3666" s="19" t="s">
        <v>328</v>
      </c>
      <c r="U3666" s="20" t="s">
        <v>399</v>
      </c>
      <c r="V3666" s="21">
        <v>40</v>
      </c>
      <c r="W3666" s="21">
        <v>5</v>
      </c>
      <c r="X3666" s="22"/>
    </row>
    <row r="3667" spans="1:24" s="1" customFormat="1" ht="51.95" customHeight="1" x14ac:dyDescent="0.3">
      <c r="A3667" s="11" t="s">
        <v>3183</v>
      </c>
      <c r="B3667" s="11" t="s">
        <v>3989</v>
      </c>
      <c r="C3667" s="12" t="s">
        <v>3993</v>
      </c>
      <c r="D3667" s="89"/>
      <c r="E3667" s="69" t="str">
        <f>HYPERLINK("https://www.google.ru/search?q=D56YNE0BCBNC1S5V&amp;newwindow=1&amp;tbm=isch","Еще фото")</f>
        <v>Еще фото</v>
      </c>
      <c r="F3667" s="13"/>
      <c r="G3667" s="11" t="s">
        <v>394</v>
      </c>
      <c r="H3667" s="11" t="s">
        <v>151</v>
      </c>
      <c r="I3667" s="14" t="s">
        <v>424</v>
      </c>
      <c r="J3667" s="14" t="s">
        <v>29</v>
      </c>
      <c r="K3667" s="15" t="s">
        <v>47</v>
      </c>
      <c r="L3667" s="86" t="s">
        <v>3991</v>
      </c>
      <c r="M3667" s="14"/>
      <c r="N3667" s="14" t="s">
        <v>326</v>
      </c>
      <c r="O3667" s="14"/>
      <c r="P3667" s="15" t="s">
        <v>3992</v>
      </c>
      <c r="Q3667" s="16">
        <v>15199</v>
      </c>
      <c r="R3667" s="17">
        <v>50</v>
      </c>
      <c r="S3667" s="18">
        <v>8739.4249999999993</v>
      </c>
      <c r="T3667" s="19" t="s">
        <v>328</v>
      </c>
      <c r="U3667" s="20" t="s">
        <v>413</v>
      </c>
      <c r="V3667" s="21">
        <v>39</v>
      </c>
      <c r="W3667" s="21">
        <v>2</v>
      </c>
      <c r="X3667" s="22"/>
    </row>
    <row r="3668" spans="1:24" s="1" customFormat="1" ht="60.95" customHeight="1" x14ac:dyDescent="0.3">
      <c r="A3668" s="23" t="s">
        <v>3183</v>
      </c>
      <c r="B3668" s="23" t="s">
        <v>3989</v>
      </c>
      <c r="C3668" s="12" t="s">
        <v>3993</v>
      </c>
      <c r="D3668" s="90"/>
      <c r="E3668" s="69" t="str">
        <f>HYPERLINK("https://www.google.ru/search?q=D56YNE0BCBNC1S5V&amp;newwindow=1&amp;tbm=isch","Еще фото")</f>
        <v>Еще фото</v>
      </c>
      <c r="F3668" s="13"/>
      <c r="G3668" s="23" t="s">
        <v>394</v>
      </c>
      <c r="H3668" s="23" t="s">
        <v>151</v>
      </c>
      <c r="I3668" s="23" t="s">
        <v>424</v>
      </c>
      <c r="J3668" s="14" t="s">
        <v>29</v>
      </c>
      <c r="K3668" s="15" t="s">
        <v>47</v>
      </c>
      <c r="L3668" s="88"/>
      <c r="M3668" s="14"/>
      <c r="N3668" s="14" t="s">
        <v>326</v>
      </c>
      <c r="O3668" s="14"/>
      <c r="P3668" s="15" t="s">
        <v>3992</v>
      </c>
      <c r="Q3668" s="16">
        <v>15199</v>
      </c>
      <c r="R3668" s="17">
        <v>50</v>
      </c>
      <c r="S3668" s="18">
        <v>8739.4249999999993</v>
      </c>
      <c r="T3668" s="19" t="s">
        <v>328</v>
      </c>
      <c r="U3668" s="20" t="s">
        <v>400</v>
      </c>
      <c r="V3668" s="21">
        <v>41</v>
      </c>
      <c r="W3668" s="21">
        <v>1</v>
      </c>
      <c r="X3668" s="22"/>
    </row>
    <row r="3669" spans="1:24" s="1" customFormat="1" ht="26.1" customHeight="1" x14ac:dyDescent="0.3">
      <c r="A3669" s="11" t="s">
        <v>3183</v>
      </c>
      <c r="B3669" s="11" t="s">
        <v>3994</v>
      </c>
      <c r="C3669" s="12" t="s">
        <v>3995</v>
      </c>
      <c r="D3669" s="83"/>
      <c r="E3669" s="69" t="str">
        <f>HYPERLINK("https://www.google.ru/search?q=D651JE00022C6001&amp;newwindow=1&amp;tbm=isch","Еще фото")</f>
        <v>Еще фото</v>
      </c>
      <c r="F3669" s="13"/>
      <c r="G3669" s="11" t="s">
        <v>3812</v>
      </c>
      <c r="H3669" s="11" t="s">
        <v>151</v>
      </c>
      <c r="I3669" s="14" t="s">
        <v>424</v>
      </c>
      <c r="J3669" s="14" t="s">
        <v>138</v>
      </c>
      <c r="K3669" s="15" t="s">
        <v>47</v>
      </c>
      <c r="L3669" s="86" t="s">
        <v>3996</v>
      </c>
      <c r="M3669" s="14"/>
      <c r="N3669" s="14" t="s">
        <v>154</v>
      </c>
      <c r="O3669" s="14"/>
      <c r="P3669" s="15" t="s">
        <v>3997</v>
      </c>
      <c r="Q3669" s="16">
        <v>17990</v>
      </c>
      <c r="R3669" s="17">
        <v>50</v>
      </c>
      <c r="S3669" s="18">
        <v>10344.25</v>
      </c>
      <c r="T3669" s="19" t="s">
        <v>328</v>
      </c>
      <c r="U3669" s="20" t="s">
        <v>426</v>
      </c>
      <c r="V3669" s="21">
        <v>38</v>
      </c>
      <c r="W3669" s="21">
        <v>10</v>
      </c>
      <c r="X3669" s="22"/>
    </row>
    <row r="3670" spans="1:24" s="1" customFormat="1" ht="26.1" customHeight="1" x14ac:dyDescent="0.3">
      <c r="A3670" s="23" t="s">
        <v>3183</v>
      </c>
      <c r="B3670" s="23" t="s">
        <v>3994</v>
      </c>
      <c r="C3670" s="12" t="s">
        <v>3995</v>
      </c>
      <c r="D3670" s="84"/>
      <c r="E3670" s="69" t="str">
        <f>HYPERLINK("https://www.google.ru/search?q=D651JE00022C6001&amp;newwindow=1&amp;tbm=isch","Еще фото")</f>
        <v>Еще фото</v>
      </c>
      <c r="F3670" s="13"/>
      <c r="G3670" s="23" t="s">
        <v>3812</v>
      </c>
      <c r="H3670" s="23" t="s">
        <v>151</v>
      </c>
      <c r="I3670" s="23" t="s">
        <v>424</v>
      </c>
      <c r="J3670" s="14" t="s">
        <v>138</v>
      </c>
      <c r="K3670" s="15" t="s">
        <v>47</v>
      </c>
      <c r="L3670" s="87"/>
      <c r="M3670" s="14"/>
      <c r="N3670" s="14" t="s">
        <v>154</v>
      </c>
      <c r="O3670" s="14"/>
      <c r="P3670" s="15" t="s">
        <v>3997</v>
      </c>
      <c r="Q3670" s="16">
        <v>17990</v>
      </c>
      <c r="R3670" s="17">
        <v>50</v>
      </c>
      <c r="S3670" s="18">
        <v>10344.25</v>
      </c>
      <c r="T3670" s="19" t="s">
        <v>328</v>
      </c>
      <c r="U3670" s="20" t="s">
        <v>413</v>
      </c>
      <c r="V3670" s="21">
        <v>39</v>
      </c>
      <c r="W3670" s="21">
        <v>2</v>
      </c>
      <c r="X3670" s="22"/>
    </row>
    <row r="3671" spans="1:24" s="1" customFormat="1" ht="26.1" customHeight="1" x14ac:dyDescent="0.3">
      <c r="A3671" s="23" t="s">
        <v>3183</v>
      </c>
      <c r="B3671" s="23" t="s">
        <v>3994</v>
      </c>
      <c r="C3671" s="12" t="s">
        <v>3995</v>
      </c>
      <c r="D3671" s="84"/>
      <c r="E3671" s="69" t="str">
        <f>HYPERLINK("https://www.google.ru/search?q=D651JE00022C6001&amp;newwindow=1&amp;tbm=isch","Еще фото")</f>
        <v>Еще фото</v>
      </c>
      <c r="F3671" s="13"/>
      <c r="G3671" s="23" t="s">
        <v>3812</v>
      </c>
      <c r="H3671" s="23" t="s">
        <v>151</v>
      </c>
      <c r="I3671" s="23" t="s">
        <v>424</v>
      </c>
      <c r="J3671" s="14" t="s">
        <v>138</v>
      </c>
      <c r="K3671" s="15" t="s">
        <v>47</v>
      </c>
      <c r="L3671" s="87"/>
      <c r="M3671" s="14"/>
      <c r="N3671" s="14" t="s">
        <v>154</v>
      </c>
      <c r="O3671" s="14"/>
      <c r="P3671" s="15" t="s">
        <v>3997</v>
      </c>
      <c r="Q3671" s="16">
        <v>17990</v>
      </c>
      <c r="R3671" s="17">
        <v>50</v>
      </c>
      <c r="S3671" s="18">
        <v>10344.25</v>
      </c>
      <c r="T3671" s="19" t="s">
        <v>328</v>
      </c>
      <c r="U3671" s="20" t="s">
        <v>399</v>
      </c>
      <c r="V3671" s="21">
        <v>40</v>
      </c>
      <c r="W3671" s="21">
        <v>2</v>
      </c>
      <c r="X3671" s="22"/>
    </row>
    <row r="3672" spans="1:24" s="1" customFormat="1" ht="26.1" customHeight="1" x14ac:dyDescent="0.3">
      <c r="A3672" s="23" t="s">
        <v>3183</v>
      </c>
      <c r="B3672" s="23" t="s">
        <v>3994</v>
      </c>
      <c r="C3672" s="12" t="s">
        <v>3995</v>
      </c>
      <c r="D3672" s="85"/>
      <c r="E3672" s="69" t="str">
        <f>HYPERLINK("https://www.google.ru/search?q=D651JE00022C6001&amp;newwindow=1&amp;tbm=isch","Еще фото")</f>
        <v>Еще фото</v>
      </c>
      <c r="F3672" s="13"/>
      <c r="G3672" s="23" t="s">
        <v>3812</v>
      </c>
      <c r="H3672" s="23" t="s">
        <v>151</v>
      </c>
      <c r="I3672" s="23" t="s">
        <v>424</v>
      </c>
      <c r="J3672" s="14" t="s">
        <v>138</v>
      </c>
      <c r="K3672" s="15" t="s">
        <v>47</v>
      </c>
      <c r="L3672" s="88"/>
      <c r="M3672" s="14"/>
      <c r="N3672" s="14" t="s">
        <v>154</v>
      </c>
      <c r="O3672" s="14"/>
      <c r="P3672" s="15" t="s">
        <v>3997</v>
      </c>
      <c r="Q3672" s="16">
        <v>17990</v>
      </c>
      <c r="R3672" s="17">
        <v>50</v>
      </c>
      <c r="S3672" s="18">
        <v>10344.25</v>
      </c>
      <c r="T3672" s="19" t="s">
        <v>328</v>
      </c>
      <c r="U3672" s="20" t="s">
        <v>400</v>
      </c>
      <c r="V3672" s="21">
        <v>41</v>
      </c>
      <c r="W3672" s="21">
        <v>2</v>
      </c>
      <c r="X3672" s="22"/>
    </row>
    <row r="3673" spans="1:24" s="1" customFormat="1" ht="51.95" customHeight="1" x14ac:dyDescent="0.3">
      <c r="A3673" s="11" t="s">
        <v>3183</v>
      </c>
      <c r="B3673" s="11" t="s">
        <v>3810</v>
      </c>
      <c r="C3673" s="12" t="s">
        <v>3998</v>
      </c>
      <c r="D3673" s="89"/>
      <c r="E3673" s="69" t="str">
        <f>HYPERLINK("https://www.google.ru/search?q=D659AA00022C5000&amp;newwindow=1&amp;tbm=isch","Еще фото")</f>
        <v>Еще фото</v>
      </c>
      <c r="F3673" s="13"/>
      <c r="G3673" s="11" t="s">
        <v>3812</v>
      </c>
      <c r="H3673" s="11" t="s">
        <v>151</v>
      </c>
      <c r="I3673" s="14" t="s">
        <v>424</v>
      </c>
      <c r="J3673" s="14" t="s">
        <v>138</v>
      </c>
      <c r="K3673" s="15" t="s">
        <v>47</v>
      </c>
      <c r="L3673" s="86" t="s">
        <v>3999</v>
      </c>
      <c r="M3673" s="14"/>
      <c r="N3673" s="14" t="s">
        <v>326</v>
      </c>
      <c r="O3673" s="14"/>
      <c r="P3673" s="15" t="s">
        <v>4000</v>
      </c>
      <c r="Q3673" s="16">
        <v>17990</v>
      </c>
      <c r="R3673" s="17">
        <v>50</v>
      </c>
      <c r="S3673" s="18">
        <v>10344.25</v>
      </c>
      <c r="T3673" s="19" t="s">
        <v>328</v>
      </c>
      <c r="U3673" s="20" t="s">
        <v>413</v>
      </c>
      <c r="V3673" s="21">
        <v>39</v>
      </c>
      <c r="W3673" s="21">
        <v>2</v>
      </c>
      <c r="X3673" s="22"/>
    </row>
    <row r="3674" spans="1:24" s="1" customFormat="1" ht="60.95" customHeight="1" x14ac:dyDescent="0.3">
      <c r="A3674" s="23" t="s">
        <v>3183</v>
      </c>
      <c r="B3674" s="23" t="s">
        <v>3810</v>
      </c>
      <c r="C3674" s="12" t="s">
        <v>3998</v>
      </c>
      <c r="D3674" s="90"/>
      <c r="E3674" s="69" t="str">
        <f>HYPERLINK("https://www.google.ru/search?q=D659AA00022C5000&amp;newwindow=1&amp;tbm=isch","Еще фото")</f>
        <v>Еще фото</v>
      </c>
      <c r="F3674" s="13"/>
      <c r="G3674" s="23" t="s">
        <v>3812</v>
      </c>
      <c r="H3674" s="23" t="s">
        <v>151</v>
      </c>
      <c r="I3674" s="23" t="s">
        <v>424</v>
      </c>
      <c r="J3674" s="14" t="s">
        <v>138</v>
      </c>
      <c r="K3674" s="15" t="s">
        <v>47</v>
      </c>
      <c r="L3674" s="88"/>
      <c r="M3674" s="14"/>
      <c r="N3674" s="14" t="s">
        <v>326</v>
      </c>
      <c r="O3674" s="14"/>
      <c r="P3674" s="15" t="s">
        <v>4000</v>
      </c>
      <c r="Q3674" s="16">
        <v>17990</v>
      </c>
      <c r="R3674" s="17">
        <v>50</v>
      </c>
      <c r="S3674" s="18">
        <v>10344.25</v>
      </c>
      <c r="T3674" s="19" t="s">
        <v>328</v>
      </c>
      <c r="U3674" s="20" t="s">
        <v>399</v>
      </c>
      <c r="V3674" s="21">
        <v>40</v>
      </c>
      <c r="W3674" s="21">
        <v>1</v>
      </c>
      <c r="X3674" s="22"/>
    </row>
    <row r="3675" spans="1:24" s="1" customFormat="1" ht="21" customHeight="1" x14ac:dyDescent="0.3">
      <c r="A3675" s="11" t="s">
        <v>3183</v>
      </c>
      <c r="B3675" s="11" t="s">
        <v>4001</v>
      </c>
      <c r="C3675" s="27" t="s">
        <v>4002</v>
      </c>
      <c r="D3675" s="83"/>
      <c r="E3675" s="69" t="str">
        <f>HYPERLINK("https://www.google.ru/search?q=D667SA000BCC9999&amp;newwindow=1&amp;tbm=isch","Еще фото")</f>
        <v>Еще фото</v>
      </c>
      <c r="F3675" s="13"/>
      <c r="G3675" s="11" t="s">
        <v>394</v>
      </c>
      <c r="H3675" s="11" t="s">
        <v>151</v>
      </c>
      <c r="I3675" s="14" t="s">
        <v>424</v>
      </c>
      <c r="J3675" s="14" t="s">
        <v>29</v>
      </c>
      <c r="K3675" s="15" t="s">
        <v>47</v>
      </c>
      <c r="L3675" s="86"/>
      <c r="M3675" s="14"/>
      <c r="N3675" s="14" t="s">
        <v>49</v>
      </c>
      <c r="O3675" s="14"/>
      <c r="P3675" s="15" t="s">
        <v>4003</v>
      </c>
      <c r="Q3675" s="16">
        <v>14990</v>
      </c>
      <c r="R3675" s="17">
        <v>50</v>
      </c>
      <c r="S3675" s="18">
        <v>8619.25</v>
      </c>
      <c r="T3675" s="19" t="s">
        <v>328</v>
      </c>
      <c r="U3675" s="20" t="s">
        <v>1503</v>
      </c>
      <c r="V3675" s="21">
        <v>36</v>
      </c>
      <c r="W3675" s="21">
        <v>2</v>
      </c>
      <c r="X3675" s="22"/>
    </row>
    <row r="3676" spans="1:24" s="1" customFormat="1" ht="21" customHeight="1" x14ac:dyDescent="0.3">
      <c r="A3676" s="23" t="s">
        <v>3183</v>
      </c>
      <c r="B3676" s="23" t="s">
        <v>4001</v>
      </c>
      <c r="C3676" s="28" t="s">
        <v>4002</v>
      </c>
      <c r="D3676" s="84"/>
      <c r="E3676" s="69" t="str">
        <f>HYPERLINK("https://www.google.ru/search?q=D667SA000BCC9999&amp;newwindow=1&amp;tbm=isch","Еще фото")</f>
        <v>Еще фото</v>
      </c>
      <c r="F3676" s="13"/>
      <c r="G3676" s="23" t="s">
        <v>394</v>
      </c>
      <c r="H3676" s="23" t="s">
        <v>151</v>
      </c>
      <c r="I3676" s="23" t="s">
        <v>424</v>
      </c>
      <c r="J3676" s="14" t="s">
        <v>29</v>
      </c>
      <c r="K3676" s="15" t="s">
        <v>47</v>
      </c>
      <c r="L3676" s="87"/>
      <c r="M3676" s="14"/>
      <c r="N3676" s="14" t="s">
        <v>49</v>
      </c>
      <c r="O3676" s="14"/>
      <c r="P3676" s="15" t="s">
        <v>4003</v>
      </c>
      <c r="Q3676" s="16">
        <v>14990</v>
      </c>
      <c r="R3676" s="17">
        <v>50</v>
      </c>
      <c r="S3676" s="18">
        <v>8619.25</v>
      </c>
      <c r="T3676" s="19" t="s">
        <v>328</v>
      </c>
      <c r="U3676" s="20" t="s">
        <v>409</v>
      </c>
      <c r="V3676" s="21">
        <v>37</v>
      </c>
      <c r="W3676" s="21">
        <v>4</v>
      </c>
      <c r="X3676" s="22"/>
    </row>
    <row r="3677" spans="1:24" s="1" customFormat="1" ht="21" customHeight="1" x14ac:dyDescent="0.3">
      <c r="A3677" s="23" t="s">
        <v>3183</v>
      </c>
      <c r="B3677" s="23" t="s">
        <v>4001</v>
      </c>
      <c r="C3677" s="28" t="s">
        <v>4002</v>
      </c>
      <c r="D3677" s="84"/>
      <c r="E3677" s="69" t="str">
        <f>HYPERLINK("https://www.google.ru/search?q=D667SA000BCC9999&amp;newwindow=1&amp;tbm=isch","Еще фото")</f>
        <v>Еще фото</v>
      </c>
      <c r="F3677" s="13"/>
      <c r="G3677" s="23" t="s">
        <v>394</v>
      </c>
      <c r="H3677" s="23" t="s">
        <v>151</v>
      </c>
      <c r="I3677" s="23" t="s">
        <v>424</v>
      </c>
      <c r="J3677" s="14" t="s">
        <v>29</v>
      </c>
      <c r="K3677" s="15" t="s">
        <v>47</v>
      </c>
      <c r="L3677" s="87"/>
      <c r="M3677" s="14"/>
      <c r="N3677" s="14" t="s">
        <v>49</v>
      </c>
      <c r="O3677" s="14"/>
      <c r="P3677" s="15" t="s">
        <v>4003</v>
      </c>
      <c r="Q3677" s="16">
        <v>14990</v>
      </c>
      <c r="R3677" s="17">
        <v>50</v>
      </c>
      <c r="S3677" s="18">
        <v>8619.25</v>
      </c>
      <c r="T3677" s="19" t="s">
        <v>328</v>
      </c>
      <c r="U3677" s="20" t="s">
        <v>426</v>
      </c>
      <c r="V3677" s="21">
        <v>38</v>
      </c>
      <c r="W3677" s="21">
        <v>4</v>
      </c>
      <c r="X3677" s="22"/>
    </row>
    <row r="3678" spans="1:24" s="1" customFormat="1" ht="21" customHeight="1" x14ac:dyDescent="0.3">
      <c r="A3678" s="23" t="s">
        <v>3183</v>
      </c>
      <c r="B3678" s="23" t="s">
        <v>4001</v>
      </c>
      <c r="C3678" s="28" t="s">
        <v>4002</v>
      </c>
      <c r="D3678" s="84"/>
      <c r="E3678" s="69" t="str">
        <f>HYPERLINK("https://www.google.ru/search?q=D667SA000BCC9999&amp;newwindow=1&amp;tbm=isch","Еще фото")</f>
        <v>Еще фото</v>
      </c>
      <c r="F3678" s="13"/>
      <c r="G3678" s="23" t="s">
        <v>394</v>
      </c>
      <c r="H3678" s="23" t="s">
        <v>151</v>
      </c>
      <c r="I3678" s="23" t="s">
        <v>424</v>
      </c>
      <c r="J3678" s="14" t="s">
        <v>29</v>
      </c>
      <c r="K3678" s="15" t="s">
        <v>47</v>
      </c>
      <c r="L3678" s="87"/>
      <c r="M3678" s="14"/>
      <c r="N3678" s="14" t="s">
        <v>49</v>
      </c>
      <c r="O3678" s="14"/>
      <c r="P3678" s="15" t="s">
        <v>4003</v>
      </c>
      <c r="Q3678" s="16">
        <v>14990</v>
      </c>
      <c r="R3678" s="17">
        <v>50</v>
      </c>
      <c r="S3678" s="18">
        <v>8619.25</v>
      </c>
      <c r="T3678" s="19" t="s">
        <v>328</v>
      </c>
      <c r="U3678" s="20" t="s">
        <v>413</v>
      </c>
      <c r="V3678" s="21">
        <v>39</v>
      </c>
      <c r="W3678" s="21">
        <v>4</v>
      </c>
      <c r="X3678" s="22"/>
    </row>
    <row r="3679" spans="1:24" s="1" customFormat="1" ht="32.1" customHeight="1" x14ac:dyDescent="0.3">
      <c r="A3679" s="23" t="s">
        <v>3183</v>
      </c>
      <c r="B3679" s="23" t="s">
        <v>4001</v>
      </c>
      <c r="C3679" s="28" t="s">
        <v>4002</v>
      </c>
      <c r="D3679" s="85"/>
      <c r="E3679" s="69" t="str">
        <f>HYPERLINK("https://www.google.ru/search?q=D667SA000BCC9999&amp;newwindow=1&amp;tbm=isch","Еще фото")</f>
        <v>Еще фото</v>
      </c>
      <c r="F3679" s="13"/>
      <c r="G3679" s="23" t="s">
        <v>394</v>
      </c>
      <c r="H3679" s="23" t="s">
        <v>151</v>
      </c>
      <c r="I3679" s="23" t="s">
        <v>424</v>
      </c>
      <c r="J3679" s="14" t="s">
        <v>29</v>
      </c>
      <c r="K3679" s="15" t="s">
        <v>47</v>
      </c>
      <c r="L3679" s="88"/>
      <c r="M3679" s="14"/>
      <c r="N3679" s="14" t="s">
        <v>49</v>
      </c>
      <c r="O3679" s="14"/>
      <c r="P3679" s="15" t="s">
        <v>4003</v>
      </c>
      <c r="Q3679" s="16">
        <v>14990</v>
      </c>
      <c r="R3679" s="17">
        <v>50</v>
      </c>
      <c r="S3679" s="18">
        <v>8619.25</v>
      </c>
      <c r="T3679" s="19" t="s">
        <v>328</v>
      </c>
      <c r="U3679" s="20" t="s">
        <v>399</v>
      </c>
      <c r="V3679" s="21">
        <v>40</v>
      </c>
      <c r="W3679" s="21">
        <v>3</v>
      </c>
      <c r="X3679" s="22"/>
    </row>
    <row r="3680" spans="1:24" s="1" customFormat="1" ht="17.100000000000001" customHeight="1" x14ac:dyDescent="0.3">
      <c r="A3680" s="11" t="s">
        <v>3183</v>
      </c>
      <c r="B3680" s="11" t="s">
        <v>3810</v>
      </c>
      <c r="C3680" s="12" t="s">
        <v>4004</v>
      </c>
      <c r="D3680" s="83"/>
      <c r="E3680" s="69" t="str">
        <f t="shared" ref="E3680:E3685" si="168">HYPERLINK("https://www.google.ru/search?q=D669AB00067C9999&amp;newwindow=1&amp;tbm=isch","Еще фото")</f>
        <v>Еще фото</v>
      </c>
      <c r="F3680" s="13"/>
      <c r="G3680" s="11" t="s">
        <v>4005</v>
      </c>
      <c r="H3680" s="11" t="s">
        <v>151</v>
      </c>
      <c r="I3680" s="14" t="s">
        <v>424</v>
      </c>
      <c r="J3680" s="14" t="s">
        <v>138</v>
      </c>
      <c r="K3680" s="15" t="s">
        <v>47</v>
      </c>
      <c r="L3680" s="86"/>
      <c r="M3680" s="14"/>
      <c r="N3680" s="14" t="s">
        <v>49</v>
      </c>
      <c r="O3680" s="14"/>
      <c r="P3680" s="15" t="s">
        <v>4006</v>
      </c>
      <c r="Q3680" s="16">
        <v>18290</v>
      </c>
      <c r="R3680" s="17">
        <v>50</v>
      </c>
      <c r="S3680" s="18">
        <v>10516.75</v>
      </c>
      <c r="T3680" s="19" t="s">
        <v>328</v>
      </c>
      <c r="U3680" s="20" t="s">
        <v>1503</v>
      </c>
      <c r="V3680" s="21">
        <v>36</v>
      </c>
      <c r="W3680" s="21">
        <v>2</v>
      </c>
      <c r="X3680" s="22"/>
    </row>
    <row r="3681" spans="1:24" s="1" customFormat="1" ht="17.100000000000001" customHeight="1" x14ac:dyDescent="0.3">
      <c r="A3681" s="23" t="s">
        <v>3183</v>
      </c>
      <c r="B3681" s="23" t="s">
        <v>3810</v>
      </c>
      <c r="C3681" s="12" t="s">
        <v>4004</v>
      </c>
      <c r="D3681" s="84"/>
      <c r="E3681" s="69" t="str">
        <f t="shared" si="168"/>
        <v>Еще фото</v>
      </c>
      <c r="F3681" s="13"/>
      <c r="G3681" s="23" t="s">
        <v>4005</v>
      </c>
      <c r="H3681" s="23" t="s">
        <v>151</v>
      </c>
      <c r="I3681" s="23" t="s">
        <v>424</v>
      </c>
      <c r="J3681" s="14" t="s">
        <v>138</v>
      </c>
      <c r="K3681" s="15" t="s">
        <v>47</v>
      </c>
      <c r="L3681" s="87"/>
      <c r="M3681" s="14"/>
      <c r="N3681" s="14" t="s">
        <v>49</v>
      </c>
      <c r="O3681" s="14"/>
      <c r="P3681" s="15" t="s">
        <v>4006</v>
      </c>
      <c r="Q3681" s="16">
        <v>18290</v>
      </c>
      <c r="R3681" s="17">
        <v>50</v>
      </c>
      <c r="S3681" s="18">
        <v>10516.75</v>
      </c>
      <c r="T3681" s="19" t="s">
        <v>328</v>
      </c>
      <c r="U3681" s="20" t="s">
        <v>409</v>
      </c>
      <c r="V3681" s="21">
        <v>37</v>
      </c>
      <c r="W3681" s="21">
        <v>4</v>
      </c>
      <c r="X3681" s="22"/>
    </row>
    <row r="3682" spans="1:24" s="1" customFormat="1" ht="17.100000000000001" customHeight="1" x14ac:dyDescent="0.3">
      <c r="A3682" s="23" t="s">
        <v>3183</v>
      </c>
      <c r="B3682" s="23" t="s">
        <v>3810</v>
      </c>
      <c r="C3682" s="12" t="s">
        <v>4004</v>
      </c>
      <c r="D3682" s="84"/>
      <c r="E3682" s="69" t="str">
        <f t="shared" si="168"/>
        <v>Еще фото</v>
      </c>
      <c r="F3682" s="13"/>
      <c r="G3682" s="23" t="s">
        <v>4005</v>
      </c>
      <c r="H3682" s="23" t="s">
        <v>151</v>
      </c>
      <c r="I3682" s="23" t="s">
        <v>424</v>
      </c>
      <c r="J3682" s="14" t="s">
        <v>138</v>
      </c>
      <c r="K3682" s="15" t="s">
        <v>47</v>
      </c>
      <c r="L3682" s="87"/>
      <c r="M3682" s="14"/>
      <c r="N3682" s="14" t="s">
        <v>49</v>
      </c>
      <c r="O3682" s="14"/>
      <c r="P3682" s="15" t="s">
        <v>4006</v>
      </c>
      <c r="Q3682" s="16">
        <v>18290</v>
      </c>
      <c r="R3682" s="17">
        <v>50</v>
      </c>
      <c r="S3682" s="18">
        <v>10516.75</v>
      </c>
      <c r="T3682" s="19" t="s">
        <v>328</v>
      </c>
      <c r="U3682" s="20" t="s">
        <v>426</v>
      </c>
      <c r="V3682" s="21">
        <v>38</v>
      </c>
      <c r="W3682" s="21">
        <v>6</v>
      </c>
      <c r="X3682" s="22"/>
    </row>
    <row r="3683" spans="1:24" s="1" customFormat="1" ht="17.100000000000001" customHeight="1" x14ac:dyDescent="0.3">
      <c r="A3683" s="23" t="s">
        <v>3183</v>
      </c>
      <c r="B3683" s="23" t="s">
        <v>3810</v>
      </c>
      <c r="C3683" s="12" t="s">
        <v>4004</v>
      </c>
      <c r="D3683" s="84"/>
      <c r="E3683" s="69" t="str">
        <f t="shared" si="168"/>
        <v>Еще фото</v>
      </c>
      <c r="F3683" s="13"/>
      <c r="G3683" s="23" t="s">
        <v>4005</v>
      </c>
      <c r="H3683" s="23" t="s">
        <v>151</v>
      </c>
      <c r="I3683" s="23" t="s">
        <v>424</v>
      </c>
      <c r="J3683" s="14" t="s">
        <v>138</v>
      </c>
      <c r="K3683" s="15" t="s">
        <v>47</v>
      </c>
      <c r="L3683" s="87"/>
      <c r="M3683" s="14"/>
      <c r="N3683" s="14" t="s">
        <v>49</v>
      </c>
      <c r="O3683" s="14"/>
      <c r="P3683" s="15" t="s">
        <v>4006</v>
      </c>
      <c r="Q3683" s="16">
        <v>18290</v>
      </c>
      <c r="R3683" s="17">
        <v>50</v>
      </c>
      <c r="S3683" s="18">
        <v>10516.75</v>
      </c>
      <c r="T3683" s="19" t="s">
        <v>328</v>
      </c>
      <c r="U3683" s="20" t="s">
        <v>413</v>
      </c>
      <c r="V3683" s="21">
        <v>39</v>
      </c>
      <c r="W3683" s="21">
        <v>6</v>
      </c>
      <c r="X3683" s="22"/>
    </row>
    <row r="3684" spans="1:24" s="1" customFormat="1" ht="17.100000000000001" customHeight="1" x14ac:dyDescent="0.3">
      <c r="A3684" s="23" t="s">
        <v>3183</v>
      </c>
      <c r="B3684" s="23" t="s">
        <v>3810</v>
      </c>
      <c r="C3684" s="12" t="s">
        <v>4004</v>
      </c>
      <c r="D3684" s="84"/>
      <c r="E3684" s="69" t="str">
        <f t="shared" si="168"/>
        <v>Еще фото</v>
      </c>
      <c r="F3684" s="13"/>
      <c r="G3684" s="23" t="s">
        <v>4005</v>
      </c>
      <c r="H3684" s="23" t="s">
        <v>151</v>
      </c>
      <c r="I3684" s="23" t="s">
        <v>424</v>
      </c>
      <c r="J3684" s="14" t="s">
        <v>138</v>
      </c>
      <c r="K3684" s="15" t="s">
        <v>47</v>
      </c>
      <c r="L3684" s="87"/>
      <c r="M3684" s="14"/>
      <c r="N3684" s="14" t="s">
        <v>49</v>
      </c>
      <c r="O3684" s="14"/>
      <c r="P3684" s="15" t="s">
        <v>4006</v>
      </c>
      <c r="Q3684" s="16">
        <v>18290</v>
      </c>
      <c r="R3684" s="17">
        <v>50</v>
      </c>
      <c r="S3684" s="18">
        <v>10516.75</v>
      </c>
      <c r="T3684" s="19" t="s">
        <v>328</v>
      </c>
      <c r="U3684" s="20" t="s">
        <v>399</v>
      </c>
      <c r="V3684" s="21">
        <v>40</v>
      </c>
      <c r="W3684" s="21">
        <v>4</v>
      </c>
      <c r="X3684" s="22"/>
    </row>
    <row r="3685" spans="1:24" s="1" customFormat="1" ht="21.95" customHeight="1" x14ac:dyDescent="0.3">
      <c r="A3685" s="23" t="s">
        <v>3183</v>
      </c>
      <c r="B3685" s="23" t="s">
        <v>3810</v>
      </c>
      <c r="C3685" s="12" t="s">
        <v>4004</v>
      </c>
      <c r="D3685" s="85"/>
      <c r="E3685" s="69" t="str">
        <f t="shared" si="168"/>
        <v>Еще фото</v>
      </c>
      <c r="F3685" s="13"/>
      <c r="G3685" s="23" t="s">
        <v>4005</v>
      </c>
      <c r="H3685" s="23" t="s">
        <v>151</v>
      </c>
      <c r="I3685" s="23" t="s">
        <v>424</v>
      </c>
      <c r="J3685" s="14" t="s">
        <v>138</v>
      </c>
      <c r="K3685" s="15" t="s">
        <v>47</v>
      </c>
      <c r="L3685" s="88"/>
      <c r="M3685" s="14"/>
      <c r="N3685" s="14" t="s">
        <v>49</v>
      </c>
      <c r="O3685" s="14"/>
      <c r="P3685" s="15" t="s">
        <v>4006</v>
      </c>
      <c r="Q3685" s="16">
        <v>18290</v>
      </c>
      <c r="R3685" s="17">
        <v>50</v>
      </c>
      <c r="S3685" s="18">
        <v>10516.75</v>
      </c>
      <c r="T3685" s="19" t="s">
        <v>328</v>
      </c>
      <c r="U3685" s="20" t="s">
        <v>400</v>
      </c>
      <c r="V3685" s="21">
        <v>41</v>
      </c>
      <c r="W3685" s="21">
        <v>2</v>
      </c>
      <c r="X3685" s="22"/>
    </row>
    <row r="3686" spans="1:24" s="1" customFormat="1" ht="51.95" customHeight="1" x14ac:dyDescent="0.3">
      <c r="A3686" s="11" t="s">
        <v>3183</v>
      </c>
      <c r="B3686" s="11" t="s">
        <v>3887</v>
      </c>
      <c r="C3686" s="12" t="s">
        <v>4007</v>
      </c>
      <c r="D3686" s="89"/>
      <c r="E3686" s="69" t="str">
        <f>HYPERLINK("https://www.google.ru/search?q=D670JB01402C1S5K&amp;newwindow=1&amp;tbm=isch","Еще фото")</f>
        <v>Еще фото</v>
      </c>
      <c r="F3686" s="13"/>
      <c r="G3686" s="11" t="s">
        <v>394</v>
      </c>
      <c r="H3686" s="11" t="s">
        <v>151</v>
      </c>
      <c r="I3686" s="14" t="s">
        <v>424</v>
      </c>
      <c r="J3686" s="14" t="s">
        <v>29</v>
      </c>
      <c r="K3686" s="15" t="s">
        <v>47</v>
      </c>
      <c r="L3686" s="86" t="s">
        <v>3889</v>
      </c>
      <c r="M3686" s="14"/>
      <c r="N3686" s="14" t="s">
        <v>326</v>
      </c>
      <c r="O3686" s="14"/>
      <c r="P3686" s="15" t="s">
        <v>3890</v>
      </c>
      <c r="Q3686" s="16">
        <v>14990</v>
      </c>
      <c r="R3686" s="17">
        <v>50</v>
      </c>
      <c r="S3686" s="18">
        <v>8619.25</v>
      </c>
      <c r="T3686" s="19" t="s">
        <v>328</v>
      </c>
      <c r="U3686" s="20" t="s">
        <v>413</v>
      </c>
      <c r="V3686" s="21">
        <v>39</v>
      </c>
      <c r="W3686" s="21">
        <v>9</v>
      </c>
      <c r="X3686" s="22"/>
    </row>
    <row r="3687" spans="1:24" s="1" customFormat="1" ht="60.95" customHeight="1" x14ac:dyDescent="0.3">
      <c r="A3687" s="23" t="s">
        <v>3183</v>
      </c>
      <c r="B3687" s="23" t="s">
        <v>3887</v>
      </c>
      <c r="C3687" s="12" t="s">
        <v>4007</v>
      </c>
      <c r="D3687" s="90"/>
      <c r="E3687" s="69" t="str">
        <f>HYPERLINK("https://www.google.ru/search?q=D670JB01402C1S5K&amp;newwindow=1&amp;tbm=isch","Еще фото")</f>
        <v>Еще фото</v>
      </c>
      <c r="F3687" s="13"/>
      <c r="G3687" s="23" t="s">
        <v>394</v>
      </c>
      <c r="H3687" s="23" t="s">
        <v>151</v>
      </c>
      <c r="I3687" s="23" t="s">
        <v>424</v>
      </c>
      <c r="J3687" s="14" t="s">
        <v>29</v>
      </c>
      <c r="K3687" s="15" t="s">
        <v>47</v>
      </c>
      <c r="L3687" s="88"/>
      <c r="M3687" s="14"/>
      <c r="N3687" s="14" t="s">
        <v>326</v>
      </c>
      <c r="O3687" s="14"/>
      <c r="P3687" s="15" t="s">
        <v>3890</v>
      </c>
      <c r="Q3687" s="16">
        <v>14990</v>
      </c>
      <c r="R3687" s="17">
        <v>50</v>
      </c>
      <c r="S3687" s="18">
        <v>8619.25</v>
      </c>
      <c r="T3687" s="19" t="s">
        <v>328</v>
      </c>
      <c r="U3687" s="20" t="s">
        <v>400</v>
      </c>
      <c r="V3687" s="21">
        <v>41</v>
      </c>
      <c r="W3687" s="21">
        <v>1</v>
      </c>
      <c r="X3687" s="22"/>
    </row>
    <row r="3688" spans="1:24" s="1" customFormat="1" ht="51.95" customHeight="1" x14ac:dyDescent="0.3">
      <c r="A3688" s="11" t="s">
        <v>3183</v>
      </c>
      <c r="B3688" s="11" t="s">
        <v>4008</v>
      </c>
      <c r="C3688" s="12" t="s">
        <v>4009</v>
      </c>
      <c r="D3688" s="89"/>
      <c r="E3688" s="69" t="str">
        <f>HYPERLINK("https://www.google.ru/search?q=J02DMA0006KC9999&amp;newwindow=1&amp;tbm=isch","Еще фото")</f>
        <v>Еще фото</v>
      </c>
      <c r="F3688" s="13"/>
      <c r="G3688" s="11" t="s">
        <v>394</v>
      </c>
      <c r="H3688" s="11" t="s">
        <v>151</v>
      </c>
      <c r="I3688" s="14" t="s">
        <v>424</v>
      </c>
      <c r="J3688" s="14" t="s">
        <v>29</v>
      </c>
      <c r="K3688" s="15" t="s">
        <v>30</v>
      </c>
      <c r="L3688" s="86" t="s">
        <v>4010</v>
      </c>
      <c r="M3688" s="14"/>
      <c r="N3688" s="14" t="s">
        <v>49</v>
      </c>
      <c r="O3688" s="14"/>
      <c r="P3688" s="15" t="s">
        <v>4011</v>
      </c>
      <c r="Q3688" s="16">
        <v>6599</v>
      </c>
      <c r="R3688" s="17">
        <v>50</v>
      </c>
      <c r="S3688" s="18">
        <v>3794.4249999999997</v>
      </c>
      <c r="T3688" s="19" t="s">
        <v>328</v>
      </c>
      <c r="U3688" s="20" t="s">
        <v>3189</v>
      </c>
      <c r="V3688" s="21">
        <v>30</v>
      </c>
      <c r="W3688" s="21">
        <v>4</v>
      </c>
      <c r="X3688" s="22"/>
    </row>
    <row r="3689" spans="1:24" s="1" customFormat="1" ht="60.95" customHeight="1" x14ac:dyDescent="0.3">
      <c r="A3689" s="23" t="s">
        <v>3183</v>
      </c>
      <c r="B3689" s="23" t="s">
        <v>4008</v>
      </c>
      <c r="C3689" s="12" t="s">
        <v>4009</v>
      </c>
      <c r="D3689" s="90"/>
      <c r="E3689" s="69" t="str">
        <f>HYPERLINK("https://www.google.ru/search?q=J02DMA0006KC9999&amp;newwindow=1&amp;tbm=isch","Еще фото")</f>
        <v>Еще фото</v>
      </c>
      <c r="F3689" s="13"/>
      <c r="G3689" s="23" t="s">
        <v>394</v>
      </c>
      <c r="H3689" s="23" t="s">
        <v>151</v>
      </c>
      <c r="I3689" s="23" t="s">
        <v>424</v>
      </c>
      <c r="J3689" s="14" t="s">
        <v>29</v>
      </c>
      <c r="K3689" s="15" t="s">
        <v>30</v>
      </c>
      <c r="L3689" s="88"/>
      <c r="M3689" s="14"/>
      <c r="N3689" s="14" t="s">
        <v>49</v>
      </c>
      <c r="O3689" s="14"/>
      <c r="P3689" s="15" t="s">
        <v>4011</v>
      </c>
      <c r="Q3689" s="16">
        <v>6599</v>
      </c>
      <c r="R3689" s="17">
        <v>50</v>
      </c>
      <c r="S3689" s="18">
        <v>3794.4249999999997</v>
      </c>
      <c r="T3689" s="19" t="s">
        <v>328</v>
      </c>
      <c r="U3689" s="20" t="s">
        <v>3190</v>
      </c>
      <c r="V3689" s="21">
        <v>31</v>
      </c>
      <c r="W3689" s="21">
        <v>1</v>
      </c>
      <c r="X3689" s="22"/>
    </row>
    <row r="3690" spans="1:24" s="1" customFormat="1" ht="11.1" customHeight="1" x14ac:dyDescent="0.3">
      <c r="A3690" s="11" t="s">
        <v>3183</v>
      </c>
      <c r="B3690" s="11" t="s">
        <v>3191</v>
      </c>
      <c r="C3690" s="12" t="s">
        <v>4012</v>
      </c>
      <c r="D3690" s="83"/>
      <c r="E3690" s="69" t="str">
        <f t="shared" ref="E3690:E3700" si="169">HYPERLINK("https://www.google.ru/search?q=J0420C000HHC9999&amp;newwindow=1&amp;tbm=isch","Еще фото")</f>
        <v>Еще фото</v>
      </c>
      <c r="F3690" s="13"/>
      <c r="G3690" s="11" t="s">
        <v>3763</v>
      </c>
      <c r="H3690" s="11" t="s">
        <v>151</v>
      </c>
      <c r="I3690" s="14" t="s">
        <v>424</v>
      </c>
      <c r="J3690" s="14" t="s">
        <v>138</v>
      </c>
      <c r="K3690" s="15" t="s">
        <v>30</v>
      </c>
      <c r="L3690" s="86" t="s">
        <v>4013</v>
      </c>
      <c r="M3690" s="14"/>
      <c r="N3690" s="14" t="s">
        <v>3661</v>
      </c>
      <c r="O3690" s="14"/>
      <c r="P3690" s="15" t="s">
        <v>4014</v>
      </c>
      <c r="Q3690" s="16">
        <v>12390</v>
      </c>
      <c r="R3690" s="17">
        <v>50</v>
      </c>
      <c r="S3690" s="18">
        <v>7124.2499999999991</v>
      </c>
      <c r="T3690" s="19" t="s">
        <v>328</v>
      </c>
      <c r="U3690" s="20" t="s">
        <v>3189</v>
      </c>
      <c r="V3690" s="21">
        <v>30</v>
      </c>
      <c r="W3690" s="21">
        <v>6</v>
      </c>
      <c r="X3690" s="22"/>
    </row>
    <row r="3691" spans="1:24" s="1" customFormat="1" ht="11.1" customHeight="1" x14ac:dyDescent="0.3">
      <c r="A3691" s="23" t="s">
        <v>3183</v>
      </c>
      <c r="B3691" s="23" t="s">
        <v>3191</v>
      </c>
      <c r="C3691" s="12" t="s">
        <v>4012</v>
      </c>
      <c r="D3691" s="84"/>
      <c r="E3691" s="69" t="str">
        <f t="shared" si="169"/>
        <v>Еще фото</v>
      </c>
      <c r="F3691" s="13"/>
      <c r="G3691" s="23" t="s">
        <v>3763</v>
      </c>
      <c r="H3691" s="23" t="s">
        <v>151</v>
      </c>
      <c r="I3691" s="23" t="s">
        <v>424</v>
      </c>
      <c r="J3691" s="14" t="s">
        <v>138</v>
      </c>
      <c r="K3691" s="15" t="s">
        <v>30</v>
      </c>
      <c r="L3691" s="87"/>
      <c r="M3691" s="14"/>
      <c r="N3691" s="14" t="s">
        <v>3661</v>
      </c>
      <c r="O3691" s="14"/>
      <c r="P3691" s="15" t="s">
        <v>4014</v>
      </c>
      <c r="Q3691" s="16">
        <v>12390</v>
      </c>
      <c r="R3691" s="17">
        <v>50</v>
      </c>
      <c r="S3691" s="18">
        <v>7124.2499999999991</v>
      </c>
      <c r="T3691" s="19" t="s">
        <v>328</v>
      </c>
      <c r="U3691" s="20" t="s">
        <v>3190</v>
      </c>
      <c r="V3691" s="21">
        <v>31</v>
      </c>
      <c r="W3691" s="21">
        <v>6</v>
      </c>
      <c r="X3691" s="22"/>
    </row>
    <row r="3692" spans="1:24" s="1" customFormat="1" ht="11.1" customHeight="1" x14ac:dyDescent="0.3">
      <c r="A3692" s="23" t="s">
        <v>3183</v>
      </c>
      <c r="B3692" s="23" t="s">
        <v>3191</v>
      </c>
      <c r="C3692" s="12" t="s">
        <v>4012</v>
      </c>
      <c r="D3692" s="84"/>
      <c r="E3692" s="69" t="str">
        <f t="shared" si="169"/>
        <v>Еще фото</v>
      </c>
      <c r="F3692" s="13"/>
      <c r="G3692" s="23" t="s">
        <v>3763</v>
      </c>
      <c r="H3692" s="23" t="s">
        <v>151</v>
      </c>
      <c r="I3692" s="23" t="s">
        <v>424</v>
      </c>
      <c r="J3692" s="14" t="s">
        <v>138</v>
      </c>
      <c r="K3692" s="15" t="s">
        <v>30</v>
      </c>
      <c r="L3692" s="87"/>
      <c r="M3692" s="14"/>
      <c r="N3692" s="14" t="s">
        <v>3661</v>
      </c>
      <c r="O3692" s="14"/>
      <c r="P3692" s="15" t="s">
        <v>4014</v>
      </c>
      <c r="Q3692" s="16">
        <v>12390</v>
      </c>
      <c r="R3692" s="17">
        <v>50</v>
      </c>
      <c r="S3692" s="18">
        <v>7124.2499999999991</v>
      </c>
      <c r="T3692" s="19" t="s">
        <v>328</v>
      </c>
      <c r="U3692" s="20" t="s">
        <v>552</v>
      </c>
      <c r="V3692" s="21">
        <v>32</v>
      </c>
      <c r="W3692" s="21">
        <v>13</v>
      </c>
      <c r="X3692" s="22"/>
    </row>
    <row r="3693" spans="1:24" s="1" customFormat="1" ht="11.1" customHeight="1" x14ac:dyDescent="0.3">
      <c r="A3693" s="23" t="s">
        <v>3183</v>
      </c>
      <c r="B3693" s="23" t="s">
        <v>3191</v>
      </c>
      <c r="C3693" s="12" t="s">
        <v>4012</v>
      </c>
      <c r="D3693" s="84"/>
      <c r="E3693" s="69" t="str">
        <f t="shared" si="169"/>
        <v>Еще фото</v>
      </c>
      <c r="F3693" s="13"/>
      <c r="G3693" s="23" t="s">
        <v>3763</v>
      </c>
      <c r="H3693" s="23" t="s">
        <v>151</v>
      </c>
      <c r="I3693" s="23" t="s">
        <v>424</v>
      </c>
      <c r="J3693" s="14" t="s">
        <v>138</v>
      </c>
      <c r="K3693" s="15" t="s">
        <v>30</v>
      </c>
      <c r="L3693" s="87"/>
      <c r="M3693" s="14"/>
      <c r="N3693" s="14" t="s">
        <v>3661</v>
      </c>
      <c r="O3693" s="14"/>
      <c r="P3693" s="15" t="s">
        <v>4014</v>
      </c>
      <c r="Q3693" s="16">
        <v>12390</v>
      </c>
      <c r="R3693" s="17">
        <v>50</v>
      </c>
      <c r="S3693" s="18">
        <v>7124.2499999999991</v>
      </c>
      <c r="T3693" s="19" t="s">
        <v>328</v>
      </c>
      <c r="U3693" s="20" t="s">
        <v>553</v>
      </c>
      <c r="V3693" s="21">
        <v>33</v>
      </c>
      <c r="W3693" s="21">
        <v>19</v>
      </c>
      <c r="X3693" s="22"/>
    </row>
    <row r="3694" spans="1:24" s="1" customFormat="1" ht="11.1" customHeight="1" x14ac:dyDescent="0.3">
      <c r="A3694" s="23" t="s">
        <v>3183</v>
      </c>
      <c r="B3694" s="23" t="s">
        <v>3191</v>
      </c>
      <c r="C3694" s="12" t="s">
        <v>4012</v>
      </c>
      <c r="D3694" s="84"/>
      <c r="E3694" s="69" t="str">
        <f t="shared" si="169"/>
        <v>Еще фото</v>
      </c>
      <c r="F3694" s="13"/>
      <c r="G3694" s="23" t="s">
        <v>3763</v>
      </c>
      <c r="H3694" s="23" t="s">
        <v>151</v>
      </c>
      <c r="I3694" s="23" t="s">
        <v>424</v>
      </c>
      <c r="J3694" s="14" t="s">
        <v>138</v>
      </c>
      <c r="K3694" s="15" t="s">
        <v>30</v>
      </c>
      <c r="L3694" s="87"/>
      <c r="M3694" s="14"/>
      <c r="N3694" s="14" t="s">
        <v>3661</v>
      </c>
      <c r="O3694" s="14"/>
      <c r="P3694" s="15" t="s">
        <v>4014</v>
      </c>
      <c r="Q3694" s="16">
        <v>12390</v>
      </c>
      <c r="R3694" s="17">
        <v>50</v>
      </c>
      <c r="S3694" s="18">
        <v>7124.2499999999991</v>
      </c>
      <c r="T3694" s="19" t="s">
        <v>328</v>
      </c>
      <c r="U3694" s="20" t="s">
        <v>554</v>
      </c>
      <c r="V3694" s="21">
        <v>34</v>
      </c>
      <c r="W3694" s="21">
        <v>20</v>
      </c>
      <c r="X3694" s="22"/>
    </row>
    <row r="3695" spans="1:24" s="1" customFormat="1" ht="11.1" customHeight="1" x14ac:dyDescent="0.3">
      <c r="A3695" s="23" t="s">
        <v>3183</v>
      </c>
      <c r="B3695" s="23" t="s">
        <v>3191</v>
      </c>
      <c r="C3695" s="12" t="s">
        <v>4012</v>
      </c>
      <c r="D3695" s="84"/>
      <c r="E3695" s="69" t="str">
        <f t="shared" si="169"/>
        <v>Еще фото</v>
      </c>
      <c r="F3695" s="13"/>
      <c r="G3695" s="23" t="s">
        <v>3763</v>
      </c>
      <c r="H3695" s="23" t="s">
        <v>151</v>
      </c>
      <c r="I3695" s="23" t="s">
        <v>424</v>
      </c>
      <c r="J3695" s="14" t="s">
        <v>138</v>
      </c>
      <c r="K3695" s="15" t="s">
        <v>30</v>
      </c>
      <c r="L3695" s="87"/>
      <c r="M3695" s="14"/>
      <c r="N3695" s="14" t="s">
        <v>3661</v>
      </c>
      <c r="O3695" s="14"/>
      <c r="P3695" s="15" t="s">
        <v>4014</v>
      </c>
      <c r="Q3695" s="16">
        <v>12390</v>
      </c>
      <c r="R3695" s="17">
        <v>50</v>
      </c>
      <c r="S3695" s="18">
        <v>7124.2499999999991</v>
      </c>
      <c r="T3695" s="19" t="s">
        <v>328</v>
      </c>
      <c r="U3695" s="20" t="s">
        <v>431</v>
      </c>
      <c r="V3695" s="21">
        <v>35</v>
      </c>
      <c r="W3695" s="21">
        <v>19</v>
      </c>
      <c r="X3695" s="22"/>
    </row>
    <row r="3696" spans="1:24" s="1" customFormat="1" ht="11.1" customHeight="1" x14ac:dyDescent="0.3">
      <c r="A3696" s="23" t="s">
        <v>3183</v>
      </c>
      <c r="B3696" s="23" t="s">
        <v>3191</v>
      </c>
      <c r="C3696" s="12" t="s">
        <v>4012</v>
      </c>
      <c r="D3696" s="84"/>
      <c r="E3696" s="69" t="str">
        <f t="shared" si="169"/>
        <v>Еще фото</v>
      </c>
      <c r="F3696" s="13"/>
      <c r="G3696" s="23" t="s">
        <v>3763</v>
      </c>
      <c r="H3696" s="23" t="s">
        <v>151</v>
      </c>
      <c r="I3696" s="23" t="s">
        <v>424</v>
      </c>
      <c r="J3696" s="14" t="s">
        <v>138</v>
      </c>
      <c r="K3696" s="15" t="s">
        <v>30</v>
      </c>
      <c r="L3696" s="87"/>
      <c r="M3696" s="14"/>
      <c r="N3696" s="14" t="s">
        <v>3661</v>
      </c>
      <c r="O3696" s="14"/>
      <c r="P3696" s="15" t="s">
        <v>4014</v>
      </c>
      <c r="Q3696" s="16">
        <v>12390</v>
      </c>
      <c r="R3696" s="17">
        <v>50</v>
      </c>
      <c r="S3696" s="18">
        <v>7124.2499999999991</v>
      </c>
      <c r="T3696" s="19" t="s">
        <v>328</v>
      </c>
      <c r="U3696" s="20" t="s">
        <v>1503</v>
      </c>
      <c r="V3696" s="21">
        <v>36</v>
      </c>
      <c r="W3696" s="21">
        <v>17</v>
      </c>
      <c r="X3696" s="22"/>
    </row>
    <row r="3697" spans="1:24" s="1" customFormat="1" ht="11.1" customHeight="1" x14ac:dyDescent="0.3">
      <c r="A3697" s="23" t="s">
        <v>3183</v>
      </c>
      <c r="B3697" s="23" t="s">
        <v>3191</v>
      </c>
      <c r="C3697" s="12" t="s">
        <v>4012</v>
      </c>
      <c r="D3697" s="84"/>
      <c r="E3697" s="69" t="str">
        <f t="shared" si="169"/>
        <v>Еще фото</v>
      </c>
      <c r="F3697" s="13"/>
      <c r="G3697" s="23" t="s">
        <v>3763</v>
      </c>
      <c r="H3697" s="23" t="s">
        <v>151</v>
      </c>
      <c r="I3697" s="23" t="s">
        <v>424</v>
      </c>
      <c r="J3697" s="14" t="s">
        <v>138</v>
      </c>
      <c r="K3697" s="15" t="s">
        <v>30</v>
      </c>
      <c r="L3697" s="87"/>
      <c r="M3697" s="14"/>
      <c r="N3697" s="14" t="s">
        <v>3661</v>
      </c>
      <c r="O3697" s="14"/>
      <c r="P3697" s="15" t="s">
        <v>4014</v>
      </c>
      <c r="Q3697" s="16">
        <v>12390</v>
      </c>
      <c r="R3697" s="17">
        <v>50</v>
      </c>
      <c r="S3697" s="18">
        <v>7124.2499999999991</v>
      </c>
      <c r="T3697" s="19" t="s">
        <v>328</v>
      </c>
      <c r="U3697" s="20" t="s">
        <v>409</v>
      </c>
      <c r="V3697" s="21">
        <v>37</v>
      </c>
      <c r="W3697" s="21">
        <v>11</v>
      </c>
      <c r="X3697" s="22"/>
    </row>
    <row r="3698" spans="1:24" s="1" customFormat="1" ht="11.1" customHeight="1" x14ac:dyDescent="0.3">
      <c r="A3698" s="23" t="s">
        <v>3183</v>
      </c>
      <c r="B3698" s="23" t="s">
        <v>3191</v>
      </c>
      <c r="C3698" s="12" t="s">
        <v>4012</v>
      </c>
      <c r="D3698" s="84"/>
      <c r="E3698" s="69" t="str">
        <f t="shared" si="169"/>
        <v>Еще фото</v>
      </c>
      <c r="F3698" s="13"/>
      <c r="G3698" s="23" t="s">
        <v>3763</v>
      </c>
      <c r="H3698" s="23" t="s">
        <v>151</v>
      </c>
      <c r="I3698" s="23" t="s">
        <v>424</v>
      </c>
      <c r="J3698" s="14" t="s">
        <v>138</v>
      </c>
      <c r="K3698" s="15" t="s">
        <v>30</v>
      </c>
      <c r="L3698" s="87"/>
      <c r="M3698" s="14"/>
      <c r="N3698" s="14" t="s">
        <v>3661</v>
      </c>
      <c r="O3698" s="14"/>
      <c r="P3698" s="15" t="s">
        <v>4014</v>
      </c>
      <c r="Q3698" s="16">
        <v>12390</v>
      </c>
      <c r="R3698" s="17">
        <v>50</v>
      </c>
      <c r="S3698" s="18">
        <v>7124.2499999999991</v>
      </c>
      <c r="T3698" s="19" t="s">
        <v>328</v>
      </c>
      <c r="U3698" s="20" t="s">
        <v>426</v>
      </c>
      <c r="V3698" s="21">
        <v>38</v>
      </c>
      <c r="W3698" s="21">
        <v>10</v>
      </c>
      <c r="X3698" s="22"/>
    </row>
    <row r="3699" spans="1:24" s="1" customFormat="1" ht="11.1" customHeight="1" x14ac:dyDescent="0.3">
      <c r="A3699" s="14" t="s">
        <v>3183</v>
      </c>
      <c r="B3699" s="14" t="s">
        <v>3191</v>
      </c>
      <c r="C3699" s="12" t="s">
        <v>4012</v>
      </c>
      <c r="D3699" s="84"/>
      <c r="E3699" s="69" t="str">
        <f t="shared" si="169"/>
        <v>Еще фото</v>
      </c>
      <c r="F3699" s="36"/>
      <c r="G3699" s="14" t="s">
        <v>3763</v>
      </c>
      <c r="H3699" s="14" t="s">
        <v>151</v>
      </c>
      <c r="I3699" s="14" t="s">
        <v>424</v>
      </c>
      <c r="J3699" s="14" t="s">
        <v>138</v>
      </c>
      <c r="K3699" s="14" t="s">
        <v>30</v>
      </c>
      <c r="L3699" s="87"/>
      <c r="M3699" s="14"/>
      <c r="N3699" s="14" t="s">
        <v>3661</v>
      </c>
      <c r="O3699" s="14"/>
      <c r="P3699" s="14" t="s">
        <v>4014</v>
      </c>
      <c r="Q3699" s="33">
        <v>12390</v>
      </c>
      <c r="R3699" s="34">
        <v>50</v>
      </c>
      <c r="S3699" s="35">
        <v>7124.2499999999991</v>
      </c>
      <c r="T3699" s="19" t="s">
        <v>328</v>
      </c>
      <c r="U3699" s="20" t="s">
        <v>413</v>
      </c>
      <c r="V3699" s="21">
        <v>39</v>
      </c>
      <c r="W3699" s="21">
        <v>9</v>
      </c>
      <c r="X3699" s="22"/>
    </row>
    <row r="3700" spans="1:24" s="1" customFormat="1" ht="11.1" customHeight="1" x14ac:dyDescent="0.3">
      <c r="A3700" s="14" t="s">
        <v>3183</v>
      </c>
      <c r="B3700" s="14" t="s">
        <v>3191</v>
      </c>
      <c r="C3700" s="12" t="s">
        <v>4012</v>
      </c>
      <c r="D3700" s="85"/>
      <c r="E3700" s="69" t="str">
        <f t="shared" si="169"/>
        <v>Еще фото</v>
      </c>
      <c r="F3700" s="36"/>
      <c r="G3700" s="14" t="s">
        <v>3763</v>
      </c>
      <c r="H3700" s="14" t="s">
        <v>151</v>
      </c>
      <c r="I3700" s="14" t="s">
        <v>424</v>
      </c>
      <c r="J3700" s="14" t="s">
        <v>138</v>
      </c>
      <c r="K3700" s="14" t="s">
        <v>30</v>
      </c>
      <c r="L3700" s="88"/>
      <c r="M3700" s="14"/>
      <c r="N3700" s="14" t="s">
        <v>3661</v>
      </c>
      <c r="O3700" s="14"/>
      <c r="P3700" s="14" t="s">
        <v>4014</v>
      </c>
      <c r="Q3700" s="33">
        <v>12390</v>
      </c>
      <c r="R3700" s="34">
        <v>50</v>
      </c>
      <c r="S3700" s="35">
        <v>7124.2499999999991</v>
      </c>
      <c r="T3700" s="19" t="s">
        <v>328</v>
      </c>
      <c r="U3700" s="20" t="s">
        <v>399</v>
      </c>
      <c r="V3700" s="21">
        <v>40</v>
      </c>
      <c r="W3700" s="21">
        <v>2</v>
      </c>
      <c r="X3700" s="22"/>
    </row>
    <row r="3701" spans="1:24" s="1" customFormat="1" ht="21" customHeight="1" x14ac:dyDescent="0.3">
      <c r="A3701" s="11" t="s">
        <v>3183</v>
      </c>
      <c r="B3701" s="11" t="s">
        <v>4015</v>
      </c>
      <c r="C3701" s="27" t="s">
        <v>4016</v>
      </c>
      <c r="D3701" s="83"/>
      <c r="E3701" s="69" t="str">
        <f>HYPERLINK("https://www.google.ru/search?q=J04D1C00043C9999&amp;newwindow=1&amp;tbm=isch","Еще фото")</f>
        <v>Еще фото</v>
      </c>
      <c r="F3701" s="13"/>
      <c r="G3701" s="11" t="s">
        <v>150</v>
      </c>
      <c r="H3701" s="11" t="s">
        <v>151</v>
      </c>
      <c r="I3701" s="14" t="s">
        <v>424</v>
      </c>
      <c r="J3701" s="14" t="s">
        <v>138</v>
      </c>
      <c r="K3701" s="15" t="s">
        <v>30</v>
      </c>
      <c r="L3701" s="86"/>
      <c r="M3701" s="14"/>
      <c r="N3701" s="14" t="s">
        <v>49</v>
      </c>
      <c r="O3701" s="14"/>
      <c r="P3701" s="15" t="s">
        <v>4017</v>
      </c>
      <c r="Q3701" s="16">
        <v>9990</v>
      </c>
      <c r="R3701" s="17">
        <v>50</v>
      </c>
      <c r="S3701" s="18">
        <v>5744.25</v>
      </c>
      <c r="T3701" s="19" t="s">
        <v>328</v>
      </c>
      <c r="U3701" s="20" t="s">
        <v>552</v>
      </c>
      <c r="V3701" s="21">
        <v>32</v>
      </c>
      <c r="W3701" s="21">
        <v>6</v>
      </c>
      <c r="X3701" s="22"/>
    </row>
    <row r="3702" spans="1:24" s="1" customFormat="1" ht="21" customHeight="1" x14ac:dyDescent="0.3">
      <c r="A3702" s="23" t="s">
        <v>3183</v>
      </c>
      <c r="B3702" s="23" t="s">
        <v>4015</v>
      </c>
      <c r="C3702" s="28" t="s">
        <v>4016</v>
      </c>
      <c r="D3702" s="84"/>
      <c r="E3702" s="69" t="str">
        <f>HYPERLINK("https://www.google.ru/search?q=J04D1C00043C9999&amp;newwindow=1&amp;tbm=isch","Еще фото")</f>
        <v>Еще фото</v>
      </c>
      <c r="F3702" s="13"/>
      <c r="G3702" s="23" t="s">
        <v>150</v>
      </c>
      <c r="H3702" s="23" t="s">
        <v>151</v>
      </c>
      <c r="I3702" s="23" t="s">
        <v>424</v>
      </c>
      <c r="J3702" s="14" t="s">
        <v>138</v>
      </c>
      <c r="K3702" s="15" t="s">
        <v>30</v>
      </c>
      <c r="L3702" s="87"/>
      <c r="M3702" s="14"/>
      <c r="N3702" s="14" t="s">
        <v>49</v>
      </c>
      <c r="O3702" s="14"/>
      <c r="P3702" s="15" t="s">
        <v>4017</v>
      </c>
      <c r="Q3702" s="16">
        <v>9990</v>
      </c>
      <c r="R3702" s="17">
        <v>50</v>
      </c>
      <c r="S3702" s="18">
        <v>5744.25</v>
      </c>
      <c r="T3702" s="19" t="s">
        <v>328</v>
      </c>
      <c r="U3702" s="20" t="s">
        <v>553</v>
      </c>
      <c r="V3702" s="21">
        <v>33</v>
      </c>
      <c r="W3702" s="21">
        <v>4</v>
      </c>
      <c r="X3702" s="22"/>
    </row>
    <row r="3703" spans="1:24" s="1" customFormat="1" ht="21" customHeight="1" x14ac:dyDescent="0.3">
      <c r="A3703" s="23" t="s">
        <v>3183</v>
      </c>
      <c r="B3703" s="23" t="s">
        <v>4015</v>
      </c>
      <c r="C3703" s="28" t="s">
        <v>4016</v>
      </c>
      <c r="D3703" s="84"/>
      <c r="E3703" s="69" t="str">
        <f>HYPERLINK("https://www.google.ru/search?q=J04D1C00043C9999&amp;newwindow=1&amp;tbm=isch","Еще фото")</f>
        <v>Еще фото</v>
      </c>
      <c r="F3703" s="13"/>
      <c r="G3703" s="23" t="s">
        <v>150</v>
      </c>
      <c r="H3703" s="23" t="s">
        <v>151</v>
      </c>
      <c r="I3703" s="23" t="s">
        <v>424</v>
      </c>
      <c r="J3703" s="14" t="s">
        <v>138</v>
      </c>
      <c r="K3703" s="15" t="s">
        <v>30</v>
      </c>
      <c r="L3703" s="87"/>
      <c r="M3703" s="14"/>
      <c r="N3703" s="14" t="s">
        <v>49</v>
      </c>
      <c r="O3703" s="14"/>
      <c r="P3703" s="15" t="s">
        <v>4017</v>
      </c>
      <c r="Q3703" s="16">
        <v>9990</v>
      </c>
      <c r="R3703" s="17">
        <v>50</v>
      </c>
      <c r="S3703" s="18">
        <v>5744.25</v>
      </c>
      <c r="T3703" s="19" t="s">
        <v>328</v>
      </c>
      <c r="U3703" s="20" t="s">
        <v>554</v>
      </c>
      <c r="V3703" s="21">
        <v>34</v>
      </c>
      <c r="W3703" s="21">
        <v>3</v>
      </c>
      <c r="X3703" s="22"/>
    </row>
    <row r="3704" spans="1:24" s="1" customFormat="1" ht="21" customHeight="1" x14ac:dyDescent="0.3">
      <c r="A3704" s="23" t="s">
        <v>3183</v>
      </c>
      <c r="B3704" s="23" t="s">
        <v>4015</v>
      </c>
      <c r="C3704" s="28" t="s">
        <v>4016</v>
      </c>
      <c r="D3704" s="84"/>
      <c r="E3704" s="69" t="str">
        <f>HYPERLINK("https://www.google.ru/search?q=J04D1C00043C9999&amp;newwindow=1&amp;tbm=isch","Еще фото")</f>
        <v>Еще фото</v>
      </c>
      <c r="F3704" s="13"/>
      <c r="G3704" s="23" t="s">
        <v>150</v>
      </c>
      <c r="H3704" s="23" t="s">
        <v>151</v>
      </c>
      <c r="I3704" s="23" t="s">
        <v>424</v>
      </c>
      <c r="J3704" s="14" t="s">
        <v>138</v>
      </c>
      <c r="K3704" s="15" t="s">
        <v>30</v>
      </c>
      <c r="L3704" s="87"/>
      <c r="M3704" s="14"/>
      <c r="N3704" s="14" t="s">
        <v>49</v>
      </c>
      <c r="O3704" s="14"/>
      <c r="P3704" s="15" t="s">
        <v>4017</v>
      </c>
      <c r="Q3704" s="16">
        <v>9990</v>
      </c>
      <c r="R3704" s="17">
        <v>50</v>
      </c>
      <c r="S3704" s="18">
        <v>5744.25</v>
      </c>
      <c r="T3704" s="19" t="s">
        <v>328</v>
      </c>
      <c r="U3704" s="20" t="s">
        <v>1503</v>
      </c>
      <c r="V3704" s="21">
        <v>36</v>
      </c>
      <c r="W3704" s="21">
        <v>1</v>
      </c>
      <c r="X3704" s="22"/>
    </row>
    <row r="3705" spans="1:24" s="1" customFormat="1" ht="32.1" customHeight="1" x14ac:dyDescent="0.3">
      <c r="A3705" s="23" t="s">
        <v>3183</v>
      </c>
      <c r="B3705" s="23" t="s">
        <v>4015</v>
      </c>
      <c r="C3705" s="28" t="s">
        <v>4016</v>
      </c>
      <c r="D3705" s="85"/>
      <c r="E3705" s="69" t="str">
        <f>HYPERLINK("https://www.google.ru/search?q=J04D1C00043C9999&amp;newwindow=1&amp;tbm=isch","Еще фото")</f>
        <v>Еще фото</v>
      </c>
      <c r="F3705" s="13"/>
      <c r="G3705" s="23" t="s">
        <v>150</v>
      </c>
      <c r="H3705" s="23" t="s">
        <v>151</v>
      </c>
      <c r="I3705" s="23" t="s">
        <v>424</v>
      </c>
      <c r="J3705" s="14" t="s">
        <v>138</v>
      </c>
      <c r="K3705" s="15" t="s">
        <v>30</v>
      </c>
      <c r="L3705" s="88"/>
      <c r="M3705" s="14"/>
      <c r="N3705" s="14" t="s">
        <v>49</v>
      </c>
      <c r="O3705" s="14"/>
      <c r="P3705" s="15" t="s">
        <v>4017</v>
      </c>
      <c r="Q3705" s="16">
        <v>9990</v>
      </c>
      <c r="R3705" s="17">
        <v>50</v>
      </c>
      <c r="S3705" s="18">
        <v>5744.25</v>
      </c>
      <c r="T3705" s="19" t="s">
        <v>328</v>
      </c>
      <c r="U3705" s="20" t="s">
        <v>409</v>
      </c>
      <c r="V3705" s="21">
        <v>37</v>
      </c>
      <c r="W3705" s="21">
        <v>6</v>
      </c>
      <c r="X3705" s="22"/>
    </row>
    <row r="3706" spans="1:24" s="1" customFormat="1" ht="108" customHeight="1" x14ac:dyDescent="0.3">
      <c r="A3706" s="11" t="s">
        <v>3183</v>
      </c>
      <c r="B3706" s="11" t="s">
        <v>4018</v>
      </c>
      <c r="C3706" s="12" t="s">
        <v>4019</v>
      </c>
      <c r="D3706" s="24"/>
      <c r="E3706" s="69" t="str">
        <f>HYPERLINK("https://www.google.ru/search?q=J367RE054FUC3009&amp;newwindow=1&amp;tbm=isch","Еще фото")</f>
        <v>Еще фото</v>
      </c>
      <c r="F3706" s="13"/>
      <c r="G3706" s="11" t="s">
        <v>394</v>
      </c>
      <c r="H3706" s="11" t="s">
        <v>151</v>
      </c>
      <c r="I3706" s="14" t="s">
        <v>424</v>
      </c>
      <c r="J3706" s="14" t="s">
        <v>29</v>
      </c>
      <c r="K3706" s="15" t="s">
        <v>30</v>
      </c>
      <c r="L3706" s="14" t="s">
        <v>4020</v>
      </c>
      <c r="M3706" s="14"/>
      <c r="N3706" s="14" t="s">
        <v>242</v>
      </c>
      <c r="O3706" s="14"/>
      <c r="P3706" s="15" t="s">
        <v>4021</v>
      </c>
      <c r="Q3706" s="16">
        <v>7699</v>
      </c>
      <c r="R3706" s="17">
        <v>50</v>
      </c>
      <c r="S3706" s="18">
        <v>4426.9249999999993</v>
      </c>
      <c r="T3706" s="19" t="s">
        <v>328</v>
      </c>
      <c r="U3706" s="20" t="s">
        <v>3190</v>
      </c>
      <c r="V3706" s="21">
        <v>31</v>
      </c>
      <c r="W3706" s="21">
        <v>2</v>
      </c>
      <c r="X3706" s="22"/>
    </row>
    <row r="3707" spans="1:24" s="1" customFormat="1" ht="108" customHeight="1" x14ac:dyDescent="0.3">
      <c r="A3707" s="11" t="s">
        <v>3183</v>
      </c>
      <c r="B3707" s="11" t="s">
        <v>4022</v>
      </c>
      <c r="C3707" s="12" t="s">
        <v>4023</v>
      </c>
      <c r="D3707" s="24"/>
      <c r="E3707" s="69" t="str">
        <f>HYPERLINK("https://www.google.ru/search?q=J367RF0FE8VC9999&amp;newwindow=1&amp;tbm=isch","Еще фото")</f>
        <v>Еще фото</v>
      </c>
      <c r="F3707" s="13"/>
      <c r="G3707" s="11" t="s">
        <v>394</v>
      </c>
      <c r="H3707" s="11" t="s">
        <v>151</v>
      </c>
      <c r="I3707" s="14" t="s">
        <v>424</v>
      </c>
      <c r="J3707" s="14" t="s">
        <v>29</v>
      </c>
      <c r="K3707" s="15" t="s">
        <v>30</v>
      </c>
      <c r="L3707" s="14" t="s">
        <v>4024</v>
      </c>
      <c r="M3707" s="14"/>
      <c r="N3707" s="14" t="s">
        <v>3661</v>
      </c>
      <c r="O3707" s="14"/>
      <c r="P3707" s="15" t="s">
        <v>4025</v>
      </c>
      <c r="Q3707" s="16">
        <v>9490</v>
      </c>
      <c r="R3707" s="17">
        <v>50</v>
      </c>
      <c r="S3707" s="18">
        <v>5456.75</v>
      </c>
      <c r="T3707" s="19" t="s">
        <v>328</v>
      </c>
      <c r="U3707" s="20" t="s">
        <v>553</v>
      </c>
      <c r="V3707" s="21">
        <v>33</v>
      </c>
      <c r="W3707" s="21">
        <v>1</v>
      </c>
      <c r="X3707" s="22"/>
    </row>
    <row r="3708" spans="1:24" s="1" customFormat="1" ht="14.1" customHeight="1" x14ac:dyDescent="0.3">
      <c r="A3708" s="11" t="s">
        <v>3183</v>
      </c>
      <c r="B3708" s="11" t="s">
        <v>4026</v>
      </c>
      <c r="C3708" s="12" t="s">
        <v>4027</v>
      </c>
      <c r="D3708" s="83"/>
      <c r="E3708" s="69" t="str">
        <f t="shared" ref="E3708:E3714" si="170">HYPERLINK("https://www.google.ru/search?q=J4449A00043C9999&amp;newwindow=1&amp;tbm=isch","Еще фото")</f>
        <v>Еще фото</v>
      </c>
      <c r="F3708" s="13"/>
      <c r="G3708" s="11" t="s">
        <v>4005</v>
      </c>
      <c r="H3708" s="11" t="s">
        <v>151</v>
      </c>
      <c r="I3708" s="14" t="s">
        <v>424</v>
      </c>
      <c r="J3708" s="14" t="s">
        <v>138</v>
      </c>
      <c r="K3708" s="15" t="s">
        <v>30</v>
      </c>
      <c r="L3708" s="86"/>
      <c r="M3708" s="14"/>
      <c r="N3708" s="14" t="s">
        <v>49</v>
      </c>
      <c r="O3708" s="14"/>
      <c r="P3708" s="15" t="s">
        <v>4028</v>
      </c>
      <c r="Q3708" s="16">
        <v>10790</v>
      </c>
      <c r="R3708" s="17">
        <v>50</v>
      </c>
      <c r="S3708" s="18">
        <v>6204.2499999999991</v>
      </c>
      <c r="T3708" s="19" t="s">
        <v>328</v>
      </c>
      <c r="U3708" s="20" t="s">
        <v>552</v>
      </c>
      <c r="V3708" s="21">
        <v>32</v>
      </c>
      <c r="W3708" s="21">
        <v>6</v>
      </c>
      <c r="X3708" s="22"/>
    </row>
    <row r="3709" spans="1:24" s="1" customFormat="1" ht="14.1" customHeight="1" x14ac:dyDescent="0.3">
      <c r="A3709" s="23" t="s">
        <v>3183</v>
      </c>
      <c r="B3709" s="23" t="s">
        <v>4026</v>
      </c>
      <c r="C3709" s="12" t="s">
        <v>4027</v>
      </c>
      <c r="D3709" s="84"/>
      <c r="E3709" s="69" t="str">
        <f t="shared" si="170"/>
        <v>Еще фото</v>
      </c>
      <c r="F3709" s="13"/>
      <c r="G3709" s="23" t="s">
        <v>4005</v>
      </c>
      <c r="H3709" s="23" t="s">
        <v>151</v>
      </c>
      <c r="I3709" s="23" t="s">
        <v>424</v>
      </c>
      <c r="J3709" s="14" t="s">
        <v>138</v>
      </c>
      <c r="K3709" s="15" t="s">
        <v>30</v>
      </c>
      <c r="L3709" s="87"/>
      <c r="M3709" s="14"/>
      <c r="N3709" s="14" t="s">
        <v>49</v>
      </c>
      <c r="O3709" s="14"/>
      <c r="P3709" s="15" t="s">
        <v>4028</v>
      </c>
      <c r="Q3709" s="16">
        <v>10790</v>
      </c>
      <c r="R3709" s="17">
        <v>50</v>
      </c>
      <c r="S3709" s="18">
        <v>6204.2499999999991</v>
      </c>
      <c r="T3709" s="19" t="s">
        <v>328</v>
      </c>
      <c r="U3709" s="20" t="s">
        <v>553</v>
      </c>
      <c r="V3709" s="21">
        <v>33</v>
      </c>
      <c r="W3709" s="21">
        <v>6</v>
      </c>
      <c r="X3709" s="22"/>
    </row>
    <row r="3710" spans="1:24" s="1" customFormat="1" ht="14.1" customHeight="1" x14ac:dyDescent="0.3">
      <c r="A3710" s="23" t="s">
        <v>3183</v>
      </c>
      <c r="B3710" s="23" t="s">
        <v>4026</v>
      </c>
      <c r="C3710" s="12" t="s">
        <v>4027</v>
      </c>
      <c r="D3710" s="84"/>
      <c r="E3710" s="69" t="str">
        <f t="shared" si="170"/>
        <v>Еще фото</v>
      </c>
      <c r="F3710" s="13"/>
      <c r="G3710" s="23" t="s">
        <v>4005</v>
      </c>
      <c r="H3710" s="23" t="s">
        <v>151</v>
      </c>
      <c r="I3710" s="23" t="s">
        <v>424</v>
      </c>
      <c r="J3710" s="14" t="s">
        <v>138</v>
      </c>
      <c r="K3710" s="15" t="s">
        <v>30</v>
      </c>
      <c r="L3710" s="87"/>
      <c r="M3710" s="14"/>
      <c r="N3710" s="14" t="s">
        <v>49</v>
      </c>
      <c r="O3710" s="14"/>
      <c r="P3710" s="15" t="s">
        <v>4028</v>
      </c>
      <c r="Q3710" s="16">
        <v>10790</v>
      </c>
      <c r="R3710" s="17">
        <v>50</v>
      </c>
      <c r="S3710" s="18">
        <v>6204.2499999999991</v>
      </c>
      <c r="T3710" s="19" t="s">
        <v>328</v>
      </c>
      <c r="U3710" s="20" t="s">
        <v>431</v>
      </c>
      <c r="V3710" s="21">
        <v>35</v>
      </c>
      <c r="W3710" s="21">
        <v>4</v>
      </c>
      <c r="X3710" s="22"/>
    </row>
    <row r="3711" spans="1:24" s="1" customFormat="1" ht="14.1" customHeight="1" x14ac:dyDescent="0.3">
      <c r="A3711" s="23" t="s">
        <v>3183</v>
      </c>
      <c r="B3711" s="23" t="s">
        <v>4026</v>
      </c>
      <c r="C3711" s="12" t="s">
        <v>4027</v>
      </c>
      <c r="D3711" s="84"/>
      <c r="E3711" s="69" t="str">
        <f t="shared" si="170"/>
        <v>Еще фото</v>
      </c>
      <c r="F3711" s="13"/>
      <c r="G3711" s="23" t="s">
        <v>4005</v>
      </c>
      <c r="H3711" s="23" t="s">
        <v>151</v>
      </c>
      <c r="I3711" s="23" t="s">
        <v>424</v>
      </c>
      <c r="J3711" s="14" t="s">
        <v>138</v>
      </c>
      <c r="K3711" s="15" t="s">
        <v>30</v>
      </c>
      <c r="L3711" s="87"/>
      <c r="M3711" s="14"/>
      <c r="N3711" s="14" t="s">
        <v>49</v>
      </c>
      <c r="O3711" s="14"/>
      <c r="P3711" s="15" t="s">
        <v>4028</v>
      </c>
      <c r="Q3711" s="16">
        <v>10790</v>
      </c>
      <c r="R3711" s="17">
        <v>50</v>
      </c>
      <c r="S3711" s="18">
        <v>6204.2499999999991</v>
      </c>
      <c r="T3711" s="19" t="s">
        <v>328</v>
      </c>
      <c r="U3711" s="20" t="s">
        <v>1503</v>
      </c>
      <c r="V3711" s="21">
        <v>36</v>
      </c>
      <c r="W3711" s="21">
        <v>6</v>
      </c>
      <c r="X3711" s="22"/>
    </row>
    <row r="3712" spans="1:24" s="1" customFormat="1" ht="14.1" customHeight="1" x14ac:dyDescent="0.3">
      <c r="A3712" s="23" t="s">
        <v>3183</v>
      </c>
      <c r="B3712" s="23" t="s">
        <v>4026</v>
      </c>
      <c r="C3712" s="12" t="s">
        <v>4027</v>
      </c>
      <c r="D3712" s="84"/>
      <c r="E3712" s="69" t="str">
        <f t="shared" si="170"/>
        <v>Еще фото</v>
      </c>
      <c r="F3712" s="13"/>
      <c r="G3712" s="23" t="s">
        <v>4005</v>
      </c>
      <c r="H3712" s="23" t="s">
        <v>151</v>
      </c>
      <c r="I3712" s="23" t="s">
        <v>424</v>
      </c>
      <c r="J3712" s="14" t="s">
        <v>138</v>
      </c>
      <c r="K3712" s="15" t="s">
        <v>30</v>
      </c>
      <c r="L3712" s="87"/>
      <c r="M3712" s="14"/>
      <c r="N3712" s="14" t="s">
        <v>49</v>
      </c>
      <c r="O3712" s="14"/>
      <c r="P3712" s="15" t="s">
        <v>4028</v>
      </c>
      <c r="Q3712" s="16">
        <v>10790</v>
      </c>
      <c r="R3712" s="17">
        <v>50</v>
      </c>
      <c r="S3712" s="18">
        <v>6204.2499999999991</v>
      </c>
      <c r="T3712" s="19" t="s">
        <v>328</v>
      </c>
      <c r="U3712" s="20" t="s">
        <v>409</v>
      </c>
      <c r="V3712" s="21">
        <v>37</v>
      </c>
      <c r="W3712" s="21">
        <v>6</v>
      </c>
      <c r="X3712" s="22"/>
    </row>
    <row r="3713" spans="1:24" s="1" customFormat="1" ht="14.1" customHeight="1" x14ac:dyDescent="0.3">
      <c r="A3713" s="23" t="s">
        <v>3183</v>
      </c>
      <c r="B3713" s="23" t="s">
        <v>4026</v>
      </c>
      <c r="C3713" s="12" t="s">
        <v>4027</v>
      </c>
      <c r="D3713" s="84"/>
      <c r="E3713" s="69" t="str">
        <f t="shared" si="170"/>
        <v>Еще фото</v>
      </c>
      <c r="F3713" s="13"/>
      <c r="G3713" s="23" t="s">
        <v>4005</v>
      </c>
      <c r="H3713" s="23" t="s">
        <v>151</v>
      </c>
      <c r="I3713" s="23" t="s">
        <v>424</v>
      </c>
      <c r="J3713" s="14" t="s">
        <v>138</v>
      </c>
      <c r="K3713" s="15" t="s">
        <v>30</v>
      </c>
      <c r="L3713" s="87"/>
      <c r="M3713" s="14"/>
      <c r="N3713" s="14" t="s">
        <v>49</v>
      </c>
      <c r="O3713" s="14"/>
      <c r="P3713" s="15" t="s">
        <v>4028</v>
      </c>
      <c r="Q3713" s="16">
        <v>10790</v>
      </c>
      <c r="R3713" s="17">
        <v>50</v>
      </c>
      <c r="S3713" s="18">
        <v>6204.2499999999991</v>
      </c>
      <c r="T3713" s="19" t="s">
        <v>328</v>
      </c>
      <c r="U3713" s="20" t="s">
        <v>426</v>
      </c>
      <c r="V3713" s="21">
        <v>38</v>
      </c>
      <c r="W3713" s="21">
        <v>4</v>
      </c>
      <c r="X3713" s="22"/>
    </row>
    <row r="3714" spans="1:24" s="1" customFormat="1" ht="17.100000000000001" customHeight="1" x14ac:dyDescent="0.3">
      <c r="A3714" s="23" t="s">
        <v>3183</v>
      </c>
      <c r="B3714" s="23" t="s">
        <v>4026</v>
      </c>
      <c r="C3714" s="12" t="s">
        <v>4027</v>
      </c>
      <c r="D3714" s="85"/>
      <c r="E3714" s="69" t="str">
        <f t="shared" si="170"/>
        <v>Еще фото</v>
      </c>
      <c r="F3714" s="13"/>
      <c r="G3714" s="23" t="s">
        <v>4005</v>
      </c>
      <c r="H3714" s="23" t="s">
        <v>151</v>
      </c>
      <c r="I3714" s="23" t="s">
        <v>424</v>
      </c>
      <c r="J3714" s="14" t="s">
        <v>138</v>
      </c>
      <c r="K3714" s="15" t="s">
        <v>30</v>
      </c>
      <c r="L3714" s="88"/>
      <c r="M3714" s="14"/>
      <c r="N3714" s="14" t="s">
        <v>49</v>
      </c>
      <c r="O3714" s="14"/>
      <c r="P3714" s="15" t="s">
        <v>4028</v>
      </c>
      <c r="Q3714" s="16">
        <v>10790</v>
      </c>
      <c r="R3714" s="17">
        <v>50</v>
      </c>
      <c r="S3714" s="18">
        <v>6204.2499999999991</v>
      </c>
      <c r="T3714" s="19" t="s">
        <v>328</v>
      </c>
      <c r="U3714" s="20" t="s">
        <v>413</v>
      </c>
      <c r="V3714" s="21">
        <v>39</v>
      </c>
      <c r="W3714" s="21">
        <v>4</v>
      </c>
      <c r="X3714" s="22"/>
    </row>
    <row r="3715" spans="1:24" s="1" customFormat="1" ht="26.1" customHeight="1" x14ac:dyDescent="0.3">
      <c r="A3715" s="11" t="s">
        <v>3183</v>
      </c>
      <c r="B3715" s="11" t="s">
        <v>4026</v>
      </c>
      <c r="C3715" s="12" t="s">
        <v>4029</v>
      </c>
      <c r="D3715" s="83"/>
      <c r="E3715" s="69" t="str">
        <f>HYPERLINK("https://www.google.ru/search?q=J4449A00066C9999&amp;newwindow=1&amp;tbm=isch","Еще фото")</f>
        <v>Еще фото</v>
      </c>
      <c r="F3715" s="13"/>
      <c r="G3715" s="11" t="s">
        <v>4005</v>
      </c>
      <c r="H3715" s="11" t="s">
        <v>151</v>
      </c>
      <c r="I3715" s="14" t="s">
        <v>424</v>
      </c>
      <c r="J3715" s="14" t="s">
        <v>138</v>
      </c>
      <c r="K3715" s="15" t="s">
        <v>30</v>
      </c>
      <c r="L3715" s="86"/>
      <c r="M3715" s="14"/>
      <c r="N3715" s="14" t="s">
        <v>49</v>
      </c>
      <c r="O3715" s="14"/>
      <c r="P3715" s="15" t="s">
        <v>4030</v>
      </c>
      <c r="Q3715" s="16">
        <v>10790</v>
      </c>
      <c r="R3715" s="17">
        <v>50</v>
      </c>
      <c r="S3715" s="18">
        <v>6204.2499999999991</v>
      </c>
      <c r="T3715" s="19" t="s">
        <v>328</v>
      </c>
      <c r="U3715" s="20" t="s">
        <v>409</v>
      </c>
      <c r="V3715" s="21">
        <v>37</v>
      </c>
      <c r="W3715" s="21">
        <v>6</v>
      </c>
      <c r="X3715" s="22"/>
    </row>
    <row r="3716" spans="1:24" s="1" customFormat="1" ht="26.1" customHeight="1" x14ac:dyDescent="0.3">
      <c r="A3716" s="23" t="s">
        <v>3183</v>
      </c>
      <c r="B3716" s="23" t="s">
        <v>4026</v>
      </c>
      <c r="C3716" s="12" t="s">
        <v>4029</v>
      </c>
      <c r="D3716" s="84"/>
      <c r="E3716" s="69" t="str">
        <f>HYPERLINK("https://www.google.ru/search?q=J4449A00066C9999&amp;newwindow=1&amp;tbm=isch","Еще фото")</f>
        <v>Еще фото</v>
      </c>
      <c r="F3716" s="13"/>
      <c r="G3716" s="23" t="s">
        <v>4005</v>
      </c>
      <c r="H3716" s="23" t="s">
        <v>151</v>
      </c>
      <c r="I3716" s="23" t="s">
        <v>424</v>
      </c>
      <c r="J3716" s="14" t="s">
        <v>138</v>
      </c>
      <c r="K3716" s="15" t="s">
        <v>30</v>
      </c>
      <c r="L3716" s="87"/>
      <c r="M3716" s="14"/>
      <c r="N3716" s="14" t="s">
        <v>49</v>
      </c>
      <c r="O3716" s="14"/>
      <c r="P3716" s="15" t="s">
        <v>4030</v>
      </c>
      <c r="Q3716" s="16">
        <v>10790</v>
      </c>
      <c r="R3716" s="17">
        <v>50</v>
      </c>
      <c r="S3716" s="18">
        <v>6204.2499999999991</v>
      </c>
      <c r="T3716" s="19" t="s">
        <v>328</v>
      </c>
      <c r="U3716" s="20" t="s">
        <v>426</v>
      </c>
      <c r="V3716" s="21">
        <v>38</v>
      </c>
      <c r="W3716" s="21">
        <v>6</v>
      </c>
      <c r="X3716" s="22"/>
    </row>
    <row r="3717" spans="1:24" s="1" customFormat="1" ht="26.1" customHeight="1" x14ac:dyDescent="0.3">
      <c r="A3717" s="23" t="s">
        <v>3183</v>
      </c>
      <c r="B3717" s="23" t="s">
        <v>4026</v>
      </c>
      <c r="C3717" s="12" t="s">
        <v>4029</v>
      </c>
      <c r="D3717" s="84"/>
      <c r="E3717" s="69" t="str">
        <f>HYPERLINK("https://www.google.ru/search?q=J4449A00066C9999&amp;newwindow=1&amp;tbm=isch","Еще фото")</f>
        <v>Еще фото</v>
      </c>
      <c r="F3717" s="13"/>
      <c r="G3717" s="23" t="s">
        <v>4005</v>
      </c>
      <c r="H3717" s="23" t="s">
        <v>151</v>
      </c>
      <c r="I3717" s="23" t="s">
        <v>424</v>
      </c>
      <c r="J3717" s="14" t="s">
        <v>138</v>
      </c>
      <c r="K3717" s="15" t="s">
        <v>30</v>
      </c>
      <c r="L3717" s="87"/>
      <c r="M3717" s="14"/>
      <c r="N3717" s="14" t="s">
        <v>49</v>
      </c>
      <c r="O3717" s="14"/>
      <c r="P3717" s="15" t="s">
        <v>4030</v>
      </c>
      <c r="Q3717" s="16">
        <v>10790</v>
      </c>
      <c r="R3717" s="17">
        <v>50</v>
      </c>
      <c r="S3717" s="18">
        <v>6204.2499999999991</v>
      </c>
      <c r="T3717" s="19" t="s">
        <v>328</v>
      </c>
      <c r="U3717" s="20" t="s">
        <v>413</v>
      </c>
      <c r="V3717" s="21">
        <v>39</v>
      </c>
      <c r="W3717" s="21">
        <v>6</v>
      </c>
      <c r="X3717" s="22"/>
    </row>
    <row r="3718" spans="1:24" s="1" customFormat="1" ht="26.1" customHeight="1" x14ac:dyDescent="0.3">
      <c r="A3718" s="23" t="s">
        <v>3183</v>
      </c>
      <c r="B3718" s="23" t="s">
        <v>4026</v>
      </c>
      <c r="C3718" s="12" t="s">
        <v>4029</v>
      </c>
      <c r="D3718" s="85"/>
      <c r="E3718" s="69" t="str">
        <f>HYPERLINK("https://www.google.ru/search?q=J4449A00066C9999&amp;newwindow=1&amp;tbm=isch","Еще фото")</f>
        <v>Еще фото</v>
      </c>
      <c r="F3718" s="13"/>
      <c r="G3718" s="23" t="s">
        <v>4005</v>
      </c>
      <c r="H3718" s="23" t="s">
        <v>151</v>
      </c>
      <c r="I3718" s="23" t="s">
        <v>424</v>
      </c>
      <c r="J3718" s="14" t="s">
        <v>138</v>
      </c>
      <c r="K3718" s="15" t="s">
        <v>30</v>
      </c>
      <c r="L3718" s="88"/>
      <c r="M3718" s="14"/>
      <c r="N3718" s="14" t="s">
        <v>49</v>
      </c>
      <c r="O3718" s="14"/>
      <c r="P3718" s="15" t="s">
        <v>4030</v>
      </c>
      <c r="Q3718" s="16">
        <v>10790</v>
      </c>
      <c r="R3718" s="17">
        <v>50</v>
      </c>
      <c r="S3718" s="18">
        <v>6204.2499999999991</v>
      </c>
      <c r="T3718" s="19" t="s">
        <v>328</v>
      </c>
      <c r="U3718" s="20" t="s">
        <v>399</v>
      </c>
      <c r="V3718" s="21">
        <v>40</v>
      </c>
      <c r="W3718" s="21">
        <v>2</v>
      </c>
      <c r="X3718" s="22"/>
    </row>
    <row r="3719" spans="1:24" s="1" customFormat="1" ht="108" customHeight="1" x14ac:dyDescent="0.3">
      <c r="A3719" s="11" t="s">
        <v>3183</v>
      </c>
      <c r="B3719" s="11" t="s">
        <v>4031</v>
      </c>
      <c r="C3719" s="12" t="s">
        <v>4032</v>
      </c>
      <c r="D3719" s="24"/>
      <c r="E3719" s="69" t="str">
        <f>HYPERLINK("https://www.google.ru/search?q=J555CD05410C0659&amp;newwindow=1&amp;tbm=isch","Еще фото")</f>
        <v>Еще фото</v>
      </c>
      <c r="F3719" s="13"/>
      <c r="G3719" s="11" t="s">
        <v>394</v>
      </c>
      <c r="H3719" s="11" t="s">
        <v>151</v>
      </c>
      <c r="I3719" s="14" t="s">
        <v>424</v>
      </c>
      <c r="J3719" s="14" t="s">
        <v>29</v>
      </c>
      <c r="K3719" s="15" t="s">
        <v>30</v>
      </c>
      <c r="L3719" s="14" t="s">
        <v>4033</v>
      </c>
      <c r="M3719" s="14"/>
      <c r="N3719" s="14" t="s">
        <v>4034</v>
      </c>
      <c r="O3719" s="14"/>
      <c r="P3719" s="15" t="s">
        <v>4035</v>
      </c>
      <c r="Q3719" s="16">
        <v>6490</v>
      </c>
      <c r="R3719" s="17">
        <v>50</v>
      </c>
      <c r="S3719" s="18">
        <v>3731.7499999999995</v>
      </c>
      <c r="T3719" s="19" t="s">
        <v>328</v>
      </c>
      <c r="U3719" s="20" t="s">
        <v>3189</v>
      </c>
      <c r="V3719" s="21">
        <v>30</v>
      </c>
      <c r="W3719" s="21">
        <v>1</v>
      </c>
      <c r="X3719" s="22"/>
    </row>
    <row r="3720" spans="1:24" s="1" customFormat="1" ht="51.95" customHeight="1" x14ac:dyDescent="0.3">
      <c r="A3720" s="11" t="s">
        <v>3183</v>
      </c>
      <c r="B3720" s="11" t="s">
        <v>3819</v>
      </c>
      <c r="C3720" s="12" t="s">
        <v>4036</v>
      </c>
      <c r="D3720" s="89"/>
      <c r="E3720" s="69" t="str">
        <f>HYPERLINK("https://www.google.ru/search?q=J559EA0FU54C0293&amp;newwindow=1&amp;tbm=isch","Еще фото")</f>
        <v>Еще фото</v>
      </c>
      <c r="F3720" s="13"/>
      <c r="G3720" s="11" t="s">
        <v>394</v>
      </c>
      <c r="H3720" s="11" t="s">
        <v>151</v>
      </c>
      <c r="I3720" s="14" t="s">
        <v>424</v>
      </c>
      <c r="J3720" s="14" t="s">
        <v>29</v>
      </c>
      <c r="K3720" s="15" t="s">
        <v>30</v>
      </c>
      <c r="L3720" s="86" t="s">
        <v>4037</v>
      </c>
      <c r="M3720" s="14"/>
      <c r="N3720" s="14" t="s">
        <v>816</v>
      </c>
      <c r="O3720" s="14"/>
      <c r="P3720" s="15" t="s">
        <v>4038</v>
      </c>
      <c r="Q3720" s="16">
        <v>7990</v>
      </c>
      <c r="R3720" s="17">
        <v>50</v>
      </c>
      <c r="S3720" s="18">
        <v>4594.25</v>
      </c>
      <c r="T3720" s="19" t="s">
        <v>328</v>
      </c>
      <c r="U3720" s="20" t="s">
        <v>3189</v>
      </c>
      <c r="V3720" s="21">
        <v>30</v>
      </c>
      <c r="W3720" s="21">
        <v>1</v>
      </c>
      <c r="X3720" s="22"/>
    </row>
    <row r="3721" spans="1:24" s="1" customFormat="1" ht="60.95" customHeight="1" x14ac:dyDescent="0.3">
      <c r="A3721" s="23" t="s">
        <v>3183</v>
      </c>
      <c r="B3721" s="23" t="s">
        <v>3819</v>
      </c>
      <c r="C3721" s="12" t="s">
        <v>4036</v>
      </c>
      <c r="D3721" s="90"/>
      <c r="E3721" s="69" t="str">
        <f>HYPERLINK("https://www.google.ru/search?q=J559EA0FU54C0293&amp;newwindow=1&amp;tbm=isch","Еще фото")</f>
        <v>Еще фото</v>
      </c>
      <c r="F3721" s="13"/>
      <c r="G3721" s="23" t="s">
        <v>394</v>
      </c>
      <c r="H3721" s="23" t="s">
        <v>151</v>
      </c>
      <c r="I3721" s="23" t="s">
        <v>424</v>
      </c>
      <c r="J3721" s="14" t="s">
        <v>29</v>
      </c>
      <c r="K3721" s="15" t="s">
        <v>30</v>
      </c>
      <c r="L3721" s="88"/>
      <c r="M3721" s="14"/>
      <c r="N3721" s="14" t="s">
        <v>816</v>
      </c>
      <c r="O3721" s="14"/>
      <c r="P3721" s="15" t="s">
        <v>4038</v>
      </c>
      <c r="Q3721" s="16">
        <v>7990</v>
      </c>
      <c r="R3721" s="17">
        <v>50</v>
      </c>
      <c r="S3721" s="18">
        <v>4594.25</v>
      </c>
      <c r="T3721" s="19" t="s">
        <v>328</v>
      </c>
      <c r="U3721" s="20" t="s">
        <v>553</v>
      </c>
      <c r="V3721" s="21">
        <v>33</v>
      </c>
      <c r="W3721" s="21">
        <v>2</v>
      </c>
      <c r="X3721" s="22"/>
    </row>
    <row r="3722" spans="1:24" s="1" customFormat="1" ht="35.1" customHeight="1" x14ac:dyDescent="0.3">
      <c r="A3722" s="11" t="s">
        <v>3183</v>
      </c>
      <c r="B3722" s="11" t="s">
        <v>4039</v>
      </c>
      <c r="C3722" s="12" t="s">
        <v>4040</v>
      </c>
      <c r="D3722" s="83"/>
      <c r="E3722" s="69" t="str">
        <f>HYPERLINK("https://www.google.ru/search?q=J56NEA0BC14CK41M&amp;newwindow=1&amp;tbm=isch","Еще фото")</f>
        <v>Еще фото</v>
      </c>
      <c r="F3722" s="13"/>
      <c r="G3722" s="11" t="s">
        <v>394</v>
      </c>
      <c r="H3722" s="11" t="s">
        <v>151</v>
      </c>
      <c r="I3722" s="14" t="s">
        <v>424</v>
      </c>
      <c r="J3722" s="14" t="s">
        <v>29</v>
      </c>
      <c r="K3722" s="15" t="s">
        <v>30</v>
      </c>
      <c r="L3722" s="86" t="s">
        <v>4041</v>
      </c>
      <c r="M3722" s="14"/>
      <c r="N3722" s="14" t="s">
        <v>70</v>
      </c>
      <c r="O3722" s="14"/>
      <c r="P3722" s="15" t="s">
        <v>4042</v>
      </c>
      <c r="Q3722" s="16">
        <v>6790</v>
      </c>
      <c r="R3722" s="17">
        <v>50</v>
      </c>
      <c r="S3722" s="18">
        <v>3904.2499999999995</v>
      </c>
      <c r="T3722" s="19" t="s">
        <v>328</v>
      </c>
      <c r="U3722" s="20" t="s">
        <v>3189</v>
      </c>
      <c r="V3722" s="21">
        <v>30</v>
      </c>
      <c r="W3722" s="21">
        <v>3</v>
      </c>
      <c r="X3722" s="22"/>
    </row>
    <row r="3723" spans="1:24" s="1" customFormat="1" ht="35.1" customHeight="1" x14ac:dyDescent="0.3">
      <c r="A3723" s="23" t="s">
        <v>3183</v>
      </c>
      <c r="B3723" s="23" t="s">
        <v>4039</v>
      </c>
      <c r="C3723" s="12" t="s">
        <v>4040</v>
      </c>
      <c r="D3723" s="84"/>
      <c r="E3723" s="69" t="str">
        <f>HYPERLINK("https://www.google.ru/search?q=J56NEA0BC14CK41M&amp;newwindow=1&amp;tbm=isch","Еще фото")</f>
        <v>Еще фото</v>
      </c>
      <c r="F3723" s="13"/>
      <c r="G3723" s="23" t="s">
        <v>394</v>
      </c>
      <c r="H3723" s="23" t="s">
        <v>151</v>
      </c>
      <c r="I3723" s="23" t="s">
        <v>424</v>
      </c>
      <c r="J3723" s="14" t="s">
        <v>29</v>
      </c>
      <c r="K3723" s="15" t="s">
        <v>30</v>
      </c>
      <c r="L3723" s="87"/>
      <c r="M3723" s="14"/>
      <c r="N3723" s="14" t="s">
        <v>70</v>
      </c>
      <c r="O3723" s="14"/>
      <c r="P3723" s="15" t="s">
        <v>4042</v>
      </c>
      <c r="Q3723" s="16">
        <v>6790</v>
      </c>
      <c r="R3723" s="17">
        <v>50</v>
      </c>
      <c r="S3723" s="18">
        <v>3904.2499999999995</v>
      </c>
      <c r="T3723" s="19" t="s">
        <v>328</v>
      </c>
      <c r="U3723" s="20" t="s">
        <v>3190</v>
      </c>
      <c r="V3723" s="21">
        <v>31</v>
      </c>
      <c r="W3723" s="21">
        <v>3</v>
      </c>
      <c r="X3723" s="22"/>
    </row>
    <row r="3724" spans="1:24" s="1" customFormat="1" ht="36.950000000000003" customHeight="1" x14ac:dyDescent="0.3">
      <c r="A3724" s="23" t="s">
        <v>3183</v>
      </c>
      <c r="B3724" s="23" t="s">
        <v>4039</v>
      </c>
      <c r="C3724" s="12" t="s">
        <v>4040</v>
      </c>
      <c r="D3724" s="85"/>
      <c r="E3724" s="69" t="str">
        <f>HYPERLINK("https://www.google.ru/search?q=J56NEA0BC14CK41M&amp;newwindow=1&amp;tbm=isch","Еще фото")</f>
        <v>Еще фото</v>
      </c>
      <c r="F3724" s="13"/>
      <c r="G3724" s="23" t="s">
        <v>394</v>
      </c>
      <c r="H3724" s="23" t="s">
        <v>151</v>
      </c>
      <c r="I3724" s="23" t="s">
        <v>424</v>
      </c>
      <c r="J3724" s="14" t="s">
        <v>29</v>
      </c>
      <c r="K3724" s="15" t="s">
        <v>30</v>
      </c>
      <c r="L3724" s="88"/>
      <c r="M3724" s="14"/>
      <c r="N3724" s="14" t="s">
        <v>70</v>
      </c>
      <c r="O3724" s="14"/>
      <c r="P3724" s="15" t="s">
        <v>4042</v>
      </c>
      <c r="Q3724" s="16">
        <v>6790</v>
      </c>
      <c r="R3724" s="17">
        <v>50</v>
      </c>
      <c r="S3724" s="18">
        <v>3904.2499999999995</v>
      </c>
      <c r="T3724" s="19" t="s">
        <v>328</v>
      </c>
      <c r="U3724" s="20" t="s">
        <v>553</v>
      </c>
      <c r="V3724" s="21">
        <v>33</v>
      </c>
      <c r="W3724" s="21">
        <v>1</v>
      </c>
      <c r="X3724" s="22"/>
    </row>
    <row r="3725" spans="1:24" s="1" customFormat="1" ht="14.1" customHeight="1" x14ac:dyDescent="0.3">
      <c r="A3725" s="11" t="s">
        <v>3183</v>
      </c>
      <c r="B3725" s="11" t="s">
        <v>4043</v>
      </c>
      <c r="C3725" s="12" t="s">
        <v>4044</v>
      </c>
      <c r="D3725" s="83"/>
      <c r="E3725" s="69" t="str">
        <f t="shared" ref="E3725:E3731" si="171">HYPERLINK("https://www.google.ru/search?q=J6420N00085C9999&amp;newwindow=1&amp;tbm=isch","Еще фото")</f>
        <v>Еще фото</v>
      </c>
      <c r="F3725" s="13"/>
      <c r="G3725" s="11" t="s">
        <v>150</v>
      </c>
      <c r="H3725" s="11" t="s">
        <v>151</v>
      </c>
      <c r="I3725" s="14" t="s">
        <v>424</v>
      </c>
      <c r="J3725" s="14" t="s">
        <v>138</v>
      </c>
      <c r="K3725" s="15" t="s">
        <v>30</v>
      </c>
      <c r="L3725" s="86"/>
      <c r="M3725" s="14"/>
      <c r="N3725" s="14" t="s">
        <v>49</v>
      </c>
      <c r="O3725" s="14"/>
      <c r="P3725" s="15" t="s">
        <v>4045</v>
      </c>
      <c r="Q3725" s="16">
        <v>10499</v>
      </c>
      <c r="R3725" s="17">
        <v>50</v>
      </c>
      <c r="S3725" s="18">
        <v>6036.9249999999993</v>
      </c>
      <c r="T3725" s="19" t="s">
        <v>328</v>
      </c>
      <c r="U3725" s="20" t="s">
        <v>553</v>
      </c>
      <c r="V3725" s="21">
        <v>33</v>
      </c>
      <c r="W3725" s="21">
        <v>17</v>
      </c>
      <c r="X3725" s="22"/>
    </row>
    <row r="3726" spans="1:24" s="1" customFormat="1" ht="14.1" customHeight="1" x14ac:dyDescent="0.3">
      <c r="A3726" s="23" t="s">
        <v>3183</v>
      </c>
      <c r="B3726" s="23" t="s">
        <v>4043</v>
      </c>
      <c r="C3726" s="12" t="s">
        <v>4044</v>
      </c>
      <c r="D3726" s="84"/>
      <c r="E3726" s="69" t="str">
        <f t="shared" si="171"/>
        <v>Еще фото</v>
      </c>
      <c r="F3726" s="13"/>
      <c r="G3726" s="23" t="s">
        <v>150</v>
      </c>
      <c r="H3726" s="23" t="s">
        <v>151</v>
      </c>
      <c r="I3726" s="23" t="s">
        <v>424</v>
      </c>
      <c r="J3726" s="14" t="s">
        <v>138</v>
      </c>
      <c r="K3726" s="15" t="s">
        <v>30</v>
      </c>
      <c r="L3726" s="87"/>
      <c r="M3726" s="14"/>
      <c r="N3726" s="14" t="s">
        <v>49</v>
      </c>
      <c r="O3726" s="14"/>
      <c r="P3726" s="15" t="s">
        <v>4045</v>
      </c>
      <c r="Q3726" s="16">
        <v>10499</v>
      </c>
      <c r="R3726" s="17">
        <v>50</v>
      </c>
      <c r="S3726" s="18">
        <v>6036.9249999999993</v>
      </c>
      <c r="T3726" s="19" t="s">
        <v>328</v>
      </c>
      <c r="U3726" s="20" t="s">
        <v>554</v>
      </c>
      <c r="V3726" s="21">
        <v>34</v>
      </c>
      <c r="W3726" s="21">
        <v>16</v>
      </c>
      <c r="X3726" s="22"/>
    </row>
    <row r="3727" spans="1:24" s="1" customFormat="1" ht="14.1" customHeight="1" x14ac:dyDescent="0.3">
      <c r="A3727" s="23" t="s">
        <v>3183</v>
      </c>
      <c r="B3727" s="23" t="s">
        <v>4043</v>
      </c>
      <c r="C3727" s="12" t="s">
        <v>4044</v>
      </c>
      <c r="D3727" s="84"/>
      <c r="E3727" s="69" t="str">
        <f t="shared" si="171"/>
        <v>Еще фото</v>
      </c>
      <c r="F3727" s="13"/>
      <c r="G3727" s="23" t="s">
        <v>150</v>
      </c>
      <c r="H3727" s="23" t="s">
        <v>151</v>
      </c>
      <c r="I3727" s="23" t="s">
        <v>424</v>
      </c>
      <c r="J3727" s="14" t="s">
        <v>138</v>
      </c>
      <c r="K3727" s="15" t="s">
        <v>30</v>
      </c>
      <c r="L3727" s="87"/>
      <c r="M3727" s="14"/>
      <c r="N3727" s="14" t="s">
        <v>49</v>
      </c>
      <c r="O3727" s="14"/>
      <c r="P3727" s="15" t="s">
        <v>4045</v>
      </c>
      <c r="Q3727" s="16">
        <v>10499</v>
      </c>
      <c r="R3727" s="17">
        <v>50</v>
      </c>
      <c r="S3727" s="18">
        <v>6036.9249999999993</v>
      </c>
      <c r="T3727" s="19" t="s">
        <v>328</v>
      </c>
      <c r="U3727" s="20" t="s">
        <v>431</v>
      </c>
      <c r="V3727" s="21">
        <v>35</v>
      </c>
      <c r="W3727" s="21">
        <v>17</v>
      </c>
      <c r="X3727" s="22"/>
    </row>
    <row r="3728" spans="1:24" s="1" customFormat="1" ht="14.1" customHeight="1" x14ac:dyDescent="0.3">
      <c r="A3728" s="23" t="s">
        <v>3183</v>
      </c>
      <c r="B3728" s="23" t="s">
        <v>4043</v>
      </c>
      <c r="C3728" s="12" t="s">
        <v>4044</v>
      </c>
      <c r="D3728" s="84"/>
      <c r="E3728" s="69" t="str">
        <f t="shared" si="171"/>
        <v>Еще фото</v>
      </c>
      <c r="F3728" s="13"/>
      <c r="G3728" s="23" t="s">
        <v>150</v>
      </c>
      <c r="H3728" s="23" t="s">
        <v>151</v>
      </c>
      <c r="I3728" s="23" t="s">
        <v>424</v>
      </c>
      <c r="J3728" s="14" t="s">
        <v>138</v>
      </c>
      <c r="K3728" s="15" t="s">
        <v>30</v>
      </c>
      <c r="L3728" s="87"/>
      <c r="M3728" s="14"/>
      <c r="N3728" s="14" t="s">
        <v>49</v>
      </c>
      <c r="O3728" s="14"/>
      <c r="P3728" s="15" t="s">
        <v>4045</v>
      </c>
      <c r="Q3728" s="16">
        <v>10499</v>
      </c>
      <c r="R3728" s="17">
        <v>50</v>
      </c>
      <c r="S3728" s="18">
        <v>6036.9249999999993</v>
      </c>
      <c r="T3728" s="19" t="s">
        <v>328</v>
      </c>
      <c r="U3728" s="20" t="s">
        <v>1503</v>
      </c>
      <c r="V3728" s="21">
        <v>36</v>
      </c>
      <c r="W3728" s="21">
        <v>16</v>
      </c>
      <c r="X3728" s="22"/>
    </row>
    <row r="3729" spans="1:24" s="1" customFormat="1" ht="14.1" customHeight="1" x14ac:dyDescent="0.3">
      <c r="A3729" s="23" t="s">
        <v>3183</v>
      </c>
      <c r="B3729" s="23" t="s">
        <v>4043</v>
      </c>
      <c r="C3729" s="12" t="s">
        <v>4044</v>
      </c>
      <c r="D3729" s="84"/>
      <c r="E3729" s="69" t="str">
        <f t="shared" si="171"/>
        <v>Еще фото</v>
      </c>
      <c r="F3729" s="13"/>
      <c r="G3729" s="23" t="s">
        <v>150</v>
      </c>
      <c r="H3729" s="23" t="s">
        <v>151</v>
      </c>
      <c r="I3729" s="23" t="s">
        <v>424</v>
      </c>
      <c r="J3729" s="14" t="s">
        <v>138</v>
      </c>
      <c r="K3729" s="15" t="s">
        <v>30</v>
      </c>
      <c r="L3729" s="87"/>
      <c r="M3729" s="14"/>
      <c r="N3729" s="14" t="s">
        <v>49</v>
      </c>
      <c r="O3729" s="14"/>
      <c r="P3729" s="15" t="s">
        <v>4045</v>
      </c>
      <c r="Q3729" s="16">
        <v>10499</v>
      </c>
      <c r="R3729" s="17">
        <v>50</v>
      </c>
      <c r="S3729" s="18">
        <v>6036.9249999999993</v>
      </c>
      <c r="T3729" s="19" t="s">
        <v>328</v>
      </c>
      <c r="U3729" s="20" t="s">
        <v>409</v>
      </c>
      <c r="V3729" s="21">
        <v>37</v>
      </c>
      <c r="W3729" s="21">
        <v>12</v>
      </c>
      <c r="X3729" s="22"/>
    </row>
    <row r="3730" spans="1:24" s="1" customFormat="1" ht="14.1" customHeight="1" x14ac:dyDescent="0.3">
      <c r="A3730" s="23" t="s">
        <v>3183</v>
      </c>
      <c r="B3730" s="23" t="s">
        <v>4043</v>
      </c>
      <c r="C3730" s="12" t="s">
        <v>4044</v>
      </c>
      <c r="D3730" s="84"/>
      <c r="E3730" s="69" t="str">
        <f t="shared" si="171"/>
        <v>Еще фото</v>
      </c>
      <c r="F3730" s="13"/>
      <c r="G3730" s="23" t="s">
        <v>150</v>
      </c>
      <c r="H3730" s="23" t="s">
        <v>151</v>
      </c>
      <c r="I3730" s="23" t="s">
        <v>424</v>
      </c>
      <c r="J3730" s="14" t="s">
        <v>138</v>
      </c>
      <c r="K3730" s="15" t="s">
        <v>30</v>
      </c>
      <c r="L3730" s="87"/>
      <c r="M3730" s="14"/>
      <c r="N3730" s="14" t="s">
        <v>49</v>
      </c>
      <c r="O3730" s="14"/>
      <c r="P3730" s="15" t="s">
        <v>4045</v>
      </c>
      <c r="Q3730" s="16">
        <v>10499</v>
      </c>
      <c r="R3730" s="17">
        <v>50</v>
      </c>
      <c r="S3730" s="18">
        <v>6036.9249999999993</v>
      </c>
      <c r="T3730" s="19" t="s">
        <v>328</v>
      </c>
      <c r="U3730" s="20" t="s">
        <v>426</v>
      </c>
      <c r="V3730" s="21">
        <v>38</v>
      </c>
      <c r="W3730" s="21">
        <v>11</v>
      </c>
      <c r="X3730" s="22"/>
    </row>
    <row r="3731" spans="1:24" s="1" customFormat="1" ht="17.100000000000001" customHeight="1" x14ac:dyDescent="0.3">
      <c r="A3731" s="23" t="s">
        <v>3183</v>
      </c>
      <c r="B3731" s="23" t="s">
        <v>4043</v>
      </c>
      <c r="C3731" s="12" t="s">
        <v>4044</v>
      </c>
      <c r="D3731" s="85"/>
      <c r="E3731" s="69" t="str">
        <f t="shared" si="171"/>
        <v>Еще фото</v>
      </c>
      <c r="F3731" s="13"/>
      <c r="G3731" s="23" t="s">
        <v>150</v>
      </c>
      <c r="H3731" s="23" t="s">
        <v>151</v>
      </c>
      <c r="I3731" s="23" t="s">
        <v>424</v>
      </c>
      <c r="J3731" s="14" t="s">
        <v>138</v>
      </c>
      <c r="K3731" s="15" t="s">
        <v>30</v>
      </c>
      <c r="L3731" s="88"/>
      <c r="M3731" s="14"/>
      <c r="N3731" s="14" t="s">
        <v>49</v>
      </c>
      <c r="O3731" s="14"/>
      <c r="P3731" s="15" t="s">
        <v>4045</v>
      </c>
      <c r="Q3731" s="16">
        <v>10499</v>
      </c>
      <c r="R3731" s="17">
        <v>50</v>
      </c>
      <c r="S3731" s="18">
        <v>6036.9249999999993</v>
      </c>
      <c r="T3731" s="19" t="s">
        <v>328</v>
      </c>
      <c r="U3731" s="20" t="s">
        <v>413</v>
      </c>
      <c r="V3731" s="21">
        <v>39</v>
      </c>
      <c r="W3731" s="21">
        <v>9</v>
      </c>
      <c r="X3731" s="22"/>
    </row>
    <row r="3732" spans="1:24" s="1" customFormat="1" ht="26.1" customHeight="1" x14ac:dyDescent="0.3">
      <c r="A3732" s="11" t="s">
        <v>3183</v>
      </c>
      <c r="B3732" s="11" t="s">
        <v>4046</v>
      </c>
      <c r="C3732" s="12" t="s">
        <v>4047</v>
      </c>
      <c r="D3732" s="83"/>
      <c r="E3732" s="69" t="str">
        <f>HYPERLINK("https://www.google.ru/search?q=J844AE05443C9999&amp;newwindow=1&amp;tbm=isch","Еще фото")</f>
        <v>Еще фото</v>
      </c>
      <c r="F3732" s="13"/>
      <c r="G3732" s="11" t="s">
        <v>394</v>
      </c>
      <c r="H3732" s="11" t="s">
        <v>151</v>
      </c>
      <c r="I3732" s="14" t="s">
        <v>424</v>
      </c>
      <c r="J3732" s="14" t="s">
        <v>29</v>
      </c>
      <c r="K3732" s="15" t="s">
        <v>30</v>
      </c>
      <c r="L3732" s="86"/>
      <c r="M3732" s="14"/>
      <c r="N3732" s="14" t="s">
        <v>49</v>
      </c>
      <c r="O3732" s="14"/>
      <c r="P3732" s="15" t="s">
        <v>4048</v>
      </c>
      <c r="Q3732" s="16">
        <v>9799</v>
      </c>
      <c r="R3732" s="17">
        <v>50</v>
      </c>
      <c r="S3732" s="18">
        <v>5634.4249999999993</v>
      </c>
      <c r="T3732" s="19" t="s">
        <v>328</v>
      </c>
      <c r="U3732" s="20" t="s">
        <v>3189</v>
      </c>
      <c r="V3732" s="21">
        <v>30</v>
      </c>
      <c r="W3732" s="21">
        <v>13</v>
      </c>
      <c r="X3732" s="22"/>
    </row>
    <row r="3733" spans="1:24" s="1" customFormat="1" ht="26.1" customHeight="1" x14ac:dyDescent="0.3">
      <c r="A3733" s="23" t="s">
        <v>3183</v>
      </c>
      <c r="B3733" s="23" t="s">
        <v>4046</v>
      </c>
      <c r="C3733" s="12" t="s">
        <v>4047</v>
      </c>
      <c r="D3733" s="84"/>
      <c r="E3733" s="69" t="str">
        <f>HYPERLINK("https://www.google.ru/search?q=J844AE05443C9999&amp;newwindow=1&amp;tbm=isch","Еще фото")</f>
        <v>Еще фото</v>
      </c>
      <c r="F3733" s="13"/>
      <c r="G3733" s="23" t="s">
        <v>394</v>
      </c>
      <c r="H3733" s="23" t="s">
        <v>151</v>
      </c>
      <c r="I3733" s="23" t="s">
        <v>424</v>
      </c>
      <c r="J3733" s="14" t="s">
        <v>29</v>
      </c>
      <c r="K3733" s="15" t="s">
        <v>30</v>
      </c>
      <c r="L3733" s="87"/>
      <c r="M3733" s="14"/>
      <c r="N3733" s="14" t="s">
        <v>49</v>
      </c>
      <c r="O3733" s="14"/>
      <c r="P3733" s="15" t="s">
        <v>4048</v>
      </c>
      <c r="Q3733" s="16">
        <v>9799</v>
      </c>
      <c r="R3733" s="17">
        <v>50</v>
      </c>
      <c r="S3733" s="18">
        <v>5634.4249999999993</v>
      </c>
      <c r="T3733" s="19" t="s">
        <v>328</v>
      </c>
      <c r="U3733" s="20" t="s">
        <v>3190</v>
      </c>
      <c r="V3733" s="21">
        <v>31</v>
      </c>
      <c r="W3733" s="21">
        <v>7</v>
      </c>
      <c r="X3733" s="22"/>
    </row>
    <row r="3734" spans="1:24" s="1" customFormat="1" ht="26.1" customHeight="1" x14ac:dyDescent="0.3">
      <c r="A3734" s="23" t="s">
        <v>3183</v>
      </c>
      <c r="B3734" s="23" t="s">
        <v>4046</v>
      </c>
      <c r="C3734" s="12" t="s">
        <v>4047</v>
      </c>
      <c r="D3734" s="84"/>
      <c r="E3734" s="69" t="str">
        <f>HYPERLINK("https://www.google.ru/search?q=J844AE05443C9999&amp;newwindow=1&amp;tbm=isch","Еще фото")</f>
        <v>Еще фото</v>
      </c>
      <c r="F3734" s="13"/>
      <c r="G3734" s="23" t="s">
        <v>394</v>
      </c>
      <c r="H3734" s="23" t="s">
        <v>151</v>
      </c>
      <c r="I3734" s="23" t="s">
        <v>424</v>
      </c>
      <c r="J3734" s="14" t="s">
        <v>29</v>
      </c>
      <c r="K3734" s="15" t="s">
        <v>30</v>
      </c>
      <c r="L3734" s="87"/>
      <c r="M3734" s="14"/>
      <c r="N3734" s="14" t="s">
        <v>49</v>
      </c>
      <c r="O3734" s="14"/>
      <c r="P3734" s="15" t="s">
        <v>4048</v>
      </c>
      <c r="Q3734" s="16">
        <v>9799</v>
      </c>
      <c r="R3734" s="17">
        <v>50</v>
      </c>
      <c r="S3734" s="18">
        <v>5634.4249999999993</v>
      </c>
      <c r="T3734" s="19" t="s">
        <v>328</v>
      </c>
      <c r="U3734" s="20" t="s">
        <v>552</v>
      </c>
      <c r="V3734" s="21">
        <v>32</v>
      </c>
      <c r="W3734" s="21">
        <v>8</v>
      </c>
      <c r="X3734" s="22"/>
    </row>
    <row r="3735" spans="1:24" s="1" customFormat="1" ht="26.1" customHeight="1" x14ac:dyDescent="0.3">
      <c r="A3735" s="23" t="s">
        <v>3183</v>
      </c>
      <c r="B3735" s="23" t="s">
        <v>4046</v>
      </c>
      <c r="C3735" s="12" t="s">
        <v>4047</v>
      </c>
      <c r="D3735" s="85"/>
      <c r="E3735" s="69" t="str">
        <f>HYPERLINK("https://www.google.ru/search?q=J844AE05443C9999&amp;newwindow=1&amp;tbm=isch","Еще фото")</f>
        <v>Еще фото</v>
      </c>
      <c r="F3735" s="13"/>
      <c r="G3735" s="23" t="s">
        <v>394</v>
      </c>
      <c r="H3735" s="23" t="s">
        <v>151</v>
      </c>
      <c r="I3735" s="23" t="s">
        <v>424</v>
      </c>
      <c r="J3735" s="14" t="s">
        <v>29</v>
      </c>
      <c r="K3735" s="15" t="s">
        <v>30</v>
      </c>
      <c r="L3735" s="88"/>
      <c r="M3735" s="14"/>
      <c r="N3735" s="14" t="s">
        <v>49</v>
      </c>
      <c r="O3735" s="14"/>
      <c r="P3735" s="15" t="s">
        <v>4048</v>
      </c>
      <c r="Q3735" s="16">
        <v>9799</v>
      </c>
      <c r="R3735" s="17">
        <v>50</v>
      </c>
      <c r="S3735" s="18">
        <v>5634.4249999999993</v>
      </c>
      <c r="T3735" s="19" t="s">
        <v>328</v>
      </c>
      <c r="U3735" s="20" t="s">
        <v>553</v>
      </c>
      <c r="V3735" s="21">
        <v>33</v>
      </c>
      <c r="W3735" s="21">
        <v>4</v>
      </c>
      <c r="X3735" s="22"/>
    </row>
    <row r="3736" spans="1:24" s="1" customFormat="1" ht="11.1" customHeight="1" x14ac:dyDescent="0.3">
      <c r="A3736" s="11" t="s">
        <v>3183</v>
      </c>
      <c r="B3736" s="11" t="s">
        <v>4049</v>
      </c>
      <c r="C3736" s="12" t="s">
        <v>4050</v>
      </c>
      <c r="D3736" s="83"/>
      <c r="E3736" s="69" t="str">
        <f t="shared" ref="E3736:E3745" si="172">HYPERLINK("https://www.google.ru/search?q=J847SF00043C9999&amp;newwindow=1&amp;tbm=isch","Еще фото")</f>
        <v>Еще фото</v>
      </c>
      <c r="F3736" s="13"/>
      <c r="G3736" s="11" t="s">
        <v>150</v>
      </c>
      <c r="H3736" s="11" t="s">
        <v>151</v>
      </c>
      <c r="I3736" s="14" t="s">
        <v>424</v>
      </c>
      <c r="J3736" s="14" t="s">
        <v>138</v>
      </c>
      <c r="K3736" s="15" t="s">
        <v>30</v>
      </c>
      <c r="L3736" s="86"/>
      <c r="M3736" s="14"/>
      <c r="N3736" s="14" t="s">
        <v>49</v>
      </c>
      <c r="O3736" s="14"/>
      <c r="P3736" s="15" t="s">
        <v>4051</v>
      </c>
      <c r="Q3736" s="16">
        <v>10190</v>
      </c>
      <c r="R3736" s="17">
        <v>50</v>
      </c>
      <c r="S3736" s="18">
        <v>5859.25</v>
      </c>
      <c r="T3736" s="19" t="s">
        <v>328</v>
      </c>
      <c r="U3736" s="20" t="s">
        <v>3189</v>
      </c>
      <c r="V3736" s="21">
        <v>30</v>
      </c>
      <c r="W3736" s="21">
        <v>8</v>
      </c>
      <c r="X3736" s="22"/>
    </row>
    <row r="3737" spans="1:24" s="1" customFormat="1" ht="11.1" customHeight="1" x14ac:dyDescent="0.3">
      <c r="A3737" s="23" t="s">
        <v>3183</v>
      </c>
      <c r="B3737" s="23" t="s">
        <v>4049</v>
      </c>
      <c r="C3737" s="12" t="s">
        <v>4050</v>
      </c>
      <c r="D3737" s="84"/>
      <c r="E3737" s="69" t="str">
        <f t="shared" si="172"/>
        <v>Еще фото</v>
      </c>
      <c r="F3737" s="13"/>
      <c r="G3737" s="23" t="s">
        <v>150</v>
      </c>
      <c r="H3737" s="23" t="s">
        <v>151</v>
      </c>
      <c r="I3737" s="23" t="s">
        <v>424</v>
      </c>
      <c r="J3737" s="14" t="s">
        <v>138</v>
      </c>
      <c r="K3737" s="15" t="s">
        <v>30</v>
      </c>
      <c r="L3737" s="87"/>
      <c r="M3737" s="14"/>
      <c r="N3737" s="14" t="s">
        <v>49</v>
      </c>
      <c r="O3737" s="14"/>
      <c r="P3737" s="15" t="s">
        <v>4051</v>
      </c>
      <c r="Q3737" s="16">
        <v>10190</v>
      </c>
      <c r="R3737" s="17">
        <v>50</v>
      </c>
      <c r="S3737" s="18">
        <v>5859.25</v>
      </c>
      <c r="T3737" s="19" t="s">
        <v>328</v>
      </c>
      <c r="U3737" s="20" t="s">
        <v>3190</v>
      </c>
      <c r="V3737" s="21">
        <v>31</v>
      </c>
      <c r="W3737" s="21">
        <v>8</v>
      </c>
      <c r="X3737" s="22"/>
    </row>
    <row r="3738" spans="1:24" s="1" customFormat="1" ht="11.1" customHeight="1" x14ac:dyDescent="0.3">
      <c r="A3738" s="23" t="s">
        <v>3183</v>
      </c>
      <c r="B3738" s="23" t="s">
        <v>4049</v>
      </c>
      <c r="C3738" s="12" t="s">
        <v>4050</v>
      </c>
      <c r="D3738" s="84"/>
      <c r="E3738" s="69" t="str">
        <f t="shared" si="172"/>
        <v>Еще фото</v>
      </c>
      <c r="F3738" s="13"/>
      <c r="G3738" s="23" t="s">
        <v>150</v>
      </c>
      <c r="H3738" s="23" t="s">
        <v>151</v>
      </c>
      <c r="I3738" s="23" t="s">
        <v>424</v>
      </c>
      <c r="J3738" s="14" t="s">
        <v>138</v>
      </c>
      <c r="K3738" s="15" t="s">
        <v>30</v>
      </c>
      <c r="L3738" s="87"/>
      <c r="M3738" s="14"/>
      <c r="N3738" s="14" t="s">
        <v>49</v>
      </c>
      <c r="O3738" s="14"/>
      <c r="P3738" s="15" t="s">
        <v>4051</v>
      </c>
      <c r="Q3738" s="16">
        <v>10190</v>
      </c>
      <c r="R3738" s="17">
        <v>50</v>
      </c>
      <c r="S3738" s="18">
        <v>5859.25</v>
      </c>
      <c r="T3738" s="19" t="s">
        <v>328</v>
      </c>
      <c r="U3738" s="20" t="s">
        <v>552</v>
      </c>
      <c r="V3738" s="21">
        <v>32</v>
      </c>
      <c r="W3738" s="21">
        <v>12</v>
      </c>
      <c r="X3738" s="22"/>
    </row>
    <row r="3739" spans="1:24" s="1" customFormat="1" ht="11.1" customHeight="1" x14ac:dyDescent="0.3">
      <c r="A3739" s="23" t="s">
        <v>3183</v>
      </c>
      <c r="B3739" s="23" t="s">
        <v>4049</v>
      </c>
      <c r="C3739" s="12" t="s">
        <v>4050</v>
      </c>
      <c r="D3739" s="84"/>
      <c r="E3739" s="69" t="str">
        <f t="shared" si="172"/>
        <v>Еще фото</v>
      </c>
      <c r="F3739" s="13"/>
      <c r="G3739" s="23" t="s">
        <v>150</v>
      </c>
      <c r="H3739" s="23" t="s">
        <v>151</v>
      </c>
      <c r="I3739" s="23" t="s">
        <v>424</v>
      </c>
      <c r="J3739" s="14" t="s">
        <v>138</v>
      </c>
      <c r="K3739" s="15" t="s">
        <v>30</v>
      </c>
      <c r="L3739" s="87"/>
      <c r="M3739" s="14"/>
      <c r="N3739" s="14" t="s">
        <v>49</v>
      </c>
      <c r="O3739" s="14"/>
      <c r="P3739" s="15" t="s">
        <v>4051</v>
      </c>
      <c r="Q3739" s="16">
        <v>10190</v>
      </c>
      <c r="R3739" s="17">
        <v>50</v>
      </c>
      <c r="S3739" s="18">
        <v>5859.25</v>
      </c>
      <c r="T3739" s="19" t="s">
        <v>328</v>
      </c>
      <c r="U3739" s="20" t="s">
        <v>553</v>
      </c>
      <c r="V3739" s="21">
        <v>33</v>
      </c>
      <c r="W3739" s="21">
        <v>8</v>
      </c>
      <c r="X3739" s="22"/>
    </row>
    <row r="3740" spans="1:24" s="1" customFormat="1" ht="11.1" customHeight="1" x14ac:dyDescent="0.3">
      <c r="A3740" s="23" t="s">
        <v>3183</v>
      </c>
      <c r="B3740" s="23" t="s">
        <v>4049</v>
      </c>
      <c r="C3740" s="12" t="s">
        <v>4050</v>
      </c>
      <c r="D3740" s="84"/>
      <c r="E3740" s="69" t="str">
        <f t="shared" si="172"/>
        <v>Еще фото</v>
      </c>
      <c r="F3740" s="13"/>
      <c r="G3740" s="23" t="s">
        <v>150</v>
      </c>
      <c r="H3740" s="23" t="s">
        <v>151</v>
      </c>
      <c r="I3740" s="23" t="s">
        <v>424</v>
      </c>
      <c r="J3740" s="14" t="s">
        <v>138</v>
      </c>
      <c r="K3740" s="15" t="s">
        <v>30</v>
      </c>
      <c r="L3740" s="87"/>
      <c r="M3740" s="14"/>
      <c r="N3740" s="14" t="s">
        <v>49</v>
      </c>
      <c r="O3740" s="14"/>
      <c r="P3740" s="15" t="s">
        <v>4051</v>
      </c>
      <c r="Q3740" s="16">
        <v>10190</v>
      </c>
      <c r="R3740" s="17">
        <v>50</v>
      </c>
      <c r="S3740" s="18">
        <v>5859.25</v>
      </c>
      <c r="T3740" s="19" t="s">
        <v>328</v>
      </c>
      <c r="U3740" s="20" t="s">
        <v>554</v>
      </c>
      <c r="V3740" s="21">
        <v>34</v>
      </c>
      <c r="W3740" s="21">
        <v>12</v>
      </c>
      <c r="X3740" s="22"/>
    </row>
    <row r="3741" spans="1:24" s="1" customFormat="1" ht="11.1" customHeight="1" x14ac:dyDescent="0.3">
      <c r="A3741" s="23" t="s">
        <v>3183</v>
      </c>
      <c r="B3741" s="23" t="s">
        <v>4049</v>
      </c>
      <c r="C3741" s="12" t="s">
        <v>4050</v>
      </c>
      <c r="D3741" s="84"/>
      <c r="E3741" s="69" t="str">
        <f t="shared" si="172"/>
        <v>Еще фото</v>
      </c>
      <c r="F3741" s="13"/>
      <c r="G3741" s="23" t="s">
        <v>150</v>
      </c>
      <c r="H3741" s="23" t="s">
        <v>151</v>
      </c>
      <c r="I3741" s="23" t="s">
        <v>424</v>
      </c>
      <c r="J3741" s="14" t="s">
        <v>138</v>
      </c>
      <c r="K3741" s="15" t="s">
        <v>30</v>
      </c>
      <c r="L3741" s="87"/>
      <c r="M3741" s="14"/>
      <c r="N3741" s="14" t="s">
        <v>49</v>
      </c>
      <c r="O3741" s="14"/>
      <c r="P3741" s="15" t="s">
        <v>4051</v>
      </c>
      <c r="Q3741" s="16">
        <v>10190</v>
      </c>
      <c r="R3741" s="17">
        <v>50</v>
      </c>
      <c r="S3741" s="18">
        <v>5859.25</v>
      </c>
      <c r="T3741" s="19" t="s">
        <v>328</v>
      </c>
      <c r="U3741" s="20" t="s">
        <v>431</v>
      </c>
      <c r="V3741" s="21">
        <v>35</v>
      </c>
      <c r="W3741" s="21">
        <v>16</v>
      </c>
      <c r="X3741" s="22"/>
    </row>
    <row r="3742" spans="1:24" s="1" customFormat="1" ht="11.1" customHeight="1" x14ac:dyDescent="0.3">
      <c r="A3742" s="23" t="s">
        <v>3183</v>
      </c>
      <c r="B3742" s="23" t="s">
        <v>4049</v>
      </c>
      <c r="C3742" s="12" t="s">
        <v>4050</v>
      </c>
      <c r="D3742" s="84"/>
      <c r="E3742" s="69" t="str">
        <f t="shared" si="172"/>
        <v>Еще фото</v>
      </c>
      <c r="F3742" s="13"/>
      <c r="G3742" s="23" t="s">
        <v>150</v>
      </c>
      <c r="H3742" s="23" t="s">
        <v>151</v>
      </c>
      <c r="I3742" s="23" t="s">
        <v>424</v>
      </c>
      <c r="J3742" s="14" t="s">
        <v>138</v>
      </c>
      <c r="K3742" s="15" t="s">
        <v>30</v>
      </c>
      <c r="L3742" s="87"/>
      <c r="M3742" s="14"/>
      <c r="N3742" s="14" t="s">
        <v>49</v>
      </c>
      <c r="O3742" s="14"/>
      <c r="P3742" s="15" t="s">
        <v>4051</v>
      </c>
      <c r="Q3742" s="16">
        <v>10190</v>
      </c>
      <c r="R3742" s="17">
        <v>50</v>
      </c>
      <c r="S3742" s="18">
        <v>5859.25</v>
      </c>
      <c r="T3742" s="19" t="s">
        <v>328</v>
      </c>
      <c r="U3742" s="20" t="s">
        <v>1503</v>
      </c>
      <c r="V3742" s="21">
        <v>36</v>
      </c>
      <c r="W3742" s="21">
        <v>14</v>
      </c>
      <c r="X3742" s="22"/>
    </row>
    <row r="3743" spans="1:24" s="1" customFormat="1" ht="11.1" customHeight="1" x14ac:dyDescent="0.3">
      <c r="A3743" s="23" t="s">
        <v>3183</v>
      </c>
      <c r="B3743" s="23" t="s">
        <v>4049</v>
      </c>
      <c r="C3743" s="12" t="s">
        <v>4050</v>
      </c>
      <c r="D3743" s="84"/>
      <c r="E3743" s="69" t="str">
        <f t="shared" si="172"/>
        <v>Еще фото</v>
      </c>
      <c r="F3743" s="13"/>
      <c r="G3743" s="23" t="s">
        <v>150</v>
      </c>
      <c r="H3743" s="23" t="s">
        <v>151</v>
      </c>
      <c r="I3743" s="23" t="s">
        <v>424</v>
      </c>
      <c r="J3743" s="14" t="s">
        <v>138</v>
      </c>
      <c r="K3743" s="15" t="s">
        <v>30</v>
      </c>
      <c r="L3743" s="87"/>
      <c r="M3743" s="14"/>
      <c r="N3743" s="14" t="s">
        <v>49</v>
      </c>
      <c r="O3743" s="14"/>
      <c r="P3743" s="15" t="s">
        <v>4051</v>
      </c>
      <c r="Q3743" s="16">
        <v>10190</v>
      </c>
      <c r="R3743" s="17">
        <v>50</v>
      </c>
      <c r="S3743" s="18">
        <v>5859.25</v>
      </c>
      <c r="T3743" s="19" t="s">
        <v>328</v>
      </c>
      <c r="U3743" s="20" t="s">
        <v>409</v>
      </c>
      <c r="V3743" s="21">
        <v>37</v>
      </c>
      <c r="W3743" s="21">
        <v>12</v>
      </c>
      <c r="X3743" s="22"/>
    </row>
    <row r="3744" spans="1:24" s="1" customFormat="1" ht="11.1" customHeight="1" x14ac:dyDescent="0.3">
      <c r="A3744" s="23" t="s">
        <v>3183</v>
      </c>
      <c r="B3744" s="23" t="s">
        <v>4049</v>
      </c>
      <c r="C3744" s="12" t="s">
        <v>4050</v>
      </c>
      <c r="D3744" s="84"/>
      <c r="E3744" s="69" t="str">
        <f t="shared" si="172"/>
        <v>Еще фото</v>
      </c>
      <c r="F3744" s="13"/>
      <c r="G3744" s="23" t="s">
        <v>150</v>
      </c>
      <c r="H3744" s="23" t="s">
        <v>151</v>
      </c>
      <c r="I3744" s="23" t="s">
        <v>424</v>
      </c>
      <c r="J3744" s="14" t="s">
        <v>138</v>
      </c>
      <c r="K3744" s="15" t="s">
        <v>30</v>
      </c>
      <c r="L3744" s="87"/>
      <c r="M3744" s="14"/>
      <c r="N3744" s="14" t="s">
        <v>49</v>
      </c>
      <c r="O3744" s="14"/>
      <c r="P3744" s="15" t="s">
        <v>4051</v>
      </c>
      <c r="Q3744" s="16">
        <v>10190</v>
      </c>
      <c r="R3744" s="17">
        <v>50</v>
      </c>
      <c r="S3744" s="18">
        <v>5859.25</v>
      </c>
      <c r="T3744" s="19" t="s">
        <v>328</v>
      </c>
      <c r="U3744" s="20" t="s">
        <v>426</v>
      </c>
      <c r="V3744" s="21">
        <v>38</v>
      </c>
      <c r="W3744" s="21">
        <v>12</v>
      </c>
      <c r="X3744" s="22"/>
    </row>
    <row r="3745" spans="1:24" s="1" customFormat="1" ht="11.1" customHeight="1" x14ac:dyDescent="0.3">
      <c r="A3745" s="14" t="s">
        <v>3183</v>
      </c>
      <c r="B3745" s="14" t="s">
        <v>4049</v>
      </c>
      <c r="C3745" s="12" t="s">
        <v>4050</v>
      </c>
      <c r="D3745" s="85"/>
      <c r="E3745" s="69" t="str">
        <f t="shared" si="172"/>
        <v>Еще фото</v>
      </c>
      <c r="F3745" s="36"/>
      <c r="G3745" s="14" t="s">
        <v>150</v>
      </c>
      <c r="H3745" s="14" t="s">
        <v>151</v>
      </c>
      <c r="I3745" s="14" t="s">
        <v>424</v>
      </c>
      <c r="J3745" s="14" t="s">
        <v>138</v>
      </c>
      <c r="K3745" s="14" t="s">
        <v>30</v>
      </c>
      <c r="L3745" s="88"/>
      <c r="M3745" s="14"/>
      <c r="N3745" s="14" t="s">
        <v>49</v>
      </c>
      <c r="O3745" s="14"/>
      <c r="P3745" s="14" t="s">
        <v>4051</v>
      </c>
      <c r="Q3745" s="33">
        <v>10190</v>
      </c>
      <c r="R3745" s="34">
        <v>50</v>
      </c>
      <c r="S3745" s="35">
        <v>5859.25</v>
      </c>
      <c r="T3745" s="19" t="s">
        <v>328</v>
      </c>
      <c r="U3745" s="20" t="s">
        <v>413</v>
      </c>
      <c r="V3745" s="21">
        <v>39</v>
      </c>
      <c r="W3745" s="21">
        <v>12</v>
      </c>
      <c r="X3745" s="22"/>
    </row>
    <row r="3746" spans="1:24" s="1" customFormat="1" ht="21" customHeight="1" x14ac:dyDescent="0.3">
      <c r="A3746" s="11" t="s">
        <v>3183</v>
      </c>
      <c r="B3746" s="11" t="s">
        <v>4052</v>
      </c>
      <c r="C3746" s="27" t="s">
        <v>4053</v>
      </c>
      <c r="D3746" s="83"/>
      <c r="E3746" s="69" t="str">
        <f>HYPERLINK("https://www.google.ru/search?q=U043QE00085C9999&amp;newwindow=1&amp;tbm=isch","Еще фото")</f>
        <v>Еще фото</v>
      </c>
      <c r="F3746" s="13"/>
      <c r="G3746" s="11" t="s">
        <v>3812</v>
      </c>
      <c r="H3746" s="11" t="s">
        <v>151</v>
      </c>
      <c r="I3746" s="14" t="s">
        <v>424</v>
      </c>
      <c r="J3746" s="14" t="s">
        <v>138</v>
      </c>
      <c r="K3746" s="15" t="s">
        <v>55</v>
      </c>
      <c r="L3746" s="86" t="s">
        <v>4054</v>
      </c>
      <c r="M3746" s="14"/>
      <c r="N3746" s="14" t="s">
        <v>49</v>
      </c>
      <c r="O3746" s="14"/>
      <c r="P3746" s="15" t="s">
        <v>4055</v>
      </c>
      <c r="Q3746" s="16">
        <v>15799</v>
      </c>
      <c r="R3746" s="17">
        <v>50</v>
      </c>
      <c r="S3746" s="18">
        <v>9084.4249999999993</v>
      </c>
      <c r="T3746" s="19" t="s">
        <v>328</v>
      </c>
      <c r="U3746" s="20" t="s">
        <v>400</v>
      </c>
      <c r="V3746" s="21">
        <v>41</v>
      </c>
      <c r="W3746" s="21">
        <v>2</v>
      </c>
      <c r="X3746" s="22"/>
    </row>
    <row r="3747" spans="1:24" s="1" customFormat="1" ht="21" customHeight="1" x14ac:dyDescent="0.3">
      <c r="A3747" s="23" t="s">
        <v>3183</v>
      </c>
      <c r="B3747" s="23" t="s">
        <v>4052</v>
      </c>
      <c r="C3747" s="28" t="s">
        <v>4053</v>
      </c>
      <c r="D3747" s="84"/>
      <c r="E3747" s="69" t="str">
        <f>HYPERLINK("https://www.google.ru/search?q=U043QE00085C9999&amp;newwindow=1&amp;tbm=isch","Еще фото")</f>
        <v>Еще фото</v>
      </c>
      <c r="F3747" s="13"/>
      <c r="G3747" s="23" t="s">
        <v>3812</v>
      </c>
      <c r="H3747" s="23" t="s">
        <v>151</v>
      </c>
      <c r="I3747" s="23" t="s">
        <v>424</v>
      </c>
      <c r="J3747" s="14" t="s">
        <v>138</v>
      </c>
      <c r="K3747" s="15" t="s">
        <v>55</v>
      </c>
      <c r="L3747" s="87"/>
      <c r="M3747" s="14"/>
      <c r="N3747" s="14" t="s">
        <v>49</v>
      </c>
      <c r="O3747" s="14"/>
      <c r="P3747" s="15" t="s">
        <v>4055</v>
      </c>
      <c r="Q3747" s="16">
        <v>15799</v>
      </c>
      <c r="R3747" s="17">
        <v>50</v>
      </c>
      <c r="S3747" s="18">
        <v>9084.4249999999993</v>
      </c>
      <c r="T3747" s="19" t="s">
        <v>328</v>
      </c>
      <c r="U3747" s="20" t="s">
        <v>457</v>
      </c>
      <c r="V3747" s="21">
        <v>42</v>
      </c>
      <c r="W3747" s="21">
        <v>7</v>
      </c>
      <c r="X3747" s="22"/>
    </row>
    <row r="3748" spans="1:24" s="1" customFormat="1" ht="21" customHeight="1" x14ac:dyDescent="0.3">
      <c r="A3748" s="23" t="s">
        <v>3183</v>
      </c>
      <c r="B3748" s="23" t="s">
        <v>4052</v>
      </c>
      <c r="C3748" s="28" t="s">
        <v>4053</v>
      </c>
      <c r="D3748" s="84"/>
      <c r="E3748" s="69" t="str">
        <f>HYPERLINK("https://www.google.ru/search?q=U043QE00085C9999&amp;newwindow=1&amp;tbm=isch","Еще фото")</f>
        <v>Еще фото</v>
      </c>
      <c r="F3748" s="13"/>
      <c r="G3748" s="23" t="s">
        <v>3812</v>
      </c>
      <c r="H3748" s="23" t="s">
        <v>151</v>
      </c>
      <c r="I3748" s="23" t="s">
        <v>424</v>
      </c>
      <c r="J3748" s="14" t="s">
        <v>138</v>
      </c>
      <c r="K3748" s="15" t="s">
        <v>55</v>
      </c>
      <c r="L3748" s="87"/>
      <c r="M3748" s="14"/>
      <c r="N3748" s="14" t="s">
        <v>49</v>
      </c>
      <c r="O3748" s="14"/>
      <c r="P3748" s="15" t="s">
        <v>4055</v>
      </c>
      <c r="Q3748" s="16">
        <v>15799</v>
      </c>
      <c r="R3748" s="17">
        <v>50</v>
      </c>
      <c r="S3748" s="18">
        <v>9084.4249999999993</v>
      </c>
      <c r="T3748" s="19" t="s">
        <v>328</v>
      </c>
      <c r="U3748" s="20" t="s">
        <v>401</v>
      </c>
      <c r="V3748" s="21">
        <v>43</v>
      </c>
      <c r="W3748" s="21">
        <v>8</v>
      </c>
      <c r="X3748" s="22"/>
    </row>
    <row r="3749" spans="1:24" s="1" customFormat="1" ht="21" customHeight="1" x14ac:dyDescent="0.3">
      <c r="A3749" s="23" t="s">
        <v>3183</v>
      </c>
      <c r="B3749" s="23" t="s">
        <v>4052</v>
      </c>
      <c r="C3749" s="28" t="s">
        <v>4053</v>
      </c>
      <c r="D3749" s="84"/>
      <c r="E3749" s="69" t="str">
        <f>HYPERLINK("https://www.google.ru/search?q=U043QE00085C9999&amp;newwindow=1&amp;tbm=isch","Еще фото")</f>
        <v>Еще фото</v>
      </c>
      <c r="F3749" s="13"/>
      <c r="G3749" s="23" t="s">
        <v>3812</v>
      </c>
      <c r="H3749" s="23" t="s">
        <v>151</v>
      </c>
      <c r="I3749" s="23" t="s">
        <v>424</v>
      </c>
      <c r="J3749" s="14" t="s">
        <v>138</v>
      </c>
      <c r="K3749" s="15" t="s">
        <v>55</v>
      </c>
      <c r="L3749" s="87"/>
      <c r="M3749" s="14"/>
      <c r="N3749" s="14" t="s">
        <v>49</v>
      </c>
      <c r="O3749" s="14"/>
      <c r="P3749" s="15" t="s">
        <v>4055</v>
      </c>
      <c r="Q3749" s="16">
        <v>15799</v>
      </c>
      <c r="R3749" s="17">
        <v>50</v>
      </c>
      <c r="S3749" s="18">
        <v>9084.4249999999993</v>
      </c>
      <c r="T3749" s="19" t="s">
        <v>328</v>
      </c>
      <c r="U3749" s="20" t="s">
        <v>402</v>
      </c>
      <c r="V3749" s="21">
        <v>44</v>
      </c>
      <c r="W3749" s="21">
        <v>4</v>
      </c>
      <c r="X3749" s="22"/>
    </row>
    <row r="3750" spans="1:24" s="1" customFormat="1" ht="32.1" customHeight="1" x14ac:dyDescent="0.3">
      <c r="A3750" s="23" t="s">
        <v>3183</v>
      </c>
      <c r="B3750" s="23" t="s">
        <v>4052</v>
      </c>
      <c r="C3750" s="28" t="s">
        <v>4053</v>
      </c>
      <c r="D3750" s="85"/>
      <c r="E3750" s="69" t="str">
        <f>HYPERLINK("https://www.google.ru/search?q=U043QE00085C9999&amp;newwindow=1&amp;tbm=isch","Еще фото")</f>
        <v>Еще фото</v>
      </c>
      <c r="F3750" s="13"/>
      <c r="G3750" s="23" t="s">
        <v>3812</v>
      </c>
      <c r="H3750" s="23" t="s">
        <v>151</v>
      </c>
      <c r="I3750" s="23" t="s">
        <v>424</v>
      </c>
      <c r="J3750" s="14" t="s">
        <v>138</v>
      </c>
      <c r="K3750" s="15" t="s">
        <v>55</v>
      </c>
      <c r="L3750" s="88"/>
      <c r="M3750" s="14"/>
      <c r="N3750" s="14" t="s">
        <v>49</v>
      </c>
      <c r="O3750" s="14"/>
      <c r="P3750" s="15" t="s">
        <v>4055</v>
      </c>
      <c r="Q3750" s="16">
        <v>15799</v>
      </c>
      <c r="R3750" s="17">
        <v>50</v>
      </c>
      <c r="S3750" s="18">
        <v>9084.4249999999993</v>
      </c>
      <c r="T3750" s="19" t="s">
        <v>328</v>
      </c>
      <c r="U3750" s="20" t="s">
        <v>403</v>
      </c>
      <c r="V3750" s="21">
        <v>45</v>
      </c>
      <c r="W3750" s="21">
        <v>1</v>
      </c>
      <c r="X3750" s="22"/>
    </row>
    <row r="3751" spans="1:24" s="1" customFormat="1" ht="108" customHeight="1" x14ac:dyDescent="0.3">
      <c r="A3751" s="11" t="s">
        <v>3183</v>
      </c>
      <c r="B3751" s="11" t="s">
        <v>4056</v>
      </c>
      <c r="C3751" s="12" t="s">
        <v>4057</v>
      </c>
      <c r="D3751" s="24"/>
      <c r="E3751" s="69" t="str">
        <f>HYPERLINK("https://www.google.ru/search?q=U45GSB00022C4002&amp;newwindow=1&amp;tbm=isch","Еще фото")</f>
        <v>Еще фото</v>
      </c>
      <c r="F3751" s="13"/>
      <c r="G3751" s="11" t="s">
        <v>3224</v>
      </c>
      <c r="H3751" s="11" t="s">
        <v>151</v>
      </c>
      <c r="I3751" s="14" t="s">
        <v>424</v>
      </c>
      <c r="J3751" s="14" t="s">
        <v>138</v>
      </c>
      <c r="K3751" s="15" t="s">
        <v>55</v>
      </c>
      <c r="L3751" s="14" t="s">
        <v>4058</v>
      </c>
      <c r="M3751" s="14"/>
      <c r="N3751" s="14" t="s">
        <v>70</v>
      </c>
      <c r="O3751" s="14"/>
      <c r="P3751" s="15" t="s">
        <v>4059</v>
      </c>
      <c r="Q3751" s="16">
        <v>14290</v>
      </c>
      <c r="R3751" s="17">
        <v>50</v>
      </c>
      <c r="S3751" s="18">
        <v>8216.75</v>
      </c>
      <c r="T3751" s="19" t="s">
        <v>328</v>
      </c>
      <c r="U3751" s="20" t="s">
        <v>401</v>
      </c>
      <c r="V3751" s="21">
        <v>43</v>
      </c>
      <c r="W3751" s="21">
        <v>1</v>
      </c>
      <c r="X3751" s="22"/>
    </row>
    <row r="3752" spans="1:24" s="1" customFormat="1" ht="51.95" customHeight="1" x14ac:dyDescent="0.3">
      <c r="A3752" s="11" t="s">
        <v>3183</v>
      </c>
      <c r="B3752" s="11" t="s">
        <v>4060</v>
      </c>
      <c r="C3752" s="12" t="s">
        <v>4061</v>
      </c>
      <c r="D3752" s="89"/>
      <c r="E3752" s="69" t="str">
        <f>HYPERLINK("https://www.google.ru/search?q=U46BYB04685C1039&amp;newwindow=1&amp;tbm=isch","Еще фото")</f>
        <v>Еще фото</v>
      </c>
      <c r="F3752" s="13"/>
      <c r="G3752" s="11" t="s">
        <v>394</v>
      </c>
      <c r="H3752" s="11" t="s">
        <v>151</v>
      </c>
      <c r="I3752" s="14" t="s">
        <v>424</v>
      </c>
      <c r="J3752" s="14" t="s">
        <v>29</v>
      </c>
      <c r="K3752" s="15" t="s">
        <v>55</v>
      </c>
      <c r="L3752" s="86" t="s">
        <v>4062</v>
      </c>
      <c r="M3752" s="14"/>
      <c r="N3752" s="14" t="s">
        <v>4063</v>
      </c>
      <c r="O3752" s="14"/>
      <c r="P3752" s="15" t="s">
        <v>4064</v>
      </c>
      <c r="Q3752" s="16">
        <v>20799</v>
      </c>
      <c r="R3752" s="17">
        <v>50</v>
      </c>
      <c r="S3752" s="18">
        <v>11959.424999999999</v>
      </c>
      <c r="T3752" s="19" t="s">
        <v>328</v>
      </c>
      <c r="U3752" s="20" t="s">
        <v>401</v>
      </c>
      <c r="V3752" s="21">
        <v>43</v>
      </c>
      <c r="W3752" s="21">
        <v>4</v>
      </c>
      <c r="X3752" s="22"/>
    </row>
    <row r="3753" spans="1:24" s="1" customFormat="1" ht="60.95" customHeight="1" x14ac:dyDescent="0.3">
      <c r="A3753" s="23" t="s">
        <v>3183</v>
      </c>
      <c r="B3753" s="23" t="s">
        <v>4060</v>
      </c>
      <c r="C3753" s="12" t="s">
        <v>4061</v>
      </c>
      <c r="D3753" s="90"/>
      <c r="E3753" s="69" t="str">
        <f>HYPERLINK("https://www.google.ru/search?q=U46BYB04685C1039&amp;newwindow=1&amp;tbm=isch","Еще фото")</f>
        <v>Еще фото</v>
      </c>
      <c r="F3753" s="13"/>
      <c r="G3753" s="23" t="s">
        <v>394</v>
      </c>
      <c r="H3753" s="23" t="s">
        <v>151</v>
      </c>
      <c r="I3753" s="23" t="s">
        <v>424</v>
      </c>
      <c r="J3753" s="14" t="s">
        <v>29</v>
      </c>
      <c r="K3753" s="15" t="s">
        <v>55</v>
      </c>
      <c r="L3753" s="88"/>
      <c r="M3753" s="14"/>
      <c r="N3753" s="14" t="s">
        <v>4063</v>
      </c>
      <c r="O3753" s="14"/>
      <c r="P3753" s="15" t="s">
        <v>4064</v>
      </c>
      <c r="Q3753" s="16">
        <v>20799</v>
      </c>
      <c r="R3753" s="17">
        <v>50</v>
      </c>
      <c r="S3753" s="18">
        <v>11959.424999999999</v>
      </c>
      <c r="T3753" s="19" t="s">
        <v>328</v>
      </c>
      <c r="U3753" s="20" t="s">
        <v>402</v>
      </c>
      <c r="V3753" s="21">
        <v>44</v>
      </c>
      <c r="W3753" s="21">
        <v>1</v>
      </c>
      <c r="X3753" s="22"/>
    </row>
    <row r="3754" spans="1:24" s="1" customFormat="1" ht="51.95" customHeight="1" x14ac:dyDescent="0.3">
      <c r="A3754" s="11" t="s">
        <v>3183</v>
      </c>
      <c r="B3754" s="11" t="s">
        <v>4065</v>
      </c>
      <c r="C3754" s="12" t="s">
        <v>4066</v>
      </c>
      <c r="D3754" s="89"/>
      <c r="E3754" s="69" t="str">
        <f>HYPERLINK("https://www.google.ru/search?q=U46E1B0EK11C4021&amp;newwindow=1&amp;tbm=isch","Еще фото")</f>
        <v>Еще фото</v>
      </c>
      <c r="F3754" s="13"/>
      <c r="G3754" s="11" t="s">
        <v>394</v>
      </c>
      <c r="H3754" s="11" t="s">
        <v>151</v>
      </c>
      <c r="I3754" s="14" t="s">
        <v>424</v>
      </c>
      <c r="J3754" s="14" t="s">
        <v>29</v>
      </c>
      <c r="K3754" s="15" t="s">
        <v>55</v>
      </c>
      <c r="L3754" s="86" t="s">
        <v>4067</v>
      </c>
      <c r="M3754" s="14"/>
      <c r="N3754" s="14" t="s">
        <v>140</v>
      </c>
      <c r="O3754" s="14"/>
      <c r="P3754" s="15" t="s">
        <v>4068</v>
      </c>
      <c r="Q3754" s="16">
        <v>14299</v>
      </c>
      <c r="R3754" s="17">
        <v>50</v>
      </c>
      <c r="S3754" s="18">
        <v>8221.9249999999993</v>
      </c>
      <c r="T3754" s="19" t="s">
        <v>328</v>
      </c>
      <c r="U3754" s="20" t="s">
        <v>402</v>
      </c>
      <c r="V3754" s="21">
        <v>44</v>
      </c>
      <c r="W3754" s="21">
        <v>2</v>
      </c>
      <c r="X3754" s="22"/>
    </row>
    <row r="3755" spans="1:24" s="1" customFormat="1" ht="60.95" customHeight="1" x14ac:dyDescent="0.3">
      <c r="A3755" s="23" t="s">
        <v>3183</v>
      </c>
      <c r="B3755" s="23" t="s">
        <v>4065</v>
      </c>
      <c r="C3755" s="12" t="s">
        <v>4066</v>
      </c>
      <c r="D3755" s="90"/>
      <c r="E3755" s="69" t="str">
        <f>HYPERLINK("https://www.google.ru/search?q=U46E1B0EK11C4021&amp;newwindow=1&amp;tbm=isch","Еще фото")</f>
        <v>Еще фото</v>
      </c>
      <c r="F3755" s="13"/>
      <c r="G3755" s="23" t="s">
        <v>394</v>
      </c>
      <c r="H3755" s="23" t="s">
        <v>151</v>
      </c>
      <c r="I3755" s="23" t="s">
        <v>424</v>
      </c>
      <c r="J3755" s="14" t="s">
        <v>29</v>
      </c>
      <c r="K3755" s="15" t="s">
        <v>55</v>
      </c>
      <c r="L3755" s="88"/>
      <c r="M3755" s="14"/>
      <c r="N3755" s="14" t="s">
        <v>140</v>
      </c>
      <c r="O3755" s="14"/>
      <c r="P3755" s="15" t="s">
        <v>4068</v>
      </c>
      <c r="Q3755" s="16">
        <v>14299</v>
      </c>
      <c r="R3755" s="17">
        <v>50</v>
      </c>
      <c r="S3755" s="18">
        <v>8221.9249999999993</v>
      </c>
      <c r="T3755" s="19" t="s">
        <v>328</v>
      </c>
      <c r="U3755" s="20" t="s">
        <v>403</v>
      </c>
      <c r="V3755" s="21">
        <v>45</v>
      </c>
      <c r="W3755" s="21">
        <v>1</v>
      </c>
      <c r="X3755" s="22"/>
    </row>
    <row r="3756" spans="1:24" s="1" customFormat="1" ht="51.95" customHeight="1" x14ac:dyDescent="0.3">
      <c r="A3756" s="11" t="s">
        <v>3183</v>
      </c>
      <c r="B3756" s="11" t="s">
        <v>4069</v>
      </c>
      <c r="C3756" s="12" t="s">
        <v>4070</v>
      </c>
      <c r="D3756" s="89"/>
      <c r="E3756" s="69" t="str">
        <f>HYPERLINK("https://www.google.ru/search?q=U55BUB09B04C1000&amp;newwindow=1&amp;tbm=isch","Еще фото")</f>
        <v>Еще фото</v>
      </c>
      <c r="F3756" s="13"/>
      <c r="G3756" s="11" t="s">
        <v>394</v>
      </c>
      <c r="H3756" s="11" t="s">
        <v>151</v>
      </c>
      <c r="I3756" s="14" t="s">
        <v>424</v>
      </c>
      <c r="J3756" s="14" t="s">
        <v>29</v>
      </c>
      <c r="K3756" s="15" t="s">
        <v>55</v>
      </c>
      <c r="L3756" s="86" t="s">
        <v>4071</v>
      </c>
      <c r="M3756" s="14"/>
      <c r="N3756" s="14" t="s">
        <v>89</v>
      </c>
      <c r="O3756" s="14"/>
      <c r="P3756" s="15" t="s">
        <v>4072</v>
      </c>
      <c r="Q3756" s="16">
        <v>13999</v>
      </c>
      <c r="R3756" s="17">
        <v>50</v>
      </c>
      <c r="S3756" s="18">
        <v>8049.4249999999993</v>
      </c>
      <c r="T3756" s="19" t="s">
        <v>328</v>
      </c>
      <c r="U3756" s="20" t="s">
        <v>457</v>
      </c>
      <c r="V3756" s="21">
        <v>42</v>
      </c>
      <c r="W3756" s="21">
        <v>4</v>
      </c>
      <c r="X3756" s="22"/>
    </row>
    <row r="3757" spans="1:24" s="1" customFormat="1" ht="60.95" customHeight="1" x14ac:dyDescent="0.3">
      <c r="A3757" s="23" t="s">
        <v>3183</v>
      </c>
      <c r="B3757" s="23" t="s">
        <v>4069</v>
      </c>
      <c r="C3757" s="12" t="s">
        <v>4070</v>
      </c>
      <c r="D3757" s="90"/>
      <c r="E3757" s="69" t="str">
        <f>HYPERLINK("https://www.google.ru/search?q=U55BUB09B04C1000&amp;newwindow=1&amp;tbm=isch","Еще фото")</f>
        <v>Еще фото</v>
      </c>
      <c r="F3757" s="13"/>
      <c r="G3757" s="23" t="s">
        <v>394</v>
      </c>
      <c r="H3757" s="23" t="s">
        <v>151</v>
      </c>
      <c r="I3757" s="23" t="s">
        <v>424</v>
      </c>
      <c r="J3757" s="14" t="s">
        <v>29</v>
      </c>
      <c r="K3757" s="15" t="s">
        <v>55</v>
      </c>
      <c r="L3757" s="88"/>
      <c r="M3757" s="14"/>
      <c r="N3757" s="14" t="s">
        <v>89</v>
      </c>
      <c r="O3757" s="14"/>
      <c r="P3757" s="15" t="s">
        <v>4072</v>
      </c>
      <c r="Q3757" s="16">
        <v>13999</v>
      </c>
      <c r="R3757" s="17">
        <v>50</v>
      </c>
      <c r="S3757" s="18">
        <v>8049.4249999999993</v>
      </c>
      <c r="T3757" s="19" t="s">
        <v>328</v>
      </c>
      <c r="U3757" s="20" t="s">
        <v>401</v>
      </c>
      <c r="V3757" s="21">
        <v>43</v>
      </c>
      <c r="W3757" s="21">
        <v>2</v>
      </c>
      <c r="X3757" s="22"/>
    </row>
    <row r="3758" spans="1:24" s="1" customFormat="1" ht="51.95" customHeight="1" x14ac:dyDescent="0.3">
      <c r="A3758" s="11" t="s">
        <v>3183</v>
      </c>
      <c r="B3758" s="11" t="s">
        <v>4073</v>
      </c>
      <c r="C3758" s="12" t="s">
        <v>4074</v>
      </c>
      <c r="D3758" s="89"/>
      <c r="E3758" s="69" t="str">
        <f>HYPERLINK("https://www.google.ru/search?q=U55BVA014EKC4002&amp;newwindow=1&amp;tbm=isch","Еще фото")</f>
        <v>Еще фото</v>
      </c>
      <c r="F3758" s="13"/>
      <c r="G3758" s="11" t="s">
        <v>394</v>
      </c>
      <c r="H3758" s="11" t="s">
        <v>151</v>
      </c>
      <c r="I3758" s="14" t="s">
        <v>424</v>
      </c>
      <c r="J3758" s="14" t="s">
        <v>29</v>
      </c>
      <c r="K3758" s="15" t="s">
        <v>55</v>
      </c>
      <c r="L3758" s="86" t="s">
        <v>4075</v>
      </c>
      <c r="M3758" s="14"/>
      <c r="N3758" s="14" t="s">
        <v>70</v>
      </c>
      <c r="O3758" s="14"/>
      <c r="P3758" s="15" t="s">
        <v>4076</v>
      </c>
      <c r="Q3758" s="16">
        <v>12999</v>
      </c>
      <c r="R3758" s="17">
        <v>50</v>
      </c>
      <c r="S3758" s="18">
        <v>7474.4249999999993</v>
      </c>
      <c r="T3758" s="19" t="s">
        <v>328</v>
      </c>
      <c r="U3758" s="20" t="s">
        <v>401</v>
      </c>
      <c r="V3758" s="21">
        <v>43</v>
      </c>
      <c r="W3758" s="21">
        <v>2</v>
      </c>
      <c r="X3758" s="22"/>
    </row>
    <row r="3759" spans="1:24" s="1" customFormat="1" ht="60.95" customHeight="1" x14ac:dyDescent="0.3">
      <c r="A3759" s="23" t="s">
        <v>3183</v>
      </c>
      <c r="B3759" s="23" t="s">
        <v>4073</v>
      </c>
      <c r="C3759" s="12" t="s">
        <v>4074</v>
      </c>
      <c r="D3759" s="90"/>
      <c r="E3759" s="69" t="str">
        <f>HYPERLINK("https://www.google.ru/search?q=U55BVA014EKC4002&amp;newwindow=1&amp;tbm=isch","Еще фото")</f>
        <v>Еще фото</v>
      </c>
      <c r="F3759" s="13"/>
      <c r="G3759" s="23" t="s">
        <v>394</v>
      </c>
      <c r="H3759" s="23" t="s">
        <v>151</v>
      </c>
      <c r="I3759" s="23" t="s">
        <v>424</v>
      </c>
      <c r="J3759" s="14" t="s">
        <v>29</v>
      </c>
      <c r="K3759" s="15" t="s">
        <v>55</v>
      </c>
      <c r="L3759" s="88"/>
      <c r="M3759" s="14"/>
      <c r="N3759" s="14" t="s">
        <v>70</v>
      </c>
      <c r="O3759" s="14"/>
      <c r="P3759" s="15" t="s">
        <v>4076</v>
      </c>
      <c r="Q3759" s="16">
        <v>12999</v>
      </c>
      <c r="R3759" s="17">
        <v>50</v>
      </c>
      <c r="S3759" s="18">
        <v>7474.4249999999993</v>
      </c>
      <c r="T3759" s="19" t="s">
        <v>328</v>
      </c>
      <c r="U3759" s="20" t="s">
        <v>402</v>
      </c>
      <c r="V3759" s="21">
        <v>44</v>
      </c>
      <c r="W3759" s="21">
        <v>2</v>
      </c>
      <c r="X3759" s="22"/>
    </row>
    <row r="3760" spans="1:24" s="1" customFormat="1" ht="35.1" customHeight="1" x14ac:dyDescent="0.3">
      <c r="A3760" s="11" t="s">
        <v>3183</v>
      </c>
      <c r="B3760" s="11" t="s">
        <v>4077</v>
      </c>
      <c r="C3760" s="12" t="s">
        <v>4078</v>
      </c>
      <c r="D3760" s="83"/>
      <c r="E3760" s="69" t="str">
        <f>HYPERLINK("https://www.google.ru/search?q=U55DWA00010C1018&amp;newwindow=1&amp;tbm=isch","Еще фото")</f>
        <v>Еще фото</v>
      </c>
      <c r="F3760" s="13"/>
      <c r="G3760" s="11" t="s">
        <v>3812</v>
      </c>
      <c r="H3760" s="11" t="s">
        <v>151</v>
      </c>
      <c r="I3760" s="14" t="s">
        <v>424</v>
      </c>
      <c r="J3760" s="14" t="s">
        <v>138</v>
      </c>
      <c r="K3760" s="15" t="s">
        <v>55</v>
      </c>
      <c r="L3760" s="86" t="s">
        <v>4079</v>
      </c>
      <c r="M3760" s="14"/>
      <c r="N3760" s="14" t="s">
        <v>41</v>
      </c>
      <c r="O3760" s="14"/>
      <c r="P3760" s="15" t="s">
        <v>4080</v>
      </c>
      <c r="Q3760" s="16">
        <v>13990</v>
      </c>
      <c r="R3760" s="17">
        <v>50</v>
      </c>
      <c r="S3760" s="18">
        <v>8044.2499999999991</v>
      </c>
      <c r="T3760" s="19" t="s">
        <v>328</v>
      </c>
      <c r="U3760" s="20" t="s">
        <v>401</v>
      </c>
      <c r="V3760" s="21">
        <v>43</v>
      </c>
      <c r="W3760" s="21">
        <v>1</v>
      </c>
      <c r="X3760" s="22"/>
    </row>
    <row r="3761" spans="1:24" s="1" customFormat="1" ht="35.1" customHeight="1" x14ac:dyDescent="0.3">
      <c r="A3761" s="23" t="s">
        <v>3183</v>
      </c>
      <c r="B3761" s="23" t="s">
        <v>4077</v>
      </c>
      <c r="C3761" s="12" t="s">
        <v>4078</v>
      </c>
      <c r="D3761" s="84"/>
      <c r="E3761" s="69" t="str">
        <f>HYPERLINK("https://www.google.ru/search?q=U55DWA00010C1018&amp;newwindow=1&amp;tbm=isch","Еще фото")</f>
        <v>Еще фото</v>
      </c>
      <c r="F3761" s="13"/>
      <c r="G3761" s="23" t="s">
        <v>3812</v>
      </c>
      <c r="H3761" s="23" t="s">
        <v>151</v>
      </c>
      <c r="I3761" s="23" t="s">
        <v>424</v>
      </c>
      <c r="J3761" s="14" t="s">
        <v>138</v>
      </c>
      <c r="K3761" s="15" t="s">
        <v>55</v>
      </c>
      <c r="L3761" s="87"/>
      <c r="M3761" s="14"/>
      <c r="N3761" s="14" t="s">
        <v>41</v>
      </c>
      <c r="O3761" s="14"/>
      <c r="P3761" s="15" t="s">
        <v>4080</v>
      </c>
      <c r="Q3761" s="16">
        <v>13990</v>
      </c>
      <c r="R3761" s="17">
        <v>50</v>
      </c>
      <c r="S3761" s="18">
        <v>8044.2499999999991</v>
      </c>
      <c r="T3761" s="19" t="s">
        <v>328</v>
      </c>
      <c r="U3761" s="20" t="s">
        <v>402</v>
      </c>
      <c r="V3761" s="21">
        <v>44</v>
      </c>
      <c r="W3761" s="21">
        <v>2</v>
      </c>
      <c r="X3761" s="22"/>
    </row>
    <row r="3762" spans="1:24" s="1" customFormat="1" ht="36.950000000000003" customHeight="1" x14ac:dyDescent="0.3">
      <c r="A3762" s="23" t="s">
        <v>3183</v>
      </c>
      <c r="B3762" s="23" t="s">
        <v>4077</v>
      </c>
      <c r="C3762" s="12" t="s">
        <v>4078</v>
      </c>
      <c r="D3762" s="85"/>
      <c r="E3762" s="69" t="str">
        <f>HYPERLINK("https://www.google.ru/search?q=U55DWA00010C1018&amp;newwindow=1&amp;tbm=isch","Еще фото")</f>
        <v>Еще фото</v>
      </c>
      <c r="F3762" s="13"/>
      <c r="G3762" s="23" t="s">
        <v>3812</v>
      </c>
      <c r="H3762" s="23" t="s">
        <v>151</v>
      </c>
      <c r="I3762" s="23" t="s">
        <v>424</v>
      </c>
      <c r="J3762" s="14" t="s">
        <v>138</v>
      </c>
      <c r="K3762" s="15" t="s">
        <v>55</v>
      </c>
      <c r="L3762" s="88"/>
      <c r="M3762" s="14"/>
      <c r="N3762" s="14" t="s">
        <v>41</v>
      </c>
      <c r="O3762" s="14"/>
      <c r="P3762" s="15" t="s">
        <v>4080</v>
      </c>
      <c r="Q3762" s="16">
        <v>13990</v>
      </c>
      <c r="R3762" s="17">
        <v>50</v>
      </c>
      <c r="S3762" s="18">
        <v>8044.2499999999991</v>
      </c>
      <c r="T3762" s="19" t="s">
        <v>328</v>
      </c>
      <c r="U3762" s="20" t="s">
        <v>403</v>
      </c>
      <c r="V3762" s="21">
        <v>45</v>
      </c>
      <c r="W3762" s="21">
        <v>1</v>
      </c>
      <c r="X3762" s="22"/>
    </row>
    <row r="3763" spans="1:24" s="1" customFormat="1" ht="108" customHeight="1" x14ac:dyDescent="0.3">
      <c r="A3763" s="11" t="s">
        <v>3183</v>
      </c>
      <c r="B3763" s="11" t="s">
        <v>4081</v>
      </c>
      <c r="C3763" s="12" t="s">
        <v>4082</v>
      </c>
      <c r="D3763" s="24"/>
      <c r="E3763" s="69" t="str">
        <f>HYPERLINK("https://www.google.ru/search?q=U55HVD00043C9999&amp;newwindow=1&amp;tbm=isch","Еще фото")</f>
        <v>Еще фото</v>
      </c>
      <c r="F3763" s="13"/>
      <c r="G3763" s="11" t="s">
        <v>4005</v>
      </c>
      <c r="H3763" s="11" t="s">
        <v>151</v>
      </c>
      <c r="I3763" s="14" t="s">
        <v>424</v>
      </c>
      <c r="J3763" s="14" t="s">
        <v>138</v>
      </c>
      <c r="K3763" s="15" t="s">
        <v>55</v>
      </c>
      <c r="L3763" s="14" t="s">
        <v>4083</v>
      </c>
      <c r="M3763" s="14"/>
      <c r="N3763" s="14" t="s">
        <v>49</v>
      </c>
      <c r="O3763" s="14"/>
      <c r="P3763" s="15" t="s">
        <v>4084</v>
      </c>
      <c r="Q3763" s="16">
        <v>19490</v>
      </c>
      <c r="R3763" s="17">
        <v>50</v>
      </c>
      <c r="S3763" s="18">
        <v>11206.75</v>
      </c>
      <c r="T3763" s="19" t="s">
        <v>328</v>
      </c>
      <c r="U3763" s="20" t="s">
        <v>401</v>
      </c>
      <c r="V3763" s="21">
        <v>43</v>
      </c>
      <c r="W3763" s="21">
        <v>1</v>
      </c>
      <c r="X3763" s="22"/>
    </row>
    <row r="3764" spans="1:24" s="1" customFormat="1" ht="35.1" customHeight="1" x14ac:dyDescent="0.3">
      <c r="A3764" s="11" t="s">
        <v>3183</v>
      </c>
      <c r="B3764" s="11" t="s">
        <v>4085</v>
      </c>
      <c r="C3764" s="12" t="s">
        <v>4086</v>
      </c>
      <c r="D3764" s="83"/>
      <c r="E3764" s="69" t="str">
        <f>HYPERLINK("https://www.google.ru/search?q=U55LCA02211C9002&amp;newwindow=1&amp;tbm=isch","Еще фото")</f>
        <v>Еще фото</v>
      </c>
      <c r="F3764" s="13"/>
      <c r="G3764" s="11" t="s">
        <v>394</v>
      </c>
      <c r="H3764" s="11" t="s">
        <v>151</v>
      </c>
      <c r="I3764" s="14" t="s">
        <v>424</v>
      </c>
      <c r="J3764" s="14" t="s">
        <v>29</v>
      </c>
      <c r="K3764" s="15" t="s">
        <v>55</v>
      </c>
      <c r="L3764" s="86" t="s">
        <v>4087</v>
      </c>
      <c r="M3764" s="14"/>
      <c r="N3764" s="14" t="s">
        <v>3743</v>
      </c>
      <c r="O3764" s="14"/>
      <c r="P3764" s="15" t="s">
        <v>4088</v>
      </c>
      <c r="Q3764" s="16">
        <v>14299</v>
      </c>
      <c r="R3764" s="17">
        <v>50</v>
      </c>
      <c r="S3764" s="18">
        <v>8221.9249999999993</v>
      </c>
      <c r="T3764" s="19" t="s">
        <v>328</v>
      </c>
      <c r="U3764" s="20" t="s">
        <v>399</v>
      </c>
      <c r="V3764" s="21">
        <v>40</v>
      </c>
      <c r="W3764" s="21">
        <v>1</v>
      </c>
      <c r="X3764" s="22"/>
    </row>
    <row r="3765" spans="1:24" s="1" customFormat="1" ht="35.1" customHeight="1" x14ac:dyDescent="0.3">
      <c r="A3765" s="23" t="s">
        <v>3183</v>
      </c>
      <c r="B3765" s="23" t="s">
        <v>4085</v>
      </c>
      <c r="C3765" s="12" t="s">
        <v>4086</v>
      </c>
      <c r="D3765" s="84"/>
      <c r="E3765" s="69" t="str">
        <f>HYPERLINK("https://www.google.ru/search?q=U55LCA02211C9002&amp;newwindow=1&amp;tbm=isch","Еще фото")</f>
        <v>Еще фото</v>
      </c>
      <c r="F3765" s="13"/>
      <c r="G3765" s="23" t="s">
        <v>394</v>
      </c>
      <c r="H3765" s="23" t="s">
        <v>151</v>
      </c>
      <c r="I3765" s="23" t="s">
        <v>424</v>
      </c>
      <c r="J3765" s="14" t="s">
        <v>29</v>
      </c>
      <c r="K3765" s="15" t="s">
        <v>55</v>
      </c>
      <c r="L3765" s="87"/>
      <c r="M3765" s="14"/>
      <c r="N3765" s="14" t="s">
        <v>3743</v>
      </c>
      <c r="O3765" s="14"/>
      <c r="P3765" s="15" t="s">
        <v>4088</v>
      </c>
      <c r="Q3765" s="16">
        <v>14299</v>
      </c>
      <c r="R3765" s="17">
        <v>50</v>
      </c>
      <c r="S3765" s="18">
        <v>8221.9249999999993</v>
      </c>
      <c r="T3765" s="19" t="s">
        <v>328</v>
      </c>
      <c r="U3765" s="20" t="s">
        <v>457</v>
      </c>
      <c r="V3765" s="21">
        <v>42</v>
      </c>
      <c r="W3765" s="21">
        <v>1</v>
      </c>
      <c r="X3765" s="22"/>
    </row>
    <row r="3766" spans="1:24" s="1" customFormat="1" ht="36.950000000000003" customHeight="1" x14ac:dyDescent="0.3">
      <c r="A3766" s="23" t="s">
        <v>3183</v>
      </c>
      <c r="B3766" s="23" t="s">
        <v>4085</v>
      </c>
      <c r="C3766" s="12" t="s">
        <v>4086</v>
      </c>
      <c r="D3766" s="85"/>
      <c r="E3766" s="69" t="str">
        <f>HYPERLINK("https://www.google.ru/search?q=U55LCA02211C9002&amp;newwindow=1&amp;tbm=isch","Еще фото")</f>
        <v>Еще фото</v>
      </c>
      <c r="F3766" s="13"/>
      <c r="G3766" s="23" t="s">
        <v>394</v>
      </c>
      <c r="H3766" s="23" t="s">
        <v>151</v>
      </c>
      <c r="I3766" s="23" t="s">
        <v>424</v>
      </c>
      <c r="J3766" s="14" t="s">
        <v>29</v>
      </c>
      <c r="K3766" s="15" t="s">
        <v>55</v>
      </c>
      <c r="L3766" s="88"/>
      <c r="M3766" s="14"/>
      <c r="N3766" s="14" t="s">
        <v>3743</v>
      </c>
      <c r="O3766" s="14"/>
      <c r="P3766" s="15" t="s">
        <v>4088</v>
      </c>
      <c r="Q3766" s="16">
        <v>14299</v>
      </c>
      <c r="R3766" s="17">
        <v>50</v>
      </c>
      <c r="S3766" s="18">
        <v>8221.9249999999993</v>
      </c>
      <c r="T3766" s="19" t="s">
        <v>328</v>
      </c>
      <c r="U3766" s="20" t="s">
        <v>401</v>
      </c>
      <c r="V3766" s="21">
        <v>43</v>
      </c>
      <c r="W3766" s="21">
        <v>1</v>
      </c>
      <c r="X3766" s="22"/>
    </row>
    <row r="3767" spans="1:24" s="1" customFormat="1" ht="35.1" customHeight="1" x14ac:dyDescent="0.3">
      <c r="A3767" s="11" t="s">
        <v>3183</v>
      </c>
      <c r="B3767" s="11" t="s">
        <v>3930</v>
      </c>
      <c r="C3767" s="12" t="s">
        <v>4089</v>
      </c>
      <c r="D3767" s="83"/>
      <c r="E3767" s="69" t="str">
        <f>HYPERLINK("https://www.google.ru/search?q=U55Q3A00047C9999&amp;newwindow=1&amp;tbm=isch","Еще фото")</f>
        <v>Еще фото</v>
      </c>
      <c r="F3767" s="13"/>
      <c r="G3767" s="11" t="s">
        <v>3812</v>
      </c>
      <c r="H3767" s="11" t="s">
        <v>151</v>
      </c>
      <c r="I3767" s="14" t="s">
        <v>424</v>
      </c>
      <c r="J3767" s="14" t="s">
        <v>29</v>
      </c>
      <c r="K3767" s="15" t="s">
        <v>55</v>
      </c>
      <c r="L3767" s="86" t="s">
        <v>3932</v>
      </c>
      <c r="M3767" s="14"/>
      <c r="N3767" s="14" t="s">
        <v>49</v>
      </c>
      <c r="O3767" s="14"/>
      <c r="P3767" s="15" t="s">
        <v>4090</v>
      </c>
      <c r="Q3767" s="16">
        <v>15799</v>
      </c>
      <c r="R3767" s="17">
        <v>50</v>
      </c>
      <c r="S3767" s="18">
        <v>9084.4249999999993</v>
      </c>
      <c r="T3767" s="19" t="s">
        <v>328</v>
      </c>
      <c r="U3767" s="20" t="s">
        <v>400</v>
      </c>
      <c r="V3767" s="21">
        <v>41</v>
      </c>
      <c r="W3767" s="21">
        <v>1</v>
      </c>
      <c r="X3767" s="22"/>
    </row>
    <row r="3768" spans="1:24" s="1" customFormat="1" ht="35.1" customHeight="1" x14ac:dyDescent="0.3">
      <c r="A3768" s="23" t="s">
        <v>3183</v>
      </c>
      <c r="B3768" s="23" t="s">
        <v>3930</v>
      </c>
      <c r="C3768" s="12" t="s">
        <v>4089</v>
      </c>
      <c r="D3768" s="84"/>
      <c r="E3768" s="69" t="str">
        <f>HYPERLINK("https://www.google.ru/search?q=U55Q3A00047C9999&amp;newwindow=1&amp;tbm=isch","Еще фото")</f>
        <v>Еще фото</v>
      </c>
      <c r="F3768" s="13"/>
      <c r="G3768" s="23" t="s">
        <v>3812</v>
      </c>
      <c r="H3768" s="23" t="s">
        <v>151</v>
      </c>
      <c r="I3768" s="23" t="s">
        <v>424</v>
      </c>
      <c r="J3768" s="14" t="s">
        <v>29</v>
      </c>
      <c r="K3768" s="15" t="s">
        <v>55</v>
      </c>
      <c r="L3768" s="87"/>
      <c r="M3768" s="14"/>
      <c r="N3768" s="14" t="s">
        <v>49</v>
      </c>
      <c r="O3768" s="14"/>
      <c r="P3768" s="15" t="s">
        <v>4090</v>
      </c>
      <c r="Q3768" s="16">
        <v>15799</v>
      </c>
      <c r="R3768" s="17">
        <v>50</v>
      </c>
      <c r="S3768" s="18">
        <v>9084.4249999999993</v>
      </c>
      <c r="T3768" s="19" t="s">
        <v>328</v>
      </c>
      <c r="U3768" s="20" t="s">
        <v>401</v>
      </c>
      <c r="V3768" s="21">
        <v>43</v>
      </c>
      <c r="W3768" s="21">
        <v>6</v>
      </c>
      <c r="X3768" s="22"/>
    </row>
    <row r="3769" spans="1:24" s="1" customFormat="1" ht="36.950000000000003" customHeight="1" x14ac:dyDescent="0.3">
      <c r="A3769" s="23" t="s">
        <v>3183</v>
      </c>
      <c r="B3769" s="23" t="s">
        <v>3930</v>
      </c>
      <c r="C3769" s="12" t="s">
        <v>4089</v>
      </c>
      <c r="D3769" s="85"/>
      <c r="E3769" s="69" t="str">
        <f>HYPERLINK("https://www.google.ru/search?q=U55Q3A00047C9999&amp;newwindow=1&amp;tbm=isch","Еще фото")</f>
        <v>Еще фото</v>
      </c>
      <c r="F3769" s="13"/>
      <c r="G3769" s="23" t="s">
        <v>3812</v>
      </c>
      <c r="H3769" s="23" t="s">
        <v>151</v>
      </c>
      <c r="I3769" s="23" t="s">
        <v>424</v>
      </c>
      <c r="J3769" s="14" t="s">
        <v>29</v>
      </c>
      <c r="K3769" s="15" t="s">
        <v>55</v>
      </c>
      <c r="L3769" s="88"/>
      <c r="M3769" s="14"/>
      <c r="N3769" s="14" t="s">
        <v>49</v>
      </c>
      <c r="O3769" s="14"/>
      <c r="P3769" s="15" t="s">
        <v>4090</v>
      </c>
      <c r="Q3769" s="16">
        <v>15799</v>
      </c>
      <c r="R3769" s="17">
        <v>50</v>
      </c>
      <c r="S3769" s="18">
        <v>9084.4249999999993</v>
      </c>
      <c r="T3769" s="19" t="s">
        <v>328</v>
      </c>
      <c r="U3769" s="20" t="s">
        <v>402</v>
      </c>
      <c r="V3769" s="21">
        <v>44</v>
      </c>
      <c r="W3769" s="21">
        <v>5</v>
      </c>
      <c r="X3769" s="22"/>
    </row>
    <row r="3770" spans="1:24" s="1" customFormat="1" ht="51.95" customHeight="1" x14ac:dyDescent="0.3">
      <c r="A3770" s="11" t="s">
        <v>3183</v>
      </c>
      <c r="B3770" s="11" t="s">
        <v>3652</v>
      </c>
      <c r="C3770" s="12" t="s">
        <v>4091</v>
      </c>
      <c r="D3770" s="89"/>
      <c r="E3770" s="69" t="str">
        <f>HYPERLINK("https://www.google.ru/search?q=U56M2A0EK3RC0045&amp;newwindow=1&amp;tbm=isch","Еще фото")</f>
        <v>Еще фото</v>
      </c>
      <c r="F3770" s="13"/>
      <c r="G3770" s="11" t="s">
        <v>394</v>
      </c>
      <c r="H3770" s="11" t="s">
        <v>151</v>
      </c>
      <c r="I3770" s="14" t="s">
        <v>424</v>
      </c>
      <c r="J3770" s="14" t="s">
        <v>29</v>
      </c>
      <c r="K3770" s="15" t="s">
        <v>55</v>
      </c>
      <c r="L3770" s="86" t="s">
        <v>4092</v>
      </c>
      <c r="M3770" s="14"/>
      <c r="N3770" s="14" t="s">
        <v>3753</v>
      </c>
      <c r="O3770" s="14"/>
      <c r="P3770" s="15" t="s">
        <v>4093</v>
      </c>
      <c r="Q3770" s="16">
        <v>20690</v>
      </c>
      <c r="R3770" s="17">
        <v>50</v>
      </c>
      <c r="S3770" s="18">
        <v>11896.749999999998</v>
      </c>
      <c r="T3770" s="19" t="s">
        <v>328</v>
      </c>
      <c r="U3770" s="20" t="s">
        <v>399</v>
      </c>
      <c r="V3770" s="21">
        <v>40</v>
      </c>
      <c r="W3770" s="21">
        <v>2</v>
      </c>
      <c r="X3770" s="22"/>
    </row>
    <row r="3771" spans="1:24" s="1" customFormat="1" ht="60.95" customHeight="1" x14ac:dyDescent="0.3">
      <c r="A3771" s="23" t="s">
        <v>3183</v>
      </c>
      <c r="B3771" s="23" t="s">
        <v>3652</v>
      </c>
      <c r="C3771" s="12" t="s">
        <v>4091</v>
      </c>
      <c r="D3771" s="90"/>
      <c r="E3771" s="69" t="str">
        <f>HYPERLINK("https://www.google.ru/search?q=U56M2A0EK3RC0045&amp;newwindow=1&amp;tbm=isch","Еще фото")</f>
        <v>Еще фото</v>
      </c>
      <c r="F3771" s="13"/>
      <c r="G3771" s="23" t="s">
        <v>394</v>
      </c>
      <c r="H3771" s="23" t="s">
        <v>151</v>
      </c>
      <c r="I3771" s="23" t="s">
        <v>424</v>
      </c>
      <c r="J3771" s="14" t="s">
        <v>29</v>
      </c>
      <c r="K3771" s="15" t="s">
        <v>55</v>
      </c>
      <c r="L3771" s="88"/>
      <c r="M3771" s="14"/>
      <c r="N3771" s="14" t="s">
        <v>3753</v>
      </c>
      <c r="O3771" s="14"/>
      <c r="P3771" s="15" t="s">
        <v>4093</v>
      </c>
      <c r="Q3771" s="16">
        <v>20690</v>
      </c>
      <c r="R3771" s="17">
        <v>50</v>
      </c>
      <c r="S3771" s="18">
        <v>11896.749999999998</v>
      </c>
      <c r="T3771" s="19" t="s">
        <v>328</v>
      </c>
      <c r="U3771" s="20" t="s">
        <v>457</v>
      </c>
      <c r="V3771" s="21">
        <v>42</v>
      </c>
      <c r="W3771" s="21">
        <v>1</v>
      </c>
      <c r="X3771" s="22"/>
    </row>
    <row r="3772" spans="1:24" s="1" customFormat="1" ht="14.1" customHeight="1" x14ac:dyDescent="0.3">
      <c r="A3772" s="11" t="s">
        <v>3183</v>
      </c>
      <c r="B3772" s="11" t="s">
        <v>4094</v>
      </c>
      <c r="C3772" s="12" t="s">
        <v>4095</v>
      </c>
      <c r="D3772" s="83"/>
      <c r="E3772" s="69" t="str">
        <f t="shared" ref="E3772:E3778" si="173">HYPERLINK("https://www.google.ru/search?q=U655WB00043C6002&amp;newwindow=1&amp;tbm=isch","Еще фото")</f>
        <v>Еще фото</v>
      </c>
      <c r="F3772" s="13"/>
      <c r="G3772" s="11" t="s">
        <v>394</v>
      </c>
      <c r="H3772" s="11" t="s">
        <v>151</v>
      </c>
      <c r="I3772" s="14" t="s">
        <v>424</v>
      </c>
      <c r="J3772" s="14" t="s">
        <v>29</v>
      </c>
      <c r="K3772" s="15" t="s">
        <v>55</v>
      </c>
      <c r="L3772" s="86" t="s">
        <v>4096</v>
      </c>
      <c r="M3772" s="14"/>
      <c r="N3772" s="14" t="s">
        <v>154</v>
      </c>
      <c r="O3772" s="14"/>
      <c r="P3772" s="15" t="s">
        <v>4097</v>
      </c>
      <c r="Q3772" s="16">
        <v>16499</v>
      </c>
      <c r="R3772" s="17">
        <v>50</v>
      </c>
      <c r="S3772" s="18">
        <v>9486.9249999999993</v>
      </c>
      <c r="T3772" s="19" t="s">
        <v>328</v>
      </c>
      <c r="U3772" s="20" t="s">
        <v>413</v>
      </c>
      <c r="V3772" s="21">
        <v>39</v>
      </c>
      <c r="W3772" s="21">
        <v>1</v>
      </c>
      <c r="X3772" s="22"/>
    </row>
    <row r="3773" spans="1:24" s="1" customFormat="1" ht="14.1" customHeight="1" x14ac:dyDescent="0.3">
      <c r="A3773" s="23" t="s">
        <v>3183</v>
      </c>
      <c r="B3773" s="23" t="s">
        <v>4094</v>
      </c>
      <c r="C3773" s="12" t="s">
        <v>4095</v>
      </c>
      <c r="D3773" s="84"/>
      <c r="E3773" s="69" t="str">
        <f t="shared" si="173"/>
        <v>Еще фото</v>
      </c>
      <c r="F3773" s="13"/>
      <c r="G3773" s="23" t="s">
        <v>394</v>
      </c>
      <c r="H3773" s="23" t="s">
        <v>151</v>
      </c>
      <c r="I3773" s="23" t="s">
        <v>424</v>
      </c>
      <c r="J3773" s="14" t="s">
        <v>29</v>
      </c>
      <c r="K3773" s="15" t="s">
        <v>55</v>
      </c>
      <c r="L3773" s="87"/>
      <c r="M3773" s="14"/>
      <c r="N3773" s="14" t="s">
        <v>154</v>
      </c>
      <c r="O3773" s="14"/>
      <c r="P3773" s="15" t="s">
        <v>4097</v>
      </c>
      <c r="Q3773" s="16">
        <v>16499</v>
      </c>
      <c r="R3773" s="17">
        <v>50</v>
      </c>
      <c r="S3773" s="18">
        <v>9486.9249999999993</v>
      </c>
      <c r="T3773" s="19" t="s">
        <v>328</v>
      </c>
      <c r="U3773" s="20" t="s">
        <v>399</v>
      </c>
      <c r="V3773" s="21">
        <v>40</v>
      </c>
      <c r="W3773" s="21">
        <v>2</v>
      </c>
      <c r="X3773" s="22"/>
    </row>
    <row r="3774" spans="1:24" s="1" customFormat="1" ht="14.1" customHeight="1" x14ac:dyDescent="0.3">
      <c r="A3774" s="23" t="s">
        <v>3183</v>
      </c>
      <c r="B3774" s="23" t="s">
        <v>4094</v>
      </c>
      <c r="C3774" s="12" t="s">
        <v>4095</v>
      </c>
      <c r="D3774" s="84"/>
      <c r="E3774" s="69" t="str">
        <f t="shared" si="173"/>
        <v>Еще фото</v>
      </c>
      <c r="F3774" s="13"/>
      <c r="G3774" s="23" t="s">
        <v>394</v>
      </c>
      <c r="H3774" s="23" t="s">
        <v>151</v>
      </c>
      <c r="I3774" s="23" t="s">
        <v>424</v>
      </c>
      <c r="J3774" s="14" t="s">
        <v>29</v>
      </c>
      <c r="K3774" s="15" t="s">
        <v>55</v>
      </c>
      <c r="L3774" s="87"/>
      <c r="M3774" s="14"/>
      <c r="N3774" s="14" t="s">
        <v>154</v>
      </c>
      <c r="O3774" s="14"/>
      <c r="P3774" s="15" t="s">
        <v>4097</v>
      </c>
      <c r="Q3774" s="16">
        <v>16499</v>
      </c>
      <c r="R3774" s="17">
        <v>50</v>
      </c>
      <c r="S3774" s="18">
        <v>9486.9249999999993</v>
      </c>
      <c r="T3774" s="19" t="s">
        <v>328</v>
      </c>
      <c r="U3774" s="20" t="s">
        <v>400</v>
      </c>
      <c r="V3774" s="21">
        <v>41</v>
      </c>
      <c r="W3774" s="21">
        <v>3</v>
      </c>
      <c r="X3774" s="22"/>
    </row>
    <row r="3775" spans="1:24" s="1" customFormat="1" ht="14.1" customHeight="1" x14ac:dyDescent="0.3">
      <c r="A3775" s="23" t="s">
        <v>3183</v>
      </c>
      <c r="B3775" s="23" t="s">
        <v>4094</v>
      </c>
      <c r="C3775" s="12" t="s">
        <v>4095</v>
      </c>
      <c r="D3775" s="84"/>
      <c r="E3775" s="69" t="str">
        <f t="shared" si="173"/>
        <v>Еще фото</v>
      </c>
      <c r="F3775" s="13"/>
      <c r="G3775" s="23" t="s">
        <v>394</v>
      </c>
      <c r="H3775" s="23" t="s">
        <v>151</v>
      </c>
      <c r="I3775" s="23" t="s">
        <v>424</v>
      </c>
      <c r="J3775" s="14" t="s">
        <v>29</v>
      </c>
      <c r="K3775" s="15" t="s">
        <v>55</v>
      </c>
      <c r="L3775" s="87"/>
      <c r="M3775" s="14"/>
      <c r="N3775" s="14" t="s">
        <v>154</v>
      </c>
      <c r="O3775" s="14"/>
      <c r="P3775" s="15" t="s">
        <v>4097</v>
      </c>
      <c r="Q3775" s="16">
        <v>16499</v>
      </c>
      <c r="R3775" s="17">
        <v>50</v>
      </c>
      <c r="S3775" s="18">
        <v>9486.9249999999993</v>
      </c>
      <c r="T3775" s="19" t="s">
        <v>328</v>
      </c>
      <c r="U3775" s="20" t="s">
        <v>457</v>
      </c>
      <c r="V3775" s="21">
        <v>42</v>
      </c>
      <c r="W3775" s="21">
        <v>10</v>
      </c>
      <c r="X3775" s="22"/>
    </row>
    <row r="3776" spans="1:24" s="1" customFormat="1" ht="14.1" customHeight="1" x14ac:dyDescent="0.3">
      <c r="A3776" s="23" t="s">
        <v>3183</v>
      </c>
      <c r="B3776" s="23" t="s">
        <v>4094</v>
      </c>
      <c r="C3776" s="12" t="s">
        <v>4095</v>
      </c>
      <c r="D3776" s="84"/>
      <c r="E3776" s="69" t="str">
        <f t="shared" si="173"/>
        <v>Еще фото</v>
      </c>
      <c r="F3776" s="13"/>
      <c r="G3776" s="23" t="s">
        <v>394</v>
      </c>
      <c r="H3776" s="23" t="s">
        <v>151</v>
      </c>
      <c r="I3776" s="23" t="s">
        <v>424</v>
      </c>
      <c r="J3776" s="14" t="s">
        <v>29</v>
      </c>
      <c r="K3776" s="15" t="s">
        <v>55</v>
      </c>
      <c r="L3776" s="87"/>
      <c r="M3776" s="14"/>
      <c r="N3776" s="14" t="s">
        <v>154</v>
      </c>
      <c r="O3776" s="14"/>
      <c r="P3776" s="15" t="s">
        <v>4097</v>
      </c>
      <c r="Q3776" s="16">
        <v>16499</v>
      </c>
      <c r="R3776" s="17">
        <v>50</v>
      </c>
      <c r="S3776" s="18">
        <v>9486.9249999999993</v>
      </c>
      <c r="T3776" s="19" t="s">
        <v>328</v>
      </c>
      <c r="U3776" s="20" t="s">
        <v>401</v>
      </c>
      <c r="V3776" s="21">
        <v>43</v>
      </c>
      <c r="W3776" s="21">
        <v>13</v>
      </c>
      <c r="X3776" s="22"/>
    </row>
    <row r="3777" spans="1:24" s="1" customFormat="1" ht="14.1" customHeight="1" x14ac:dyDescent="0.3">
      <c r="A3777" s="23" t="s">
        <v>3183</v>
      </c>
      <c r="B3777" s="23" t="s">
        <v>4094</v>
      </c>
      <c r="C3777" s="12" t="s">
        <v>4095</v>
      </c>
      <c r="D3777" s="84"/>
      <c r="E3777" s="69" t="str">
        <f t="shared" si="173"/>
        <v>Еще фото</v>
      </c>
      <c r="F3777" s="13"/>
      <c r="G3777" s="23" t="s">
        <v>394</v>
      </c>
      <c r="H3777" s="23" t="s">
        <v>151</v>
      </c>
      <c r="I3777" s="23" t="s">
        <v>424</v>
      </c>
      <c r="J3777" s="14" t="s">
        <v>29</v>
      </c>
      <c r="K3777" s="15" t="s">
        <v>55</v>
      </c>
      <c r="L3777" s="87"/>
      <c r="M3777" s="14"/>
      <c r="N3777" s="14" t="s">
        <v>154</v>
      </c>
      <c r="O3777" s="14"/>
      <c r="P3777" s="15" t="s">
        <v>4097</v>
      </c>
      <c r="Q3777" s="16">
        <v>16499</v>
      </c>
      <c r="R3777" s="17">
        <v>50</v>
      </c>
      <c r="S3777" s="18">
        <v>9486.9249999999993</v>
      </c>
      <c r="T3777" s="19" t="s">
        <v>328</v>
      </c>
      <c r="U3777" s="20" t="s">
        <v>402</v>
      </c>
      <c r="V3777" s="21">
        <v>44</v>
      </c>
      <c r="W3777" s="21">
        <v>13</v>
      </c>
      <c r="X3777" s="22"/>
    </row>
    <row r="3778" spans="1:24" s="1" customFormat="1" ht="17.100000000000001" customHeight="1" x14ac:dyDescent="0.3">
      <c r="A3778" s="23" t="s">
        <v>3183</v>
      </c>
      <c r="B3778" s="23" t="s">
        <v>4094</v>
      </c>
      <c r="C3778" s="12" t="s">
        <v>4095</v>
      </c>
      <c r="D3778" s="85"/>
      <c r="E3778" s="69" t="str">
        <f t="shared" si="173"/>
        <v>Еще фото</v>
      </c>
      <c r="F3778" s="13"/>
      <c r="G3778" s="23" t="s">
        <v>394</v>
      </c>
      <c r="H3778" s="23" t="s">
        <v>151</v>
      </c>
      <c r="I3778" s="23" t="s">
        <v>424</v>
      </c>
      <c r="J3778" s="14" t="s">
        <v>29</v>
      </c>
      <c r="K3778" s="15" t="s">
        <v>55</v>
      </c>
      <c r="L3778" s="88"/>
      <c r="M3778" s="14"/>
      <c r="N3778" s="14" t="s">
        <v>154</v>
      </c>
      <c r="O3778" s="14"/>
      <c r="P3778" s="15" t="s">
        <v>4097</v>
      </c>
      <c r="Q3778" s="16">
        <v>16499</v>
      </c>
      <c r="R3778" s="17">
        <v>50</v>
      </c>
      <c r="S3778" s="18">
        <v>9486.9249999999993</v>
      </c>
      <c r="T3778" s="19" t="s">
        <v>328</v>
      </c>
      <c r="U3778" s="20" t="s">
        <v>403</v>
      </c>
      <c r="V3778" s="21">
        <v>45</v>
      </c>
      <c r="W3778" s="21">
        <v>5</v>
      </c>
      <c r="X3778" s="22"/>
    </row>
    <row r="3779" spans="1:24" s="1" customFormat="1" ht="35.1" customHeight="1" x14ac:dyDescent="0.3">
      <c r="A3779" s="11" t="s">
        <v>3183</v>
      </c>
      <c r="B3779" s="11" t="s">
        <v>3892</v>
      </c>
      <c r="C3779" s="12" t="s">
        <v>4098</v>
      </c>
      <c r="D3779" s="83"/>
      <c r="E3779" s="69" t="str">
        <f>HYPERLINK("https://www.google.ru/search?q=U659KA0EK14C4174&amp;newwindow=1&amp;tbm=isch","Еще фото")</f>
        <v>Еще фото</v>
      </c>
      <c r="F3779" s="13"/>
      <c r="G3779" s="11" t="s">
        <v>394</v>
      </c>
      <c r="H3779" s="11" t="s">
        <v>151</v>
      </c>
      <c r="I3779" s="14" t="s">
        <v>424</v>
      </c>
      <c r="J3779" s="14" t="s">
        <v>29</v>
      </c>
      <c r="K3779" s="15" t="s">
        <v>55</v>
      </c>
      <c r="L3779" s="86" t="s">
        <v>3894</v>
      </c>
      <c r="M3779" s="14"/>
      <c r="N3779" s="14" t="s">
        <v>70</v>
      </c>
      <c r="O3779" s="14"/>
      <c r="P3779" s="15" t="s">
        <v>3895</v>
      </c>
      <c r="Q3779" s="16">
        <v>14990</v>
      </c>
      <c r="R3779" s="17">
        <v>50</v>
      </c>
      <c r="S3779" s="18">
        <v>8619.25</v>
      </c>
      <c r="T3779" s="19" t="s">
        <v>328</v>
      </c>
      <c r="U3779" s="20" t="s">
        <v>413</v>
      </c>
      <c r="V3779" s="21">
        <v>39</v>
      </c>
      <c r="W3779" s="21">
        <v>1</v>
      </c>
      <c r="X3779" s="22"/>
    </row>
    <row r="3780" spans="1:24" s="1" customFormat="1" ht="35.1" customHeight="1" x14ac:dyDescent="0.3">
      <c r="A3780" s="23" t="s">
        <v>3183</v>
      </c>
      <c r="B3780" s="23" t="s">
        <v>3892</v>
      </c>
      <c r="C3780" s="12" t="s">
        <v>4098</v>
      </c>
      <c r="D3780" s="84"/>
      <c r="E3780" s="69" t="str">
        <f>HYPERLINK("https://www.google.ru/search?q=U659KA0EK14C4174&amp;newwindow=1&amp;tbm=isch","Еще фото")</f>
        <v>Еще фото</v>
      </c>
      <c r="F3780" s="13"/>
      <c r="G3780" s="23" t="s">
        <v>394</v>
      </c>
      <c r="H3780" s="23" t="s">
        <v>151</v>
      </c>
      <c r="I3780" s="23" t="s">
        <v>424</v>
      </c>
      <c r="J3780" s="14" t="s">
        <v>29</v>
      </c>
      <c r="K3780" s="15" t="s">
        <v>55</v>
      </c>
      <c r="L3780" s="87"/>
      <c r="M3780" s="14"/>
      <c r="N3780" s="14" t="s">
        <v>70</v>
      </c>
      <c r="O3780" s="14"/>
      <c r="P3780" s="15" t="s">
        <v>3895</v>
      </c>
      <c r="Q3780" s="16">
        <v>14990</v>
      </c>
      <c r="R3780" s="17">
        <v>50</v>
      </c>
      <c r="S3780" s="18">
        <v>8619.25</v>
      </c>
      <c r="T3780" s="19" t="s">
        <v>328</v>
      </c>
      <c r="U3780" s="20" t="s">
        <v>400</v>
      </c>
      <c r="V3780" s="21">
        <v>41</v>
      </c>
      <c r="W3780" s="21">
        <v>2</v>
      </c>
      <c r="X3780" s="22"/>
    </row>
    <row r="3781" spans="1:24" s="1" customFormat="1" ht="36.950000000000003" customHeight="1" x14ac:dyDescent="0.3">
      <c r="A3781" s="23" t="s">
        <v>3183</v>
      </c>
      <c r="B3781" s="23" t="s">
        <v>3892</v>
      </c>
      <c r="C3781" s="12" t="s">
        <v>4098</v>
      </c>
      <c r="D3781" s="85"/>
      <c r="E3781" s="69" t="str">
        <f>HYPERLINK("https://www.google.ru/search?q=U659KA0EK14C4174&amp;newwindow=1&amp;tbm=isch","Еще фото")</f>
        <v>Еще фото</v>
      </c>
      <c r="F3781" s="13"/>
      <c r="G3781" s="23" t="s">
        <v>394</v>
      </c>
      <c r="H3781" s="23" t="s">
        <v>151</v>
      </c>
      <c r="I3781" s="23" t="s">
        <v>424</v>
      </c>
      <c r="J3781" s="14" t="s">
        <v>29</v>
      </c>
      <c r="K3781" s="15" t="s">
        <v>55</v>
      </c>
      <c r="L3781" s="88"/>
      <c r="M3781" s="14"/>
      <c r="N3781" s="14" t="s">
        <v>70</v>
      </c>
      <c r="O3781" s="14"/>
      <c r="P3781" s="15" t="s">
        <v>3895</v>
      </c>
      <c r="Q3781" s="16">
        <v>14990</v>
      </c>
      <c r="R3781" s="17">
        <v>50</v>
      </c>
      <c r="S3781" s="18">
        <v>8619.25</v>
      </c>
      <c r="T3781" s="19" t="s">
        <v>328</v>
      </c>
      <c r="U3781" s="20" t="s">
        <v>402</v>
      </c>
      <c r="V3781" s="21">
        <v>44</v>
      </c>
      <c r="W3781" s="21">
        <v>1</v>
      </c>
      <c r="X3781" s="22"/>
    </row>
    <row r="3782" spans="1:24" s="1" customFormat="1" ht="51.95" customHeight="1" x14ac:dyDescent="0.3">
      <c r="A3782" s="11" t="s">
        <v>3183</v>
      </c>
      <c r="B3782" s="11" t="s">
        <v>4081</v>
      </c>
      <c r="C3782" s="12" t="s">
        <v>4099</v>
      </c>
      <c r="D3782" s="89"/>
      <c r="E3782" s="69" t="str">
        <f>HYPERLINK("https://www.google.ru/search?q=U65HVA00043C6010&amp;newwindow=1&amp;tbm=isch","Еще фото")</f>
        <v>Еще фото</v>
      </c>
      <c r="F3782" s="13"/>
      <c r="G3782" s="11" t="s">
        <v>4005</v>
      </c>
      <c r="H3782" s="11" t="s">
        <v>151</v>
      </c>
      <c r="I3782" s="14" t="s">
        <v>424</v>
      </c>
      <c r="J3782" s="14" t="s">
        <v>138</v>
      </c>
      <c r="K3782" s="15" t="s">
        <v>55</v>
      </c>
      <c r="L3782" s="86" t="s">
        <v>4083</v>
      </c>
      <c r="M3782" s="14"/>
      <c r="N3782" s="14" t="s">
        <v>154</v>
      </c>
      <c r="O3782" s="14"/>
      <c r="P3782" s="15" t="s">
        <v>4100</v>
      </c>
      <c r="Q3782" s="16">
        <v>20490</v>
      </c>
      <c r="R3782" s="17">
        <v>50</v>
      </c>
      <c r="S3782" s="18">
        <v>11781.749999999998</v>
      </c>
      <c r="T3782" s="19" t="s">
        <v>328</v>
      </c>
      <c r="U3782" s="20" t="s">
        <v>401</v>
      </c>
      <c r="V3782" s="21">
        <v>43</v>
      </c>
      <c r="W3782" s="21">
        <v>2</v>
      </c>
      <c r="X3782" s="22"/>
    </row>
    <row r="3783" spans="1:24" s="1" customFormat="1" ht="60.95" customHeight="1" x14ac:dyDescent="0.3">
      <c r="A3783" s="23" t="s">
        <v>3183</v>
      </c>
      <c r="B3783" s="23" t="s">
        <v>4081</v>
      </c>
      <c r="C3783" s="12" t="s">
        <v>4099</v>
      </c>
      <c r="D3783" s="90"/>
      <c r="E3783" s="69" t="str">
        <f>HYPERLINK("https://www.google.ru/search?q=U65HVA00043C6010&amp;newwindow=1&amp;tbm=isch","Еще фото")</f>
        <v>Еще фото</v>
      </c>
      <c r="F3783" s="13"/>
      <c r="G3783" s="23" t="s">
        <v>4005</v>
      </c>
      <c r="H3783" s="23" t="s">
        <v>151</v>
      </c>
      <c r="I3783" s="23" t="s">
        <v>424</v>
      </c>
      <c r="J3783" s="14" t="s">
        <v>138</v>
      </c>
      <c r="K3783" s="15" t="s">
        <v>55</v>
      </c>
      <c r="L3783" s="88"/>
      <c r="M3783" s="14"/>
      <c r="N3783" s="14" t="s">
        <v>154</v>
      </c>
      <c r="O3783" s="14"/>
      <c r="P3783" s="15" t="s">
        <v>4100</v>
      </c>
      <c r="Q3783" s="16">
        <v>20490</v>
      </c>
      <c r="R3783" s="17">
        <v>50</v>
      </c>
      <c r="S3783" s="18">
        <v>11781.749999999998</v>
      </c>
      <c r="T3783" s="19" t="s">
        <v>328</v>
      </c>
      <c r="U3783" s="20" t="s">
        <v>402</v>
      </c>
      <c r="V3783" s="21">
        <v>44</v>
      </c>
      <c r="W3783" s="21">
        <v>1</v>
      </c>
      <c r="X3783" s="22"/>
    </row>
    <row r="3784" spans="1:24" s="1" customFormat="1" ht="17.100000000000001" customHeight="1" x14ac:dyDescent="0.3">
      <c r="A3784" s="11" t="s">
        <v>3183</v>
      </c>
      <c r="B3784" s="11" t="s">
        <v>3946</v>
      </c>
      <c r="C3784" s="12" t="s">
        <v>4101</v>
      </c>
      <c r="D3784" s="83"/>
      <c r="E3784" s="69" t="str">
        <f t="shared" ref="E3784:E3789" si="174">HYPERLINK("https://www.google.ru/search?q=U65LDD0009BC4002&amp;newwindow=1&amp;tbm=isch","Еще фото")</f>
        <v>Еще фото</v>
      </c>
      <c r="F3784" s="13"/>
      <c r="G3784" s="11" t="s">
        <v>394</v>
      </c>
      <c r="H3784" s="11" t="s">
        <v>151</v>
      </c>
      <c r="I3784" s="14" t="s">
        <v>424</v>
      </c>
      <c r="J3784" s="14" t="s">
        <v>29</v>
      </c>
      <c r="K3784" s="15" t="s">
        <v>55</v>
      </c>
      <c r="L3784" s="86"/>
      <c r="M3784" s="14"/>
      <c r="N3784" s="14" t="s">
        <v>70</v>
      </c>
      <c r="O3784" s="14"/>
      <c r="P3784" s="15" t="s">
        <v>4102</v>
      </c>
      <c r="Q3784" s="16">
        <v>16199</v>
      </c>
      <c r="R3784" s="17">
        <v>50</v>
      </c>
      <c r="S3784" s="18">
        <v>9314.4249999999993</v>
      </c>
      <c r="T3784" s="19" t="s">
        <v>328</v>
      </c>
      <c r="U3784" s="20" t="s">
        <v>399</v>
      </c>
      <c r="V3784" s="21">
        <v>40</v>
      </c>
      <c r="W3784" s="21">
        <v>4</v>
      </c>
      <c r="X3784" s="22"/>
    </row>
    <row r="3785" spans="1:24" s="1" customFormat="1" ht="17.100000000000001" customHeight="1" x14ac:dyDescent="0.3">
      <c r="A3785" s="23" t="s">
        <v>3183</v>
      </c>
      <c r="B3785" s="23" t="s">
        <v>3946</v>
      </c>
      <c r="C3785" s="12" t="s">
        <v>4101</v>
      </c>
      <c r="D3785" s="84"/>
      <c r="E3785" s="69" t="str">
        <f t="shared" si="174"/>
        <v>Еще фото</v>
      </c>
      <c r="F3785" s="13"/>
      <c r="G3785" s="23" t="s">
        <v>394</v>
      </c>
      <c r="H3785" s="23" t="s">
        <v>151</v>
      </c>
      <c r="I3785" s="23" t="s">
        <v>424</v>
      </c>
      <c r="J3785" s="14" t="s">
        <v>29</v>
      </c>
      <c r="K3785" s="15" t="s">
        <v>55</v>
      </c>
      <c r="L3785" s="87"/>
      <c r="M3785" s="14"/>
      <c r="N3785" s="14" t="s">
        <v>70</v>
      </c>
      <c r="O3785" s="14"/>
      <c r="P3785" s="15" t="s">
        <v>4102</v>
      </c>
      <c r="Q3785" s="16">
        <v>16199</v>
      </c>
      <c r="R3785" s="17">
        <v>50</v>
      </c>
      <c r="S3785" s="18">
        <v>9314.4249999999993</v>
      </c>
      <c r="T3785" s="19" t="s">
        <v>328</v>
      </c>
      <c r="U3785" s="20" t="s">
        <v>400</v>
      </c>
      <c r="V3785" s="21">
        <v>41</v>
      </c>
      <c r="W3785" s="21">
        <v>6</v>
      </c>
      <c r="X3785" s="22"/>
    </row>
    <row r="3786" spans="1:24" s="1" customFormat="1" ht="17.100000000000001" customHeight="1" x14ac:dyDescent="0.3">
      <c r="A3786" s="23" t="s">
        <v>3183</v>
      </c>
      <c r="B3786" s="23" t="s">
        <v>3946</v>
      </c>
      <c r="C3786" s="12" t="s">
        <v>4101</v>
      </c>
      <c r="D3786" s="84"/>
      <c r="E3786" s="69" t="str">
        <f t="shared" si="174"/>
        <v>Еще фото</v>
      </c>
      <c r="F3786" s="13"/>
      <c r="G3786" s="23" t="s">
        <v>394</v>
      </c>
      <c r="H3786" s="23" t="s">
        <v>151</v>
      </c>
      <c r="I3786" s="23" t="s">
        <v>424</v>
      </c>
      <c r="J3786" s="14" t="s">
        <v>29</v>
      </c>
      <c r="K3786" s="15" t="s">
        <v>55</v>
      </c>
      <c r="L3786" s="87"/>
      <c r="M3786" s="14"/>
      <c r="N3786" s="14" t="s">
        <v>70</v>
      </c>
      <c r="O3786" s="14"/>
      <c r="P3786" s="15" t="s">
        <v>4102</v>
      </c>
      <c r="Q3786" s="16">
        <v>16199</v>
      </c>
      <c r="R3786" s="17">
        <v>50</v>
      </c>
      <c r="S3786" s="18">
        <v>9314.4249999999993</v>
      </c>
      <c r="T3786" s="19" t="s">
        <v>328</v>
      </c>
      <c r="U3786" s="20" t="s">
        <v>457</v>
      </c>
      <c r="V3786" s="21">
        <v>42</v>
      </c>
      <c r="W3786" s="21">
        <v>7</v>
      </c>
      <c r="X3786" s="22"/>
    </row>
    <row r="3787" spans="1:24" s="1" customFormat="1" ht="17.100000000000001" customHeight="1" x14ac:dyDescent="0.3">
      <c r="A3787" s="23" t="s">
        <v>3183</v>
      </c>
      <c r="B3787" s="23" t="s">
        <v>3946</v>
      </c>
      <c r="C3787" s="12" t="s">
        <v>4101</v>
      </c>
      <c r="D3787" s="84"/>
      <c r="E3787" s="69" t="str">
        <f t="shared" si="174"/>
        <v>Еще фото</v>
      </c>
      <c r="F3787" s="13"/>
      <c r="G3787" s="23" t="s">
        <v>394</v>
      </c>
      <c r="H3787" s="23" t="s">
        <v>151</v>
      </c>
      <c r="I3787" s="23" t="s">
        <v>424</v>
      </c>
      <c r="J3787" s="14" t="s">
        <v>29</v>
      </c>
      <c r="K3787" s="15" t="s">
        <v>55</v>
      </c>
      <c r="L3787" s="87"/>
      <c r="M3787" s="14"/>
      <c r="N3787" s="14" t="s">
        <v>70</v>
      </c>
      <c r="O3787" s="14"/>
      <c r="P3787" s="15" t="s">
        <v>4102</v>
      </c>
      <c r="Q3787" s="16">
        <v>16199</v>
      </c>
      <c r="R3787" s="17">
        <v>50</v>
      </c>
      <c r="S3787" s="18">
        <v>9314.4249999999993</v>
      </c>
      <c r="T3787" s="19" t="s">
        <v>328</v>
      </c>
      <c r="U3787" s="20" t="s">
        <v>401</v>
      </c>
      <c r="V3787" s="21">
        <v>43</v>
      </c>
      <c r="W3787" s="21">
        <v>6</v>
      </c>
      <c r="X3787" s="22"/>
    </row>
    <row r="3788" spans="1:24" s="1" customFormat="1" ht="17.100000000000001" customHeight="1" x14ac:dyDescent="0.3">
      <c r="A3788" s="23" t="s">
        <v>3183</v>
      </c>
      <c r="B3788" s="23" t="s">
        <v>3946</v>
      </c>
      <c r="C3788" s="12" t="s">
        <v>4101</v>
      </c>
      <c r="D3788" s="84"/>
      <c r="E3788" s="69" t="str">
        <f t="shared" si="174"/>
        <v>Еще фото</v>
      </c>
      <c r="F3788" s="13"/>
      <c r="G3788" s="23" t="s">
        <v>394</v>
      </c>
      <c r="H3788" s="23" t="s">
        <v>151</v>
      </c>
      <c r="I3788" s="23" t="s">
        <v>424</v>
      </c>
      <c r="J3788" s="14" t="s">
        <v>29</v>
      </c>
      <c r="K3788" s="15" t="s">
        <v>55</v>
      </c>
      <c r="L3788" s="87"/>
      <c r="M3788" s="14"/>
      <c r="N3788" s="14" t="s">
        <v>70</v>
      </c>
      <c r="O3788" s="14"/>
      <c r="P3788" s="15" t="s">
        <v>4102</v>
      </c>
      <c r="Q3788" s="16">
        <v>16199</v>
      </c>
      <c r="R3788" s="17">
        <v>50</v>
      </c>
      <c r="S3788" s="18">
        <v>9314.4249999999993</v>
      </c>
      <c r="T3788" s="19" t="s">
        <v>328</v>
      </c>
      <c r="U3788" s="20" t="s">
        <v>402</v>
      </c>
      <c r="V3788" s="21">
        <v>44</v>
      </c>
      <c r="W3788" s="21">
        <v>6</v>
      </c>
      <c r="X3788" s="22"/>
    </row>
    <row r="3789" spans="1:24" s="1" customFormat="1" ht="21.95" customHeight="1" x14ac:dyDescent="0.3">
      <c r="A3789" s="23" t="s">
        <v>3183</v>
      </c>
      <c r="B3789" s="23" t="s">
        <v>3946</v>
      </c>
      <c r="C3789" s="12" t="s">
        <v>4101</v>
      </c>
      <c r="D3789" s="85"/>
      <c r="E3789" s="69" t="str">
        <f t="shared" si="174"/>
        <v>Еще фото</v>
      </c>
      <c r="F3789" s="13"/>
      <c r="G3789" s="23" t="s">
        <v>394</v>
      </c>
      <c r="H3789" s="23" t="s">
        <v>151</v>
      </c>
      <c r="I3789" s="23" t="s">
        <v>424</v>
      </c>
      <c r="J3789" s="14" t="s">
        <v>29</v>
      </c>
      <c r="K3789" s="15" t="s">
        <v>55</v>
      </c>
      <c r="L3789" s="88"/>
      <c r="M3789" s="14"/>
      <c r="N3789" s="14" t="s">
        <v>70</v>
      </c>
      <c r="O3789" s="14"/>
      <c r="P3789" s="15" t="s">
        <v>4102</v>
      </c>
      <c r="Q3789" s="16">
        <v>16199</v>
      </c>
      <c r="R3789" s="17">
        <v>50</v>
      </c>
      <c r="S3789" s="18">
        <v>9314.4249999999993</v>
      </c>
      <c r="T3789" s="19" t="s">
        <v>328</v>
      </c>
      <c r="U3789" s="20" t="s">
        <v>403</v>
      </c>
      <c r="V3789" s="21">
        <v>45</v>
      </c>
      <c r="W3789" s="21">
        <v>3</v>
      </c>
      <c r="X3789" s="22"/>
    </row>
    <row r="3790" spans="1:24" s="1" customFormat="1" ht="51.95" customHeight="1" x14ac:dyDescent="0.3">
      <c r="A3790" s="11" t="s">
        <v>3183</v>
      </c>
      <c r="B3790" s="11" t="s">
        <v>3848</v>
      </c>
      <c r="C3790" s="12" t="s">
        <v>4103</v>
      </c>
      <c r="D3790" s="89"/>
      <c r="E3790" s="69" t="str">
        <f>HYPERLINK("https://www.google.ru/search?q=U65LSH0EK22C6003&amp;newwindow=1&amp;tbm=isch","Еще фото")</f>
        <v>Еще фото</v>
      </c>
      <c r="F3790" s="13"/>
      <c r="G3790" s="11" t="s">
        <v>394</v>
      </c>
      <c r="H3790" s="11" t="s">
        <v>151</v>
      </c>
      <c r="I3790" s="14" t="s">
        <v>424</v>
      </c>
      <c r="J3790" s="14" t="s">
        <v>29</v>
      </c>
      <c r="K3790" s="15" t="s">
        <v>55</v>
      </c>
      <c r="L3790" s="86" t="s">
        <v>4104</v>
      </c>
      <c r="M3790" s="14"/>
      <c r="N3790" s="14" t="s">
        <v>154</v>
      </c>
      <c r="O3790" s="14"/>
      <c r="P3790" s="15" t="s">
        <v>4105</v>
      </c>
      <c r="Q3790" s="16">
        <v>15790</v>
      </c>
      <c r="R3790" s="17">
        <v>50</v>
      </c>
      <c r="S3790" s="18">
        <v>9079.25</v>
      </c>
      <c r="T3790" s="19" t="s">
        <v>328</v>
      </c>
      <c r="U3790" s="20" t="s">
        <v>401</v>
      </c>
      <c r="V3790" s="21">
        <v>43</v>
      </c>
      <c r="W3790" s="21">
        <v>6</v>
      </c>
      <c r="X3790" s="22"/>
    </row>
    <row r="3791" spans="1:24" s="1" customFormat="1" ht="60.95" customHeight="1" x14ac:dyDescent="0.3">
      <c r="A3791" s="23" t="s">
        <v>3183</v>
      </c>
      <c r="B3791" s="23" t="s">
        <v>3848</v>
      </c>
      <c r="C3791" s="12" t="s">
        <v>4103</v>
      </c>
      <c r="D3791" s="90"/>
      <c r="E3791" s="69" t="str">
        <f>HYPERLINK("https://www.google.ru/search?q=U65LSH0EK22C6003&amp;newwindow=1&amp;tbm=isch","Еще фото")</f>
        <v>Еще фото</v>
      </c>
      <c r="F3791" s="13"/>
      <c r="G3791" s="23" t="s">
        <v>394</v>
      </c>
      <c r="H3791" s="23" t="s">
        <v>151</v>
      </c>
      <c r="I3791" s="23" t="s">
        <v>424</v>
      </c>
      <c r="J3791" s="14" t="s">
        <v>29</v>
      </c>
      <c r="K3791" s="15" t="s">
        <v>55</v>
      </c>
      <c r="L3791" s="88"/>
      <c r="M3791" s="14"/>
      <c r="N3791" s="14" t="s">
        <v>154</v>
      </c>
      <c r="O3791" s="14"/>
      <c r="P3791" s="15" t="s">
        <v>4105</v>
      </c>
      <c r="Q3791" s="16">
        <v>15790</v>
      </c>
      <c r="R3791" s="17">
        <v>50</v>
      </c>
      <c r="S3791" s="18">
        <v>9079.25</v>
      </c>
      <c r="T3791" s="19" t="s">
        <v>328</v>
      </c>
      <c r="U3791" s="20" t="s">
        <v>402</v>
      </c>
      <c r="V3791" s="21">
        <v>44</v>
      </c>
      <c r="W3791" s="21">
        <v>7</v>
      </c>
      <c r="X3791" s="22"/>
    </row>
    <row r="3792" spans="1:24" s="1" customFormat="1" ht="14.1" customHeight="1" x14ac:dyDescent="0.3">
      <c r="A3792" s="11" t="s">
        <v>3183</v>
      </c>
      <c r="B3792" s="11" t="s">
        <v>4106</v>
      </c>
      <c r="C3792" s="12" t="s">
        <v>4107</v>
      </c>
      <c r="D3792" s="83"/>
      <c r="E3792" s="69" t="str">
        <f t="shared" ref="E3792:E3798" si="175">HYPERLINK("https://www.google.ru/search?q=U66H9A00022C4002&amp;newwindow=1&amp;tbm=isch","Еще фото")</f>
        <v>Еще фото</v>
      </c>
      <c r="F3792" s="13"/>
      <c r="G3792" s="11" t="s">
        <v>4005</v>
      </c>
      <c r="H3792" s="11" t="s">
        <v>151</v>
      </c>
      <c r="I3792" s="14" t="s">
        <v>424</v>
      </c>
      <c r="J3792" s="14" t="s">
        <v>29</v>
      </c>
      <c r="K3792" s="15" t="s">
        <v>55</v>
      </c>
      <c r="L3792" s="86"/>
      <c r="M3792" s="14"/>
      <c r="N3792" s="14" t="s">
        <v>70</v>
      </c>
      <c r="O3792" s="14"/>
      <c r="P3792" s="15" t="s">
        <v>4108</v>
      </c>
      <c r="Q3792" s="16">
        <v>16190</v>
      </c>
      <c r="R3792" s="17">
        <v>50</v>
      </c>
      <c r="S3792" s="18">
        <v>9309.25</v>
      </c>
      <c r="T3792" s="19" t="s">
        <v>328</v>
      </c>
      <c r="U3792" s="20" t="s">
        <v>399</v>
      </c>
      <c r="V3792" s="21">
        <v>40</v>
      </c>
      <c r="W3792" s="21">
        <v>4</v>
      </c>
      <c r="X3792" s="22"/>
    </row>
    <row r="3793" spans="1:24" s="1" customFormat="1" ht="14.1" customHeight="1" x14ac:dyDescent="0.3">
      <c r="A3793" s="23" t="s">
        <v>3183</v>
      </c>
      <c r="B3793" s="23" t="s">
        <v>4106</v>
      </c>
      <c r="C3793" s="12" t="s">
        <v>4107</v>
      </c>
      <c r="D3793" s="84"/>
      <c r="E3793" s="69" t="str">
        <f t="shared" si="175"/>
        <v>Еще фото</v>
      </c>
      <c r="F3793" s="13"/>
      <c r="G3793" s="23" t="s">
        <v>4005</v>
      </c>
      <c r="H3793" s="23" t="s">
        <v>151</v>
      </c>
      <c r="I3793" s="23" t="s">
        <v>424</v>
      </c>
      <c r="J3793" s="14" t="s">
        <v>29</v>
      </c>
      <c r="K3793" s="15" t="s">
        <v>55</v>
      </c>
      <c r="L3793" s="87"/>
      <c r="M3793" s="14"/>
      <c r="N3793" s="14" t="s">
        <v>70</v>
      </c>
      <c r="O3793" s="14"/>
      <c r="P3793" s="15" t="s">
        <v>4108</v>
      </c>
      <c r="Q3793" s="16">
        <v>16190</v>
      </c>
      <c r="R3793" s="17">
        <v>50</v>
      </c>
      <c r="S3793" s="18">
        <v>9309.25</v>
      </c>
      <c r="T3793" s="19" t="s">
        <v>328</v>
      </c>
      <c r="U3793" s="20" t="s">
        <v>400</v>
      </c>
      <c r="V3793" s="21">
        <v>41</v>
      </c>
      <c r="W3793" s="21">
        <v>6</v>
      </c>
      <c r="X3793" s="22"/>
    </row>
    <row r="3794" spans="1:24" s="1" customFormat="1" ht="14.1" customHeight="1" x14ac:dyDescent="0.3">
      <c r="A3794" s="23" t="s">
        <v>3183</v>
      </c>
      <c r="B3794" s="23" t="s">
        <v>4106</v>
      </c>
      <c r="C3794" s="12" t="s">
        <v>4107</v>
      </c>
      <c r="D3794" s="84"/>
      <c r="E3794" s="69" t="str">
        <f t="shared" si="175"/>
        <v>Еще фото</v>
      </c>
      <c r="F3794" s="13"/>
      <c r="G3794" s="23" t="s">
        <v>4005</v>
      </c>
      <c r="H3794" s="23" t="s">
        <v>151</v>
      </c>
      <c r="I3794" s="23" t="s">
        <v>424</v>
      </c>
      <c r="J3794" s="14" t="s">
        <v>29</v>
      </c>
      <c r="K3794" s="15" t="s">
        <v>55</v>
      </c>
      <c r="L3794" s="87"/>
      <c r="M3794" s="14"/>
      <c r="N3794" s="14" t="s">
        <v>70</v>
      </c>
      <c r="O3794" s="14"/>
      <c r="P3794" s="15" t="s">
        <v>4108</v>
      </c>
      <c r="Q3794" s="16">
        <v>16190</v>
      </c>
      <c r="R3794" s="17">
        <v>50</v>
      </c>
      <c r="S3794" s="18">
        <v>9309.25</v>
      </c>
      <c r="T3794" s="19" t="s">
        <v>328</v>
      </c>
      <c r="U3794" s="20" t="s">
        <v>457</v>
      </c>
      <c r="V3794" s="21">
        <v>42</v>
      </c>
      <c r="W3794" s="21">
        <v>8</v>
      </c>
      <c r="X3794" s="22"/>
    </row>
    <row r="3795" spans="1:24" s="1" customFormat="1" ht="14.1" customHeight="1" x14ac:dyDescent="0.3">
      <c r="A3795" s="23" t="s">
        <v>3183</v>
      </c>
      <c r="B3795" s="23" t="s">
        <v>4106</v>
      </c>
      <c r="C3795" s="12" t="s">
        <v>4107</v>
      </c>
      <c r="D3795" s="84"/>
      <c r="E3795" s="69" t="str">
        <f t="shared" si="175"/>
        <v>Еще фото</v>
      </c>
      <c r="F3795" s="13"/>
      <c r="G3795" s="23" t="s">
        <v>4005</v>
      </c>
      <c r="H3795" s="23" t="s">
        <v>151</v>
      </c>
      <c r="I3795" s="23" t="s">
        <v>424</v>
      </c>
      <c r="J3795" s="14" t="s">
        <v>29</v>
      </c>
      <c r="K3795" s="15" t="s">
        <v>55</v>
      </c>
      <c r="L3795" s="87"/>
      <c r="M3795" s="14"/>
      <c r="N3795" s="14" t="s">
        <v>70</v>
      </c>
      <c r="O3795" s="14"/>
      <c r="P3795" s="15" t="s">
        <v>4108</v>
      </c>
      <c r="Q3795" s="16">
        <v>16190</v>
      </c>
      <c r="R3795" s="17">
        <v>50</v>
      </c>
      <c r="S3795" s="18">
        <v>9309.25</v>
      </c>
      <c r="T3795" s="19" t="s">
        <v>328</v>
      </c>
      <c r="U3795" s="20" t="s">
        <v>401</v>
      </c>
      <c r="V3795" s="21">
        <v>43</v>
      </c>
      <c r="W3795" s="21">
        <v>8</v>
      </c>
      <c r="X3795" s="22"/>
    </row>
    <row r="3796" spans="1:24" s="1" customFormat="1" ht="14.1" customHeight="1" x14ac:dyDescent="0.3">
      <c r="A3796" s="23" t="s">
        <v>3183</v>
      </c>
      <c r="B3796" s="23" t="s">
        <v>4106</v>
      </c>
      <c r="C3796" s="12" t="s">
        <v>4107</v>
      </c>
      <c r="D3796" s="84"/>
      <c r="E3796" s="69" t="str">
        <f t="shared" si="175"/>
        <v>Еще фото</v>
      </c>
      <c r="F3796" s="13"/>
      <c r="G3796" s="23" t="s">
        <v>4005</v>
      </c>
      <c r="H3796" s="23" t="s">
        <v>151</v>
      </c>
      <c r="I3796" s="23" t="s">
        <v>424</v>
      </c>
      <c r="J3796" s="14" t="s">
        <v>29</v>
      </c>
      <c r="K3796" s="15" t="s">
        <v>55</v>
      </c>
      <c r="L3796" s="87"/>
      <c r="M3796" s="14"/>
      <c r="N3796" s="14" t="s">
        <v>70</v>
      </c>
      <c r="O3796" s="14"/>
      <c r="P3796" s="15" t="s">
        <v>4108</v>
      </c>
      <c r="Q3796" s="16">
        <v>16190</v>
      </c>
      <c r="R3796" s="17">
        <v>50</v>
      </c>
      <c r="S3796" s="18">
        <v>9309.25</v>
      </c>
      <c r="T3796" s="19" t="s">
        <v>328</v>
      </c>
      <c r="U3796" s="20" t="s">
        <v>402</v>
      </c>
      <c r="V3796" s="21">
        <v>44</v>
      </c>
      <c r="W3796" s="21">
        <v>6</v>
      </c>
      <c r="X3796" s="22"/>
    </row>
    <row r="3797" spans="1:24" s="1" customFormat="1" ht="14.1" customHeight="1" x14ac:dyDescent="0.3">
      <c r="A3797" s="23" t="s">
        <v>3183</v>
      </c>
      <c r="B3797" s="23" t="s">
        <v>4106</v>
      </c>
      <c r="C3797" s="12" t="s">
        <v>4107</v>
      </c>
      <c r="D3797" s="84"/>
      <c r="E3797" s="69" t="str">
        <f t="shared" si="175"/>
        <v>Еще фото</v>
      </c>
      <c r="F3797" s="13"/>
      <c r="G3797" s="23" t="s">
        <v>4005</v>
      </c>
      <c r="H3797" s="23" t="s">
        <v>151</v>
      </c>
      <c r="I3797" s="23" t="s">
        <v>424</v>
      </c>
      <c r="J3797" s="14" t="s">
        <v>29</v>
      </c>
      <c r="K3797" s="15" t="s">
        <v>55</v>
      </c>
      <c r="L3797" s="87"/>
      <c r="M3797" s="14"/>
      <c r="N3797" s="14" t="s">
        <v>70</v>
      </c>
      <c r="O3797" s="14"/>
      <c r="P3797" s="15" t="s">
        <v>4108</v>
      </c>
      <c r="Q3797" s="16">
        <v>16190</v>
      </c>
      <c r="R3797" s="17">
        <v>50</v>
      </c>
      <c r="S3797" s="18">
        <v>9309.25</v>
      </c>
      <c r="T3797" s="19" t="s">
        <v>328</v>
      </c>
      <c r="U3797" s="20" t="s">
        <v>403</v>
      </c>
      <c r="V3797" s="21">
        <v>45</v>
      </c>
      <c r="W3797" s="21">
        <v>4</v>
      </c>
      <c r="X3797" s="22"/>
    </row>
    <row r="3798" spans="1:24" s="1" customFormat="1" ht="17.100000000000001" customHeight="1" x14ac:dyDescent="0.3">
      <c r="A3798" s="23" t="s">
        <v>3183</v>
      </c>
      <c r="B3798" s="23" t="s">
        <v>4106</v>
      </c>
      <c r="C3798" s="12" t="s">
        <v>4107</v>
      </c>
      <c r="D3798" s="85"/>
      <c r="E3798" s="69" t="str">
        <f t="shared" si="175"/>
        <v>Еще фото</v>
      </c>
      <c r="F3798" s="13"/>
      <c r="G3798" s="23" t="s">
        <v>4005</v>
      </c>
      <c r="H3798" s="23" t="s">
        <v>151</v>
      </c>
      <c r="I3798" s="23" t="s">
        <v>424</v>
      </c>
      <c r="J3798" s="14" t="s">
        <v>29</v>
      </c>
      <c r="K3798" s="15" t="s">
        <v>55</v>
      </c>
      <c r="L3798" s="88"/>
      <c r="M3798" s="14"/>
      <c r="N3798" s="14" t="s">
        <v>70</v>
      </c>
      <c r="O3798" s="14"/>
      <c r="P3798" s="15" t="s">
        <v>4108</v>
      </c>
      <c r="Q3798" s="16">
        <v>16190</v>
      </c>
      <c r="R3798" s="17">
        <v>50</v>
      </c>
      <c r="S3798" s="18">
        <v>9309.25</v>
      </c>
      <c r="T3798" s="19" t="s">
        <v>328</v>
      </c>
      <c r="U3798" s="20" t="s">
        <v>1253</v>
      </c>
      <c r="V3798" s="21">
        <v>46</v>
      </c>
      <c r="W3798" s="21">
        <v>2</v>
      </c>
      <c r="X3798" s="22"/>
    </row>
    <row r="3799" spans="1:24" s="1" customFormat="1" ht="108" customHeight="1" x14ac:dyDescent="0.3">
      <c r="A3799" s="11" t="s">
        <v>3183</v>
      </c>
      <c r="B3799" s="11" t="s">
        <v>4109</v>
      </c>
      <c r="C3799" s="12" t="s">
        <v>4110</v>
      </c>
      <c r="D3799" s="24"/>
      <c r="E3799" s="69" t="str">
        <f>HYPERLINK("https://www.google.ru/search?q=D45UFB05422C0815&amp;newwindow=1&amp;tbm=isch","Еще фото")</f>
        <v>Еще фото</v>
      </c>
      <c r="F3799" s="13"/>
      <c r="G3799" s="11" t="s">
        <v>394</v>
      </c>
      <c r="H3799" s="11" t="s">
        <v>151</v>
      </c>
      <c r="I3799" s="14" t="s">
        <v>424</v>
      </c>
      <c r="J3799" s="14" t="s">
        <v>29</v>
      </c>
      <c r="K3799" s="15" t="s">
        <v>47</v>
      </c>
      <c r="L3799" s="14" t="s">
        <v>4111</v>
      </c>
      <c r="M3799" s="14"/>
      <c r="N3799" s="14" t="s">
        <v>4112</v>
      </c>
      <c r="O3799" s="14"/>
      <c r="P3799" s="15" t="s">
        <v>4113</v>
      </c>
      <c r="Q3799" s="16">
        <v>20799</v>
      </c>
      <c r="R3799" s="17">
        <v>50</v>
      </c>
      <c r="S3799" s="18">
        <v>11959.988499999999</v>
      </c>
      <c r="T3799" s="19" t="s">
        <v>328</v>
      </c>
      <c r="U3799" s="20" t="s">
        <v>1503</v>
      </c>
      <c r="V3799" s="21">
        <v>36</v>
      </c>
      <c r="W3799" s="21">
        <v>1</v>
      </c>
      <c r="X3799" s="22"/>
    </row>
    <row r="3800" spans="1:24" s="1" customFormat="1" ht="108" customHeight="1" x14ac:dyDescent="0.3">
      <c r="A3800" s="11" t="s">
        <v>3183</v>
      </c>
      <c r="B3800" s="11" t="s">
        <v>3950</v>
      </c>
      <c r="C3800" s="12" t="s">
        <v>4114</v>
      </c>
      <c r="D3800" s="24"/>
      <c r="E3800" s="69" t="str">
        <f>HYPERLINK("https://www.google.ru/search?q=D46WEA0CK22C4005&amp;newwindow=1&amp;tbm=isch","Еще фото")</f>
        <v>Еще фото</v>
      </c>
      <c r="F3800" s="13"/>
      <c r="G3800" s="11" t="s">
        <v>394</v>
      </c>
      <c r="H3800" s="11" t="s">
        <v>151</v>
      </c>
      <c r="I3800" s="14" t="s">
        <v>424</v>
      </c>
      <c r="J3800" s="14" t="s">
        <v>29</v>
      </c>
      <c r="K3800" s="15" t="s">
        <v>47</v>
      </c>
      <c r="L3800" s="14" t="s">
        <v>4115</v>
      </c>
      <c r="M3800" s="14"/>
      <c r="N3800" s="14" t="s">
        <v>3974</v>
      </c>
      <c r="O3800" s="14"/>
      <c r="P3800" s="15" t="s">
        <v>4116</v>
      </c>
      <c r="Q3800" s="16">
        <v>20799</v>
      </c>
      <c r="R3800" s="17">
        <v>50</v>
      </c>
      <c r="S3800" s="18">
        <v>11959.988499999999</v>
      </c>
      <c r="T3800" s="19" t="s">
        <v>328</v>
      </c>
      <c r="U3800" s="20" t="s">
        <v>409</v>
      </c>
      <c r="V3800" s="21">
        <v>37</v>
      </c>
      <c r="W3800" s="21">
        <v>3</v>
      </c>
      <c r="X3800" s="22"/>
    </row>
    <row r="3801" spans="1:24" s="1" customFormat="1" ht="108" customHeight="1" x14ac:dyDescent="0.3">
      <c r="A3801" s="11" t="s">
        <v>3183</v>
      </c>
      <c r="B3801" s="11" t="s">
        <v>4117</v>
      </c>
      <c r="C3801" s="12" t="s">
        <v>4118</v>
      </c>
      <c r="D3801" s="24"/>
      <c r="E3801" s="69" t="str">
        <f>HYPERLINK("https://www.google.ru/search?q=D45MUJ00021C4003&amp;newwindow=1&amp;tbm=isch","Еще фото")</f>
        <v>Еще фото</v>
      </c>
      <c r="F3801" s="13"/>
      <c r="G3801" s="11" t="s">
        <v>3812</v>
      </c>
      <c r="H3801" s="11" t="s">
        <v>151</v>
      </c>
      <c r="I3801" s="14" t="s">
        <v>424</v>
      </c>
      <c r="J3801" s="14" t="s">
        <v>138</v>
      </c>
      <c r="K3801" s="15" t="s">
        <v>47</v>
      </c>
      <c r="L3801" s="14" t="s">
        <v>4119</v>
      </c>
      <c r="M3801" s="14"/>
      <c r="N3801" s="14" t="s">
        <v>4120</v>
      </c>
      <c r="O3801" s="14"/>
      <c r="P3801" s="15" t="s">
        <v>4121</v>
      </c>
      <c r="Q3801" s="16">
        <v>17999</v>
      </c>
      <c r="R3801" s="17">
        <v>50</v>
      </c>
      <c r="S3801" s="18">
        <v>10349.988499999999</v>
      </c>
      <c r="T3801" s="19" t="s">
        <v>328</v>
      </c>
      <c r="U3801" s="20" t="s">
        <v>399</v>
      </c>
      <c r="V3801" s="21">
        <v>40</v>
      </c>
      <c r="W3801" s="21">
        <v>1</v>
      </c>
      <c r="X3801" s="22"/>
    </row>
    <row r="3802" spans="1:24" s="1" customFormat="1" ht="108" customHeight="1" x14ac:dyDescent="0.3">
      <c r="A3802" s="11" t="s">
        <v>3183</v>
      </c>
      <c r="B3802" s="11" t="s">
        <v>4069</v>
      </c>
      <c r="C3802" s="12" t="s">
        <v>4122</v>
      </c>
      <c r="D3802" s="24"/>
      <c r="E3802" s="69" t="str">
        <f>HYPERLINK("https://www.google.ru/search?q=U55BUA09B22C0045&amp;newwindow=1&amp;tbm=isch","Еще фото")</f>
        <v>Еще фото</v>
      </c>
      <c r="F3802" s="13"/>
      <c r="G3802" s="11" t="s">
        <v>394</v>
      </c>
      <c r="H3802" s="11" t="s">
        <v>151</v>
      </c>
      <c r="I3802" s="14" t="s">
        <v>424</v>
      </c>
      <c r="J3802" s="14" t="s">
        <v>29</v>
      </c>
      <c r="K3802" s="15" t="s">
        <v>55</v>
      </c>
      <c r="L3802" s="14" t="s">
        <v>4123</v>
      </c>
      <c r="M3802" s="14"/>
      <c r="N3802" s="14" t="s">
        <v>4124</v>
      </c>
      <c r="O3802" s="14"/>
      <c r="P3802" s="15" t="s">
        <v>4125</v>
      </c>
      <c r="Q3802" s="16">
        <v>13999</v>
      </c>
      <c r="R3802" s="17">
        <v>50</v>
      </c>
      <c r="S3802" s="18">
        <v>8049.9884999999995</v>
      </c>
      <c r="T3802" s="19" t="s">
        <v>328</v>
      </c>
      <c r="U3802" s="20" t="s">
        <v>399</v>
      </c>
      <c r="V3802" s="21">
        <v>40</v>
      </c>
      <c r="W3802" s="21">
        <v>1</v>
      </c>
      <c r="X3802" s="22"/>
    </row>
    <row r="3803" spans="1:24" s="1" customFormat="1" ht="26.1" customHeight="1" x14ac:dyDescent="0.3">
      <c r="A3803" s="11" t="s">
        <v>3541</v>
      </c>
      <c r="B3803" s="11" t="s">
        <v>4126</v>
      </c>
      <c r="C3803" s="12" t="s">
        <v>4127</v>
      </c>
      <c r="D3803" s="83"/>
      <c r="E3803" s="69" t="str">
        <f>HYPERLINK("https://www.google.ru/search?q=DR101173744C0200&amp;newwindow=1&amp;tbm=isch","Еще фото")</f>
        <v>Еще фото</v>
      </c>
      <c r="F3803" s="13"/>
      <c r="G3803" s="11" t="s">
        <v>394</v>
      </c>
      <c r="H3803" s="11" t="s">
        <v>151</v>
      </c>
      <c r="I3803" s="14" t="s">
        <v>424</v>
      </c>
      <c r="J3803" s="14" t="s">
        <v>29</v>
      </c>
      <c r="K3803" s="15" t="s">
        <v>114</v>
      </c>
      <c r="L3803" s="86" t="s">
        <v>4128</v>
      </c>
      <c r="M3803" s="14"/>
      <c r="N3803" s="14" t="s">
        <v>49</v>
      </c>
      <c r="O3803" s="14"/>
      <c r="P3803" s="15" t="s">
        <v>4129</v>
      </c>
      <c r="Q3803" s="16">
        <v>10999</v>
      </c>
      <c r="R3803" s="17">
        <v>48.83</v>
      </c>
      <c r="S3803" s="18">
        <v>6471.9354999999996</v>
      </c>
      <c r="T3803" s="19" t="s">
        <v>846</v>
      </c>
      <c r="U3803" s="20" t="s">
        <v>849</v>
      </c>
      <c r="V3803" s="21">
        <v>38</v>
      </c>
      <c r="W3803" s="21">
        <v>1</v>
      </c>
      <c r="X3803" s="22"/>
    </row>
    <row r="3804" spans="1:24" s="1" customFormat="1" ht="26.1" customHeight="1" x14ac:dyDescent="0.3">
      <c r="A3804" s="23" t="s">
        <v>3541</v>
      </c>
      <c r="B3804" s="23" t="s">
        <v>4126</v>
      </c>
      <c r="C3804" s="12" t="s">
        <v>4127</v>
      </c>
      <c r="D3804" s="84"/>
      <c r="E3804" s="69" t="str">
        <f>HYPERLINK("https://www.google.ru/search?q=DR101173744C0200&amp;newwindow=1&amp;tbm=isch","Еще фото")</f>
        <v>Еще фото</v>
      </c>
      <c r="F3804" s="13"/>
      <c r="G3804" s="23" t="s">
        <v>394</v>
      </c>
      <c r="H3804" s="23" t="s">
        <v>151</v>
      </c>
      <c r="I3804" s="23" t="s">
        <v>424</v>
      </c>
      <c r="J3804" s="14" t="s">
        <v>29</v>
      </c>
      <c r="K3804" s="15" t="s">
        <v>114</v>
      </c>
      <c r="L3804" s="87"/>
      <c r="M3804" s="14"/>
      <c r="N3804" s="14" t="s">
        <v>49</v>
      </c>
      <c r="O3804" s="14"/>
      <c r="P3804" s="15" t="s">
        <v>4129</v>
      </c>
      <c r="Q3804" s="16">
        <v>10999</v>
      </c>
      <c r="R3804" s="17">
        <v>48.83</v>
      </c>
      <c r="S3804" s="18">
        <v>6471.9354999999996</v>
      </c>
      <c r="T3804" s="19" t="s">
        <v>846</v>
      </c>
      <c r="U3804" s="20" t="s">
        <v>157</v>
      </c>
      <c r="V3804" s="21">
        <v>41</v>
      </c>
      <c r="W3804" s="21">
        <v>1</v>
      </c>
      <c r="X3804" s="22"/>
    </row>
    <row r="3805" spans="1:24" s="1" customFormat="1" ht="26.1" customHeight="1" x14ac:dyDescent="0.3">
      <c r="A3805" s="23" t="s">
        <v>3541</v>
      </c>
      <c r="B3805" s="23" t="s">
        <v>4126</v>
      </c>
      <c r="C3805" s="12" t="s">
        <v>4127</v>
      </c>
      <c r="D3805" s="84"/>
      <c r="E3805" s="69" t="str">
        <f>HYPERLINK("https://www.google.ru/search?q=DR101173744C0200&amp;newwindow=1&amp;tbm=isch","Еще фото")</f>
        <v>Еще фото</v>
      </c>
      <c r="F3805" s="13"/>
      <c r="G3805" s="23" t="s">
        <v>394</v>
      </c>
      <c r="H3805" s="23" t="s">
        <v>151</v>
      </c>
      <c r="I3805" s="23" t="s">
        <v>424</v>
      </c>
      <c r="J3805" s="14" t="s">
        <v>29</v>
      </c>
      <c r="K3805" s="15" t="s">
        <v>114</v>
      </c>
      <c r="L3805" s="87"/>
      <c r="M3805" s="14"/>
      <c r="N3805" s="14" t="s">
        <v>49</v>
      </c>
      <c r="O3805" s="14"/>
      <c r="P3805" s="15" t="s">
        <v>4129</v>
      </c>
      <c r="Q3805" s="16">
        <v>10999</v>
      </c>
      <c r="R3805" s="17">
        <v>48.83</v>
      </c>
      <c r="S3805" s="18">
        <v>6471.9354999999996</v>
      </c>
      <c r="T3805" s="19" t="s">
        <v>846</v>
      </c>
      <c r="U3805" s="20" t="s">
        <v>3547</v>
      </c>
      <c r="V3805" s="25" t="s">
        <v>3594</v>
      </c>
      <c r="W3805" s="21">
        <v>1</v>
      </c>
      <c r="X3805" s="22"/>
    </row>
    <row r="3806" spans="1:24" s="1" customFormat="1" ht="26.1" customHeight="1" x14ac:dyDescent="0.3">
      <c r="A3806" s="23" t="s">
        <v>3541</v>
      </c>
      <c r="B3806" s="23" t="s">
        <v>4126</v>
      </c>
      <c r="C3806" s="12" t="s">
        <v>4127</v>
      </c>
      <c r="D3806" s="85"/>
      <c r="E3806" s="69" t="str">
        <f>HYPERLINK("https://www.google.ru/search?q=DR101173744C0200&amp;newwindow=1&amp;tbm=isch","Еще фото")</f>
        <v>Еще фото</v>
      </c>
      <c r="F3806" s="13"/>
      <c r="G3806" s="23" t="s">
        <v>394</v>
      </c>
      <c r="H3806" s="23" t="s">
        <v>151</v>
      </c>
      <c r="I3806" s="23" t="s">
        <v>424</v>
      </c>
      <c r="J3806" s="14" t="s">
        <v>29</v>
      </c>
      <c r="K3806" s="15" t="s">
        <v>114</v>
      </c>
      <c r="L3806" s="88"/>
      <c r="M3806" s="14"/>
      <c r="N3806" s="14" t="s">
        <v>49</v>
      </c>
      <c r="O3806" s="14"/>
      <c r="P3806" s="15" t="s">
        <v>4129</v>
      </c>
      <c r="Q3806" s="16">
        <v>10999</v>
      </c>
      <c r="R3806" s="17">
        <v>48.83</v>
      </c>
      <c r="S3806" s="18">
        <v>6471.9354999999996</v>
      </c>
      <c r="T3806" s="19" t="s">
        <v>846</v>
      </c>
      <c r="U3806" s="20" t="s">
        <v>163</v>
      </c>
      <c r="V3806" s="25" t="s">
        <v>3552</v>
      </c>
      <c r="W3806" s="21">
        <v>2</v>
      </c>
      <c r="X3806" s="22"/>
    </row>
    <row r="3807" spans="1:24" s="1" customFormat="1" ht="108" customHeight="1" x14ac:dyDescent="0.3">
      <c r="A3807" s="11" t="s">
        <v>3541</v>
      </c>
      <c r="B3807" s="11" t="s">
        <v>4130</v>
      </c>
      <c r="C3807" s="12" t="s">
        <v>4131</v>
      </c>
      <c r="D3807" s="24"/>
      <c r="E3807" s="69" t="str">
        <f>HYPERLINK("https://www.google.ru/search?q=DR501180188C3091&amp;newwindow=1&amp;tbm=isch","Еще фото")</f>
        <v>Еще фото</v>
      </c>
      <c r="F3807" s="13"/>
      <c r="G3807" s="11" t="s">
        <v>394</v>
      </c>
      <c r="H3807" s="11" t="s">
        <v>151</v>
      </c>
      <c r="I3807" s="14" t="s">
        <v>424</v>
      </c>
      <c r="J3807" s="14" t="s">
        <v>29</v>
      </c>
      <c r="K3807" s="15" t="s">
        <v>114</v>
      </c>
      <c r="L3807" s="14" t="s">
        <v>4132</v>
      </c>
      <c r="M3807" s="14"/>
      <c r="N3807" s="14" t="s">
        <v>89</v>
      </c>
      <c r="O3807" s="14"/>
      <c r="P3807" s="15" t="s">
        <v>4133</v>
      </c>
      <c r="Q3807" s="16">
        <v>15990</v>
      </c>
      <c r="R3807" s="17">
        <v>45.59</v>
      </c>
      <c r="S3807" s="18">
        <v>10004.988499999999</v>
      </c>
      <c r="T3807" s="19" t="s">
        <v>846</v>
      </c>
      <c r="U3807" s="20" t="s">
        <v>162</v>
      </c>
      <c r="V3807" s="21">
        <v>42</v>
      </c>
      <c r="W3807" s="21">
        <v>1</v>
      </c>
      <c r="X3807" s="22"/>
    </row>
    <row r="3808" spans="1:24" s="1" customFormat="1" ht="108" customHeight="1" x14ac:dyDescent="0.3">
      <c r="A3808" s="11" t="s">
        <v>2929</v>
      </c>
      <c r="B3808" s="11" t="s">
        <v>4134</v>
      </c>
      <c r="C3808" s="12" t="s">
        <v>4135</v>
      </c>
      <c r="D3808" s="24"/>
      <c r="E3808" s="69" t="str">
        <f>HYPERLINK("https://www.google.ru/search?q=747SMA003618C&amp;newwindow=1&amp;tbm=isch","Еще фото")</f>
        <v>Еще фото</v>
      </c>
      <c r="F3808" s="13"/>
      <c r="G3808" s="11" t="s">
        <v>484</v>
      </c>
      <c r="H3808" s="11" t="s">
        <v>151</v>
      </c>
      <c r="I3808" s="14" t="s">
        <v>424</v>
      </c>
      <c r="J3808" s="14" t="s">
        <v>29</v>
      </c>
      <c r="K3808" s="15" t="s">
        <v>55</v>
      </c>
      <c r="L3808" s="14" t="s">
        <v>4136</v>
      </c>
      <c r="M3808" s="14"/>
      <c r="N3808" s="14" t="s">
        <v>4137</v>
      </c>
      <c r="O3808" s="14"/>
      <c r="P3808" s="15" t="s">
        <v>4138</v>
      </c>
      <c r="Q3808" s="16">
        <v>21999</v>
      </c>
      <c r="R3808" s="17">
        <v>45.45</v>
      </c>
      <c r="S3808" s="18">
        <v>13799.988499999999</v>
      </c>
      <c r="T3808" s="19" t="s">
        <v>846</v>
      </c>
      <c r="U3808" s="20" t="s">
        <v>3547</v>
      </c>
      <c r="V3808" s="30">
        <v>42.5</v>
      </c>
      <c r="W3808" s="21">
        <v>1</v>
      </c>
      <c r="X3808" s="22"/>
    </row>
    <row r="3809" spans="1:24" s="1" customFormat="1" ht="108" customHeight="1" x14ac:dyDescent="0.3">
      <c r="A3809" s="11" t="s">
        <v>3541</v>
      </c>
      <c r="B3809" s="11" t="s">
        <v>4126</v>
      </c>
      <c r="C3809" s="12" t="s">
        <v>4139</v>
      </c>
      <c r="D3809" s="24"/>
      <c r="E3809" s="69" t="str">
        <f>HYPERLINK("https://www.google.ru/search?q=DR101173744C0657&amp;newwindow=1&amp;tbm=isch","Еще фото")</f>
        <v>Еще фото</v>
      </c>
      <c r="F3809" s="13"/>
      <c r="G3809" s="11" t="s">
        <v>394</v>
      </c>
      <c r="H3809" s="11" t="s">
        <v>151</v>
      </c>
      <c r="I3809" s="14" t="s">
        <v>424</v>
      </c>
      <c r="J3809" s="14" t="s">
        <v>29</v>
      </c>
      <c r="K3809" s="15" t="s">
        <v>114</v>
      </c>
      <c r="L3809" s="14" t="s">
        <v>4140</v>
      </c>
      <c r="M3809" s="14"/>
      <c r="N3809" s="14" t="s">
        <v>89</v>
      </c>
      <c r="O3809" s="14"/>
      <c r="P3809" s="15" t="s">
        <v>4129</v>
      </c>
      <c r="Q3809" s="16">
        <v>10999</v>
      </c>
      <c r="R3809" s="17">
        <v>45.45</v>
      </c>
      <c r="S3809" s="18">
        <v>6899.9884999999995</v>
      </c>
      <c r="T3809" s="19" t="s">
        <v>846</v>
      </c>
      <c r="U3809" s="20" t="s">
        <v>163</v>
      </c>
      <c r="V3809" s="25" t="s">
        <v>3552</v>
      </c>
      <c r="W3809" s="21">
        <v>1</v>
      </c>
      <c r="X3809" s="22"/>
    </row>
    <row r="3810" spans="1:24" s="1" customFormat="1" ht="26.1" customHeight="1" x14ac:dyDescent="0.3">
      <c r="A3810" s="11" t="s">
        <v>3194</v>
      </c>
      <c r="B3810" s="11" t="s">
        <v>4141</v>
      </c>
      <c r="C3810" s="12" t="s">
        <v>4142</v>
      </c>
      <c r="D3810" s="83"/>
      <c r="E3810" s="69" t="str">
        <f>HYPERLINK("https://www.google.ru/search?q=101188182&amp;newwindow=1&amp;tbm=isch","Еще фото")</f>
        <v>Еще фото</v>
      </c>
      <c r="F3810" s="13"/>
      <c r="G3810" s="11" t="s">
        <v>150</v>
      </c>
      <c r="H3810" s="11" t="s">
        <v>151</v>
      </c>
      <c r="I3810" s="14" t="s">
        <v>424</v>
      </c>
      <c r="J3810" s="14" t="s">
        <v>138</v>
      </c>
      <c r="K3810" s="15" t="s">
        <v>47</v>
      </c>
      <c r="L3810" s="86"/>
      <c r="M3810" s="14"/>
      <c r="N3810" s="14" t="s">
        <v>49</v>
      </c>
      <c r="O3810" s="14"/>
      <c r="P3810" s="15" t="s">
        <v>4143</v>
      </c>
      <c r="Q3810" s="16">
        <v>6699</v>
      </c>
      <c r="R3810" s="17">
        <v>45</v>
      </c>
      <c r="S3810" s="18">
        <v>4237.1174999999994</v>
      </c>
      <c r="T3810" s="19" t="s">
        <v>328</v>
      </c>
      <c r="U3810" s="20" t="s">
        <v>1503</v>
      </c>
      <c r="V3810" s="21">
        <v>35</v>
      </c>
      <c r="W3810" s="21">
        <v>4</v>
      </c>
      <c r="X3810" s="22"/>
    </row>
    <row r="3811" spans="1:24" s="1" customFormat="1" ht="26.1" customHeight="1" x14ac:dyDescent="0.3">
      <c r="A3811" s="23" t="s">
        <v>3194</v>
      </c>
      <c r="B3811" s="23" t="s">
        <v>4141</v>
      </c>
      <c r="C3811" s="12" t="s">
        <v>4142</v>
      </c>
      <c r="D3811" s="84"/>
      <c r="E3811" s="69" t="str">
        <f>HYPERLINK("https://www.google.ru/search?q=101188182&amp;newwindow=1&amp;tbm=isch","Еще фото")</f>
        <v>Еще фото</v>
      </c>
      <c r="F3811" s="13"/>
      <c r="G3811" s="23" t="s">
        <v>150</v>
      </c>
      <c r="H3811" s="23" t="s">
        <v>151</v>
      </c>
      <c r="I3811" s="23" t="s">
        <v>424</v>
      </c>
      <c r="J3811" s="14" t="s">
        <v>138</v>
      </c>
      <c r="K3811" s="15" t="s">
        <v>47</v>
      </c>
      <c r="L3811" s="87"/>
      <c r="M3811" s="14"/>
      <c r="N3811" s="14" t="s">
        <v>49</v>
      </c>
      <c r="O3811" s="14"/>
      <c r="P3811" s="15" t="s">
        <v>4143</v>
      </c>
      <c r="Q3811" s="16">
        <v>6699</v>
      </c>
      <c r="R3811" s="17">
        <v>45</v>
      </c>
      <c r="S3811" s="18">
        <v>4237.1174999999994</v>
      </c>
      <c r="T3811" s="19" t="s">
        <v>328</v>
      </c>
      <c r="U3811" s="20" t="s">
        <v>409</v>
      </c>
      <c r="V3811" s="21">
        <v>36</v>
      </c>
      <c r="W3811" s="21">
        <v>8</v>
      </c>
      <c r="X3811" s="22"/>
    </row>
    <row r="3812" spans="1:24" s="1" customFormat="1" ht="26.1" customHeight="1" x14ac:dyDescent="0.3">
      <c r="A3812" s="23" t="s">
        <v>3194</v>
      </c>
      <c r="B3812" s="23" t="s">
        <v>4141</v>
      </c>
      <c r="C3812" s="12" t="s">
        <v>4142</v>
      </c>
      <c r="D3812" s="84"/>
      <c r="E3812" s="69" t="str">
        <f>HYPERLINK("https://www.google.ru/search?q=101188182&amp;newwindow=1&amp;tbm=isch","Еще фото")</f>
        <v>Еще фото</v>
      </c>
      <c r="F3812" s="13"/>
      <c r="G3812" s="23" t="s">
        <v>150</v>
      </c>
      <c r="H3812" s="23" t="s">
        <v>151</v>
      </c>
      <c r="I3812" s="23" t="s">
        <v>424</v>
      </c>
      <c r="J3812" s="14" t="s">
        <v>138</v>
      </c>
      <c r="K3812" s="15" t="s">
        <v>47</v>
      </c>
      <c r="L3812" s="87"/>
      <c r="M3812" s="14"/>
      <c r="N3812" s="14" t="s">
        <v>49</v>
      </c>
      <c r="O3812" s="14"/>
      <c r="P3812" s="15" t="s">
        <v>4143</v>
      </c>
      <c r="Q3812" s="16">
        <v>6699</v>
      </c>
      <c r="R3812" s="17">
        <v>45</v>
      </c>
      <c r="S3812" s="18">
        <v>4237.1174999999994</v>
      </c>
      <c r="T3812" s="19" t="s">
        <v>328</v>
      </c>
      <c r="U3812" s="20" t="s">
        <v>426</v>
      </c>
      <c r="V3812" s="21">
        <v>37</v>
      </c>
      <c r="W3812" s="21">
        <v>9</v>
      </c>
      <c r="X3812" s="22"/>
    </row>
    <row r="3813" spans="1:24" s="1" customFormat="1" ht="26.1" customHeight="1" x14ac:dyDescent="0.3">
      <c r="A3813" s="23" t="s">
        <v>3194</v>
      </c>
      <c r="B3813" s="23" t="s">
        <v>4141</v>
      </c>
      <c r="C3813" s="12" t="s">
        <v>4142</v>
      </c>
      <c r="D3813" s="85"/>
      <c r="E3813" s="69" t="str">
        <f>HYPERLINK("https://www.google.ru/search?q=101188182&amp;newwindow=1&amp;tbm=isch","Еще фото")</f>
        <v>Еще фото</v>
      </c>
      <c r="F3813" s="13"/>
      <c r="G3813" s="23" t="s">
        <v>150</v>
      </c>
      <c r="H3813" s="23" t="s">
        <v>151</v>
      </c>
      <c r="I3813" s="23" t="s">
        <v>424</v>
      </c>
      <c r="J3813" s="14" t="s">
        <v>138</v>
      </c>
      <c r="K3813" s="15" t="s">
        <v>47</v>
      </c>
      <c r="L3813" s="88"/>
      <c r="M3813" s="14"/>
      <c r="N3813" s="14" t="s">
        <v>49</v>
      </c>
      <c r="O3813" s="14"/>
      <c r="P3813" s="15" t="s">
        <v>4143</v>
      </c>
      <c r="Q3813" s="16">
        <v>6699</v>
      </c>
      <c r="R3813" s="17">
        <v>45</v>
      </c>
      <c r="S3813" s="18">
        <v>4237.1174999999994</v>
      </c>
      <c r="T3813" s="19" t="s">
        <v>328</v>
      </c>
      <c r="U3813" s="20" t="s">
        <v>413</v>
      </c>
      <c r="V3813" s="21">
        <v>38</v>
      </c>
      <c r="W3813" s="21">
        <v>7</v>
      </c>
      <c r="X3813" s="22"/>
    </row>
    <row r="3814" spans="1:24" s="1" customFormat="1" ht="108" customHeight="1" x14ac:dyDescent="0.3">
      <c r="A3814" s="11" t="s">
        <v>3194</v>
      </c>
      <c r="B3814" s="11" t="s">
        <v>4144</v>
      </c>
      <c r="C3814" s="12" t="s">
        <v>4145</v>
      </c>
      <c r="D3814" s="24"/>
      <c r="E3814" s="69" t="str">
        <f>HYPERLINK("https://www.google.ru/search?q=101385943&amp;newwindow=1&amp;tbm=isch","Еще фото")</f>
        <v>Еще фото</v>
      </c>
      <c r="F3814" s="13"/>
      <c r="G3814" s="11" t="s">
        <v>150</v>
      </c>
      <c r="H3814" s="11" t="s">
        <v>151</v>
      </c>
      <c r="I3814" s="14" t="s">
        <v>424</v>
      </c>
      <c r="J3814" s="14" t="s">
        <v>138</v>
      </c>
      <c r="K3814" s="15" t="s">
        <v>55</v>
      </c>
      <c r="L3814" s="14"/>
      <c r="M3814" s="14"/>
      <c r="N3814" s="14" t="s">
        <v>49</v>
      </c>
      <c r="O3814" s="14"/>
      <c r="P3814" s="15" t="s">
        <v>3205</v>
      </c>
      <c r="Q3814" s="16">
        <v>13999</v>
      </c>
      <c r="R3814" s="17">
        <v>45</v>
      </c>
      <c r="S3814" s="18">
        <v>8854.3674999999985</v>
      </c>
      <c r="T3814" s="19" t="s">
        <v>328</v>
      </c>
      <c r="U3814" s="20" t="s">
        <v>457</v>
      </c>
      <c r="V3814" s="21">
        <v>41</v>
      </c>
      <c r="W3814" s="21">
        <v>5</v>
      </c>
      <c r="X3814" s="22"/>
    </row>
    <row r="3815" spans="1:24" s="1" customFormat="1" ht="51.95" customHeight="1" x14ac:dyDescent="0.3">
      <c r="A3815" s="11" t="s">
        <v>3194</v>
      </c>
      <c r="B3815" s="11" t="s">
        <v>4141</v>
      </c>
      <c r="C3815" s="12" t="s">
        <v>4146</v>
      </c>
      <c r="D3815" s="89"/>
      <c r="E3815" s="69" t="str">
        <f>HYPERLINK("https://www.google.ru/search?q=101385991&amp;newwindow=1&amp;tbm=isch","Еще фото")</f>
        <v>Еще фото</v>
      </c>
      <c r="F3815" s="13"/>
      <c r="G3815" s="11" t="s">
        <v>150</v>
      </c>
      <c r="H3815" s="11" t="s">
        <v>151</v>
      </c>
      <c r="I3815" s="14" t="s">
        <v>424</v>
      </c>
      <c r="J3815" s="14" t="s">
        <v>138</v>
      </c>
      <c r="K3815" s="15" t="s">
        <v>55</v>
      </c>
      <c r="L3815" s="86"/>
      <c r="M3815" s="14"/>
      <c r="N3815" s="14" t="s">
        <v>49</v>
      </c>
      <c r="O3815" s="14"/>
      <c r="P3815" s="15" t="s">
        <v>4147</v>
      </c>
      <c r="Q3815" s="16">
        <v>7399</v>
      </c>
      <c r="R3815" s="17">
        <v>45</v>
      </c>
      <c r="S3815" s="18">
        <v>4679.8674999999994</v>
      </c>
      <c r="T3815" s="19" t="s">
        <v>328</v>
      </c>
      <c r="U3815" s="20" t="s">
        <v>400</v>
      </c>
      <c r="V3815" s="21">
        <v>40</v>
      </c>
      <c r="W3815" s="21">
        <v>4</v>
      </c>
      <c r="X3815" s="22"/>
    </row>
    <row r="3816" spans="1:24" s="1" customFormat="1" ht="60.95" customHeight="1" x14ac:dyDescent="0.3">
      <c r="A3816" s="23" t="s">
        <v>3194</v>
      </c>
      <c r="B3816" s="23" t="s">
        <v>4141</v>
      </c>
      <c r="C3816" s="12" t="s">
        <v>4146</v>
      </c>
      <c r="D3816" s="90"/>
      <c r="E3816" s="69" t="str">
        <f>HYPERLINK("https://www.google.ru/search?q=101385991&amp;newwindow=1&amp;tbm=isch","Еще фото")</f>
        <v>Еще фото</v>
      </c>
      <c r="F3816" s="13"/>
      <c r="G3816" s="23" t="s">
        <v>150</v>
      </c>
      <c r="H3816" s="23" t="s">
        <v>151</v>
      </c>
      <c r="I3816" s="23" t="s">
        <v>424</v>
      </c>
      <c r="J3816" s="14" t="s">
        <v>138</v>
      </c>
      <c r="K3816" s="15" t="s">
        <v>55</v>
      </c>
      <c r="L3816" s="88"/>
      <c r="M3816" s="14"/>
      <c r="N3816" s="14" t="s">
        <v>49</v>
      </c>
      <c r="O3816" s="14"/>
      <c r="P3816" s="15" t="s">
        <v>4147</v>
      </c>
      <c r="Q3816" s="16">
        <v>7399</v>
      </c>
      <c r="R3816" s="17">
        <v>45</v>
      </c>
      <c r="S3816" s="18">
        <v>4679.8674999999994</v>
      </c>
      <c r="T3816" s="19" t="s">
        <v>328</v>
      </c>
      <c r="U3816" s="20" t="s">
        <v>457</v>
      </c>
      <c r="V3816" s="21">
        <v>41</v>
      </c>
      <c r="W3816" s="21">
        <v>9</v>
      </c>
      <c r="X3816" s="22"/>
    </row>
    <row r="3817" spans="1:24" s="1" customFormat="1" ht="108" customHeight="1" x14ac:dyDescent="0.3">
      <c r="A3817" s="11" t="s">
        <v>3194</v>
      </c>
      <c r="B3817" s="11" t="s">
        <v>4148</v>
      </c>
      <c r="C3817" s="12" t="s">
        <v>4149</v>
      </c>
      <c r="D3817" s="24"/>
      <c r="E3817" s="69" t="str">
        <f>HYPERLINK("https://www.google.ru/search?q=101386047&amp;newwindow=1&amp;tbm=isch","Еще фото")</f>
        <v>Еще фото</v>
      </c>
      <c r="F3817" s="13"/>
      <c r="G3817" s="11" t="s">
        <v>394</v>
      </c>
      <c r="H3817" s="11" t="s">
        <v>151</v>
      </c>
      <c r="I3817" s="14" t="s">
        <v>424</v>
      </c>
      <c r="J3817" s="14" t="s">
        <v>29</v>
      </c>
      <c r="K3817" s="15" t="s">
        <v>47</v>
      </c>
      <c r="L3817" s="14"/>
      <c r="M3817" s="14"/>
      <c r="N3817" s="14" t="s">
        <v>49</v>
      </c>
      <c r="O3817" s="14"/>
      <c r="P3817" s="15" t="s">
        <v>3230</v>
      </c>
      <c r="Q3817" s="16">
        <v>7299</v>
      </c>
      <c r="R3817" s="17">
        <v>45</v>
      </c>
      <c r="S3817" s="18">
        <v>4616.6174999999994</v>
      </c>
      <c r="T3817" s="19" t="s">
        <v>328</v>
      </c>
      <c r="U3817" s="20" t="s">
        <v>1503</v>
      </c>
      <c r="V3817" s="21">
        <v>35</v>
      </c>
      <c r="W3817" s="21">
        <v>1</v>
      </c>
      <c r="X3817" s="22"/>
    </row>
    <row r="3818" spans="1:24" s="1" customFormat="1" ht="17.100000000000001" customHeight="1" x14ac:dyDescent="0.3">
      <c r="A3818" s="11" t="s">
        <v>3194</v>
      </c>
      <c r="B3818" s="11" t="s">
        <v>4141</v>
      </c>
      <c r="C3818" s="12" t="s">
        <v>4150</v>
      </c>
      <c r="D3818" s="83"/>
      <c r="E3818" s="69" t="str">
        <f t="shared" ref="E3818:E3823" si="176">HYPERLINK("https://www.google.ru/search?q=101396780&amp;newwindow=1&amp;tbm=isch","Еще фото")</f>
        <v>Еще фото</v>
      </c>
      <c r="F3818" s="13"/>
      <c r="G3818" s="11" t="s">
        <v>150</v>
      </c>
      <c r="H3818" s="11" t="s">
        <v>151</v>
      </c>
      <c r="I3818" s="14" t="s">
        <v>424</v>
      </c>
      <c r="J3818" s="14" t="s">
        <v>138</v>
      </c>
      <c r="K3818" s="15" t="s">
        <v>47</v>
      </c>
      <c r="L3818" s="86"/>
      <c r="M3818" s="14"/>
      <c r="N3818" s="14" t="s">
        <v>49</v>
      </c>
      <c r="O3818" s="14"/>
      <c r="P3818" s="15" t="s">
        <v>4147</v>
      </c>
      <c r="Q3818" s="16">
        <v>7399</v>
      </c>
      <c r="R3818" s="17">
        <v>45</v>
      </c>
      <c r="S3818" s="18">
        <v>4679.8674999999994</v>
      </c>
      <c r="T3818" s="19" t="s">
        <v>328</v>
      </c>
      <c r="U3818" s="20" t="s">
        <v>1503</v>
      </c>
      <c r="V3818" s="21">
        <v>35</v>
      </c>
      <c r="W3818" s="21">
        <v>3</v>
      </c>
      <c r="X3818" s="22"/>
    </row>
    <row r="3819" spans="1:24" s="1" customFormat="1" ht="17.100000000000001" customHeight="1" x14ac:dyDescent="0.3">
      <c r="A3819" s="23" t="s">
        <v>3194</v>
      </c>
      <c r="B3819" s="23" t="s">
        <v>4141</v>
      </c>
      <c r="C3819" s="12" t="s">
        <v>4150</v>
      </c>
      <c r="D3819" s="84"/>
      <c r="E3819" s="69" t="str">
        <f t="shared" si="176"/>
        <v>Еще фото</v>
      </c>
      <c r="F3819" s="13"/>
      <c r="G3819" s="23" t="s">
        <v>150</v>
      </c>
      <c r="H3819" s="23" t="s">
        <v>151</v>
      </c>
      <c r="I3819" s="23" t="s">
        <v>424</v>
      </c>
      <c r="J3819" s="14" t="s">
        <v>138</v>
      </c>
      <c r="K3819" s="15" t="s">
        <v>47</v>
      </c>
      <c r="L3819" s="87"/>
      <c r="M3819" s="14"/>
      <c r="N3819" s="14" t="s">
        <v>49</v>
      </c>
      <c r="O3819" s="14"/>
      <c r="P3819" s="15" t="s">
        <v>4147</v>
      </c>
      <c r="Q3819" s="16">
        <v>7399</v>
      </c>
      <c r="R3819" s="17">
        <v>45</v>
      </c>
      <c r="S3819" s="18">
        <v>4679.8674999999994</v>
      </c>
      <c r="T3819" s="19" t="s">
        <v>328</v>
      </c>
      <c r="U3819" s="20" t="s">
        <v>409</v>
      </c>
      <c r="V3819" s="21">
        <v>36</v>
      </c>
      <c r="W3819" s="21">
        <v>5</v>
      </c>
      <c r="X3819" s="22"/>
    </row>
    <row r="3820" spans="1:24" s="1" customFormat="1" ht="17.100000000000001" customHeight="1" x14ac:dyDescent="0.3">
      <c r="A3820" s="23" t="s">
        <v>3194</v>
      </c>
      <c r="B3820" s="23" t="s">
        <v>4141</v>
      </c>
      <c r="C3820" s="12" t="s">
        <v>4150</v>
      </c>
      <c r="D3820" s="84"/>
      <c r="E3820" s="69" t="str">
        <f t="shared" si="176"/>
        <v>Еще фото</v>
      </c>
      <c r="F3820" s="13"/>
      <c r="G3820" s="23" t="s">
        <v>150</v>
      </c>
      <c r="H3820" s="23" t="s">
        <v>151</v>
      </c>
      <c r="I3820" s="23" t="s">
        <v>424</v>
      </c>
      <c r="J3820" s="14" t="s">
        <v>138</v>
      </c>
      <c r="K3820" s="15" t="s">
        <v>47</v>
      </c>
      <c r="L3820" s="87"/>
      <c r="M3820" s="14"/>
      <c r="N3820" s="14" t="s">
        <v>49</v>
      </c>
      <c r="O3820" s="14"/>
      <c r="P3820" s="15" t="s">
        <v>4147</v>
      </c>
      <c r="Q3820" s="16">
        <v>7399</v>
      </c>
      <c r="R3820" s="17">
        <v>45</v>
      </c>
      <c r="S3820" s="18">
        <v>4679.8674999999994</v>
      </c>
      <c r="T3820" s="19" t="s">
        <v>328</v>
      </c>
      <c r="U3820" s="20" t="s">
        <v>426</v>
      </c>
      <c r="V3820" s="21">
        <v>37</v>
      </c>
      <c r="W3820" s="21">
        <v>11</v>
      </c>
      <c r="X3820" s="22"/>
    </row>
    <row r="3821" spans="1:24" s="1" customFormat="1" ht="17.100000000000001" customHeight="1" x14ac:dyDescent="0.3">
      <c r="A3821" s="23" t="s">
        <v>3194</v>
      </c>
      <c r="B3821" s="23" t="s">
        <v>4141</v>
      </c>
      <c r="C3821" s="12" t="s">
        <v>4150</v>
      </c>
      <c r="D3821" s="84"/>
      <c r="E3821" s="69" t="str">
        <f t="shared" si="176"/>
        <v>Еще фото</v>
      </c>
      <c r="F3821" s="13"/>
      <c r="G3821" s="23" t="s">
        <v>150</v>
      </c>
      <c r="H3821" s="23" t="s">
        <v>151</v>
      </c>
      <c r="I3821" s="23" t="s">
        <v>424</v>
      </c>
      <c r="J3821" s="14" t="s">
        <v>138</v>
      </c>
      <c r="K3821" s="15" t="s">
        <v>47</v>
      </c>
      <c r="L3821" s="87"/>
      <c r="M3821" s="14"/>
      <c r="N3821" s="14" t="s">
        <v>49</v>
      </c>
      <c r="O3821" s="14"/>
      <c r="P3821" s="15" t="s">
        <v>4147</v>
      </c>
      <c r="Q3821" s="16">
        <v>7399</v>
      </c>
      <c r="R3821" s="17">
        <v>45</v>
      </c>
      <c r="S3821" s="18">
        <v>4679.8674999999994</v>
      </c>
      <c r="T3821" s="19" t="s">
        <v>328</v>
      </c>
      <c r="U3821" s="20" t="s">
        <v>413</v>
      </c>
      <c r="V3821" s="21">
        <v>38</v>
      </c>
      <c r="W3821" s="21">
        <v>8</v>
      </c>
      <c r="X3821" s="22"/>
    </row>
    <row r="3822" spans="1:24" s="1" customFormat="1" ht="17.100000000000001" customHeight="1" x14ac:dyDescent="0.3">
      <c r="A3822" s="23" t="s">
        <v>3194</v>
      </c>
      <c r="B3822" s="23" t="s">
        <v>4141</v>
      </c>
      <c r="C3822" s="12" t="s">
        <v>4150</v>
      </c>
      <c r="D3822" s="84"/>
      <c r="E3822" s="69" t="str">
        <f t="shared" si="176"/>
        <v>Еще фото</v>
      </c>
      <c r="F3822" s="13"/>
      <c r="G3822" s="23" t="s">
        <v>150</v>
      </c>
      <c r="H3822" s="23" t="s">
        <v>151</v>
      </c>
      <c r="I3822" s="23" t="s">
        <v>424</v>
      </c>
      <c r="J3822" s="14" t="s">
        <v>138</v>
      </c>
      <c r="K3822" s="15" t="s">
        <v>47</v>
      </c>
      <c r="L3822" s="87"/>
      <c r="M3822" s="14"/>
      <c r="N3822" s="14" t="s">
        <v>49</v>
      </c>
      <c r="O3822" s="14"/>
      <c r="P3822" s="15" t="s">
        <v>4147</v>
      </c>
      <c r="Q3822" s="16">
        <v>7399</v>
      </c>
      <c r="R3822" s="17">
        <v>45</v>
      </c>
      <c r="S3822" s="18">
        <v>4679.8674999999994</v>
      </c>
      <c r="T3822" s="19" t="s">
        <v>328</v>
      </c>
      <c r="U3822" s="20" t="s">
        <v>399</v>
      </c>
      <c r="V3822" s="21">
        <v>39</v>
      </c>
      <c r="W3822" s="21">
        <v>5</v>
      </c>
      <c r="X3822" s="22"/>
    </row>
    <row r="3823" spans="1:24" s="1" customFormat="1" ht="21.95" customHeight="1" x14ac:dyDescent="0.3">
      <c r="A3823" s="23" t="s">
        <v>3194</v>
      </c>
      <c r="B3823" s="23" t="s">
        <v>4141</v>
      </c>
      <c r="C3823" s="12" t="s">
        <v>4150</v>
      </c>
      <c r="D3823" s="85"/>
      <c r="E3823" s="69" t="str">
        <f t="shared" si="176"/>
        <v>Еще фото</v>
      </c>
      <c r="F3823" s="13"/>
      <c r="G3823" s="23" t="s">
        <v>150</v>
      </c>
      <c r="H3823" s="23" t="s">
        <v>151</v>
      </c>
      <c r="I3823" s="23" t="s">
        <v>424</v>
      </c>
      <c r="J3823" s="14" t="s">
        <v>138</v>
      </c>
      <c r="K3823" s="15" t="s">
        <v>47</v>
      </c>
      <c r="L3823" s="88"/>
      <c r="M3823" s="14"/>
      <c r="N3823" s="14" t="s">
        <v>49</v>
      </c>
      <c r="O3823" s="14"/>
      <c r="P3823" s="15" t="s">
        <v>4147</v>
      </c>
      <c r="Q3823" s="16">
        <v>7399</v>
      </c>
      <c r="R3823" s="17">
        <v>45</v>
      </c>
      <c r="S3823" s="18">
        <v>4679.8674999999994</v>
      </c>
      <c r="T3823" s="19" t="s">
        <v>328</v>
      </c>
      <c r="U3823" s="20" t="s">
        <v>400</v>
      </c>
      <c r="V3823" s="21">
        <v>40</v>
      </c>
      <c r="W3823" s="21">
        <v>2</v>
      </c>
      <c r="X3823" s="22"/>
    </row>
    <row r="3824" spans="1:24" s="1" customFormat="1" ht="17.100000000000001" customHeight="1" x14ac:dyDescent="0.3">
      <c r="A3824" s="11" t="s">
        <v>3194</v>
      </c>
      <c r="B3824" s="11" t="s">
        <v>4151</v>
      </c>
      <c r="C3824" s="12" t="s">
        <v>4152</v>
      </c>
      <c r="D3824" s="83"/>
      <c r="E3824" s="69" t="str">
        <f t="shared" ref="E3824:E3829" si="177">HYPERLINK("https://www.google.ru/search?q=101562112&amp;newwindow=1&amp;tbm=isch","Еще фото")</f>
        <v>Еще фото</v>
      </c>
      <c r="F3824" s="13"/>
      <c r="G3824" s="11" t="s">
        <v>150</v>
      </c>
      <c r="H3824" s="11" t="s">
        <v>151</v>
      </c>
      <c r="I3824" s="14" t="s">
        <v>424</v>
      </c>
      <c r="J3824" s="14" t="s">
        <v>29</v>
      </c>
      <c r="K3824" s="15" t="s">
        <v>30</v>
      </c>
      <c r="L3824" s="86"/>
      <c r="M3824" s="14"/>
      <c r="N3824" s="14" t="s">
        <v>313</v>
      </c>
      <c r="O3824" s="14"/>
      <c r="P3824" s="15" t="s">
        <v>4153</v>
      </c>
      <c r="Q3824" s="16">
        <v>3499</v>
      </c>
      <c r="R3824" s="17">
        <v>45</v>
      </c>
      <c r="S3824" s="18">
        <v>2213.1174999999998</v>
      </c>
      <c r="T3824" s="19" t="s">
        <v>84</v>
      </c>
      <c r="U3824" s="20" t="s">
        <v>907</v>
      </c>
      <c r="V3824" s="21">
        <v>27</v>
      </c>
      <c r="W3824" s="21">
        <v>1</v>
      </c>
      <c r="X3824" s="22"/>
    </row>
    <row r="3825" spans="1:24" s="1" customFormat="1" ht="17.100000000000001" customHeight="1" x14ac:dyDescent="0.3">
      <c r="A3825" s="23" t="s">
        <v>3194</v>
      </c>
      <c r="B3825" s="23" t="s">
        <v>4151</v>
      </c>
      <c r="C3825" s="12" t="s">
        <v>4152</v>
      </c>
      <c r="D3825" s="84"/>
      <c r="E3825" s="69" t="str">
        <f t="shared" si="177"/>
        <v>Еще фото</v>
      </c>
      <c r="F3825" s="13"/>
      <c r="G3825" s="23" t="s">
        <v>150</v>
      </c>
      <c r="H3825" s="23" t="s">
        <v>151</v>
      </c>
      <c r="I3825" s="23" t="s">
        <v>424</v>
      </c>
      <c r="J3825" s="14" t="s">
        <v>29</v>
      </c>
      <c r="K3825" s="15" t="s">
        <v>30</v>
      </c>
      <c r="L3825" s="87"/>
      <c r="M3825" s="14"/>
      <c r="N3825" s="14" t="s">
        <v>313</v>
      </c>
      <c r="O3825" s="14"/>
      <c r="P3825" s="15" t="s">
        <v>4153</v>
      </c>
      <c r="Q3825" s="16">
        <v>3499</v>
      </c>
      <c r="R3825" s="17">
        <v>45</v>
      </c>
      <c r="S3825" s="18">
        <v>2213.1174999999998</v>
      </c>
      <c r="T3825" s="19" t="s">
        <v>84</v>
      </c>
      <c r="U3825" s="20" t="s">
        <v>3568</v>
      </c>
      <c r="V3825" s="21">
        <v>30</v>
      </c>
      <c r="W3825" s="21">
        <v>1</v>
      </c>
      <c r="X3825" s="22"/>
    </row>
    <row r="3826" spans="1:24" s="1" customFormat="1" ht="17.100000000000001" customHeight="1" x14ac:dyDescent="0.3">
      <c r="A3826" s="23" t="s">
        <v>3194</v>
      </c>
      <c r="B3826" s="23" t="s">
        <v>4151</v>
      </c>
      <c r="C3826" s="12" t="s">
        <v>4152</v>
      </c>
      <c r="D3826" s="84"/>
      <c r="E3826" s="69" t="str">
        <f t="shared" si="177"/>
        <v>Еще фото</v>
      </c>
      <c r="F3826" s="13"/>
      <c r="G3826" s="23" t="s">
        <v>150</v>
      </c>
      <c r="H3826" s="23" t="s">
        <v>151</v>
      </c>
      <c r="I3826" s="23" t="s">
        <v>424</v>
      </c>
      <c r="J3826" s="14" t="s">
        <v>29</v>
      </c>
      <c r="K3826" s="15" t="s">
        <v>30</v>
      </c>
      <c r="L3826" s="87"/>
      <c r="M3826" s="14"/>
      <c r="N3826" s="14" t="s">
        <v>313</v>
      </c>
      <c r="O3826" s="14"/>
      <c r="P3826" s="15" t="s">
        <v>4153</v>
      </c>
      <c r="Q3826" s="16">
        <v>3499</v>
      </c>
      <c r="R3826" s="17">
        <v>45</v>
      </c>
      <c r="S3826" s="18">
        <v>2213.1174999999998</v>
      </c>
      <c r="T3826" s="19" t="s">
        <v>84</v>
      </c>
      <c r="U3826" s="20" t="s">
        <v>4154</v>
      </c>
      <c r="V3826" s="21">
        <v>31</v>
      </c>
      <c r="W3826" s="21">
        <v>2</v>
      </c>
      <c r="X3826" s="22"/>
    </row>
    <row r="3827" spans="1:24" s="1" customFormat="1" ht="17.100000000000001" customHeight="1" x14ac:dyDescent="0.3">
      <c r="A3827" s="23" t="s">
        <v>3194</v>
      </c>
      <c r="B3827" s="23" t="s">
        <v>4151</v>
      </c>
      <c r="C3827" s="12" t="s">
        <v>4152</v>
      </c>
      <c r="D3827" s="84"/>
      <c r="E3827" s="69" t="str">
        <f t="shared" si="177"/>
        <v>Еще фото</v>
      </c>
      <c r="F3827" s="13"/>
      <c r="G3827" s="23" t="s">
        <v>150</v>
      </c>
      <c r="H3827" s="23" t="s">
        <v>151</v>
      </c>
      <c r="I3827" s="23" t="s">
        <v>424</v>
      </c>
      <c r="J3827" s="14" t="s">
        <v>29</v>
      </c>
      <c r="K3827" s="15" t="s">
        <v>30</v>
      </c>
      <c r="L3827" s="87"/>
      <c r="M3827" s="14"/>
      <c r="N3827" s="14" t="s">
        <v>313</v>
      </c>
      <c r="O3827" s="14"/>
      <c r="P3827" s="15" t="s">
        <v>4153</v>
      </c>
      <c r="Q3827" s="16">
        <v>3499</v>
      </c>
      <c r="R3827" s="17">
        <v>45</v>
      </c>
      <c r="S3827" s="18">
        <v>2213.1174999999998</v>
      </c>
      <c r="T3827" s="19" t="s">
        <v>84</v>
      </c>
      <c r="U3827" s="20" t="s">
        <v>4155</v>
      </c>
      <c r="V3827" s="21">
        <v>32</v>
      </c>
      <c r="W3827" s="21">
        <v>3</v>
      </c>
      <c r="X3827" s="22"/>
    </row>
    <row r="3828" spans="1:24" s="1" customFormat="1" ht="17.100000000000001" customHeight="1" x14ac:dyDescent="0.3">
      <c r="A3828" s="23" t="s">
        <v>3194</v>
      </c>
      <c r="B3828" s="23" t="s">
        <v>4151</v>
      </c>
      <c r="C3828" s="12" t="s">
        <v>4152</v>
      </c>
      <c r="D3828" s="84"/>
      <c r="E3828" s="69" t="str">
        <f t="shared" si="177"/>
        <v>Еще фото</v>
      </c>
      <c r="F3828" s="13"/>
      <c r="G3828" s="23" t="s">
        <v>150</v>
      </c>
      <c r="H3828" s="23" t="s">
        <v>151</v>
      </c>
      <c r="I3828" s="23" t="s">
        <v>424</v>
      </c>
      <c r="J3828" s="14" t="s">
        <v>29</v>
      </c>
      <c r="K3828" s="15" t="s">
        <v>30</v>
      </c>
      <c r="L3828" s="87"/>
      <c r="M3828" s="14"/>
      <c r="N3828" s="14" t="s">
        <v>313</v>
      </c>
      <c r="O3828" s="14"/>
      <c r="P3828" s="15" t="s">
        <v>4153</v>
      </c>
      <c r="Q3828" s="16">
        <v>3499</v>
      </c>
      <c r="R3828" s="17">
        <v>45</v>
      </c>
      <c r="S3828" s="18">
        <v>2213.1174999999998</v>
      </c>
      <c r="T3828" s="19" t="s">
        <v>84</v>
      </c>
      <c r="U3828" s="20" t="s">
        <v>4156</v>
      </c>
      <c r="V3828" s="21">
        <v>33</v>
      </c>
      <c r="W3828" s="21">
        <v>2</v>
      </c>
      <c r="X3828" s="22"/>
    </row>
    <row r="3829" spans="1:24" s="1" customFormat="1" ht="21.95" customHeight="1" x14ac:dyDescent="0.3">
      <c r="A3829" s="23" t="s">
        <v>3194</v>
      </c>
      <c r="B3829" s="23" t="s">
        <v>4151</v>
      </c>
      <c r="C3829" s="12" t="s">
        <v>4152</v>
      </c>
      <c r="D3829" s="85"/>
      <c r="E3829" s="69" t="str">
        <f t="shared" si="177"/>
        <v>Еще фото</v>
      </c>
      <c r="F3829" s="13"/>
      <c r="G3829" s="23" t="s">
        <v>150</v>
      </c>
      <c r="H3829" s="23" t="s">
        <v>151</v>
      </c>
      <c r="I3829" s="23" t="s">
        <v>424</v>
      </c>
      <c r="J3829" s="14" t="s">
        <v>29</v>
      </c>
      <c r="K3829" s="15" t="s">
        <v>30</v>
      </c>
      <c r="L3829" s="88"/>
      <c r="M3829" s="14"/>
      <c r="N3829" s="14" t="s">
        <v>313</v>
      </c>
      <c r="O3829" s="14"/>
      <c r="P3829" s="15" t="s">
        <v>4153</v>
      </c>
      <c r="Q3829" s="16">
        <v>3499</v>
      </c>
      <c r="R3829" s="17">
        <v>45</v>
      </c>
      <c r="S3829" s="18">
        <v>2213.1174999999998</v>
      </c>
      <c r="T3829" s="19" t="s">
        <v>84</v>
      </c>
      <c r="U3829" s="20" t="s">
        <v>847</v>
      </c>
      <c r="V3829" s="21">
        <v>36</v>
      </c>
      <c r="W3829" s="21">
        <v>1</v>
      </c>
      <c r="X3829" s="22"/>
    </row>
    <row r="3830" spans="1:24" s="1" customFormat="1" ht="108" customHeight="1" x14ac:dyDescent="0.3">
      <c r="A3830" s="11" t="s">
        <v>3194</v>
      </c>
      <c r="B3830" s="11" t="s">
        <v>4151</v>
      </c>
      <c r="C3830" s="12" t="s">
        <v>4157</v>
      </c>
      <c r="D3830" s="24"/>
      <c r="E3830" s="69" t="str">
        <f>HYPERLINK("https://www.google.ru/search?q=101562113&amp;newwindow=1&amp;tbm=isch","Еще фото")</f>
        <v>Еще фото</v>
      </c>
      <c r="F3830" s="13"/>
      <c r="G3830" s="11" t="s">
        <v>150</v>
      </c>
      <c r="H3830" s="11" t="s">
        <v>151</v>
      </c>
      <c r="I3830" s="14" t="s">
        <v>424</v>
      </c>
      <c r="J3830" s="14" t="s">
        <v>29</v>
      </c>
      <c r="K3830" s="15" t="s">
        <v>30</v>
      </c>
      <c r="L3830" s="14"/>
      <c r="M3830" s="14"/>
      <c r="N3830" s="14" t="s">
        <v>70</v>
      </c>
      <c r="O3830" s="14"/>
      <c r="P3830" s="15" t="s">
        <v>4153</v>
      </c>
      <c r="Q3830" s="16">
        <v>3499</v>
      </c>
      <c r="R3830" s="17">
        <v>45</v>
      </c>
      <c r="S3830" s="18">
        <v>2213.1174999999998</v>
      </c>
      <c r="T3830" s="19" t="s">
        <v>84</v>
      </c>
      <c r="U3830" s="20" t="s">
        <v>4156</v>
      </c>
      <c r="V3830" s="21">
        <v>33</v>
      </c>
      <c r="W3830" s="21">
        <v>1</v>
      </c>
      <c r="X3830" s="22"/>
    </row>
    <row r="3831" spans="1:24" s="1" customFormat="1" ht="14.1" customHeight="1" x14ac:dyDescent="0.3">
      <c r="A3831" s="11" t="s">
        <v>3194</v>
      </c>
      <c r="B3831" s="11" t="s">
        <v>4158</v>
      </c>
      <c r="C3831" s="12" t="s">
        <v>4159</v>
      </c>
      <c r="D3831" s="83"/>
      <c r="E3831" s="69" t="str">
        <f t="shared" ref="E3831:E3837" si="178">HYPERLINK("https://www.google.ru/search?q=101562143&amp;newwindow=1&amp;tbm=isch","Еще фото")</f>
        <v>Еще фото</v>
      </c>
      <c r="F3831" s="13"/>
      <c r="G3831" s="11" t="s">
        <v>150</v>
      </c>
      <c r="H3831" s="11" t="s">
        <v>151</v>
      </c>
      <c r="I3831" s="14" t="s">
        <v>424</v>
      </c>
      <c r="J3831" s="14" t="s">
        <v>29</v>
      </c>
      <c r="K3831" s="15" t="s">
        <v>30</v>
      </c>
      <c r="L3831" s="86"/>
      <c r="M3831" s="14"/>
      <c r="N3831" s="14" t="s">
        <v>41</v>
      </c>
      <c r="O3831" s="14"/>
      <c r="P3831" s="15" t="s">
        <v>4153</v>
      </c>
      <c r="Q3831" s="16">
        <v>3699</v>
      </c>
      <c r="R3831" s="17">
        <v>45</v>
      </c>
      <c r="S3831" s="18">
        <v>2339.6174999999998</v>
      </c>
      <c r="T3831" s="19" t="s">
        <v>84</v>
      </c>
      <c r="U3831" s="20" t="s">
        <v>907</v>
      </c>
      <c r="V3831" s="21">
        <v>27</v>
      </c>
      <c r="W3831" s="21">
        <v>3</v>
      </c>
      <c r="X3831" s="22"/>
    </row>
    <row r="3832" spans="1:24" s="1" customFormat="1" ht="14.1" customHeight="1" x14ac:dyDescent="0.3">
      <c r="A3832" s="23" t="s">
        <v>3194</v>
      </c>
      <c r="B3832" s="23" t="s">
        <v>4158</v>
      </c>
      <c r="C3832" s="12" t="s">
        <v>4159</v>
      </c>
      <c r="D3832" s="84"/>
      <c r="E3832" s="69" t="str">
        <f t="shared" si="178"/>
        <v>Еще фото</v>
      </c>
      <c r="F3832" s="13"/>
      <c r="G3832" s="23" t="s">
        <v>150</v>
      </c>
      <c r="H3832" s="23" t="s">
        <v>151</v>
      </c>
      <c r="I3832" s="23" t="s">
        <v>424</v>
      </c>
      <c r="J3832" s="14" t="s">
        <v>29</v>
      </c>
      <c r="K3832" s="15" t="s">
        <v>30</v>
      </c>
      <c r="L3832" s="87"/>
      <c r="M3832" s="14"/>
      <c r="N3832" s="14" t="s">
        <v>41</v>
      </c>
      <c r="O3832" s="14"/>
      <c r="P3832" s="15" t="s">
        <v>4153</v>
      </c>
      <c r="Q3832" s="16">
        <v>3699</v>
      </c>
      <c r="R3832" s="17">
        <v>45</v>
      </c>
      <c r="S3832" s="18">
        <v>2339.6174999999998</v>
      </c>
      <c r="T3832" s="19" t="s">
        <v>84</v>
      </c>
      <c r="U3832" s="20" t="s">
        <v>941</v>
      </c>
      <c r="V3832" s="21">
        <v>28</v>
      </c>
      <c r="W3832" s="21">
        <v>4</v>
      </c>
      <c r="X3832" s="22"/>
    </row>
    <row r="3833" spans="1:24" s="1" customFormat="1" ht="14.1" customHeight="1" x14ac:dyDescent="0.3">
      <c r="A3833" s="23" t="s">
        <v>3194</v>
      </c>
      <c r="B3833" s="23" t="s">
        <v>4158</v>
      </c>
      <c r="C3833" s="12" t="s">
        <v>4159</v>
      </c>
      <c r="D3833" s="84"/>
      <c r="E3833" s="69" t="str">
        <f t="shared" si="178"/>
        <v>Еще фото</v>
      </c>
      <c r="F3833" s="13"/>
      <c r="G3833" s="23" t="s">
        <v>150</v>
      </c>
      <c r="H3833" s="23" t="s">
        <v>151</v>
      </c>
      <c r="I3833" s="23" t="s">
        <v>424</v>
      </c>
      <c r="J3833" s="14" t="s">
        <v>29</v>
      </c>
      <c r="K3833" s="15" t="s">
        <v>30</v>
      </c>
      <c r="L3833" s="87"/>
      <c r="M3833" s="14"/>
      <c r="N3833" s="14" t="s">
        <v>41</v>
      </c>
      <c r="O3833" s="14"/>
      <c r="P3833" s="15" t="s">
        <v>4153</v>
      </c>
      <c r="Q3833" s="16">
        <v>3699</v>
      </c>
      <c r="R3833" s="17">
        <v>45</v>
      </c>
      <c r="S3833" s="18">
        <v>2339.6174999999998</v>
      </c>
      <c r="T3833" s="19" t="s">
        <v>84</v>
      </c>
      <c r="U3833" s="20" t="s">
        <v>462</v>
      </c>
      <c r="V3833" s="21">
        <v>29</v>
      </c>
      <c r="W3833" s="21">
        <v>2</v>
      </c>
      <c r="X3833" s="22"/>
    </row>
    <row r="3834" spans="1:24" s="1" customFormat="1" ht="14.1" customHeight="1" x14ac:dyDescent="0.3">
      <c r="A3834" s="23" t="s">
        <v>3194</v>
      </c>
      <c r="B3834" s="23" t="s">
        <v>4158</v>
      </c>
      <c r="C3834" s="12" t="s">
        <v>4159</v>
      </c>
      <c r="D3834" s="84"/>
      <c r="E3834" s="69" t="str">
        <f t="shared" si="178"/>
        <v>Еще фото</v>
      </c>
      <c r="F3834" s="13"/>
      <c r="G3834" s="23" t="s">
        <v>150</v>
      </c>
      <c r="H3834" s="23" t="s">
        <v>151</v>
      </c>
      <c r="I3834" s="23" t="s">
        <v>424</v>
      </c>
      <c r="J3834" s="14" t="s">
        <v>29</v>
      </c>
      <c r="K3834" s="15" t="s">
        <v>30</v>
      </c>
      <c r="L3834" s="87"/>
      <c r="M3834" s="14"/>
      <c r="N3834" s="14" t="s">
        <v>41</v>
      </c>
      <c r="O3834" s="14"/>
      <c r="P3834" s="15" t="s">
        <v>4153</v>
      </c>
      <c r="Q3834" s="16">
        <v>3699</v>
      </c>
      <c r="R3834" s="17">
        <v>45</v>
      </c>
      <c r="S3834" s="18">
        <v>2339.6174999999998</v>
      </c>
      <c r="T3834" s="19" t="s">
        <v>84</v>
      </c>
      <c r="U3834" s="20" t="s">
        <v>3568</v>
      </c>
      <c r="V3834" s="21">
        <v>30</v>
      </c>
      <c r="W3834" s="21">
        <v>1</v>
      </c>
      <c r="X3834" s="22"/>
    </row>
    <row r="3835" spans="1:24" s="1" customFormat="1" ht="14.1" customHeight="1" x14ac:dyDescent="0.3">
      <c r="A3835" s="23" t="s">
        <v>3194</v>
      </c>
      <c r="B3835" s="23" t="s">
        <v>4158</v>
      </c>
      <c r="C3835" s="12" t="s">
        <v>4159</v>
      </c>
      <c r="D3835" s="84"/>
      <c r="E3835" s="69" t="str">
        <f t="shared" si="178"/>
        <v>Еще фото</v>
      </c>
      <c r="F3835" s="13"/>
      <c r="G3835" s="23" t="s">
        <v>150</v>
      </c>
      <c r="H3835" s="23" t="s">
        <v>151</v>
      </c>
      <c r="I3835" s="23" t="s">
        <v>424</v>
      </c>
      <c r="J3835" s="14" t="s">
        <v>29</v>
      </c>
      <c r="K3835" s="15" t="s">
        <v>30</v>
      </c>
      <c r="L3835" s="87"/>
      <c r="M3835" s="14"/>
      <c r="N3835" s="14" t="s">
        <v>41</v>
      </c>
      <c r="O3835" s="14"/>
      <c r="P3835" s="15" t="s">
        <v>4153</v>
      </c>
      <c r="Q3835" s="16">
        <v>3699</v>
      </c>
      <c r="R3835" s="17">
        <v>45</v>
      </c>
      <c r="S3835" s="18">
        <v>2339.6174999999998</v>
      </c>
      <c r="T3835" s="19" t="s">
        <v>84</v>
      </c>
      <c r="U3835" s="20" t="s">
        <v>4155</v>
      </c>
      <c r="V3835" s="21">
        <v>32</v>
      </c>
      <c r="W3835" s="21">
        <v>1</v>
      </c>
      <c r="X3835" s="22"/>
    </row>
    <row r="3836" spans="1:24" s="1" customFormat="1" ht="14.1" customHeight="1" x14ac:dyDescent="0.3">
      <c r="A3836" s="23" t="s">
        <v>3194</v>
      </c>
      <c r="B3836" s="23" t="s">
        <v>4158</v>
      </c>
      <c r="C3836" s="12" t="s">
        <v>4159</v>
      </c>
      <c r="D3836" s="84"/>
      <c r="E3836" s="69" t="str">
        <f t="shared" si="178"/>
        <v>Еще фото</v>
      </c>
      <c r="F3836" s="13"/>
      <c r="G3836" s="23" t="s">
        <v>150</v>
      </c>
      <c r="H3836" s="23" t="s">
        <v>151</v>
      </c>
      <c r="I3836" s="23" t="s">
        <v>424</v>
      </c>
      <c r="J3836" s="14" t="s">
        <v>29</v>
      </c>
      <c r="K3836" s="15" t="s">
        <v>30</v>
      </c>
      <c r="L3836" s="87"/>
      <c r="M3836" s="14"/>
      <c r="N3836" s="14" t="s">
        <v>41</v>
      </c>
      <c r="O3836" s="14"/>
      <c r="P3836" s="15" t="s">
        <v>4153</v>
      </c>
      <c r="Q3836" s="16">
        <v>3699</v>
      </c>
      <c r="R3836" s="17">
        <v>45</v>
      </c>
      <c r="S3836" s="18">
        <v>2339.6174999999998</v>
      </c>
      <c r="T3836" s="19" t="s">
        <v>84</v>
      </c>
      <c r="U3836" s="20" t="s">
        <v>4156</v>
      </c>
      <c r="V3836" s="21">
        <v>33</v>
      </c>
      <c r="W3836" s="21">
        <v>3</v>
      </c>
      <c r="X3836" s="22"/>
    </row>
    <row r="3837" spans="1:24" s="1" customFormat="1" ht="17.100000000000001" customHeight="1" x14ac:dyDescent="0.3">
      <c r="A3837" s="23" t="s">
        <v>3194</v>
      </c>
      <c r="B3837" s="23" t="s">
        <v>4158</v>
      </c>
      <c r="C3837" s="12" t="s">
        <v>4159</v>
      </c>
      <c r="D3837" s="85"/>
      <c r="E3837" s="69" t="str">
        <f t="shared" si="178"/>
        <v>Еще фото</v>
      </c>
      <c r="F3837" s="13"/>
      <c r="G3837" s="23" t="s">
        <v>150</v>
      </c>
      <c r="H3837" s="23" t="s">
        <v>151</v>
      </c>
      <c r="I3837" s="23" t="s">
        <v>424</v>
      </c>
      <c r="J3837" s="14" t="s">
        <v>29</v>
      </c>
      <c r="K3837" s="15" t="s">
        <v>30</v>
      </c>
      <c r="L3837" s="88"/>
      <c r="M3837" s="14"/>
      <c r="N3837" s="14" t="s">
        <v>41</v>
      </c>
      <c r="O3837" s="14"/>
      <c r="P3837" s="15" t="s">
        <v>4153</v>
      </c>
      <c r="Q3837" s="16">
        <v>3699</v>
      </c>
      <c r="R3837" s="17">
        <v>45</v>
      </c>
      <c r="S3837" s="18">
        <v>2339.6174999999998</v>
      </c>
      <c r="T3837" s="19" t="s">
        <v>84</v>
      </c>
      <c r="U3837" s="20" t="s">
        <v>821</v>
      </c>
      <c r="V3837" s="21">
        <v>35</v>
      </c>
      <c r="W3837" s="21">
        <v>1</v>
      </c>
      <c r="X3837" s="22"/>
    </row>
    <row r="3838" spans="1:24" s="1" customFormat="1" ht="17.100000000000001" customHeight="1" x14ac:dyDescent="0.3">
      <c r="A3838" s="11" t="s">
        <v>3194</v>
      </c>
      <c r="B3838" s="11" t="s">
        <v>4160</v>
      </c>
      <c r="C3838" s="12" t="s">
        <v>4161</v>
      </c>
      <c r="D3838" s="83"/>
      <c r="E3838" s="69" t="str">
        <f t="shared" ref="E3838:E3843" si="179">HYPERLINK("https://www.google.ru/search?q=101679481&amp;newwindow=1&amp;tbm=isch","Еще фото")</f>
        <v>Еще фото</v>
      </c>
      <c r="F3838" s="13"/>
      <c r="G3838" s="11" t="s">
        <v>394</v>
      </c>
      <c r="H3838" s="11" t="s">
        <v>151</v>
      </c>
      <c r="I3838" s="14" t="s">
        <v>424</v>
      </c>
      <c r="J3838" s="14" t="s">
        <v>138</v>
      </c>
      <c r="K3838" s="15" t="s">
        <v>47</v>
      </c>
      <c r="L3838" s="86"/>
      <c r="M3838" s="14"/>
      <c r="N3838" s="14" t="s">
        <v>49</v>
      </c>
      <c r="O3838" s="14"/>
      <c r="P3838" s="15" t="s">
        <v>4147</v>
      </c>
      <c r="Q3838" s="16">
        <v>6699</v>
      </c>
      <c r="R3838" s="17">
        <v>45</v>
      </c>
      <c r="S3838" s="18">
        <v>4237.1174999999994</v>
      </c>
      <c r="T3838" s="19" t="s">
        <v>328</v>
      </c>
      <c r="U3838" s="20" t="s">
        <v>1503</v>
      </c>
      <c r="V3838" s="21">
        <v>35</v>
      </c>
      <c r="W3838" s="21">
        <v>9</v>
      </c>
      <c r="X3838" s="22"/>
    </row>
    <row r="3839" spans="1:24" s="1" customFormat="1" ht="17.100000000000001" customHeight="1" x14ac:dyDescent="0.3">
      <c r="A3839" s="23" t="s">
        <v>3194</v>
      </c>
      <c r="B3839" s="23" t="s">
        <v>4160</v>
      </c>
      <c r="C3839" s="12" t="s">
        <v>4161</v>
      </c>
      <c r="D3839" s="84"/>
      <c r="E3839" s="69" t="str">
        <f t="shared" si="179"/>
        <v>Еще фото</v>
      </c>
      <c r="F3839" s="13"/>
      <c r="G3839" s="23" t="s">
        <v>394</v>
      </c>
      <c r="H3839" s="23" t="s">
        <v>151</v>
      </c>
      <c r="I3839" s="23" t="s">
        <v>424</v>
      </c>
      <c r="J3839" s="14" t="s">
        <v>138</v>
      </c>
      <c r="K3839" s="15" t="s">
        <v>47</v>
      </c>
      <c r="L3839" s="87"/>
      <c r="M3839" s="14"/>
      <c r="N3839" s="14" t="s">
        <v>49</v>
      </c>
      <c r="O3839" s="14"/>
      <c r="P3839" s="15" t="s">
        <v>4147</v>
      </c>
      <c r="Q3839" s="16">
        <v>6699</v>
      </c>
      <c r="R3839" s="17">
        <v>45</v>
      </c>
      <c r="S3839" s="18">
        <v>4237.1174999999994</v>
      </c>
      <c r="T3839" s="19" t="s">
        <v>328</v>
      </c>
      <c r="U3839" s="20" t="s">
        <v>409</v>
      </c>
      <c r="V3839" s="21">
        <v>36</v>
      </c>
      <c r="W3839" s="21">
        <v>12</v>
      </c>
      <c r="X3839" s="22"/>
    </row>
    <row r="3840" spans="1:24" s="1" customFormat="1" ht="17.100000000000001" customHeight="1" x14ac:dyDescent="0.3">
      <c r="A3840" s="23" t="s">
        <v>3194</v>
      </c>
      <c r="B3840" s="23" t="s">
        <v>4160</v>
      </c>
      <c r="C3840" s="12" t="s">
        <v>4161</v>
      </c>
      <c r="D3840" s="84"/>
      <c r="E3840" s="69" t="str">
        <f t="shared" si="179"/>
        <v>Еще фото</v>
      </c>
      <c r="F3840" s="13"/>
      <c r="G3840" s="23" t="s">
        <v>394</v>
      </c>
      <c r="H3840" s="23" t="s">
        <v>151</v>
      </c>
      <c r="I3840" s="23" t="s">
        <v>424</v>
      </c>
      <c r="J3840" s="14" t="s">
        <v>138</v>
      </c>
      <c r="K3840" s="15" t="s">
        <v>47</v>
      </c>
      <c r="L3840" s="87"/>
      <c r="M3840" s="14"/>
      <c r="N3840" s="14" t="s">
        <v>49</v>
      </c>
      <c r="O3840" s="14"/>
      <c r="P3840" s="15" t="s">
        <v>4147</v>
      </c>
      <c r="Q3840" s="16">
        <v>6699</v>
      </c>
      <c r="R3840" s="17">
        <v>45</v>
      </c>
      <c r="S3840" s="18">
        <v>4237.1174999999994</v>
      </c>
      <c r="T3840" s="19" t="s">
        <v>328</v>
      </c>
      <c r="U3840" s="20" t="s">
        <v>426</v>
      </c>
      <c r="V3840" s="21">
        <v>37</v>
      </c>
      <c r="W3840" s="21">
        <v>16</v>
      </c>
      <c r="X3840" s="22"/>
    </row>
    <row r="3841" spans="1:24" s="1" customFormat="1" ht="17.100000000000001" customHeight="1" x14ac:dyDescent="0.3">
      <c r="A3841" s="23" t="s">
        <v>3194</v>
      </c>
      <c r="B3841" s="23" t="s">
        <v>4160</v>
      </c>
      <c r="C3841" s="12" t="s">
        <v>4161</v>
      </c>
      <c r="D3841" s="84"/>
      <c r="E3841" s="69" t="str">
        <f t="shared" si="179"/>
        <v>Еще фото</v>
      </c>
      <c r="F3841" s="13"/>
      <c r="G3841" s="23" t="s">
        <v>394</v>
      </c>
      <c r="H3841" s="23" t="s">
        <v>151</v>
      </c>
      <c r="I3841" s="23" t="s">
        <v>424</v>
      </c>
      <c r="J3841" s="14" t="s">
        <v>138</v>
      </c>
      <c r="K3841" s="15" t="s">
        <v>47</v>
      </c>
      <c r="L3841" s="87"/>
      <c r="M3841" s="14"/>
      <c r="N3841" s="14" t="s">
        <v>49</v>
      </c>
      <c r="O3841" s="14"/>
      <c r="P3841" s="15" t="s">
        <v>4147</v>
      </c>
      <c r="Q3841" s="16">
        <v>6699</v>
      </c>
      <c r="R3841" s="17">
        <v>45</v>
      </c>
      <c r="S3841" s="18">
        <v>4237.1174999999994</v>
      </c>
      <c r="T3841" s="19" t="s">
        <v>328</v>
      </c>
      <c r="U3841" s="20" t="s">
        <v>413</v>
      </c>
      <c r="V3841" s="21">
        <v>38</v>
      </c>
      <c r="W3841" s="21">
        <v>16</v>
      </c>
      <c r="X3841" s="22"/>
    </row>
    <row r="3842" spans="1:24" s="1" customFormat="1" ht="17.100000000000001" customHeight="1" x14ac:dyDescent="0.3">
      <c r="A3842" s="23" t="s">
        <v>3194</v>
      </c>
      <c r="B3842" s="23" t="s">
        <v>4160</v>
      </c>
      <c r="C3842" s="12" t="s">
        <v>4161</v>
      </c>
      <c r="D3842" s="84"/>
      <c r="E3842" s="69" t="str">
        <f t="shared" si="179"/>
        <v>Еще фото</v>
      </c>
      <c r="F3842" s="13"/>
      <c r="G3842" s="23" t="s">
        <v>394</v>
      </c>
      <c r="H3842" s="23" t="s">
        <v>151</v>
      </c>
      <c r="I3842" s="23" t="s">
        <v>424</v>
      </c>
      <c r="J3842" s="14" t="s">
        <v>138</v>
      </c>
      <c r="K3842" s="15" t="s">
        <v>47</v>
      </c>
      <c r="L3842" s="87"/>
      <c r="M3842" s="14"/>
      <c r="N3842" s="14" t="s">
        <v>49</v>
      </c>
      <c r="O3842" s="14"/>
      <c r="P3842" s="15" t="s">
        <v>4147</v>
      </c>
      <c r="Q3842" s="16">
        <v>6699</v>
      </c>
      <c r="R3842" s="17">
        <v>45</v>
      </c>
      <c r="S3842" s="18">
        <v>4237.1174999999994</v>
      </c>
      <c r="T3842" s="19" t="s">
        <v>328</v>
      </c>
      <c r="U3842" s="20" t="s">
        <v>399</v>
      </c>
      <c r="V3842" s="21">
        <v>39</v>
      </c>
      <c r="W3842" s="21">
        <v>7</v>
      </c>
      <c r="X3842" s="22"/>
    </row>
    <row r="3843" spans="1:24" s="1" customFormat="1" ht="21.95" customHeight="1" x14ac:dyDescent="0.3">
      <c r="A3843" s="23" t="s">
        <v>3194</v>
      </c>
      <c r="B3843" s="23" t="s">
        <v>4160</v>
      </c>
      <c r="C3843" s="12" t="s">
        <v>4161</v>
      </c>
      <c r="D3843" s="85"/>
      <c r="E3843" s="69" t="str">
        <f t="shared" si="179"/>
        <v>Еще фото</v>
      </c>
      <c r="F3843" s="13"/>
      <c r="G3843" s="23" t="s">
        <v>394</v>
      </c>
      <c r="H3843" s="23" t="s">
        <v>151</v>
      </c>
      <c r="I3843" s="23" t="s">
        <v>424</v>
      </c>
      <c r="J3843" s="14" t="s">
        <v>138</v>
      </c>
      <c r="K3843" s="15" t="s">
        <v>47</v>
      </c>
      <c r="L3843" s="88"/>
      <c r="M3843" s="14"/>
      <c r="N3843" s="14" t="s">
        <v>49</v>
      </c>
      <c r="O3843" s="14"/>
      <c r="P3843" s="15" t="s">
        <v>4147</v>
      </c>
      <c r="Q3843" s="16">
        <v>6699</v>
      </c>
      <c r="R3843" s="17">
        <v>45</v>
      </c>
      <c r="S3843" s="18">
        <v>4237.1174999999994</v>
      </c>
      <c r="T3843" s="19" t="s">
        <v>328</v>
      </c>
      <c r="U3843" s="20" t="s">
        <v>400</v>
      </c>
      <c r="V3843" s="21">
        <v>40</v>
      </c>
      <c r="W3843" s="21">
        <v>3</v>
      </c>
      <c r="X3843" s="22"/>
    </row>
    <row r="3844" spans="1:24" s="1" customFormat="1" ht="108" customHeight="1" x14ac:dyDescent="0.3">
      <c r="A3844" s="11" t="s">
        <v>3194</v>
      </c>
      <c r="B3844" s="11" t="s">
        <v>4162</v>
      </c>
      <c r="C3844" s="12" t="s">
        <v>4163</v>
      </c>
      <c r="D3844" s="24"/>
      <c r="E3844" s="69" t="str">
        <f>HYPERLINK("https://www.google.ru/search?q=101681696&amp;newwindow=1&amp;tbm=isch","Еще фото")</f>
        <v>Еще фото</v>
      </c>
      <c r="F3844" s="13"/>
      <c r="G3844" s="11" t="s">
        <v>150</v>
      </c>
      <c r="H3844" s="11" t="s">
        <v>151</v>
      </c>
      <c r="I3844" s="14" t="s">
        <v>424</v>
      </c>
      <c r="J3844" s="14" t="s">
        <v>29</v>
      </c>
      <c r="K3844" s="15" t="s">
        <v>47</v>
      </c>
      <c r="L3844" s="14"/>
      <c r="M3844" s="14"/>
      <c r="N3844" s="14" t="s">
        <v>49</v>
      </c>
      <c r="O3844" s="14"/>
      <c r="P3844" s="15" t="s">
        <v>3606</v>
      </c>
      <c r="Q3844" s="16">
        <v>7299</v>
      </c>
      <c r="R3844" s="17">
        <v>45</v>
      </c>
      <c r="S3844" s="18">
        <v>4616.6174999999994</v>
      </c>
      <c r="T3844" s="19" t="s">
        <v>328</v>
      </c>
      <c r="U3844" s="20" t="s">
        <v>413</v>
      </c>
      <c r="V3844" s="21">
        <v>38</v>
      </c>
      <c r="W3844" s="21">
        <v>1</v>
      </c>
      <c r="X3844" s="22"/>
    </row>
    <row r="3845" spans="1:24" s="1" customFormat="1" ht="108" customHeight="1" x14ac:dyDescent="0.3">
      <c r="A3845" s="11" t="s">
        <v>3194</v>
      </c>
      <c r="B3845" s="11" t="s">
        <v>4162</v>
      </c>
      <c r="C3845" s="12" t="s">
        <v>4164</v>
      </c>
      <c r="D3845" s="24"/>
      <c r="E3845" s="69" t="str">
        <f>HYPERLINK("https://www.google.ru/search?q=101681706&amp;newwindow=1&amp;tbm=isch","Еще фото")</f>
        <v>Еще фото</v>
      </c>
      <c r="F3845" s="13"/>
      <c r="G3845" s="11" t="s">
        <v>150</v>
      </c>
      <c r="H3845" s="11" t="s">
        <v>151</v>
      </c>
      <c r="I3845" s="14" t="s">
        <v>424</v>
      </c>
      <c r="J3845" s="14" t="s">
        <v>29</v>
      </c>
      <c r="K3845" s="15" t="s">
        <v>47</v>
      </c>
      <c r="L3845" s="14"/>
      <c r="M3845" s="14"/>
      <c r="N3845" s="14" t="s">
        <v>70</v>
      </c>
      <c r="O3845" s="14"/>
      <c r="P3845" s="15" t="s">
        <v>3606</v>
      </c>
      <c r="Q3845" s="16">
        <v>7299</v>
      </c>
      <c r="R3845" s="17">
        <v>45</v>
      </c>
      <c r="S3845" s="18">
        <v>4616.6174999999994</v>
      </c>
      <c r="T3845" s="19" t="s">
        <v>328</v>
      </c>
      <c r="U3845" s="20" t="s">
        <v>431</v>
      </c>
      <c r="V3845" s="21">
        <v>34</v>
      </c>
      <c r="W3845" s="21">
        <v>2</v>
      </c>
      <c r="X3845" s="22"/>
    </row>
    <row r="3846" spans="1:24" s="1" customFormat="1" ht="21" customHeight="1" x14ac:dyDescent="0.3">
      <c r="A3846" s="11" t="s">
        <v>3194</v>
      </c>
      <c r="B3846" s="11" t="s">
        <v>4165</v>
      </c>
      <c r="C3846" s="27" t="s">
        <v>4166</v>
      </c>
      <c r="D3846" s="83"/>
      <c r="E3846" s="69" t="str">
        <f>HYPERLINK("https://www.google.ru/search?q=101681961&amp;newwindow=1&amp;tbm=isch","Еще фото")</f>
        <v>Еще фото</v>
      </c>
      <c r="F3846" s="13"/>
      <c r="G3846" s="11" t="s">
        <v>150</v>
      </c>
      <c r="H3846" s="11" t="s">
        <v>151</v>
      </c>
      <c r="I3846" s="14" t="s">
        <v>424</v>
      </c>
      <c r="J3846" s="14" t="s">
        <v>29</v>
      </c>
      <c r="K3846" s="15" t="s">
        <v>47</v>
      </c>
      <c r="L3846" s="86"/>
      <c r="M3846" s="14"/>
      <c r="N3846" s="14" t="s">
        <v>313</v>
      </c>
      <c r="O3846" s="14"/>
      <c r="P3846" s="15" t="s">
        <v>4167</v>
      </c>
      <c r="Q3846" s="16">
        <v>13899</v>
      </c>
      <c r="R3846" s="17">
        <v>45</v>
      </c>
      <c r="S3846" s="18">
        <v>8791.1174999999985</v>
      </c>
      <c r="T3846" s="19" t="s">
        <v>328</v>
      </c>
      <c r="U3846" s="20" t="s">
        <v>1503</v>
      </c>
      <c r="V3846" s="21">
        <v>35</v>
      </c>
      <c r="W3846" s="21">
        <v>6</v>
      </c>
      <c r="X3846" s="22"/>
    </row>
    <row r="3847" spans="1:24" s="1" customFormat="1" ht="21" customHeight="1" x14ac:dyDescent="0.3">
      <c r="A3847" s="23" t="s">
        <v>3194</v>
      </c>
      <c r="B3847" s="23" t="s">
        <v>4165</v>
      </c>
      <c r="C3847" s="28" t="s">
        <v>4166</v>
      </c>
      <c r="D3847" s="84"/>
      <c r="E3847" s="69" t="str">
        <f>HYPERLINK("https://www.google.ru/search?q=101681961&amp;newwindow=1&amp;tbm=isch","Еще фото")</f>
        <v>Еще фото</v>
      </c>
      <c r="F3847" s="13"/>
      <c r="G3847" s="23" t="s">
        <v>150</v>
      </c>
      <c r="H3847" s="23" t="s">
        <v>151</v>
      </c>
      <c r="I3847" s="23" t="s">
        <v>424</v>
      </c>
      <c r="J3847" s="14" t="s">
        <v>29</v>
      </c>
      <c r="K3847" s="15" t="s">
        <v>47</v>
      </c>
      <c r="L3847" s="87"/>
      <c r="M3847" s="14"/>
      <c r="N3847" s="14" t="s">
        <v>313</v>
      </c>
      <c r="O3847" s="14"/>
      <c r="P3847" s="15" t="s">
        <v>4167</v>
      </c>
      <c r="Q3847" s="16">
        <v>13899</v>
      </c>
      <c r="R3847" s="17">
        <v>45</v>
      </c>
      <c r="S3847" s="18">
        <v>8791.1174999999985</v>
      </c>
      <c r="T3847" s="19" t="s">
        <v>328</v>
      </c>
      <c r="U3847" s="20" t="s">
        <v>409</v>
      </c>
      <c r="V3847" s="21">
        <v>36</v>
      </c>
      <c r="W3847" s="21">
        <v>11</v>
      </c>
      <c r="X3847" s="22"/>
    </row>
    <row r="3848" spans="1:24" s="1" customFormat="1" ht="21" customHeight="1" x14ac:dyDescent="0.3">
      <c r="A3848" s="23" t="s">
        <v>3194</v>
      </c>
      <c r="B3848" s="23" t="s">
        <v>4165</v>
      </c>
      <c r="C3848" s="28" t="s">
        <v>4166</v>
      </c>
      <c r="D3848" s="84"/>
      <c r="E3848" s="69" t="str">
        <f>HYPERLINK("https://www.google.ru/search?q=101681961&amp;newwindow=1&amp;tbm=isch","Еще фото")</f>
        <v>Еще фото</v>
      </c>
      <c r="F3848" s="13"/>
      <c r="G3848" s="23" t="s">
        <v>150</v>
      </c>
      <c r="H3848" s="23" t="s">
        <v>151</v>
      </c>
      <c r="I3848" s="23" t="s">
        <v>424</v>
      </c>
      <c r="J3848" s="14" t="s">
        <v>29</v>
      </c>
      <c r="K3848" s="15" t="s">
        <v>47</v>
      </c>
      <c r="L3848" s="87"/>
      <c r="M3848" s="14"/>
      <c r="N3848" s="14" t="s">
        <v>313</v>
      </c>
      <c r="O3848" s="14"/>
      <c r="P3848" s="15" t="s">
        <v>4167</v>
      </c>
      <c r="Q3848" s="16">
        <v>13899</v>
      </c>
      <c r="R3848" s="17">
        <v>45</v>
      </c>
      <c r="S3848" s="18">
        <v>8791.1174999999985</v>
      </c>
      <c r="T3848" s="19" t="s">
        <v>328</v>
      </c>
      <c r="U3848" s="20" t="s">
        <v>426</v>
      </c>
      <c r="V3848" s="21">
        <v>37</v>
      </c>
      <c r="W3848" s="21">
        <v>15</v>
      </c>
      <c r="X3848" s="22"/>
    </row>
    <row r="3849" spans="1:24" s="1" customFormat="1" ht="21" customHeight="1" x14ac:dyDescent="0.3">
      <c r="A3849" s="23" t="s">
        <v>3194</v>
      </c>
      <c r="B3849" s="23" t="s">
        <v>4165</v>
      </c>
      <c r="C3849" s="28" t="s">
        <v>4166</v>
      </c>
      <c r="D3849" s="84"/>
      <c r="E3849" s="69" t="str">
        <f>HYPERLINK("https://www.google.ru/search?q=101681961&amp;newwindow=1&amp;tbm=isch","Еще фото")</f>
        <v>Еще фото</v>
      </c>
      <c r="F3849" s="13"/>
      <c r="G3849" s="23" t="s">
        <v>150</v>
      </c>
      <c r="H3849" s="23" t="s">
        <v>151</v>
      </c>
      <c r="I3849" s="23" t="s">
        <v>424</v>
      </c>
      <c r="J3849" s="14" t="s">
        <v>29</v>
      </c>
      <c r="K3849" s="15" t="s">
        <v>47</v>
      </c>
      <c r="L3849" s="87"/>
      <c r="M3849" s="14"/>
      <c r="N3849" s="14" t="s">
        <v>313</v>
      </c>
      <c r="O3849" s="14"/>
      <c r="P3849" s="15" t="s">
        <v>4167</v>
      </c>
      <c r="Q3849" s="16">
        <v>13899</v>
      </c>
      <c r="R3849" s="17">
        <v>45</v>
      </c>
      <c r="S3849" s="18">
        <v>8791.1174999999985</v>
      </c>
      <c r="T3849" s="19" t="s">
        <v>328</v>
      </c>
      <c r="U3849" s="20" t="s">
        <v>413</v>
      </c>
      <c r="V3849" s="21">
        <v>38</v>
      </c>
      <c r="W3849" s="21">
        <v>10</v>
      </c>
      <c r="X3849" s="22"/>
    </row>
    <row r="3850" spans="1:24" s="1" customFormat="1" ht="32.1" customHeight="1" x14ac:dyDescent="0.3">
      <c r="A3850" s="23" t="s">
        <v>3194</v>
      </c>
      <c r="B3850" s="23" t="s">
        <v>4165</v>
      </c>
      <c r="C3850" s="28" t="s">
        <v>4166</v>
      </c>
      <c r="D3850" s="85"/>
      <c r="E3850" s="69" t="str">
        <f>HYPERLINK("https://www.google.ru/search?q=101681961&amp;newwindow=1&amp;tbm=isch","Еще фото")</f>
        <v>Еще фото</v>
      </c>
      <c r="F3850" s="13"/>
      <c r="G3850" s="23" t="s">
        <v>150</v>
      </c>
      <c r="H3850" s="23" t="s">
        <v>151</v>
      </c>
      <c r="I3850" s="23" t="s">
        <v>424</v>
      </c>
      <c r="J3850" s="14" t="s">
        <v>29</v>
      </c>
      <c r="K3850" s="15" t="s">
        <v>47</v>
      </c>
      <c r="L3850" s="88"/>
      <c r="M3850" s="14"/>
      <c r="N3850" s="14" t="s">
        <v>313</v>
      </c>
      <c r="O3850" s="14"/>
      <c r="P3850" s="15" t="s">
        <v>4167</v>
      </c>
      <c r="Q3850" s="16">
        <v>13899</v>
      </c>
      <c r="R3850" s="17">
        <v>45</v>
      </c>
      <c r="S3850" s="18">
        <v>8791.1174999999985</v>
      </c>
      <c r="T3850" s="19" t="s">
        <v>328</v>
      </c>
      <c r="U3850" s="20" t="s">
        <v>400</v>
      </c>
      <c r="V3850" s="21">
        <v>40</v>
      </c>
      <c r="W3850" s="21">
        <v>1</v>
      </c>
      <c r="X3850" s="22"/>
    </row>
    <row r="3851" spans="1:24" s="1" customFormat="1" ht="26.1" customHeight="1" x14ac:dyDescent="0.3">
      <c r="A3851" s="11" t="s">
        <v>3194</v>
      </c>
      <c r="B3851" s="11" t="s">
        <v>4168</v>
      </c>
      <c r="C3851" s="12" t="s">
        <v>4169</v>
      </c>
      <c r="D3851" s="83"/>
      <c r="E3851" s="69" t="str">
        <f>HYPERLINK("https://www.google.ru/search?q=101906219&amp;newwindow=1&amp;tbm=isch","Еще фото")</f>
        <v>Еще фото</v>
      </c>
      <c r="F3851" s="13"/>
      <c r="G3851" s="11" t="s">
        <v>150</v>
      </c>
      <c r="H3851" s="11" t="s">
        <v>151</v>
      </c>
      <c r="I3851" s="14" t="s">
        <v>424</v>
      </c>
      <c r="J3851" s="14" t="s">
        <v>29</v>
      </c>
      <c r="K3851" s="15" t="s">
        <v>55</v>
      </c>
      <c r="L3851" s="86"/>
      <c r="M3851" s="14"/>
      <c r="N3851" s="14" t="s">
        <v>49</v>
      </c>
      <c r="O3851" s="14"/>
      <c r="P3851" s="15" t="s">
        <v>4167</v>
      </c>
      <c r="Q3851" s="16">
        <v>13999</v>
      </c>
      <c r="R3851" s="17">
        <v>45</v>
      </c>
      <c r="S3851" s="18">
        <v>8854.3674999999985</v>
      </c>
      <c r="T3851" s="19" t="s">
        <v>328</v>
      </c>
      <c r="U3851" s="20" t="s">
        <v>1503</v>
      </c>
      <c r="V3851" s="21">
        <v>35</v>
      </c>
      <c r="W3851" s="21">
        <v>5</v>
      </c>
      <c r="X3851" s="22"/>
    </row>
    <row r="3852" spans="1:24" s="1" customFormat="1" ht="26.1" customHeight="1" x14ac:dyDescent="0.3">
      <c r="A3852" s="23" t="s">
        <v>3194</v>
      </c>
      <c r="B3852" s="23" t="s">
        <v>4168</v>
      </c>
      <c r="C3852" s="12" t="s">
        <v>4169</v>
      </c>
      <c r="D3852" s="84"/>
      <c r="E3852" s="69" t="str">
        <f>HYPERLINK("https://www.google.ru/search?q=101906219&amp;newwindow=1&amp;tbm=isch","Еще фото")</f>
        <v>Еще фото</v>
      </c>
      <c r="F3852" s="13"/>
      <c r="G3852" s="23" t="s">
        <v>150</v>
      </c>
      <c r="H3852" s="23" t="s">
        <v>151</v>
      </c>
      <c r="I3852" s="23" t="s">
        <v>424</v>
      </c>
      <c r="J3852" s="14" t="s">
        <v>29</v>
      </c>
      <c r="K3852" s="15" t="s">
        <v>55</v>
      </c>
      <c r="L3852" s="87"/>
      <c r="M3852" s="14"/>
      <c r="N3852" s="14" t="s">
        <v>49</v>
      </c>
      <c r="O3852" s="14"/>
      <c r="P3852" s="15" t="s">
        <v>4167</v>
      </c>
      <c r="Q3852" s="16">
        <v>13999</v>
      </c>
      <c r="R3852" s="17">
        <v>45</v>
      </c>
      <c r="S3852" s="18">
        <v>8854.3674999999985</v>
      </c>
      <c r="T3852" s="19" t="s">
        <v>328</v>
      </c>
      <c r="U3852" s="20" t="s">
        <v>409</v>
      </c>
      <c r="V3852" s="21">
        <v>36</v>
      </c>
      <c r="W3852" s="21">
        <v>6</v>
      </c>
      <c r="X3852" s="22"/>
    </row>
    <row r="3853" spans="1:24" s="1" customFormat="1" ht="26.1" customHeight="1" x14ac:dyDescent="0.3">
      <c r="A3853" s="23" t="s">
        <v>3194</v>
      </c>
      <c r="B3853" s="23" t="s">
        <v>4168</v>
      </c>
      <c r="C3853" s="12" t="s">
        <v>4169</v>
      </c>
      <c r="D3853" s="84"/>
      <c r="E3853" s="69" t="str">
        <f>HYPERLINK("https://www.google.ru/search?q=101906219&amp;newwindow=1&amp;tbm=isch","Еще фото")</f>
        <v>Еще фото</v>
      </c>
      <c r="F3853" s="13"/>
      <c r="G3853" s="23" t="s">
        <v>150</v>
      </c>
      <c r="H3853" s="23" t="s">
        <v>151</v>
      </c>
      <c r="I3853" s="23" t="s">
        <v>424</v>
      </c>
      <c r="J3853" s="14" t="s">
        <v>29</v>
      </c>
      <c r="K3853" s="15" t="s">
        <v>55</v>
      </c>
      <c r="L3853" s="87"/>
      <c r="M3853" s="14"/>
      <c r="N3853" s="14" t="s">
        <v>49</v>
      </c>
      <c r="O3853" s="14"/>
      <c r="P3853" s="15" t="s">
        <v>4167</v>
      </c>
      <c r="Q3853" s="16">
        <v>13999</v>
      </c>
      <c r="R3853" s="17">
        <v>45</v>
      </c>
      <c r="S3853" s="18">
        <v>8854.3674999999985</v>
      </c>
      <c r="T3853" s="19" t="s">
        <v>328</v>
      </c>
      <c r="U3853" s="20" t="s">
        <v>426</v>
      </c>
      <c r="V3853" s="21">
        <v>37</v>
      </c>
      <c r="W3853" s="21">
        <v>7</v>
      </c>
      <c r="X3853" s="22"/>
    </row>
    <row r="3854" spans="1:24" s="1" customFormat="1" ht="26.1" customHeight="1" x14ac:dyDescent="0.3">
      <c r="A3854" s="23" t="s">
        <v>3194</v>
      </c>
      <c r="B3854" s="23" t="s">
        <v>4168</v>
      </c>
      <c r="C3854" s="12" t="s">
        <v>4169</v>
      </c>
      <c r="D3854" s="85"/>
      <c r="E3854" s="69" t="str">
        <f>HYPERLINK("https://www.google.ru/search?q=101906219&amp;newwindow=1&amp;tbm=isch","Еще фото")</f>
        <v>Еще фото</v>
      </c>
      <c r="F3854" s="13"/>
      <c r="G3854" s="23" t="s">
        <v>150</v>
      </c>
      <c r="H3854" s="23" t="s">
        <v>151</v>
      </c>
      <c r="I3854" s="23" t="s">
        <v>424</v>
      </c>
      <c r="J3854" s="14" t="s">
        <v>29</v>
      </c>
      <c r="K3854" s="15" t="s">
        <v>55</v>
      </c>
      <c r="L3854" s="88"/>
      <c r="M3854" s="14"/>
      <c r="N3854" s="14" t="s">
        <v>49</v>
      </c>
      <c r="O3854" s="14"/>
      <c r="P3854" s="15" t="s">
        <v>4167</v>
      </c>
      <c r="Q3854" s="16">
        <v>13999</v>
      </c>
      <c r="R3854" s="17">
        <v>45</v>
      </c>
      <c r="S3854" s="18">
        <v>8854.3674999999985</v>
      </c>
      <c r="T3854" s="19" t="s">
        <v>328</v>
      </c>
      <c r="U3854" s="20" t="s">
        <v>413</v>
      </c>
      <c r="V3854" s="21">
        <v>38</v>
      </c>
      <c r="W3854" s="21">
        <v>2</v>
      </c>
      <c r="X3854" s="22"/>
    </row>
    <row r="3855" spans="1:24" s="1" customFormat="1" ht="35.1" customHeight="1" x14ac:dyDescent="0.3">
      <c r="A3855" s="11" t="s">
        <v>3194</v>
      </c>
      <c r="B3855" s="11" t="s">
        <v>4170</v>
      </c>
      <c r="C3855" s="12" t="s">
        <v>4171</v>
      </c>
      <c r="D3855" s="83"/>
      <c r="E3855" s="69" t="str">
        <f>HYPERLINK("https://www.google.ru/search?q=101917480&amp;newwindow=1&amp;tbm=isch","Еще фото")</f>
        <v>Еще фото</v>
      </c>
      <c r="F3855" s="13"/>
      <c r="G3855" s="11" t="s">
        <v>394</v>
      </c>
      <c r="H3855" s="11" t="s">
        <v>151</v>
      </c>
      <c r="I3855" s="14" t="s">
        <v>424</v>
      </c>
      <c r="J3855" s="14" t="s">
        <v>29</v>
      </c>
      <c r="K3855" s="15" t="s">
        <v>55</v>
      </c>
      <c r="L3855" s="86"/>
      <c r="M3855" s="14"/>
      <c r="N3855" s="14" t="s">
        <v>70</v>
      </c>
      <c r="O3855" s="14"/>
      <c r="P3855" s="15" t="s">
        <v>3230</v>
      </c>
      <c r="Q3855" s="16">
        <v>13799</v>
      </c>
      <c r="R3855" s="17">
        <v>45</v>
      </c>
      <c r="S3855" s="18">
        <v>8727.8674999999985</v>
      </c>
      <c r="T3855" s="19" t="s">
        <v>328</v>
      </c>
      <c r="U3855" s="20" t="s">
        <v>399</v>
      </c>
      <c r="V3855" s="21">
        <v>39</v>
      </c>
      <c r="W3855" s="21">
        <v>2</v>
      </c>
      <c r="X3855" s="22"/>
    </row>
    <row r="3856" spans="1:24" s="1" customFormat="1" ht="35.1" customHeight="1" x14ac:dyDescent="0.3">
      <c r="A3856" s="23" t="s">
        <v>3194</v>
      </c>
      <c r="B3856" s="23" t="s">
        <v>4170</v>
      </c>
      <c r="C3856" s="12" t="s">
        <v>4171</v>
      </c>
      <c r="D3856" s="84"/>
      <c r="E3856" s="69" t="str">
        <f>HYPERLINK("https://www.google.ru/search?q=101917480&amp;newwindow=1&amp;tbm=isch","Еще фото")</f>
        <v>Еще фото</v>
      </c>
      <c r="F3856" s="13"/>
      <c r="G3856" s="23" t="s">
        <v>394</v>
      </c>
      <c r="H3856" s="23" t="s">
        <v>151</v>
      </c>
      <c r="I3856" s="23" t="s">
        <v>424</v>
      </c>
      <c r="J3856" s="14" t="s">
        <v>29</v>
      </c>
      <c r="K3856" s="15" t="s">
        <v>55</v>
      </c>
      <c r="L3856" s="87"/>
      <c r="M3856" s="14"/>
      <c r="N3856" s="14" t="s">
        <v>70</v>
      </c>
      <c r="O3856" s="14"/>
      <c r="P3856" s="15" t="s">
        <v>3230</v>
      </c>
      <c r="Q3856" s="16">
        <v>13799</v>
      </c>
      <c r="R3856" s="17">
        <v>45</v>
      </c>
      <c r="S3856" s="18">
        <v>8727.8674999999985</v>
      </c>
      <c r="T3856" s="19" t="s">
        <v>328</v>
      </c>
      <c r="U3856" s="20" t="s">
        <v>457</v>
      </c>
      <c r="V3856" s="21">
        <v>41</v>
      </c>
      <c r="W3856" s="21">
        <v>1</v>
      </c>
      <c r="X3856" s="22"/>
    </row>
    <row r="3857" spans="1:24" s="1" customFormat="1" ht="36.950000000000003" customHeight="1" x14ac:dyDescent="0.3">
      <c r="A3857" s="23" t="s">
        <v>3194</v>
      </c>
      <c r="B3857" s="23" t="s">
        <v>4170</v>
      </c>
      <c r="C3857" s="12" t="s">
        <v>4171</v>
      </c>
      <c r="D3857" s="85"/>
      <c r="E3857" s="69" t="str">
        <f>HYPERLINK("https://www.google.ru/search?q=101917480&amp;newwindow=1&amp;tbm=isch","Еще фото")</f>
        <v>Еще фото</v>
      </c>
      <c r="F3857" s="13"/>
      <c r="G3857" s="23" t="s">
        <v>394</v>
      </c>
      <c r="H3857" s="23" t="s">
        <v>151</v>
      </c>
      <c r="I3857" s="23" t="s">
        <v>424</v>
      </c>
      <c r="J3857" s="14" t="s">
        <v>29</v>
      </c>
      <c r="K3857" s="15" t="s">
        <v>55</v>
      </c>
      <c r="L3857" s="88"/>
      <c r="M3857" s="14"/>
      <c r="N3857" s="14" t="s">
        <v>70</v>
      </c>
      <c r="O3857" s="14"/>
      <c r="P3857" s="15" t="s">
        <v>3230</v>
      </c>
      <c r="Q3857" s="16">
        <v>13799</v>
      </c>
      <c r="R3857" s="17">
        <v>45</v>
      </c>
      <c r="S3857" s="18">
        <v>8727.8674999999985</v>
      </c>
      <c r="T3857" s="19" t="s">
        <v>328</v>
      </c>
      <c r="U3857" s="20" t="s">
        <v>402</v>
      </c>
      <c r="V3857" s="21">
        <v>43</v>
      </c>
      <c r="W3857" s="21">
        <v>1</v>
      </c>
      <c r="X3857" s="22"/>
    </row>
    <row r="3858" spans="1:24" s="1" customFormat="1" ht="35.1" customHeight="1" x14ac:dyDescent="0.3">
      <c r="A3858" s="11" t="s">
        <v>3194</v>
      </c>
      <c r="B3858" s="11" t="s">
        <v>4172</v>
      </c>
      <c r="C3858" s="12" t="s">
        <v>4173</v>
      </c>
      <c r="D3858" s="83"/>
      <c r="E3858" s="69" t="str">
        <f>HYPERLINK("https://www.google.ru/search?q=101917534&amp;newwindow=1&amp;tbm=isch","Еще фото")</f>
        <v>Еще фото</v>
      </c>
      <c r="F3858" s="13"/>
      <c r="G3858" s="11" t="s">
        <v>394</v>
      </c>
      <c r="H3858" s="11" t="s">
        <v>151</v>
      </c>
      <c r="I3858" s="14" t="s">
        <v>424</v>
      </c>
      <c r="J3858" s="14" t="s">
        <v>29</v>
      </c>
      <c r="K3858" s="15" t="s">
        <v>47</v>
      </c>
      <c r="L3858" s="86"/>
      <c r="M3858" s="14"/>
      <c r="N3858" s="14" t="s">
        <v>70</v>
      </c>
      <c r="O3858" s="14"/>
      <c r="P3858" s="15" t="s">
        <v>3230</v>
      </c>
      <c r="Q3858" s="16">
        <v>7699</v>
      </c>
      <c r="R3858" s="17">
        <v>45</v>
      </c>
      <c r="S3858" s="18">
        <v>4869.6174999999994</v>
      </c>
      <c r="T3858" s="19" t="s">
        <v>328</v>
      </c>
      <c r="U3858" s="20" t="s">
        <v>431</v>
      </c>
      <c r="V3858" s="21">
        <v>34</v>
      </c>
      <c r="W3858" s="21">
        <v>1</v>
      </c>
      <c r="X3858" s="22"/>
    </row>
    <row r="3859" spans="1:24" s="1" customFormat="1" ht="35.1" customHeight="1" x14ac:dyDescent="0.3">
      <c r="A3859" s="23" t="s">
        <v>3194</v>
      </c>
      <c r="B3859" s="23" t="s">
        <v>4172</v>
      </c>
      <c r="C3859" s="12" t="s">
        <v>4173</v>
      </c>
      <c r="D3859" s="84"/>
      <c r="E3859" s="69" t="str">
        <f>HYPERLINK("https://www.google.ru/search?q=101917534&amp;newwindow=1&amp;tbm=isch","Еще фото")</f>
        <v>Еще фото</v>
      </c>
      <c r="F3859" s="13"/>
      <c r="G3859" s="23" t="s">
        <v>394</v>
      </c>
      <c r="H3859" s="23" t="s">
        <v>151</v>
      </c>
      <c r="I3859" s="23" t="s">
        <v>424</v>
      </c>
      <c r="J3859" s="14" t="s">
        <v>29</v>
      </c>
      <c r="K3859" s="15" t="s">
        <v>47</v>
      </c>
      <c r="L3859" s="87"/>
      <c r="M3859" s="14"/>
      <c r="N3859" s="14" t="s">
        <v>70</v>
      </c>
      <c r="O3859" s="14"/>
      <c r="P3859" s="15" t="s">
        <v>3230</v>
      </c>
      <c r="Q3859" s="16">
        <v>7699</v>
      </c>
      <c r="R3859" s="17">
        <v>45</v>
      </c>
      <c r="S3859" s="18">
        <v>4869.6174999999994</v>
      </c>
      <c r="T3859" s="19" t="s">
        <v>328</v>
      </c>
      <c r="U3859" s="20" t="s">
        <v>1503</v>
      </c>
      <c r="V3859" s="21">
        <v>35</v>
      </c>
      <c r="W3859" s="21">
        <v>2</v>
      </c>
      <c r="X3859" s="22"/>
    </row>
    <row r="3860" spans="1:24" s="1" customFormat="1" ht="36.950000000000003" customHeight="1" x14ac:dyDescent="0.3">
      <c r="A3860" s="23" t="s">
        <v>3194</v>
      </c>
      <c r="B3860" s="23" t="s">
        <v>4172</v>
      </c>
      <c r="C3860" s="12" t="s">
        <v>4173</v>
      </c>
      <c r="D3860" s="85"/>
      <c r="E3860" s="69" t="str">
        <f>HYPERLINK("https://www.google.ru/search?q=101917534&amp;newwindow=1&amp;tbm=isch","Еще фото")</f>
        <v>Еще фото</v>
      </c>
      <c r="F3860" s="13"/>
      <c r="G3860" s="23" t="s">
        <v>394</v>
      </c>
      <c r="H3860" s="23" t="s">
        <v>151</v>
      </c>
      <c r="I3860" s="23" t="s">
        <v>424</v>
      </c>
      <c r="J3860" s="14" t="s">
        <v>29</v>
      </c>
      <c r="K3860" s="15" t="s">
        <v>47</v>
      </c>
      <c r="L3860" s="88"/>
      <c r="M3860" s="14"/>
      <c r="N3860" s="14" t="s">
        <v>70</v>
      </c>
      <c r="O3860" s="14"/>
      <c r="P3860" s="15" t="s">
        <v>3230</v>
      </c>
      <c r="Q3860" s="16">
        <v>7699</v>
      </c>
      <c r="R3860" s="17">
        <v>45</v>
      </c>
      <c r="S3860" s="18">
        <v>4869.6174999999994</v>
      </c>
      <c r="T3860" s="19" t="s">
        <v>328</v>
      </c>
      <c r="U3860" s="20" t="s">
        <v>409</v>
      </c>
      <c r="V3860" s="21">
        <v>36</v>
      </c>
      <c r="W3860" s="21">
        <v>2</v>
      </c>
      <c r="X3860" s="22"/>
    </row>
    <row r="3861" spans="1:24" s="1" customFormat="1" ht="35.1" customHeight="1" x14ac:dyDescent="0.3">
      <c r="A3861" s="11" t="s">
        <v>3194</v>
      </c>
      <c r="B3861" s="11" t="s">
        <v>4172</v>
      </c>
      <c r="C3861" s="12" t="s">
        <v>4174</v>
      </c>
      <c r="D3861" s="83"/>
      <c r="E3861" s="69" t="str">
        <f>HYPERLINK("https://www.google.ru/search?q=101917535&amp;newwindow=1&amp;tbm=isch","Еще фото")</f>
        <v>Еще фото</v>
      </c>
      <c r="F3861" s="13"/>
      <c r="G3861" s="11" t="s">
        <v>394</v>
      </c>
      <c r="H3861" s="11" t="s">
        <v>151</v>
      </c>
      <c r="I3861" s="14" t="s">
        <v>424</v>
      </c>
      <c r="J3861" s="14" t="s">
        <v>29</v>
      </c>
      <c r="K3861" s="15" t="s">
        <v>47</v>
      </c>
      <c r="L3861" s="86"/>
      <c r="M3861" s="14"/>
      <c r="N3861" s="14" t="s">
        <v>275</v>
      </c>
      <c r="O3861" s="14"/>
      <c r="P3861" s="15" t="s">
        <v>3230</v>
      </c>
      <c r="Q3861" s="16">
        <v>7699</v>
      </c>
      <c r="R3861" s="17">
        <v>45</v>
      </c>
      <c r="S3861" s="18">
        <v>4869.6174999999994</v>
      </c>
      <c r="T3861" s="19" t="s">
        <v>328</v>
      </c>
      <c r="U3861" s="20" t="s">
        <v>431</v>
      </c>
      <c r="V3861" s="21">
        <v>34</v>
      </c>
      <c r="W3861" s="21">
        <v>1</v>
      </c>
      <c r="X3861" s="22"/>
    </row>
    <row r="3862" spans="1:24" s="1" customFormat="1" ht="35.1" customHeight="1" x14ac:dyDescent="0.3">
      <c r="A3862" s="23" t="s">
        <v>3194</v>
      </c>
      <c r="B3862" s="23" t="s">
        <v>4172</v>
      </c>
      <c r="C3862" s="12" t="s">
        <v>4174</v>
      </c>
      <c r="D3862" s="84"/>
      <c r="E3862" s="69" t="str">
        <f>HYPERLINK("https://www.google.ru/search?q=101917535&amp;newwindow=1&amp;tbm=isch","Еще фото")</f>
        <v>Еще фото</v>
      </c>
      <c r="F3862" s="13"/>
      <c r="G3862" s="23" t="s">
        <v>394</v>
      </c>
      <c r="H3862" s="23" t="s">
        <v>151</v>
      </c>
      <c r="I3862" s="23" t="s">
        <v>424</v>
      </c>
      <c r="J3862" s="14" t="s">
        <v>29</v>
      </c>
      <c r="K3862" s="15" t="s">
        <v>47</v>
      </c>
      <c r="L3862" s="87"/>
      <c r="M3862" s="14"/>
      <c r="N3862" s="14" t="s">
        <v>275</v>
      </c>
      <c r="O3862" s="14"/>
      <c r="P3862" s="15" t="s">
        <v>3230</v>
      </c>
      <c r="Q3862" s="16">
        <v>7699</v>
      </c>
      <c r="R3862" s="17">
        <v>45</v>
      </c>
      <c r="S3862" s="18">
        <v>4869.6174999999994</v>
      </c>
      <c r="T3862" s="19" t="s">
        <v>328</v>
      </c>
      <c r="U3862" s="20" t="s">
        <v>1503</v>
      </c>
      <c r="V3862" s="21">
        <v>35</v>
      </c>
      <c r="W3862" s="21">
        <v>3</v>
      </c>
      <c r="X3862" s="22"/>
    </row>
    <row r="3863" spans="1:24" s="1" customFormat="1" ht="36.950000000000003" customHeight="1" x14ac:dyDescent="0.3">
      <c r="A3863" s="23" t="s">
        <v>3194</v>
      </c>
      <c r="B3863" s="23" t="s">
        <v>4172</v>
      </c>
      <c r="C3863" s="12" t="s">
        <v>4174</v>
      </c>
      <c r="D3863" s="85"/>
      <c r="E3863" s="69" t="str">
        <f>HYPERLINK("https://www.google.ru/search?q=101917535&amp;newwindow=1&amp;tbm=isch","Еще фото")</f>
        <v>Еще фото</v>
      </c>
      <c r="F3863" s="13"/>
      <c r="G3863" s="23" t="s">
        <v>394</v>
      </c>
      <c r="H3863" s="23" t="s">
        <v>151</v>
      </c>
      <c r="I3863" s="23" t="s">
        <v>424</v>
      </c>
      <c r="J3863" s="14" t="s">
        <v>29</v>
      </c>
      <c r="K3863" s="15" t="s">
        <v>47</v>
      </c>
      <c r="L3863" s="88"/>
      <c r="M3863" s="14"/>
      <c r="N3863" s="14" t="s">
        <v>275</v>
      </c>
      <c r="O3863" s="14"/>
      <c r="P3863" s="15" t="s">
        <v>3230</v>
      </c>
      <c r="Q3863" s="16">
        <v>7699</v>
      </c>
      <c r="R3863" s="17">
        <v>45</v>
      </c>
      <c r="S3863" s="18">
        <v>4869.6174999999994</v>
      </c>
      <c r="T3863" s="19" t="s">
        <v>328</v>
      </c>
      <c r="U3863" s="20" t="s">
        <v>409</v>
      </c>
      <c r="V3863" s="21">
        <v>36</v>
      </c>
      <c r="W3863" s="21">
        <v>2</v>
      </c>
      <c r="X3863" s="22"/>
    </row>
    <row r="3864" spans="1:24" s="1" customFormat="1" ht="108" customHeight="1" x14ac:dyDescent="0.3">
      <c r="A3864" s="11" t="s">
        <v>3194</v>
      </c>
      <c r="B3864" s="11" t="s">
        <v>4172</v>
      </c>
      <c r="C3864" s="12" t="s">
        <v>4175</v>
      </c>
      <c r="D3864" s="24"/>
      <c r="E3864" s="69" t="str">
        <f>HYPERLINK("https://www.google.ru/search?q=101917536&amp;newwindow=1&amp;tbm=isch","Еще фото")</f>
        <v>Еще фото</v>
      </c>
      <c r="F3864" s="13"/>
      <c r="G3864" s="11" t="s">
        <v>394</v>
      </c>
      <c r="H3864" s="11" t="s">
        <v>151</v>
      </c>
      <c r="I3864" s="14" t="s">
        <v>424</v>
      </c>
      <c r="J3864" s="14" t="s">
        <v>29</v>
      </c>
      <c r="K3864" s="15" t="s">
        <v>47</v>
      </c>
      <c r="L3864" s="14"/>
      <c r="M3864" s="14"/>
      <c r="N3864" s="14" t="s">
        <v>242</v>
      </c>
      <c r="O3864" s="14"/>
      <c r="P3864" s="15" t="s">
        <v>3230</v>
      </c>
      <c r="Q3864" s="16">
        <v>7699</v>
      </c>
      <c r="R3864" s="17">
        <v>45</v>
      </c>
      <c r="S3864" s="18">
        <v>4869.6174999999994</v>
      </c>
      <c r="T3864" s="19" t="s">
        <v>328</v>
      </c>
      <c r="U3864" s="20" t="s">
        <v>413</v>
      </c>
      <c r="V3864" s="21">
        <v>38</v>
      </c>
      <c r="W3864" s="21">
        <v>1</v>
      </c>
      <c r="X3864" s="22"/>
    </row>
    <row r="3865" spans="1:24" s="1" customFormat="1" ht="17.100000000000001" customHeight="1" x14ac:dyDescent="0.3">
      <c r="A3865" s="11" t="s">
        <v>3194</v>
      </c>
      <c r="B3865" s="11" t="s">
        <v>4176</v>
      </c>
      <c r="C3865" s="12" t="s">
        <v>4177</v>
      </c>
      <c r="D3865" s="83"/>
      <c r="E3865" s="69" t="str">
        <f t="shared" ref="E3865:E3870" si="180">HYPERLINK("https://www.google.ru/search?q=101917554&amp;newwindow=1&amp;tbm=isch","Еще фото")</f>
        <v>Еще фото</v>
      </c>
      <c r="F3865" s="13"/>
      <c r="G3865" s="11" t="s">
        <v>394</v>
      </c>
      <c r="H3865" s="11" t="s">
        <v>151</v>
      </c>
      <c r="I3865" s="14" t="s">
        <v>424</v>
      </c>
      <c r="J3865" s="14" t="s">
        <v>29</v>
      </c>
      <c r="K3865" s="15" t="s">
        <v>47</v>
      </c>
      <c r="L3865" s="86"/>
      <c r="M3865" s="14"/>
      <c r="N3865" s="14" t="s">
        <v>49</v>
      </c>
      <c r="O3865" s="14"/>
      <c r="P3865" s="15" t="s">
        <v>3230</v>
      </c>
      <c r="Q3865" s="16">
        <v>13799</v>
      </c>
      <c r="R3865" s="17">
        <v>45</v>
      </c>
      <c r="S3865" s="18">
        <v>8727.8674999999985</v>
      </c>
      <c r="T3865" s="19" t="s">
        <v>328</v>
      </c>
      <c r="U3865" s="20" t="s">
        <v>431</v>
      </c>
      <c r="V3865" s="21">
        <v>34</v>
      </c>
      <c r="W3865" s="21">
        <v>3</v>
      </c>
      <c r="X3865" s="22"/>
    </row>
    <row r="3866" spans="1:24" s="1" customFormat="1" ht="17.100000000000001" customHeight="1" x14ac:dyDescent="0.3">
      <c r="A3866" s="23" t="s">
        <v>3194</v>
      </c>
      <c r="B3866" s="23" t="s">
        <v>4176</v>
      </c>
      <c r="C3866" s="12" t="s">
        <v>4177</v>
      </c>
      <c r="D3866" s="84"/>
      <c r="E3866" s="69" t="str">
        <f t="shared" si="180"/>
        <v>Еще фото</v>
      </c>
      <c r="F3866" s="13"/>
      <c r="G3866" s="23" t="s">
        <v>394</v>
      </c>
      <c r="H3866" s="23" t="s">
        <v>151</v>
      </c>
      <c r="I3866" s="23" t="s">
        <v>424</v>
      </c>
      <c r="J3866" s="14" t="s">
        <v>29</v>
      </c>
      <c r="K3866" s="15" t="s">
        <v>47</v>
      </c>
      <c r="L3866" s="87"/>
      <c r="M3866" s="14"/>
      <c r="N3866" s="14" t="s">
        <v>49</v>
      </c>
      <c r="O3866" s="14"/>
      <c r="P3866" s="15" t="s">
        <v>3230</v>
      </c>
      <c r="Q3866" s="16">
        <v>13799</v>
      </c>
      <c r="R3866" s="17">
        <v>45</v>
      </c>
      <c r="S3866" s="18">
        <v>8727.8674999999985</v>
      </c>
      <c r="T3866" s="19" t="s">
        <v>328</v>
      </c>
      <c r="U3866" s="20" t="s">
        <v>1503</v>
      </c>
      <c r="V3866" s="21">
        <v>35</v>
      </c>
      <c r="W3866" s="21">
        <v>1</v>
      </c>
      <c r="X3866" s="22"/>
    </row>
    <row r="3867" spans="1:24" s="1" customFormat="1" ht="17.100000000000001" customHeight="1" x14ac:dyDescent="0.3">
      <c r="A3867" s="23" t="s">
        <v>3194</v>
      </c>
      <c r="B3867" s="23" t="s">
        <v>4176</v>
      </c>
      <c r="C3867" s="12" t="s">
        <v>4177</v>
      </c>
      <c r="D3867" s="84"/>
      <c r="E3867" s="69" t="str">
        <f t="shared" si="180"/>
        <v>Еще фото</v>
      </c>
      <c r="F3867" s="13"/>
      <c r="G3867" s="23" t="s">
        <v>394</v>
      </c>
      <c r="H3867" s="23" t="s">
        <v>151</v>
      </c>
      <c r="I3867" s="23" t="s">
        <v>424</v>
      </c>
      <c r="J3867" s="14" t="s">
        <v>29</v>
      </c>
      <c r="K3867" s="15" t="s">
        <v>47</v>
      </c>
      <c r="L3867" s="87"/>
      <c r="M3867" s="14"/>
      <c r="N3867" s="14" t="s">
        <v>49</v>
      </c>
      <c r="O3867" s="14"/>
      <c r="P3867" s="15" t="s">
        <v>3230</v>
      </c>
      <c r="Q3867" s="16">
        <v>13799</v>
      </c>
      <c r="R3867" s="17">
        <v>45</v>
      </c>
      <c r="S3867" s="18">
        <v>8727.8674999999985</v>
      </c>
      <c r="T3867" s="19" t="s">
        <v>328</v>
      </c>
      <c r="U3867" s="20" t="s">
        <v>409</v>
      </c>
      <c r="V3867" s="21">
        <v>36</v>
      </c>
      <c r="W3867" s="21">
        <v>2</v>
      </c>
      <c r="X3867" s="22"/>
    </row>
    <row r="3868" spans="1:24" s="1" customFormat="1" ht="17.100000000000001" customHeight="1" x14ac:dyDescent="0.3">
      <c r="A3868" s="23" t="s">
        <v>3194</v>
      </c>
      <c r="B3868" s="23" t="s">
        <v>4176</v>
      </c>
      <c r="C3868" s="12" t="s">
        <v>4177</v>
      </c>
      <c r="D3868" s="84"/>
      <c r="E3868" s="69" t="str">
        <f t="shared" si="180"/>
        <v>Еще фото</v>
      </c>
      <c r="F3868" s="13"/>
      <c r="G3868" s="23" t="s">
        <v>394</v>
      </c>
      <c r="H3868" s="23" t="s">
        <v>151</v>
      </c>
      <c r="I3868" s="23" t="s">
        <v>424</v>
      </c>
      <c r="J3868" s="14" t="s">
        <v>29</v>
      </c>
      <c r="K3868" s="15" t="s">
        <v>47</v>
      </c>
      <c r="L3868" s="87"/>
      <c r="M3868" s="14"/>
      <c r="N3868" s="14" t="s">
        <v>49</v>
      </c>
      <c r="O3868" s="14"/>
      <c r="P3868" s="15" t="s">
        <v>3230</v>
      </c>
      <c r="Q3868" s="16">
        <v>13799</v>
      </c>
      <c r="R3868" s="17">
        <v>45</v>
      </c>
      <c r="S3868" s="18">
        <v>8727.8674999999985</v>
      </c>
      <c r="T3868" s="19" t="s">
        <v>328</v>
      </c>
      <c r="U3868" s="20" t="s">
        <v>426</v>
      </c>
      <c r="V3868" s="21">
        <v>37</v>
      </c>
      <c r="W3868" s="21">
        <v>3</v>
      </c>
      <c r="X3868" s="22"/>
    </row>
    <row r="3869" spans="1:24" s="1" customFormat="1" ht="17.100000000000001" customHeight="1" x14ac:dyDescent="0.3">
      <c r="A3869" s="23" t="s">
        <v>3194</v>
      </c>
      <c r="B3869" s="23" t="s">
        <v>4176</v>
      </c>
      <c r="C3869" s="12" t="s">
        <v>4177</v>
      </c>
      <c r="D3869" s="84"/>
      <c r="E3869" s="69" t="str">
        <f t="shared" si="180"/>
        <v>Еще фото</v>
      </c>
      <c r="F3869" s="13"/>
      <c r="G3869" s="23" t="s">
        <v>394</v>
      </c>
      <c r="H3869" s="23" t="s">
        <v>151</v>
      </c>
      <c r="I3869" s="23" t="s">
        <v>424</v>
      </c>
      <c r="J3869" s="14" t="s">
        <v>29</v>
      </c>
      <c r="K3869" s="15" t="s">
        <v>47</v>
      </c>
      <c r="L3869" s="87"/>
      <c r="M3869" s="14"/>
      <c r="N3869" s="14" t="s">
        <v>49</v>
      </c>
      <c r="O3869" s="14"/>
      <c r="P3869" s="15" t="s">
        <v>3230</v>
      </c>
      <c r="Q3869" s="16">
        <v>13799</v>
      </c>
      <c r="R3869" s="17">
        <v>45</v>
      </c>
      <c r="S3869" s="18">
        <v>8727.8674999999985</v>
      </c>
      <c r="T3869" s="19" t="s">
        <v>328</v>
      </c>
      <c r="U3869" s="20" t="s">
        <v>413</v>
      </c>
      <c r="V3869" s="21">
        <v>38</v>
      </c>
      <c r="W3869" s="21">
        <v>3</v>
      </c>
      <c r="X3869" s="22"/>
    </row>
    <row r="3870" spans="1:24" s="1" customFormat="1" ht="21.95" customHeight="1" x14ac:dyDescent="0.3">
      <c r="A3870" s="23" t="s">
        <v>3194</v>
      </c>
      <c r="B3870" s="23" t="s">
        <v>4176</v>
      </c>
      <c r="C3870" s="12" t="s">
        <v>4177</v>
      </c>
      <c r="D3870" s="85"/>
      <c r="E3870" s="69" t="str">
        <f t="shared" si="180"/>
        <v>Еще фото</v>
      </c>
      <c r="F3870" s="13"/>
      <c r="G3870" s="23" t="s">
        <v>394</v>
      </c>
      <c r="H3870" s="23" t="s">
        <v>151</v>
      </c>
      <c r="I3870" s="23" t="s">
        <v>424</v>
      </c>
      <c r="J3870" s="14" t="s">
        <v>29</v>
      </c>
      <c r="K3870" s="15" t="s">
        <v>47</v>
      </c>
      <c r="L3870" s="88"/>
      <c r="M3870" s="14"/>
      <c r="N3870" s="14" t="s">
        <v>49</v>
      </c>
      <c r="O3870" s="14"/>
      <c r="P3870" s="15" t="s">
        <v>3230</v>
      </c>
      <c r="Q3870" s="16">
        <v>13799</v>
      </c>
      <c r="R3870" s="17">
        <v>45</v>
      </c>
      <c r="S3870" s="18">
        <v>8727.8674999999985</v>
      </c>
      <c r="T3870" s="19" t="s">
        <v>328</v>
      </c>
      <c r="U3870" s="20" t="s">
        <v>399</v>
      </c>
      <c r="V3870" s="21">
        <v>39</v>
      </c>
      <c r="W3870" s="21">
        <v>2</v>
      </c>
      <c r="X3870" s="22"/>
    </row>
    <row r="3871" spans="1:24" s="1" customFormat="1" ht="17.100000000000001" customHeight="1" x14ac:dyDescent="0.3">
      <c r="A3871" s="11" t="s">
        <v>3194</v>
      </c>
      <c r="B3871" s="11" t="s">
        <v>4176</v>
      </c>
      <c r="C3871" s="12" t="s">
        <v>4178</v>
      </c>
      <c r="D3871" s="83"/>
      <c r="E3871" s="69" t="str">
        <f t="shared" ref="E3871:E3876" si="181">HYPERLINK("https://www.google.ru/search?q=101917573&amp;newwindow=1&amp;tbm=isch","Еще фото")</f>
        <v>Еще фото</v>
      </c>
      <c r="F3871" s="13"/>
      <c r="G3871" s="11" t="s">
        <v>394</v>
      </c>
      <c r="H3871" s="11" t="s">
        <v>151</v>
      </c>
      <c r="I3871" s="14" t="s">
        <v>424</v>
      </c>
      <c r="J3871" s="14" t="s">
        <v>29</v>
      </c>
      <c r="K3871" s="15" t="s">
        <v>47</v>
      </c>
      <c r="L3871" s="86"/>
      <c r="M3871" s="14"/>
      <c r="N3871" s="14" t="s">
        <v>576</v>
      </c>
      <c r="O3871" s="14"/>
      <c r="P3871" s="15" t="s">
        <v>3230</v>
      </c>
      <c r="Q3871" s="16">
        <v>13799</v>
      </c>
      <c r="R3871" s="17">
        <v>45</v>
      </c>
      <c r="S3871" s="18">
        <v>8727.8674999999985</v>
      </c>
      <c r="T3871" s="19" t="s">
        <v>328</v>
      </c>
      <c r="U3871" s="20" t="s">
        <v>431</v>
      </c>
      <c r="V3871" s="21">
        <v>34</v>
      </c>
      <c r="W3871" s="21">
        <v>2</v>
      </c>
      <c r="X3871" s="22"/>
    </row>
    <row r="3872" spans="1:24" s="1" customFormat="1" ht="17.100000000000001" customHeight="1" x14ac:dyDescent="0.3">
      <c r="A3872" s="23" t="s">
        <v>3194</v>
      </c>
      <c r="B3872" s="23" t="s">
        <v>4176</v>
      </c>
      <c r="C3872" s="12" t="s">
        <v>4178</v>
      </c>
      <c r="D3872" s="84"/>
      <c r="E3872" s="69" t="str">
        <f t="shared" si="181"/>
        <v>Еще фото</v>
      </c>
      <c r="F3872" s="13"/>
      <c r="G3872" s="23" t="s">
        <v>394</v>
      </c>
      <c r="H3872" s="23" t="s">
        <v>151</v>
      </c>
      <c r="I3872" s="23" t="s">
        <v>424</v>
      </c>
      <c r="J3872" s="14" t="s">
        <v>29</v>
      </c>
      <c r="K3872" s="15" t="s">
        <v>47</v>
      </c>
      <c r="L3872" s="87"/>
      <c r="M3872" s="14"/>
      <c r="N3872" s="14" t="s">
        <v>576</v>
      </c>
      <c r="O3872" s="14"/>
      <c r="P3872" s="15" t="s">
        <v>3230</v>
      </c>
      <c r="Q3872" s="16">
        <v>13799</v>
      </c>
      <c r="R3872" s="17">
        <v>45</v>
      </c>
      <c r="S3872" s="18">
        <v>8727.8674999999985</v>
      </c>
      <c r="T3872" s="19" t="s">
        <v>328</v>
      </c>
      <c r="U3872" s="20" t="s">
        <v>1503</v>
      </c>
      <c r="V3872" s="21">
        <v>35</v>
      </c>
      <c r="W3872" s="21">
        <v>3</v>
      </c>
      <c r="X3872" s="22"/>
    </row>
    <row r="3873" spans="1:24" s="1" customFormat="1" ht="17.100000000000001" customHeight="1" x14ac:dyDescent="0.3">
      <c r="A3873" s="23" t="s">
        <v>3194</v>
      </c>
      <c r="B3873" s="23" t="s">
        <v>4176</v>
      </c>
      <c r="C3873" s="12" t="s">
        <v>4178</v>
      </c>
      <c r="D3873" s="84"/>
      <c r="E3873" s="69" t="str">
        <f t="shared" si="181"/>
        <v>Еще фото</v>
      </c>
      <c r="F3873" s="13"/>
      <c r="G3873" s="23" t="s">
        <v>394</v>
      </c>
      <c r="H3873" s="23" t="s">
        <v>151</v>
      </c>
      <c r="I3873" s="23" t="s">
        <v>424</v>
      </c>
      <c r="J3873" s="14" t="s">
        <v>29</v>
      </c>
      <c r="K3873" s="15" t="s">
        <v>47</v>
      </c>
      <c r="L3873" s="87"/>
      <c r="M3873" s="14"/>
      <c r="N3873" s="14" t="s">
        <v>576</v>
      </c>
      <c r="O3873" s="14"/>
      <c r="P3873" s="15" t="s">
        <v>3230</v>
      </c>
      <c r="Q3873" s="16">
        <v>13799</v>
      </c>
      <c r="R3873" s="17">
        <v>45</v>
      </c>
      <c r="S3873" s="18">
        <v>8727.8674999999985</v>
      </c>
      <c r="T3873" s="19" t="s">
        <v>328</v>
      </c>
      <c r="U3873" s="20" t="s">
        <v>409</v>
      </c>
      <c r="V3873" s="21">
        <v>36</v>
      </c>
      <c r="W3873" s="21">
        <v>3</v>
      </c>
      <c r="X3873" s="22"/>
    </row>
    <row r="3874" spans="1:24" s="1" customFormat="1" ht="17.100000000000001" customHeight="1" x14ac:dyDescent="0.3">
      <c r="A3874" s="23" t="s">
        <v>3194</v>
      </c>
      <c r="B3874" s="23" t="s">
        <v>4176</v>
      </c>
      <c r="C3874" s="12" t="s">
        <v>4178</v>
      </c>
      <c r="D3874" s="84"/>
      <c r="E3874" s="69" t="str">
        <f t="shared" si="181"/>
        <v>Еще фото</v>
      </c>
      <c r="F3874" s="13"/>
      <c r="G3874" s="23" t="s">
        <v>394</v>
      </c>
      <c r="H3874" s="23" t="s">
        <v>151</v>
      </c>
      <c r="I3874" s="23" t="s">
        <v>424</v>
      </c>
      <c r="J3874" s="14" t="s">
        <v>29</v>
      </c>
      <c r="K3874" s="15" t="s">
        <v>47</v>
      </c>
      <c r="L3874" s="87"/>
      <c r="M3874" s="14"/>
      <c r="N3874" s="14" t="s">
        <v>576</v>
      </c>
      <c r="O3874" s="14"/>
      <c r="P3874" s="15" t="s">
        <v>3230</v>
      </c>
      <c r="Q3874" s="16">
        <v>13799</v>
      </c>
      <c r="R3874" s="17">
        <v>45</v>
      </c>
      <c r="S3874" s="18">
        <v>8727.8674999999985</v>
      </c>
      <c r="T3874" s="19" t="s">
        <v>328</v>
      </c>
      <c r="U3874" s="20" t="s">
        <v>426</v>
      </c>
      <c r="V3874" s="21">
        <v>37</v>
      </c>
      <c r="W3874" s="21">
        <v>2</v>
      </c>
      <c r="X3874" s="22"/>
    </row>
    <row r="3875" spans="1:24" s="1" customFormat="1" ht="17.100000000000001" customHeight="1" x14ac:dyDescent="0.3">
      <c r="A3875" s="23" t="s">
        <v>3194</v>
      </c>
      <c r="B3875" s="23" t="s">
        <v>4176</v>
      </c>
      <c r="C3875" s="12" t="s">
        <v>4178</v>
      </c>
      <c r="D3875" s="84"/>
      <c r="E3875" s="69" t="str">
        <f t="shared" si="181"/>
        <v>Еще фото</v>
      </c>
      <c r="F3875" s="13"/>
      <c r="G3875" s="23" t="s">
        <v>394</v>
      </c>
      <c r="H3875" s="23" t="s">
        <v>151</v>
      </c>
      <c r="I3875" s="23" t="s">
        <v>424</v>
      </c>
      <c r="J3875" s="14" t="s">
        <v>29</v>
      </c>
      <c r="K3875" s="15" t="s">
        <v>47</v>
      </c>
      <c r="L3875" s="87"/>
      <c r="M3875" s="14"/>
      <c r="N3875" s="14" t="s">
        <v>576</v>
      </c>
      <c r="O3875" s="14"/>
      <c r="P3875" s="15" t="s">
        <v>3230</v>
      </c>
      <c r="Q3875" s="16">
        <v>13799</v>
      </c>
      <c r="R3875" s="17">
        <v>45</v>
      </c>
      <c r="S3875" s="18">
        <v>8727.8674999999985</v>
      </c>
      <c r="T3875" s="19" t="s">
        <v>328</v>
      </c>
      <c r="U3875" s="20" t="s">
        <v>413</v>
      </c>
      <c r="V3875" s="21">
        <v>38</v>
      </c>
      <c r="W3875" s="21">
        <v>2</v>
      </c>
      <c r="X3875" s="22"/>
    </row>
    <row r="3876" spans="1:24" s="1" customFormat="1" ht="21.95" customHeight="1" x14ac:dyDescent="0.3">
      <c r="A3876" s="23" t="s">
        <v>3194</v>
      </c>
      <c r="B3876" s="23" t="s">
        <v>4176</v>
      </c>
      <c r="C3876" s="12" t="s">
        <v>4178</v>
      </c>
      <c r="D3876" s="85"/>
      <c r="E3876" s="69" t="str">
        <f t="shared" si="181"/>
        <v>Еще фото</v>
      </c>
      <c r="F3876" s="13"/>
      <c r="G3876" s="23" t="s">
        <v>394</v>
      </c>
      <c r="H3876" s="23" t="s">
        <v>151</v>
      </c>
      <c r="I3876" s="23" t="s">
        <v>424</v>
      </c>
      <c r="J3876" s="14" t="s">
        <v>29</v>
      </c>
      <c r="K3876" s="15" t="s">
        <v>47</v>
      </c>
      <c r="L3876" s="88"/>
      <c r="M3876" s="14"/>
      <c r="N3876" s="14" t="s">
        <v>576</v>
      </c>
      <c r="O3876" s="14"/>
      <c r="P3876" s="15" t="s">
        <v>3230</v>
      </c>
      <c r="Q3876" s="16">
        <v>13799</v>
      </c>
      <c r="R3876" s="17">
        <v>45</v>
      </c>
      <c r="S3876" s="18">
        <v>8727.8674999999985</v>
      </c>
      <c r="T3876" s="19" t="s">
        <v>328</v>
      </c>
      <c r="U3876" s="20" t="s">
        <v>399</v>
      </c>
      <c r="V3876" s="21">
        <v>39</v>
      </c>
      <c r="W3876" s="21">
        <v>2</v>
      </c>
      <c r="X3876" s="22"/>
    </row>
    <row r="3877" spans="1:24" s="1" customFormat="1" ht="35.1" customHeight="1" x14ac:dyDescent="0.3">
      <c r="A3877" s="11" t="s">
        <v>3194</v>
      </c>
      <c r="B3877" s="11" t="s">
        <v>4179</v>
      </c>
      <c r="C3877" s="12" t="s">
        <v>4180</v>
      </c>
      <c r="D3877" s="83"/>
      <c r="E3877" s="69" t="str">
        <f>HYPERLINK("https://www.google.ru/search?q=101987929&amp;newwindow=1&amp;tbm=isch","Еще фото")</f>
        <v>Еще фото</v>
      </c>
      <c r="F3877" s="13"/>
      <c r="G3877" s="11" t="s">
        <v>150</v>
      </c>
      <c r="H3877" s="11" t="s">
        <v>151</v>
      </c>
      <c r="I3877" s="14" t="s">
        <v>424</v>
      </c>
      <c r="J3877" s="14" t="s">
        <v>29</v>
      </c>
      <c r="K3877" s="15" t="s">
        <v>55</v>
      </c>
      <c r="L3877" s="86"/>
      <c r="M3877" s="14"/>
      <c r="N3877" s="14" t="s">
        <v>49</v>
      </c>
      <c r="O3877" s="14"/>
      <c r="P3877" s="15" t="s">
        <v>3197</v>
      </c>
      <c r="Q3877" s="16">
        <v>13899</v>
      </c>
      <c r="R3877" s="17">
        <v>45</v>
      </c>
      <c r="S3877" s="18">
        <v>8791.1174999999985</v>
      </c>
      <c r="T3877" s="19" t="s">
        <v>328</v>
      </c>
      <c r="U3877" s="20" t="s">
        <v>399</v>
      </c>
      <c r="V3877" s="21">
        <v>39</v>
      </c>
      <c r="W3877" s="21">
        <v>2</v>
      </c>
      <c r="X3877" s="22"/>
    </row>
    <row r="3878" spans="1:24" s="1" customFormat="1" ht="35.1" customHeight="1" x14ac:dyDescent="0.3">
      <c r="A3878" s="23" t="s">
        <v>3194</v>
      </c>
      <c r="B3878" s="23" t="s">
        <v>4179</v>
      </c>
      <c r="C3878" s="12" t="s">
        <v>4180</v>
      </c>
      <c r="D3878" s="84"/>
      <c r="E3878" s="69" t="str">
        <f>HYPERLINK("https://www.google.ru/search?q=101987929&amp;newwindow=1&amp;tbm=isch","Еще фото")</f>
        <v>Еще фото</v>
      </c>
      <c r="F3878" s="13"/>
      <c r="G3878" s="23" t="s">
        <v>150</v>
      </c>
      <c r="H3878" s="23" t="s">
        <v>151</v>
      </c>
      <c r="I3878" s="23" t="s">
        <v>424</v>
      </c>
      <c r="J3878" s="14" t="s">
        <v>29</v>
      </c>
      <c r="K3878" s="15" t="s">
        <v>55</v>
      </c>
      <c r="L3878" s="87"/>
      <c r="M3878" s="14"/>
      <c r="N3878" s="14" t="s">
        <v>49</v>
      </c>
      <c r="O3878" s="14"/>
      <c r="P3878" s="15" t="s">
        <v>3197</v>
      </c>
      <c r="Q3878" s="16">
        <v>13899</v>
      </c>
      <c r="R3878" s="17">
        <v>45</v>
      </c>
      <c r="S3878" s="18">
        <v>8791.1174999999985</v>
      </c>
      <c r="T3878" s="19" t="s">
        <v>328</v>
      </c>
      <c r="U3878" s="20" t="s">
        <v>400</v>
      </c>
      <c r="V3878" s="21">
        <v>40</v>
      </c>
      <c r="W3878" s="21">
        <v>2</v>
      </c>
      <c r="X3878" s="22"/>
    </row>
    <row r="3879" spans="1:24" s="1" customFormat="1" ht="36.950000000000003" customHeight="1" x14ac:dyDescent="0.3">
      <c r="A3879" s="23" t="s">
        <v>3194</v>
      </c>
      <c r="B3879" s="23" t="s">
        <v>4179</v>
      </c>
      <c r="C3879" s="12" t="s">
        <v>4180</v>
      </c>
      <c r="D3879" s="85"/>
      <c r="E3879" s="69" t="str">
        <f>HYPERLINK("https://www.google.ru/search?q=101987929&amp;newwindow=1&amp;tbm=isch","Еще фото")</f>
        <v>Еще фото</v>
      </c>
      <c r="F3879" s="13"/>
      <c r="G3879" s="23" t="s">
        <v>150</v>
      </c>
      <c r="H3879" s="23" t="s">
        <v>151</v>
      </c>
      <c r="I3879" s="23" t="s">
        <v>424</v>
      </c>
      <c r="J3879" s="14" t="s">
        <v>29</v>
      </c>
      <c r="K3879" s="15" t="s">
        <v>55</v>
      </c>
      <c r="L3879" s="88"/>
      <c r="M3879" s="14"/>
      <c r="N3879" s="14" t="s">
        <v>49</v>
      </c>
      <c r="O3879" s="14"/>
      <c r="P3879" s="15" t="s">
        <v>3197</v>
      </c>
      <c r="Q3879" s="16">
        <v>13899</v>
      </c>
      <c r="R3879" s="17">
        <v>45</v>
      </c>
      <c r="S3879" s="18">
        <v>8791.1174999999985</v>
      </c>
      <c r="T3879" s="19" t="s">
        <v>328</v>
      </c>
      <c r="U3879" s="20" t="s">
        <v>457</v>
      </c>
      <c r="V3879" s="21">
        <v>41</v>
      </c>
      <c r="W3879" s="21">
        <v>1</v>
      </c>
      <c r="X3879" s="22"/>
    </row>
    <row r="3880" spans="1:24" s="1" customFormat="1" ht="35.1" customHeight="1" x14ac:dyDescent="0.3">
      <c r="A3880" s="11" t="s">
        <v>3194</v>
      </c>
      <c r="B3880" s="11" t="s">
        <v>4179</v>
      </c>
      <c r="C3880" s="12" t="s">
        <v>4181</v>
      </c>
      <c r="D3880" s="83"/>
      <c r="E3880" s="69" t="str">
        <f>HYPERLINK("https://www.google.ru/search?q=101987933&amp;newwindow=1&amp;tbm=isch","Еще фото")</f>
        <v>Еще фото</v>
      </c>
      <c r="F3880" s="13"/>
      <c r="G3880" s="11" t="s">
        <v>150</v>
      </c>
      <c r="H3880" s="11" t="s">
        <v>151</v>
      </c>
      <c r="I3880" s="14" t="s">
        <v>424</v>
      </c>
      <c r="J3880" s="14" t="s">
        <v>29</v>
      </c>
      <c r="K3880" s="15" t="s">
        <v>55</v>
      </c>
      <c r="L3880" s="86"/>
      <c r="M3880" s="14"/>
      <c r="N3880" s="14" t="s">
        <v>154</v>
      </c>
      <c r="O3880" s="14"/>
      <c r="P3880" s="15" t="s">
        <v>3197</v>
      </c>
      <c r="Q3880" s="16">
        <v>13899</v>
      </c>
      <c r="R3880" s="17">
        <v>45</v>
      </c>
      <c r="S3880" s="18">
        <v>8791.1174999999985</v>
      </c>
      <c r="T3880" s="19" t="s">
        <v>328</v>
      </c>
      <c r="U3880" s="20" t="s">
        <v>399</v>
      </c>
      <c r="V3880" s="21">
        <v>39</v>
      </c>
      <c r="W3880" s="21">
        <v>1</v>
      </c>
      <c r="X3880" s="22"/>
    </row>
    <row r="3881" spans="1:24" s="1" customFormat="1" ht="35.1" customHeight="1" x14ac:dyDescent="0.3">
      <c r="A3881" s="23" t="s">
        <v>3194</v>
      </c>
      <c r="B3881" s="23" t="s">
        <v>4179</v>
      </c>
      <c r="C3881" s="12" t="s">
        <v>4181</v>
      </c>
      <c r="D3881" s="84"/>
      <c r="E3881" s="69" t="str">
        <f>HYPERLINK("https://www.google.ru/search?q=101987933&amp;newwindow=1&amp;tbm=isch","Еще фото")</f>
        <v>Еще фото</v>
      </c>
      <c r="F3881" s="13"/>
      <c r="G3881" s="23" t="s">
        <v>150</v>
      </c>
      <c r="H3881" s="23" t="s">
        <v>151</v>
      </c>
      <c r="I3881" s="23" t="s">
        <v>424</v>
      </c>
      <c r="J3881" s="14" t="s">
        <v>29</v>
      </c>
      <c r="K3881" s="15" t="s">
        <v>55</v>
      </c>
      <c r="L3881" s="87"/>
      <c r="M3881" s="14"/>
      <c r="N3881" s="14" t="s">
        <v>154</v>
      </c>
      <c r="O3881" s="14"/>
      <c r="P3881" s="15" t="s">
        <v>3197</v>
      </c>
      <c r="Q3881" s="16">
        <v>13899</v>
      </c>
      <c r="R3881" s="17">
        <v>45</v>
      </c>
      <c r="S3881" s="18">
        <v>8791.1174999999985</v>
      </c>
      <c r="T3881" s="19" t="s">
        <v>328</v>
      </c>
      <c r="U3881" s="20" t="s">
        <v>400</v>
      </c>
      <c r="V3881" s="21">
        <v>40</v>
      </c>
      <c r="W3881" s="21">
        <v>5</v>
      </c>
      <c r="X3881" s="22"/>
    </row>
    <row r="3882" spans="1:24" s="1" customFormat="1" ht="36.950000000000003" customHeight="1" x14ac:dyDescent="0.3">
      <c r="A3882" s="23" t="s">
        <v>3194</v>
      </c>
      <c r="B3882" s="23" t="s">
        <v>4179</v>
      </c>
      <c r="C3882" s="12" t="s">
        <v>4181</v>
      </c>
      <c r="D3882" s="85"/>
      <c r="E3882" s="69" t="str">
        <f>HYPERLINK("https://www.google.ru/search?q=101987933&amp;newwindow=1&amp;tbm=isch","Еще фото")</f>
        <v>Еще фото</v>
      </c>
      <c r="F3882" s="13"/>
      <c r="G3882" s="23" t="s">
        <v>150</v>
      </c>
      <c r="H3882" s="23" t="s">
        <v>151</v>
      </c>
      <c r="I3882" s="23" t="s">
        <v>424</v>
      </c>
      <c r="J3882" s="14" t="s">
        <v>29</v>
      </c>
      <c r="K3882" s="15" t="s">
        <v>55</v>
      </c>
      <c r="L3882" s="88"/>
      <c r="M3882" s="14"/>
      <c r="N3882" s="14" t="s">
        <v>154</v>
      </c>
      <c r="O3882" s="14"/>
      <c r="P3882" s="15" t="s">
        <v>3197</v>
      </c>
      <c r="Q3882" s="16">
        <v>13899</v>
      </c>
      <c r="R3882" s="17">
        <v>45</v>
      </c>
      <c r="S3882" s="18">
        <v>8791.1174999999985</v>
      </c>
      <c r="T3882" s="19" t="s">
        <v>328</v>
      </c>
      <c r="U3882" s="20" t="s">
        <v>457</v>
      </c>
      <c r="V3882" s="21">
        <v>41</v>
      </c>
      <c r="W3882" s="21">
        <v>5</v>
      </c>
      <c r="X3882" s="22"/>
    </row>
    <row r="3883" spans="1:24" s="1" customFormat="1" ht="21" customHeight="1" x14ac:dyDescent="0.3">
      <c r="A3883" s="11" t="s">
        <v>3194</v>
      </c>
      <c r="B3883" s="11" t="s">
        <v>4179</v>
      </c>
      <c r="C3883" s="27" t="s">
        <v>4182</v>
      </c>
      <c r="D3883" s="83"/>
      <c r="E3883" s="69" t="str">
        <f>HYPERLINK("https://www.google.ru/search?q=101987940&amp;newwindow=1&amp;tbm=isch","Еще фото")</f>
        <v>Еще фото</v>
      </c>
      <c r="F3883" s="13"/>
      <c r="G3883" s="11" t="s">
        <v>150</v>
      </c>
      <c r="H3883" s="11" t="s">
        <v>151</v>
      </c>
      <c r="I3883" s="14" t="s">
        <v>424</v>
      </c>
      <c r="J3883" s="14" t="s">
        <v>29</v>
      </c>
      <c r="K3883" s="15" t="s">
        <v>55</v>
      </c>
      <c r="L3883" s="86"/>
      <c r="M3883" s="14"/>
      <c r="N3883" s="14" t="s">
        <v>49</v>
      </c>
      <c r="O3883" s="14"/>
      <c r="P3883" s="15" t="s">
        <v>3201</v>
      </c>
      <c r="Q3883" s="16">
        <v>17999</v>
      </c>
      <c r="R3883" s="17">
        <v>45</v>
      </c>
      <c r="S3883" s="18">
        <v>11384.3675</v>
      </c>
      <c r="T3883" s="19" t="s">
        <v>328</v>
      </c>
      <c r="U3883" s="20" t="s">
        <v>399</v>
      </c>
      <c r="V3883" s="21">
        <v>39</v>
      </c>
      <c r="W3883" s="21">
        <v>1</v>
      </c>
      <c r="X3883" s="22"/>
    </row>
    <row r="3884" spans="1:24" s="1" customFormat="1" ht="21" customHeight="1" x14ac:dyDescent="0.3">
      <c r="A3884" s="23" t="s">
        <v>3194</v>
      </c>
      <c r="B3884" s="23" t="s">
        <v>4179</v>
      </c>
      <c r="C3884" s="28" t="s">
        <v>4182</v>
      </c>
      <c r="D3884" s="84"/>
      <c r="E3884" s="69" t="str">
        <f>HYPERLINK("https://www.google.ru/search?q=101987940&amp;newwindow=1&amp;tbm=isch","Еще фото")</f>
        <v>Еще фото</v>
      </c>
      <c r="F3884" s="13"/>
      <c r="G3884" s="23" t="s">
        <v>150</v>
      </c>
      <c r="H3884" s="23" t="s">
        <v>151</v>
      </c>
      <c r="I3884" s="23" t="s">
        <v>424</v>
      </c>
      <c r="J3884" s="14" t="s">
        <v>29</v>
      </c>
      <c r="K3884" s="15" t="s">
        <v>55</v>
      </c>
      <c r="L3884" s="87"/>
      <c r="M3884" s="14"/>
      <c r="N3884" s="14" t="s">
        <v>49</v>
      </c>
      <c r="O3884" s="14"/>
      <c r="P3884" s="15" t="s">
        <v>3201</v>
      </c>
      <c r="Q3884" s="16">
        <v>17999</v>
      </c>
      <c r="R3884" s="17">
        <v>45</v>
      </c>
      <c r="S3884" s="18">
        <v>11384.3675</v>
      </c>
      <c r="T3884" s="19" t="s">
        <v>328</v>
      </c>
      <c r="U3884" s="20" t="s">
        <v>400</v>
      </c>
      <c r="V3884" s="21">
        <v>40</v>
      </c>
      <c r="W3884" s="21">
        <v>3</v>
      </c>
      <c r="X3884" s="22"/>
    </row>
    <row r="3885" spans="1:24" s="1" customFormat="1" ht="21" customHeight="1" x14ac:dyDescent="0.3">
      <c r="A3885" s="23" t="s">
        <v>3194</v>
      </c>
      <c r="B3885" s="23" t="s">
        <v>4179</v>
      </c>
      <c r="C3885" s="28" t="s">
        <v>4182</v>
      </c>
      <c r="D3885" s="84"/>
      <c r="E3885" s="69" t="str">
        <f>HYPERLINK("https://www.google.ru/search?q=101987940&amp;newwindow=1&amp;tbm=isch","Еще фото")</f>
        <v>Еще фото</v>
      </c>
      <c r="F3885" s="13"/>
      <c r="G3885" s="23" t="s">
        <v>150</v>
      </c>
      <c r="H3885" s="23" t="s">
        <v>151</v>
      </c>
      <c r="I3885" s="23" t="s">
        <v>424</v>
      </c>
      <c r="J3885" s="14" t="s">
        <v>29</v>
      </c>
      <c r="K3885" s="15" t="s">
        <v>55</v>
      </c>
      <c r="L3885" s="87"/>
      <c r="M3885" s="14"/>
      <c r="N3885" s="14" t="s">
        <v>49</v>
      </c>
      <c r="O3885" s="14"/>
      <c r="P3885" s="15" t="s">
        <v>3201</v>
      </c>
      <c r="Q3885" s="16">
        <v>17999</v>
      </c>
      <c r="R3885" s="17">
        <v>45</v>
      </c>
      <c r="S3885" s="18">
        <v>11384.3675</v>
      </c>
      <c r="T3885" s="19" t="s">
        <v>328</v>
      </c>
      <c r="U3885" s="20" t="s">
        <v>457</v>
      </c>
      <c r="V3885" s="21">
        <v>41</v>
      </c>
      <c r="W3885" s="21">
        <v>1</v>
      </c>
      <c r="X3885" s="22"/>
    </row>
    <row r="3886" spans="1:24" s="1" customFormat="1" ht="21" customHeight="1" x14ac:dyDescent="0.3">
      <c r="A3886" s="23" t="s">
        <v>3194</v>
      </c>
      <c r="B3886" s="23" t="s">
        <v>4179</v>
      </c>
      <c r="C3886" s="28" t="s">
        <v>4182</v>
      </c>
      <c r="D3886" s="84"/>
      <c r="E3886" s="69" t="str">
        <f>HYPERLINK("https://www.google.ru/search?q=101987940&amp;newwindow=1&amp;tbm=isch","Еще фото")</f>
        <v>Еще фото</v>
      </c>
      <c r="F3886" s="13"/>
      <c r="G3886" s="23" t="s">
        <v>150</v>
      </c>
      <c r="H3886" s="23" t="s">
        <v>151</v>
      </c>
      <c r="I3886" s="23" t="s">
        <v>424</v>
      </c>
      <c r="J3886" s="14" t="s">
        <v>29</v>
      </c>
      <c r="K3886" s="15" t="s">
        <v>55</v>
      </c>
      <c r="L3886" s="87"/>
      <c r="M3886" s="14"/>
      <c r="N3886" s="14" t="s">
        <v>49</v>
      </c>
      <c r="O3886" s="14"/>
      <c r="P3886" s="15" t="s">
        <v>3201</v>
      </c>
      <c r="Q3886" s="16">
        <v>17999</v>
      </c>
      <c r="R3886" s="17">
        <v>45</v>
      </c>
      <c r="S3886" s="18">
        <v>11384.3675</v>
      </c>
      <c r="T3886" s="19" t="s">
        <v>328</v>
      </c>
      <c r="U3886" s="20" t="s">
        <v>401</v>
      </c>
      <c r="V3886" s="21">
        <v>42</v>
      </c>
      <c r="W3886" s="21">
        <v>3</v>
      </c>
      <c r="X3886" s="22"/>
    </row>
    <row r="3887" spans="1:24" s="1" customFormat="1" ht="32.1" customHeight="1" x14ac:dyDescent="0.3">
      <c r="A3887" s="23" t="s">
        <v>3194</v>
      </c>
      <c r="B3887" s="23" t="s">
        <v>4179</v>
      </c>
      <c r="C3887" s="28" t="s">
        <v>4182</v>
      </c>
      <c r="D3887" s="85"/>
      <c r="E3887" s="69" t="str">
        <f>HYPERLINK("https://www.google.ru/search?q=101987940&amp;newwindow=1&amp;tbm=isch","Еще фото")</f>
        <v>Еще фото</v>
      </c>
      <c r="F3887" s="13"/>
      <c r="G3887" s="23" t="s">
        <v>150</v>
      </c>
      <c r="H3887" s="23" t="s">
        <v>151</v>
      </c>
      <c r="I3887" s="23" t="s">
        <v>424</v>
      </c>
      <c r="J3887" s="14" t="s">
        <v>29</v>
      </c>
      <c r="K3887" s="15" t="s">
        <v>55</v>
      </c>
      <c r="L3887" s="88"/>
      <c r="M3887" s="14"/>
      <c r="N3887" s="14" t="s">
        <v>49</v>
      </c>
      <c r="O3887" s="14"/>
      <c r="P3887" s="15" t="s">
        <v>3201</v>
      </c>
      <c r="Q3887" s="16">
        <v>17999</v>
      </c>
      <c r="R3887" s="17">
        <v>45</v>
      </c>
      <c r="S3887" s="18">
        <v>11384.3675</v>
      </c>
      <c r="T3887" s="19" t="s">
        <v>328</v>
      </c>
      <c r="U3887" s="20" t="s">
        <v>402</v>
      </c>
      <c r="V3887" s="21">
        <v>43</v>
      </c>
      <c r="W3887" s="21">
        <v>1</v>
      </c>
      <c r="X3887" s="22"/>
    </row>
    <row r="3888" spans="1:24" s="1" customFormat="1" ht="26.1" customHeight="1" x14ac:dyDescent="0.3">
      <c r="A3888" s="11" t="s">
        <v>3194</v>
      </c>
      <c r="B3888" s="11" t="s">
        <v>4179</v>
      </c>
      <c r="C3888" s="12" t="s">
        <v>4183</v>
      </c>
      <c r="D3888" s="83"/>
      <c r="E3888" s="69" t="str">
        <f>HYPERLINK("https://www.google.ru/search?q=101987941&amp;newwindow=1&amp;tbm=isch","Еще фото")</f>
        <v>Еще фото</v>
      </c>
      <c r="F3888" s="13"/>
      <c r="G3888" s="11" t="s">
        <v>150</v>
      </c>
      <c r="H3888" s="11" t="s">
        <v>151</v>
      </c>
      <c r="I3888" s="14" t="s">
        <v>424</v>
      </c>
      <c r="J3888" s="14" t="s">
        <v>29</v>
      </c>
      <c r="K3888" s="15" t="s">
        <v>55</v>
      </c>
      <c r="L3888" s="86"/>
      <c r="M3888" s="14"/>
      <c r="N3888" s="14" t="s">
        <v>154</v>
      </c>
      <c r="O3888" s="14"/>
      <c r="P3888" s="15" t="s">
        <v>3201</v>
      </c>
      <c r="Q3888" s="16">
        <v>14999</v>
      </c>
      <c r="R3888" s="17">
        <v>45</v>
      </c>
      <c r="S3888" s="18">
        <v>9486.8675000000003</v>
      </c>
      <c r="T3888" s="19" t="s">
        <v>328</v>
      </c>
      <c r="U3888" s="20" t="s">
        <v>400</v>
      </c>
      <c r="V3888" s="21">
        <v>40</v>
      </c>
      <c r="W3888" s="21">
        <v>4</v>
      </c>
      <c r="X3888" s="22"/>
    </row>
    <row r="3889" spans="1:24" s="1" customFormat="1" ht="26.1" customHeight="1" x14ac:dyDescent="0.3">
      <c r="A3889" s="23" t="s">
        <v>3194</v>
      </c>
      <c r="B3889" s="23" t="s">
        <v>4179</v>
      </c>
      <c r="C3889" s="12" t="s">
        <v>4183</v>
      </c>
      <c r="D3889" s="84"/>
      <c r="E3889" s="69" t="str">
        <f>HYPERLINK("https://www.google.ru/search?q=101987941&amp;newwindow=1&amp;tbm=isch","Еще фото")</f>
        <v>Еще фото</v>
      </c>
      <c r="F3889" s="13"/>
      <c r="G3889" s="23" t="s">
        <v>150</v>
      </c>
      <c r="H3889" s="23" t="s">
        <v>151</v>
      </c>
      <c r="I3889" s="23" t="s">
        <v>424</v>
      </c>
      <c r="J3889" s="14" t="s">
        <v>29</v>
      </c>
      <c r="K3889" s="15" t="s">
        <v>55</v>
      </c>
      <c r="L3889" s="87"/>
      <c r="M3889" s="14"/>
      <c r="N3889" s="14" t="s">
        <v>154</v>
      </c>
      <c r="O3889" s="14"/>
      <c r="P3889" s="15" t="s">
        <v>3201</v>
      </c>
      <c r="Q3889" s="16">
        <v>14999</v>
      </c>
      <c r="R3889" s="17">
        <v>45</v>
      </c>
      <c r="S3889" s="18">
        <v>9486.8675000000003</v>
      </c>
      <c r="T3889" s="19" t="s">
        <v>328</v>
      </c>
      <c r="U3889" s="20" t="s">
        <v>457</v>
      </c>
      <c r="V3889" s="21">
        <v>41</v>
      </c>
      <c r="W3889" s="21">
        <v>5</v>
      </c>
      <c r="X3889" s="22"/>
    </row>
    <row r="3890" spans="1:24" s="1" customFormat="1" ht="26.1" customHeight="1" x14ac:dyDescent="0.3">
      <c r="A3890" s="23" t="s">
        <v>3194</v>
      </c>
      <c r="B3890" s="23" t="s">
        <v>4179</v>
      </c>
      <c r="C3890" s="12" t="s">
        <v>4183</v>
      </c>
      <c r="D3890" s="84"/>
      <c r="E3890" s="69" t="str">
        <f>HYPERLINK("https://www.google.ru/search?q=101987941&amp;newwindow=1&amp;tbm=isch","Еще фото")</f>
        <v>Еще фото</v>
      </c>
      <c r="F3890" s="13"/>
      <c r="G3890" s="23" t="s">
        <v>150</v>
      </c>
      <c r="H3890" s="23" t="s">
        <v>151</v>
      </c>
      <c r="I3890" s="23" t="s">
        <v>424</v>
      </c>
      <c r="J3890" s="14" t="s">
        <v>29</v>
      </c>
      <c r="K3890" s="15" t="s">
        <v>55</v>
      </c>
      <c r="L3890" s="87"/>
      <c r="M3890" s="14"/>
      <c r="N3890" s="14" t="s">
        <v>154</v>
      </c>
      <c r="O3890" s="14"/>
      <c r="P3890" s="15" t="s">
        <v>3201</v>
      </c>
      <c r="Q3890" s="16">
        <v>14999</v>
      </c>
      <c r="R3890" s="17">
        <v>45</v>
      </c>
      <c r="S3890" s="18">
        <v>9486.8675000000003</v>
      </c>
      <c r="T3890" s="19" t="s">
        <v>328</v>
      </c>
      <c r="U3890" s="20" t="s">
        <v>401</v>
      </c>
      <c r="V3890" s="21">
        <v>42</v>
      </c>
      <c r="W3890" s="21">
        <v>2</v>
      </c>
      <c r="X3890" s="22"/>
    </row>
    <row r="3891" spans="1:24" s="1" customFormat="1" ht="26.1" customHeight="1" x14ac:dyDescent="0.3">
      <c r="A3891" s="23" t="s">
        <v>3194</v>
      </c>
      <c r="B3891" s="23" t="s">
        <v>4179</v>
      </c>
      <c r="C3891" s="12" t="s">
        <v>4183</v>
      </c>
      <c r="D3891" s="85"/>
      <c r="E3891" s="69" t="str">
        <f>HYPERLINK("https://www.google.ru/search?q=101987941&amp;newwindow=1&amp;tbm=isch","Еще фото")</f>
        <v>Еще фото</v>
      </c>
      <c r="F3891" s="13"/>
      <c r="G3891" s="23" t="s">
        <v>150</v>
      </c>
      <c r="H3891" s="23" t="s">
        <v>151</v>
      </c>
      <c r="I3891" s="23" t="s">
        <v>424</v>
      </c>
      <c r="J3891" s="14" t="s">
        <v>29</v>
      </c>
      <c r="K3891" s="15" t="s">
        <v>55</v>
      </c>
      <c r="L3891" s="88"/>
      <c r="M3891" s="14"/>
      <c r="N3891" s="14" t="s">
        <v>154</v>
      </c>
      <c r="O3891" s="14"/>
      <c r="P3891" s="15" t="s">
        <v>3201</v>
      </c>
      <c r="Q3891" s="16">
        <v>14999</v>
      </c>
      <c r="R3891" s="17">
        <v>45</v>
      </c>
      <c r="S3891" s="18">
        <v>9486.8675000000003</v>
      </c>
      <c r="T3891" s="19" t="s">
        <v>328</v>
      </c>
      <c r="U3891" s="20" t="s">
        <v>403</v>
      </c>
      <c r="V3891" s="21">
        <v>44</v>
      </c>
      <c r="W3891" s="21">
        <v>1</v>
      </c>
      <c r="X3891" s="22"/>
    </row>
    <row r="3892" spans="1:24" s="1" customFormat="1" ht="51.95" customHeight="1" x14ac:dyDescent="0.3">
      <c r="A3892" s="11" t="s">
        <v>3194</v>
      </c>
      <c r="B3892" s="11" t="s">
        <v>4179</v>
      </c>
      <c r="C3892" s="12" t="s">
        <v>4184</v>
      </c>
      <c r="D3892" s="89"/>
      <c r="E3892" s="69" t="str">
        <f>HYPERLINK("https://www.google.ru/search?q=101987965&amp;newwindow=1&amp;tbm=isch","Еще фото")</f>
        <v>Еще фото</v>
      </c>
      <c r="F3892" s="13"/>
      <c r="G3892" s="11" t="s">
        <v>150</v>
      </c>
      <c r="H3892" s="11" t="s">
        <v>151</v>
      </c>
      <c r="I3892" s="14" t="s">
        <v>424</v>
      </c>
      <c r="J3892" s="14" t="s">
        <v>29</v>
      </c>
      <c r="K3892" s="15" t="s">
        <v>55</v>
      </c>
      <c r="L3892" s="86"/>
      <c r="M3892" s="14"/>
      <c r="N3892" s="14" t="s">
        <v>49</v>
      </c>
      <c r="O3892" s="14"/>
      <c r="P3892" s="15" t="s">
        <v>3201</v>
      </c>
      <c r="Q3892" s="16">
        <v>14399</v>
      </c>
      <c r="R3892" s="17">
        <v>45</v>
      </c>
      <c r="S3892" s="18">
        <v>9107.3674999999985</v>
      </c>
      <c r="T3892" s="19" t="s">
        <v>328</v>
      </c>
      <c r="U3892" s="20" t="s">
        <v>400</v>
      </c>
      <c r="V3892" s="21">
        <v>40</v>
      </c>
      <c r="W3892" s="21">
        <v>1</v>
      </c>
      <c r="X3892" s="22"/>
    </row>
    <row r="3893" spans="1:24" s="1" customFormat="1" ht="60.95" customHeight="1" x14ac:dyDescent="0.3">
      <c r="A3893" s="23" t="s">
        <v>3194</v>
      </c>
      <c r="B3893" s="23" t="s">
        <v>4179</v>
      </c>
      <c r="C3893" s="12" t="s">
        <v>4184</v>
      </c>
      <c r="D3893" s="90"/>
      <c r="E3893" s="69" t="str">
        <f>HYPERLINK("https://www.google.ru/search?q=101987965&amp;newwindow=1&amp;tbm=isch","Еще фото")</f>
        <v>Еще фото</v>
      </c>
      <c r="F3893" s="13"/>
      <c r="G3893" s="23" t="s">
        <v>150</v>
      </c>
      <c r="H3893" s="23" t="s">
        <v>151</v>
      </c>
      <c r="I3893" s="23" t="s">
        <v>424</v>
      </c>
      <c r="J3893" s="14" t="s">
        <v>29</v>
      </c>
      <c r="K3893" s="15" t="s">
        <v>55</v>
      </c>
      <c r="L3893" s="88"/>
      <c r="M3893" s="14"/>
      <c r="N3893" s="14" t="s">
        <v>49</v>
      </c>
      <c r="O3893" s="14"/>
      <c r="P3893" s="15" t="s">
        <v>3201</v>
      </c>
      <c r="Q3893" s="16">
        <v>14399</v>
      </c>
      <c r="R3893" s="17">
        <v>45</v>
      </c>
      <c r="S3893" s="18">
        <v>9107.3674999999985</v>
      </c>
      <c r="T3893" s="19" t="s">
        <v>328</v>
      </c>
      <c r="U3893" s="20" t="s">
        <v>457</v>
      </c>
      <c r="V3893" s="21">
        <v>41</v>
      </c>
      <c r="W3893" s="21">
        <v>3</v>
      </c>
      <c r="X3893" s="22"/>
    </row>
    <row r="3894" spans="1:24" s="1" customFormat="1" ht="108" customHeight="1" x14ac:dyDescent="0.3">
      <c r="A3894" s="11" t="s">
        <v>3194</v>
      </c>
      <c r="B3894" s="11" t="s">
        <v>4185</v>
      </c>
      <c r="C3894" s="12" t="s">
        <v>4186</v>
      </c>
      <c r="D3894" s="24"/>
      <c r="E3894" s="69" t="str">
        <f>HYPERLINK("https://www.google.ru/search?q=101987974&amp;newwindow=1&amp;tbm=isch","Еще фото")</f>
        <v>Еще фото</v>
      </c>
      <c r="F3894" s="13"/>
      <c r="G3894" s="11" t="s">
        <v>394</v>
      </c>
      <c r="H3894" s="11" t="s">
        <v>151</v>
      </c>
      <c r="I3894" s="14" t="s">
        <v>424</v>
      </c>
      <c r="J3894" s="14" t="s">
        <v>29</v>
      </c>
      <c r="K3894" s="15" t="s">
        <v>55</v>
      </c>
      <c r="L3894" s="14"/>
      <c r="M3894" s="14"/>
      <c r="N3894" s="14" t="s">
        <v>242</v>
      </c>
      <c r="O3894" s="14"/>
      <c r="P3894" s="15" t="s">
        <v>4187</v>
      </c>
      <c r="Q3894" s="16">
        <v>9399</v>
      </c>
      <c r="R3894" s="17">
        <v>45</v>
      </c>
      <c r="S3894" s="18">
        <v>5944.8674999999994</v>
      </c>
      <c r="T3894" s="19" t="s">
        <v>328</v>
      </c>
      <c r="U3894" s="20" t="s">
        <v>399</v>
      </c>
      <c r="V3894" s="21">
        <v>39</v>
      </c>
      <c r="W3894" s="21">
        <v>1</v>
      </c>
      <c r="X3894" s="22"/>
    </row>
    <row r="3895" spans="1:24" s="1" customFormat="1" ht="26.1" customHeight="1" x14ac:dyDescent="0.3">
      <c r="A3895" s="11" t="s">
        <v>3194</v>
      </c>
      <c r="B3895" s="11" t="s">
        <v>3195</v>
      </c>
      <c r="C3895" s="12" t="s">
        <v>4188</v>
      </c>
      <c r="D3895" s="83"/>
      <c r="E3895" s="69" t="str">
        <f>HYPERLINK("https://www.google.ru/search?q=101988074&amp;newwindow=1&amp;tbm=isch","Еще фото")</f>
        <v>Еще фото</v>
      </c>
      <c r="F3895" s="13"/>
      <c r="G3895" s="11" t="s">
        <v>150</v>
      </c>
      <c r="H3895" s="11" t="s">
        <v>151</v>
      </c>
      <c r="I3895" s="14" t="s">
        <v>424</v>
      </c>
      <c r="J3895" s="14" t="s">
        <v>29</v>
      </c>
      <c r="K3895" s="15" t="s">
        <v>47</v>
      </c>
      <c r="L3895" s="86"/>
      <c r="M3895" s="14"/>
      <c r="N3895" s="14" t="s">
        <v>154</v>
      </c>
      <c r="O3895" s="14"/>
      <c r="P3895" s="15" t="s">
        <v>3197</v>
      </c>
      <c r="Q3895" s="16">
        <v>13899</v>
      </c>
      <c r="R3895" s="17">
        <v>45</v>
      </c>
      <c r="S3895" s="18">
        <v>8791.1174999999985</v>
      </c>
      <c r="T3895" s="19" t="s">
        <v>328</v>
      </c>
      <c r="U3895" s="20" t="s">
        <v>1503</v>
      </c>
      <c r="V3895" s="21">
        <v>35</v>
      </c>
      <c r="W3895" s="21">
        <v>1</v>
      </c>
      <c r="X3895" s="22"/>
    </row>
    <row r="3896" spans="1:24" s="1" customFormat="1" ht="26.1" customHeight="1" x14ac:dyDescent="0.3">
      <c r="A3896" s="23" t="s">
        <v>3194</v>
      </c>
      <c r="B3896" s="23" t="s">
        <v>3195</v>
      </c>
      <c r="C3896" s="12" t="s">
        <v>4188</v>
      </c>
      <c r="D3896" s="84"/>
      <c r="E3896" s="69" t="str">
        <f>HYPERLINK("https://www.google.ru/search?q=101988074&amp;newwindow=1&amp;tbm=isch","Еще фото")</f>
        <v>Еще фото</v>
      </c>
      <c r="F3896" s="13"/>
      <c r="G3896" s="23" t="s">
        <v>150</v>
      </c>
      <c r="H3896" s="23" t="s">
        <v>151</v>
      </c>
      <c r="I3896" s="23" t="s">
        <v>424</v>
      </c>
      <c r="J3896" s="14" t="s">
        <v>29</v>
      </c>
      <c r="K3896" s="15" t="s">
        <v>47</v>
      </c>
      <c r="L3896" s="87"/>
      <c r="M3896" s="14"/>
      <c r="N3896" s="14" t="s">
        <v>154</v>
      </c>
      <c r="O3896" s="14"/>
      <c r="P3896" s="15" t="s">
        <v>3197</v>
      </c>
      <c r="Q3896" s="16">
        <v>13899</v>
      </c>
      <c r="R3896" s="17">
        <v>45</v>
      </c>
      <c r="S3896" s="18">
        <v>8791.1174999999985</v>
      </c>
      <c r="T3896" s="19" t="s">
        <v>328</v>
      </c>
      <c r="U3896" s="20" t="s">
        <v>409</v>
      </c>
      <c r="V3896" s="21">
        <v>36</v>
      </c>
      <c r="W3896" s="21">
        <v>4</v>
      </c>
      <c r="X3896" s="22"/>
    </row>
    <row r="3897" spans="1:24" s="1" customFormat="1" ht="26.1" customHeight="1" x14ac:dyDescent="0.3">
      <c r="A3897" s="23" t="s">
        <v>3194</v>
      </c>
      <c r="B3897" s="23" t="s">
        <v>3195</v>
      </c>
      <c r="C3897" s="12" t="s">
        <v>4188</v>
      </c>
      <c r="D3897" s="84"/>
      <c r="E3897" s="69" t="str">
        <f>HYPERLINK("https://www.google.ru/search?q=101988074&amp;newwindow=1&amp;tbm=isch","Еще фото")</f>
        <v>Еще фото</v>
      </c>
      <c r="F3897" s="13"/>
      <c r="G3897" s="23" t="s">
        <v>150</v>
      </c>
      <c r="H3897" s="23" t="s">
        <v>151</v>
      </c>
      <c r="I3897" s="23" t="s">
        <v>424</v>
      </c>
      <c r="J3897" s="14" t="s">
        <v>29</v>
      </c>
      <c r="K3897" s="15" t="s">
        <v>47</v>
      </c>
      <c r="L3897" s="87"/>
      <c r="M3897" s="14"/>
      <c r="N3897" s="14" t="s">
        <v>154</v>
      </c>
      <c r="O3897" s="14"/>
      <c r="P3897" s="15" t="s">
        <v>3197</v>
      </c>
      <c r="Q3897" s="16">
        <v>13899</v>
      </c>
      <c r="R3897" s="17">
        <v>45</v>
      </c>
      <c r="S3897" s="18">
        <v>8791.1174999999985</v>
      </c>
      <c r="T3897" s="19" t="s">
        <v>328</v>
      </c>
      <c r="U3897" s="20" t="s">
        <v>426</v>
      </c>
      <c r="V3897" s="21">
        <v>37</v>
      </c>
      <c r="W3897" s="21">
        <v>5</v>
      </c>
      <c r="X3897" s="22"/>
    </row>
    <row r="3898" spans="1:24" s="1" customFormat="1" ht="26.1" customHeight="1" x14ac:dyDescent="0.3">
      <c r="A3898" s="23" t="s">
        <v>3194</v>
      </c>
      <c r="B3898" s="23" t="s">
        <v>3195</v>
      </c>
      <c r="C3898" s="12" t="s">
        <v>4188</v>
      </c>
      <c r="D3898" s="85"/>
      <c r="E3898" s="69" t="str">
        <f>HYPERLINK("https://www.google.ru/search?q=101988074&amp;newwindow=1&amp;tbm=isch","Еще фото")</f>
        <v>Еще фото</v>
      </c>
      <c r="F3898" s="13"/>
      <c r="G3898" s="23" t="s">
        <v>150</v>
      </c>
      <c r="H3898" s="23" t="s">
        <v>151</v>
      </c>
      <c r="I3898" s="23" t="s">
        <v>424</v>
      </c>
      <c r="J3898" s="14" t="s">
        <v>29</v>
      </c>
      <c r="K3898" s="15" t="s">
        <v>47</v>
      </c>
      <c r="L3898" s="88"/>
      <c r="M3898" s="14"/>
      <c r="N3898" s="14" t="s">
        <v>154</v>
      </c>
      <c r="O3898" s="14"/>
      <c r="P3898" s="15" t="s">
        <v>3197</v>
      </c>
      <c r="Q3898" s="16">
        <v>13899</v>
      </c>
      <c r="R3898" s="17">
        <v>45</v>
      </c>
      <c r="S3898" s="18">
        <v>8791.1174999999985</v>
      </c>
      <c r="T3898" s="19" t="s">
        <v>328</v>
      </c>
      <c r="U3898" s="20" t="s">
        <v>413</v>
      </c>
      <c r="V3898" s="21">
        <v>38</v>
      </c>
      <c r="W3898" s="21">
        <v>1</v>
      </c>
      <c r="X3898" s="22"/>
    </row>
    <row r="3899" spans="1:24" s="1" customFormat="1" ht="17.100000000000001" customHeight="1" x14ac:dyDescent="0.3">
      <c r="A3899" s="11" t="s">
        <v>3194</v>
      </c>
      <c r="B3899" s="11" t="s">
        <v>3195</v>
      </c>
      <c r="C3899" s="12" t="s">
        <v>4189</v>
      </c>
      <c r="D3899" s="83"/>
      <c r="E3899" s="69" t="str">
        <f t="shared" ref="E3899:E3904" si="182">HYPERLINK("https://www.google.ru/search?q=101988077&amp;newwindow=1&amp;tbm=isch","Еще фото")</f>
        <v>Еще фото</v>
      </c>
      <c r="F3899" s="13"/>
      <c r="G3899" s="11" t="s">
        <v>150</v>
      </c>
      <c r="H3899" s="11" t="s">
        <v>151</v>
      </c>
      <c r="I3899" s="14" t="s">
        <v>424</v>
      </c>
      <c r="J3899" s="14" t="s">
        <v>29</v>
      </c>
      <c r="K3899" s="15" t="s">
        <v>47</v>
      </c>
      <c r="L3899" s="86"/>
      <c r="M3899" s="14"/>
      <c r="N3899" s="14" t="s">
        <v>49</v>
      </c>
      <c r="O3899" s="14"/>
      <c r="P3899" s="15" t="s">
        <v>3209</v>
      </c>
      <c r="Q3899" s="16">
        <v>14499</v>
      </c>
      <c r="R3899" s="17">
        <v>45</v>
      </c>
      <c r="S3899" s="18">
        <v>9170.6174999999985</v>
      </c>
      <c r="T3899" s="19" t="s">
        <v>328</v>
      </c>
      <c r="U3899" s="20" t="s">
        <v>1503</v>
      </c>
      <c r="V3899" s="21">
        <v>35</v>
      </c>
      <c r="W3899" s="21">
        <v>2</v>
      </c>
      <c r="X3899" s="22"/>
    </row>
    <row r="3900" spans="1:24" s="1" customFormat="1" ht="17.100000000000001" customHeight="1" x14ac:dyDescent="0.3">
      <c r="A3900" s="23" t="s">
        <v>3194</v>
      </c>
      <c r="B3900" s="23" t="s">
        <v>3195</v>
      </c>
      <c r="C3900" s="12" t="s">
        <v>4189</v>
      </c>
      <c r="D3900" s="84"/>
      <c r="E3900" s="69" t="str">
        <f t="shared" si="182"/>
        <v>Еще фото</v>
      </c>
      <c r="F3900" s="13"/>
      <c r="G3900" s="23" t="s">
        <v>150</v>
      </c>
      <c r="H3900" s="23" t="s">
        <v>151</v>
      </c>
      <c r="I3900" s="23" t="s">
        <v>424</v>
      </c>
      <c r="J3900" s="14" t="s">
        <v>29</v>
      </c>
      <c r="K3900" s="15" t="s">
        <v>47</v>
      </c>
      <c r="L3900" s="87"/>
      <c r="M3900" s="14"/>
      <c r="N3900" s="14" t="s">
        <v>49</v>
      </c>
      <c r="O3900" s="14"/>
      <c r="P3900" s="15" t="s">
        <v>3209</v>
      </c>
      <c r="Q3900" s="16">
        <v>14499</v>
      </c>
      <c r="R3900" s="17">
        <v>45</v>
      </c>
      <c r="S3900" s="18">
        <v>9170.6174999999985</v>
      </c>
      <c r="T3900" s="19" t="s">
        <v>328</v>
      </c>
      <c r="U3900" s="20" t="s">
        <v>409</v>
      </c>
      <c r="V3900" s="21">
        <v>36</v>
      </c>
      <c r="W3900" s="21">
        <v>4</v>
      </c>
      <c r="X3900" s="22"/>
    </row>
    <row r="3901" spans="1:24" s="1" customFormat="1" ht="17.100000000000001" customHeight="1" x14ac:dyDescent="0.3">
      <c r="A3901" s="23" t="s">
        <v>3194</v>
      </c>
      <c r="B3901" s="23" t="s">
        <v>3195</v>
      </c>
      <c r="C3901" s="12" t="s">
        <v>4189</v>
      </c>
      <c r="D3901" s="84"/>
      <c r="E3901" s="69" t="str">
        <f t="shared" si="182"/>
        <v>Еще фото</v>
      </c>
      <c r="F3901" s="13"/>
      <c r="G3901" s="23" t="s">
        <v>150</v>
      </c>
      <c r="H3901" s="23" t="s">
        <v>151</v>
      </c>
      <c r="I3901" s="23" t="s">
        <v>424</v>
      </c>
      <c r="J3901" s="14" t="s">
        <v>29</v>
      </c>
      <c r="K3901" s="15" t="s">
        <v>47</v>
      </c>
      <c r="L3901" s="87"/>
      <c r="M3901" s="14"/>
      <c r="N3901" s="14" t="s">
        <v>49</v>
      </c>
      <c r="O3901" s="14"/>
      <c r="P3901" s="15" t="s">
        <v>3209</v>
      </c>
      <c r="Q3901" s="16">
        <v>14499</v>
      </c>
      <c r="R3901" s="17">
        <v>45</v>
      </c>
      <c r="S3901" s="18">
        <v>9170.6174999999985</v>
      </c>
      <c r="T3901" s="19" t="s">
        <v>328</v>
      </c>
      <c r="U3901" s="20" t="s">
        <v>426</v>
      </c>
      <c r="V3901" s="21">
        <v>37</v>
      </c>
      <c r="W3901" s="21">
        <v>1</v>
      </c>
      <c r="X3901" s="22"/>
    </row>
    <row r="3902" spans="1:24" s="1" customFormat="1" ht="17.100000000000001" customHeight="1" x14ac:dyDescent="0.3">
      <c r="A3902" s="23" t="s">
        <v>3194</v>
      </c>
      <c r="B3902" s="23" t="s">
        <v>3195</v>
      </c>
      <c r="C3902" s="12" t="s">
        <v>4189</v>
      </c>
      <c r="D3902" s="84"/>
      <c r="E3902" s="69" t="str">
        <f t="shared" si="182"/>
        <v>Еще фото</v>
      </c>
      <c r="F3902" s="13"/>
      <c r="G3902" s="23" t="s">
        <v>150</v>
      </c>
      <c r="H3902" s="23" t="s">
        <v>151</v>
      </c>
      <c r="I3902" s="23" t="s">
        <v>424</v>
      </c>
      <c r="J3902" s="14" t="s">
        <v>29</v>
      </c>
      <c r="K3902" s="15" t="s">
        <v>47</v>
      </c>
      <c r="L3902" s="87"/>
      <c r="M3902" s="14"/>
      <c r="N3902" s="14" t="s">
        <v>49</v>
      </c>
      <c r="O3902" s="14"/>
      <c r="P3902" s="15" t="s">
        <v>3209</v>
      </c>
      <c r="Q3902" s="16">
        <v>14499</v>
      </c>
      <c r="R3902" s="17">
        <v>45</v>
      </c>
      <c r="S3902" s="18">
        <v>9170.6174999999985</v>
      </c>
      <c r="T3902" s="19" t="s">
        <v>328</v>
      </c>
      <c r="U3902" s="20" t="s">
        <v>413</v>
      </c>
      <c r="V3902" s="21">
        <v>38</v>
      </c>
      <c r="W3902" s="21">
        <v>2</v>
      </c>
      <c r="X3902" s="22"/>
    </row>
    <row r="3903" spans="1:24" s="1" customFormat="1" ht="17.100000000000001" customHeight="1" x14ac:dyDescent="0.3">
      <c r="A3903" s="23" t="s">
        <v>3194</v>
      </c>
      <c r="B3903" s="23" t="s">
        <v>3195</v>
      </c>
      <c r="C3903" s="12" t="s">
        <v>4189</v>
      </c>
      <c r="D3903" s="84"/>
      <c r="E3903" s="69" t="str">
        <f t="shared" si="182"/>
        <v>Еще фото</v>
      </c>
      <c r="F3903" s="13"/>
      <c r="G3903" s="23" t="s">
        <v>150</v>
      </c>
      <c r="H3903" s="23" t="s">
        <v>151</v>
      </c>
      <c r="I3903" s="23" t="s">
        <v>424</v>
      </c>
      <c r="J3903" s="14" t="s">
        <v>29</v>
      </c>
      <c r="K3903" s="15" t="s">
        <v>47</v>
      </c>
      <c r="L3903" s="87"/>
      <c r="M3903" s="14"/>
      <c r="N3903" s="14" t="s">
        <v>49</v>
      </c>
      <c r="O3903" s="14"/>
      <c r="P3903" s="15" t="s">
        <v>3209</v>
      </c>
      <c r="Q3903" s="16">
        <v>14499</v>
      </c>
      <c r="R3903" s="17">
        <v>45</v>
      </c>
      <c r="S3903" s="18">
        <v>9170.6174999999985</v>
      </c>
      <c r="T3903" s="19" t="s">
        <v>328</v>
      </c>
      <c r="U3903" s="20" t="s">
        <v>399</v>
      </c>
      <c r="V3903" s="21">
        <v>39</v>
      </c>
      <c r="W3903" s="21">
        <v>2</v>
      </c>
      <c r="X3903" s="22"/>
    </row>
    <row r="3904" spans="1:24" s="1" customFormat="1" ht="21.95" customHeight="1" x14ac:dyDescent="0.3">
      <c r="A3904" s="23" t="s">
        <v>3194</v>
      </c>
      <c r="B3904" s="23" t="s">
        <v>3195</v>
      </c>
      <c r="C3904" s="12" t="s">
        <v>4189</v>
      </c>
      <c r="D3904" s="85"/>
      <c r="E3904" s="69" t="str">
        <f t="shared" si="182"/>
        <v>Еще фото</v>
      </c>
      <c r="F3904" s="13"/>
      <c r="G3904" s="23" t="s">
        <v>150</v>
      </c>
      <c r="H3904" s="23" t="s">
        <v>151</v>
      </c>
      <c r="I3904" s="23" t="s">
        <v>424</v>
      </c>
      <c r="J3904" s="14" t="s">
        <v>29</v>
      </c>
      <c r="K3904" s="15" t="s">
        <v>47</v>
      </c>
      <c r="L3904" s="88"/>
      <c r="M3904" s="14"/>
      <c r="N3904" s="14" t="s">
        <v>49</v>
      </c>
      <c r="O3904" s="14"/>
      <c r="P3904" s="15" t="s">
        <v>3209</v>
      </c>
      <c r="Q3904" s="16">
        <v>14499</v>
      </c>
      <c r="R3904" s="17">
        <v>45</v>
      </c>
      <c r="S3904" s="18">
        <v>9170.6174999999985</v>
      </c>
      <c r="T3904" s="19" t="s">
        <v>328</v>
      </c>
      <c r="U3904" s="20" t="s">
        <v>400</v>
      </c>
      <c r="V3904" s="21">
        <v>40</v>
      </c>
      <c r="W3904" s="21">
        <v>1</v>
      </c>
      <c r="X3904" s="22"/>
    </row>
    <row r="3905" spans="1:24" s="1" customFormat="1" ht="17.100000000000001" customHeight="1" x14ac:dyDescent="0.3">
      <c r="A3905" s="11" t="s">
        <v>3194</v>
      </c>
      <c r="B3905" s="11" t="s">
        <v>3195</v>
      </c>
      <c r="C3905" s="12" t="s">
        <v>4190</v>
      </c>
      <c r="D3905" s="83"/>
      <c r="E3905" s="69" t="str">
        <f t="shared" ref="E3905:E3910" si="183">HYPERLINK("https://www.google.ru/search?q=101988078&amp;newwindow=1&amp;tbm=isch","Еще фото")</f>
        <v>Еще фото</v>
      </c>
      <c r="F3905" s="13"/>
      <c r="G3905" s="11" t="s">
        <v>150</v>
      </c>
      <c r="H3905" s="11" t="s">
        <v>151</v>
      </c>
      <c r="I3905" s="14" t="s">
        <v>424</v>
      </c>
      <c r="J3905" s="14" t="s">
        <v>29</v>
      </c>
      <c r="K3905" s="15" t="s">
        <v>47</v>
      </c>
      <c r="L3905" s="86"/>
      <c r="M3905" s="14"/>
      <c r="N3905" s="14" t="s">
        <v>41</v>
      </c>
      <c r="O3905" s="14"/>
      <c r="P3905" s="15" t="s">
        <v>3221</v>
      </c>
      <c r="Q3905" s="16">
        <v>14499</v>
      </c>
      <c r="R3905" s="17">
        <v>45</v>
      </c>
      <c r="S3905" s="18">
        <v>9170.6174999999985</v>
      </c>
      <c r="T3905" s="19" t="s">
        <v>328</v>
      </c>
      <c r="U3905" s="20" t="s">
        <v>1503</v>
      </c>
      <c r="V3905" s="21">
        <v>35</v>
      </c>
      <c r="W3905" s="21">
        <v>2</v>
      </c>
      <c r="X3905" s="22"/>
    </row>
    <row r="3906" spans="1:24" s="1" customFormat="1" ht="17.100000000000001" customHeight="1" x14ac:dyDescent="0.3">
      <c r="A3906" s="23" t="s">
        <v>3194</v>
      </c>
      <c r="B3906" s="23" t="s">
        <v>3195</v>
      </c>
      <c r="C3906" s="12" t="s">
        <v>4190</v>
      </c>
      <c r="D3906" s="84"/>
      <c r="E3906" s="69" t="str">
        <f t="shared" si="183"/>
        <v>Еще фото</v>
      </c>
      <c r="F3906" s="13"/>
      <c r="G3906" s="23" t="s">
        <v>150</v>
      </c>
      <c r="H3906" s="23" t="s">
        <v>151</v>
      </c>
      <c r="I3906" s="23" t="s">
        <v>424</v>
      </c>
      <c r="J3906" s="14" t="s">
        <v>29</v>
      </c>
      <c r="K3906" s="15" t="s">
        <v>47</v>
      </c>
      <c r="L3906" s="87"/>
      <c r="M3906" s="14"/>
      <c r="N3906" s="14" t="s">
        <v>41</v>
      </c>
      <c r="O3906" s="14"/>
      <c r="P3906" s="15" t="s">
        <v>3221</v>
      </c>
      <c r="Q3906" s="16">
        <v>14499</v>
      </c>
      <c r="R3906" s="17">
        <v>45</v>
      </c>
      <c r="S3906" s="18">
        <v>9170.6174999999985</v>
      </c>
      <c r="T3906" s="19" t="s">
        <v>328</v>
      </c>
      <c r="U3906" s="20" t="s">
        <v>409</v>
      </c>
      <c r="V3906" s="21">
        <v>36</v>
      </c>
      <c r="W3906" s="21">
        <v>6</v>
      </c>
      <c r="X3906" s="22"/>
    </row>
    <row r="3907" spans="1:24" s="1" customFormat="1" ht="17.100000000000001" customHeight="1" x14ac:dyDescent="0.3">
      <c r="A3907" s="23" t="s">
        <v>3194</v>
      </c>
      <c r="B3907" s="23" t="s">
        <v>3195</v>
      </c>
      <c r="C3907" s="12" t="s">
        <v>4190</v>
      </c>
      <c r="D3907" s="84"/>
      <c r="E3907" s="69" t="str">
        <f t="shared" si="183"/>
        <v>Еще фото</v>
      </c>
      <c r="F3907" s="13"/>
      <c r="G3907" s="23" t="s">
        <v>150</v>
      </c>
      <c r="H3907" s="23" t="s">
        <v>151</v>
      </c>
      <c r="I3907" s="23" t="s">
        <v>424</v>
      </c>
      <c r="J3907" s="14" t="s">
        <v>29</v>
      </c>
      <c r="K3907" s="15" t="s">
        <v>47</v>
      </c>
      <c r="L3907" s="87"/>
      <c r="M3907" s="14"/>
      <c r="N3907" s="14" t="s">
        <v>41</v>
      </c>
      <c r="O3907" s="14"/>
      <c r="P3907" s="15" t="s">
        <v>3221</v>
      </c>
      <c r="Q3907" s="16">
        <v>14499</v>
      </c>
      <c r="R3907" s="17">
        <v>45</v>
      </c>
      <c r="S3907" s="18">
        <v>9170.6174999999985</v>
      </c>
      <c r="T3907" s="19" t="s">
        <v>328</v>
      </c>
      <c r="U3907" s="20" t="s">
        <v>426</v>
      </c>
      <c r="V3907" s="21">
        <v>37</v>
      </c>
      <c r="W3907" s="21">
        <v>10</v>
      </c>
      <c r="X3907" s="22"/>
    </row>
    <row r="3908" spans="1:24" s="1" customFormat="1" ht="17.100000000000001" customHeight="1" x14ac:dyDescent="0.3">
      <c r="A3908" s="23" t="s">
        <v>3194</v>
      </c>
      <c r="B3908" s="23" t="s">
        <v>3195</v>
      </c>
      <c r="C3908" s="12" t="s">
        <v>4190</v>
      </c>
      <c r="D3908" s="84"/>
      <c r="E3908" s="69" t="str">
        <f t="shared" si="183"/>
        <v>Еще фото</v>
      </c>
      <c r="F3908" s="13"/>
      <c r="G3908" s="23" t="s">
        <v>150</v>
      </c>
      <c r="H3908" s="23" t="s">
        <v>151</v>
      </c>
      <c r="I3908" s="23" t="s">
        <v>424</v>
      </c>
      <c r="J3908" s="14" t="s">
        <v>29</v>
      </c>
      <c r="K3908" s="15" t="s">
        <v>47</v>
      </c>
      <c r="L3908" s="87"/>
      <c r="M3908" s="14"/>
      <c r="N3908" s="14" t="s">
        <v>41</v>
      </c>
      <c r="O3908" s="14"/>
      <c r="P3908" s="15" t="s">
        <v>3221</v>
      </c>
      <c r="Q3908" s="16">
        <v>14499</v>
      </c>
      <c r="R3908" s="17">
        <v>45</v>
      </c>
      <c r="S3908" s="18">
        <v>9170.6174999999985</v>
      </c>
      <c r="T3908" s="19" t="s">
        <v>328</v>
      </c>
      <c r="U3908" s="20" t="s">
        <v>413</v>
      </c>
      <c r="V3908" s="21">
        <v>38</v>
      </c>
      <c r="W3908" s="21">
        <v>5</v>
      </c>
      <c r="X3908" s="22"/>
    </row>
    <row r="3909" spans="1:24" s="1" customFormat="1" ht="17.100000000000001" customHeight="1" x14ac:dyDescent="0.3">
      <c r="A3909" s="23" t="s">
        <v>3194</v>
      </c>
      <c r="B3909" s="23" t="s">
        <v>3195</v>
      </c>
      <c r="C3909" s="12" t="s">
        <v>4190</v>
      </c>
      <c r="D3909" s="84"/>
      <c r="E3909" s="69" t="str">
        <f t="shared" si="183"/>
        <v>Еще фото</v>
      </c>
      <c r="F3909" s="13"/>
      <c r="G3909" s="23" t="s">
        <v>150</v>
      </c>
      <c r="H3909" s="23" t="s">
        <v>151</v>
      </c>
      <c r="I3909" s="23" t="s">
        <v>424</v>
      </c>
      <c r="J3909" s="14" t="s">
        <v>29</v>
      </c>
      <c r="K3909" s="15" t="s">
        <v>47</v>
      </c>
      <c r="L3909" s="87"/>
      <c r="M3909" s="14"/>
      <c r="N3909" s="14" t="s">
        <v>41</v>
      </c>
      <c r="O3909" s="14"/>
      <c r="P3909" s="15" t="s">
        <v>3221</v>
      </c>
      <c r="Q3909" s="16">
        <v>14499</v>
      </c>
      <c r="R3909" s="17">
        <v>45</v>
      </c>
      <c r="S3909" s="18">
        <v>9170.6174999999985</v>
      </c>
      <c r="T3909" s="19" t="s">
        <v>328</v>
      </c>
      <c r="U3909" s="20" t="s">
        <v>399</v>
      </c>
      <c r="V3909" s="21">
        <v>39</v>
      </c>
      <c r="W3909" s="21">
        <v>4</v>
      </c>
      <c r="X3909" s="22"/>
    </row>
    <row r="3910" spans="1:24" s="1" customFormat="1" ht="21.95" customHeight="1" x14ac:dyDescent="0.3">
      <c r="A3910" s="23" t="s">
        <v>3194</v>
      </c>
      <c r="B3910" s="23" t="s">
        <v>3195</v>
      </c>
      <c r="C3910" s="12" t="s">
        <v>4190</v>
      </c>
      <c r="D3910" s="85"/>
      <c r="E3910" s="69" t="str">
        <f t="shared" si="183"/>
        <v>Еще фото</v>
      </c>
      <c r="F3910" s="13"/>
      <c r="G3910" s="23" t="s">
        <v>150</v>
      </c>
      <c r="H3910" s="23" t="s">
        <v>151</v>
      </c>
      <c r="I3910" s="23" t="s">
        <v>424</v>
      </c>
      <c r="J3910" s="14" t="s">
        <v>29</v>
      </c>
      <c r="K3910" s="15" t="s">
        <v>47</v>
      </c>
      <c r="L3910" s="88"/>
      <c r="M3910" s="14"/>
      <c r="N3910" s="14" t="s">
        <v>41</v>
      </c>
      <c r="O3910" s="14"/>
      <c r="P3910" s="15" t="s">
        <v>3221</v>
      </c>
      <c r="Q3910" s="16">
        <v>14499</v>
      </c>
      <c r="R3910" s="17">
        <v>45</v>
      </c>
      <c r="S3910" s="18">
        <v>9170.6174999999985</v>
      </c>
      <c r="T3910" s="19" t="s">
        <v>328</v>
      </c>
      <c r="U3910" s="20" t="s">
        <v>400</v>
      </c>
      <c r="V3910" s="21">
        <v>40</v>
      </c>
      <c r="W3910" s="21">
        <v>1</v>
      </c>
      <c r="X3910" s="22"/>
    </row>
    <row r="3911" spans="1:24" s="1" customFormat="1" ht="17.100000000000001" customHeight="1" x14ac:dyDescent="0.3">
      <c r="A3911" s="11" t="s">
        <v>3194</v>
      </c>
      <c r="B3911" s="11" t="s">
        <v>3195</v>
      </c>
      <c r="C3911" s="12" t="s">
        <v>4191</v>
      </c>
      <c r="D3911" s="83"/>
      <c r="E3911" s="69" t="str">
        <f t="shared" ref="E3911:E3916" si="184">HYPERLINK("https://www.google.ru/search?q=101988079&amp;newwindow=1&amp;tbm=isch","Еще фото")</f>
        <v>Еще фото</v>
      </c>
      <c r="F3911" s="13"/>
      <c r="G3911" s="11" t="s">
        <v>150</v>
      </c>
      <c r="H3911" s="11" t="s">
        <v>151</v>
      </c>
      <c r="I3911" s="14" t="s">
        <v>424</v>
      </c>
      <c r="J3911" s="14" t="s">
        <v>29</v>
      </c>
      <c r="K3911" s="15" t="s">
        <v>47</v>
      </c>
      <c r="L3911" s="86"/>
      <c r="M3911" s="14"/>
      <c r="N3911" s="14" t="s">
        <v>636</v>
      </c>
      <c r="O3911" s="14"/>
      <c r="P3911" s="15" t="s">
        <v>3209</v>
      </c>
      <c r="Q3911" s="16">
        <v>14499</v>
      </c>
      <c r="R3911" s="17">
        <v>45</v>
      </c>
      <c r="S3911" s="18">
        <v>9170.6174999999985</v>
      </c>
      <c r="T3911" s="19" t="s">
        <v>328</v>
      </c>
      <c r="U3911" s="20" t="s">
        <v>1503</v>
      </c>
      <c r="V3911" s="21">
        <v>35</v>
      </c>
      <c r="W3911" s="21">
        <v>3</v>
      </c>
      <c r="X3911" s="22"/>
    </row>
    <row r="3912" spans="1:24" s="1" customFormat="1" ht="17.100000000000001" customHeight="1" x14ac:dyDescent="0.3">
      <c r="A3912" s="23" t="s">
        <v>3194</v>
      </c>
      <c r="B3912" s="23" t="s">
        <v>3195</v>
      </c>
      <c r="C3912" s="12" t="s">
        <v>4191</v>
      </c>
      <c r="D3912" s="84"/>
      <c r="E3912" s="69" t="str">
        <f t="shared" si="184"/>
        <v>Еще фото</v>
      </c>
      <c r="F3912" s="13"/>
      <c r="G3912" s="23" t="s">
        <v>150</v>
      </c>
      <c r="H3912" s="23" t="s">
        <v>151</v>
      </c>
      <c r="I3912" s="23" t="s">
        <v>424</v>
      </c>
      <c r="J3912" s="14" t="s">
        <v>29</v>
      </c>
      <c r="K3912" s="15" t="s">
        <v>47</v>
      </c>
      <c r="L3912" s="87"/>
      <c r="M3912" s="14"/>
      <c r="N3912" s="14" t="s">
        <v>636</v>
      </c>
      <c r="O3912" s="14"/>
      <c r="P3912" s="15" t="s">
        <v>3209</v>
      </c>
      <c r="Q3912" s="16">
        <v>14499</v>
      </c>
      <c r="R3912" s="17">
        <v>45</v>
      </c>
      <c r="S3912" s="18">
        <v>9170.6174999999985</v>
      </c>
      <c r="T3912" s="19" t="s">
        <v>328</v>
      </c>
      <c r="U3912" s="20" t="s">
        <v>409</v>
      </c>
      <c r="V3912" s="21">
        <v>36</v>
      </c>
      <c r="W3912" s="21">
        <v>5</v>
      </c>
      <c r="X3912" s="22"/>
    </row>
    <row r="3913" spans="1:24" s="1" customFormat="1" ht="17.100000000000001" customHeight="1" x14ac:dyDescent="0.3">
      <c r="A3913" s="23" t="s">
        <v>3194</v>
      </c>
      <c r="B3913" s="23" t="s">
        <v>3195</v>
      </c>
      <c r="C3913" s="12" t="s">
        <v>4191</v>
      </c>
      <c r="D3913" s="84"/>
      <c r="E3913" s="69" t="str">
        <f t="shared" si="184"/>
        <v>Еще фото</v>
      </c>
      <c r="F3913" s="13"/>
      <c r="G3913" s="23" t="s">
        <v>150</v>
      </c>
      <c r="H3913" s="23" t="s">
        <v>151</v>
      </c>
      <c r="I3913" s="23" t="s">
        <v>424</v>
      </c>
      <c r="J3913" s="14" t="s">
        <v>29</v>
      </c>
      <c r="K3913" s="15" t="s">
        <v>47</v>
      </c>
      <c r="L3913" s="87"/>
      <c r="M3913" s="14"/>
      <c r="N3913" s="14" t="s">
        <v>636</v>
      </c>
      <c r="O3913" s="14"/>
      <c r="P3913" s="15" t="s">
        <v>3209</v>
      </c>
      <c r="Q3913" s="16">
        <v>14499</v>
      </c>
      <c r="R3913" s="17">
        <v>45</v>
      </c>
      <c r="S3913" s="18">
        <v>9170.6174999999985</v>
      </c>
      <c r="T3913" s="19" t="s">
        <v>328</v>
      </c>
      <c r="U3913" s="20" t="s">
        <v>426</v>
      </c>
      <c r="V3913" s="21">
        <v>37</v>
      </c>
      <c r="W3913" s="21">
        <v>5</v>
      </c>
      <c r="X3913" s="22"/>
    </row>
    <row r="3914" spans="1:24" s="1" customFormat="1" ht="17.100000000000001" customHeight="1" x14ac:dyDescent="0.3">
      <c r="A3914" s="23" t="s">
        <v>3194</v>
      </c>
      <c r="B3914" s="23" t="s">
        <v>3195</v>
      </c>
      <c r="C3914" s="12" t="s">
        <v>4191</v>
      </c>
      <c r="D3914" s="84"/>
      <c r="E3914" s="69" t="str">
        <f t="shared" si="184"/>
        <v>Еще фото</v>
      </c>
      <c r="F3914" s="13"/>
      <c r="G3914" s="23" t="s">
        <v>150</v>
      </c>
      <c r="H3914" s="23" t="s">
        <v>151</v>
      </c>
      <c r="I3914" s="23" t="s">
        <v>424</v>
      </c>
      <c r="J3914" s="14" t="s">
        <v>29</v>
      </c>
      <c r="K3914" s="15" t="s">
        <v>47</v>
      </c>
      <c r="L3914" s="87"/>
      <c r="M3914" s="14"/>
      <c r="N3914" s="14" t="s">
        <v>636</v>
      </c>
      <c r="O3914" s="14"/>
      <c r="P3914" s="15" t="s">
        <v>3209</v>
      </c>
      <c r="Q3914" s="16">
        <v>14499</v>
      </c>
      <c r="R3914" s="17">
        <v>45</v>
      </c>
      <c r="S3914" s="18">
        <v>9170.6174999999985</v>
      </c>
      <c r="T3914" s="19" t="s">
        <v>328</v>
      </c>
      <c r="U3914" s="20" t="s">
        <v>413</v>
      </c>
      <c r="V3914" s="21">
        <v>38</v>
      </c>
      <c r="W3914" s="21">
        <v>4</v>
      </c>
      <c r="X3914" s="22"/>
    </row>
    <row r="3915" spans="1:24" s="1" customFormat="1" ht="17.100000000000001" customHeight="1" x14ac:dyDescent="0.3">
      <c r="A3915" s="23" t="s">
        <v>3194</v>
      </c>
      <c r="B3915" s="23" t="s">
        <v>3195</v>
      </c>
      <c r="C3915" s="12" t="s">
        <v>4191</v>
      </c>
      <c r="D3915" s="84"/>
      <c r="E3915" s="69" t="str">
        <f t="shared" si="184"/>
        <v>Еще фото</v>
      </c>
      <c r="F3915" s="13"/>
      <c r="G3915" s="23" t="s">
        <v>150</v>
      </c>
      <c r="H3915" s="23" t="s">
        <v>151</v>
      </c>
      <c r="I3915" s="23" t="s">
        <v>424</v>
      </c>
      <c r="J3915" s="14" t="s">
        <v>29</v>
      </c>
      <c r="K3915" s="15" t="s">
        <v>47</v>
      </c>
      <c r="L3915" s="87"/>
      <c r="M3915" s="14"/>
      <c r="N3915" s="14" t="s">
        <v>636</v>
      </c>
      <c r="O3915" s="14"/>
      <c r="P3915" s="15" t="s">
        <v>3209</v>
      </c>
      <c r="Q3915" s="16">
        <v>14499</v>
      </c>
      <c r="R3915" s="17">
        <v>45</v>
      </c>
      <c r="S3915" s="18">
        <v>9170.6174999999985</v>
      </c>
      <c r="T3915" s="19" t="s">
        <v>328</v>
      </c>
      <c r="U3915" s="20" t="s">
        <v>399</v>
      </c>
      <c r="V3915" s="21">
        <v>39</v>
      </c>
      <c r="W3915" s="21">
        <v>5</v>
      </c>
      <c r="X3915" s="22"/>
    </row>
    <row r="3916" spans="1:24" s="1" customFormat="1" ht="21.95" customHeight="1" x14ac:dyDescent="0.3">
      <c r="A3916" s="23" t="s">
        <v>3194</v>
      </c>
      <c r="B3916" s="23" t="s">
        <v>3195</v>
      </c>
      <c r="C3916" s="12" t="s">
        <v>4191</v>
      </c>
      <c r="D3916" s="85"/>
      <c r="E3916" s="69" t="str">
        <f t="shared" si="184"/>
        <v>Еще фото</v>
      </c>
      <c r="F3916" s="13"/>
      <c r="G3916" s="23" t="s">
        <v>150</v>
      </c>
      <c r="H3916" s="23" t="s">
        <v>151</v>
      </c>
      <c r="I3916" s="23" t="s">
        <v>424</v>
      </c>
      <c r="J3916" s="14" t="s">
        <v>29</v>
      </c>
      <c r="K3916" s="15" t="s">
        <v>47</v>
      </c>
      <c r="L3916" s="88"/>
      <c r="M3916" s="14"/>
      <c r="N3916" s="14" t="s">
        <v>636</v>
      </c>
      <c r="O3916" s="14"/>
      <c r="P3916" s="15" t="s">
        <v>3209</v>
      </c>
      <c r="Q3916" s="16">
        <v>14499</v>
      </c>
      <c r="R3916" s="17">
        <v>45</v>
      </c>
      <c r="S3916" s="18">
        <v>9170.6174999999985</v>
      </c>
      <c r="T3916" s="19" t="s">
        <v>328</v>
      </c>
      <c r="U3916" s="20" t="s">
        <v>400</v>
      </c>
      <c r="V3916" s="21">
        <v>40</v>
      </c>
      <c r="W3916" s="21">
        <v>2</v>
      </c>
      <c r="X3916" s="22"/>
    </row>
    <row r="3917" spans="1:24" s="1" customFormat="1" ht="17.100000000000001" customHeight="1" x14ac:dyDescent="0.3">
      <c r="A3917" s="11" t="s">
        <v>3194</v>
      </c>
      <c r="B3917" s="11" t="s">
        <v>3195</v>
      </c>
      <c r="C3917" s="12" t="s">
        <v>4192</v>
      </c>
      <c r="D3917" s="83"/>
      <c r="E3917" s="69" t="str">
        <f t="shared" ref="E3917:E3922" si="185">HYPERLINK("https://www.google.ru/search?q=101988080&amp;newwindow=1&amp;tbm=isch","Еще фото")</f>
        <v>Еще фото</v>
      </c>
      <c r="F3917" s="13"/>
      <c r="G3917" s="11" t="s">
        <v>150</v>
      </c>
      <c r="H3917" s="11" t="s">
        <v>151</v>
      </c>
      <c r="I3917" s="14" t="s">
        <v>424</v>
      </c>
      <c r="J3917" s="14" t="s">
        <v>29</v>
      </c>
      <c r="K3917" s="15" t="s">
        <v>47</v>
      </c>
      <c r="L3917" s="86"/>
      <c r="M3917" s="14"/>
      <c r="N3917" s="14" t="s">
        <v>265</v>
      </c>
      <c r="O3917" s="14"/>
      <c r="P3917" s="15" t="s">
        <v>3205</v>
      </c>
      <c r="Q3917" s="16">
        <v>16999</v>
      </c>
      <c r="R3917" s="17">
        <v>45</v>
      </c>
      <c r="S3917" s="18">
        <v>10751.8675</v>
      </c>
      <c r="T3917" s="19" t="s">
        <v>328</v>
      </c>
      <c r="U3917" s="20" t="s">
        <v>1503</v>
      </c>
      <c r="V3917" s="21">
        <v>35</v>
      </c>
      <c r="W3917" s="21">
        <v>3</v>
      </c>
      <c r="X3917" s="22"/>
    </row>
    <row r="3918" spans="1:24" s="1" customFormat="1" ht="17.100000000000001" customHeight="1" x14ac:dyDescent="0.3">
      <c r="A3918" s="23" t="s">
        <v>3194</v>
      </c>
      <c r="B3918" s="23" t="s">
        <v>3195</v>
      </c>
      <c r="C3918" s="12" t="s">
        <v>4192</v>
      </c>
      <c r="D3918" s="84"/>
      <c r="E3918" s="69" t="str">
        <f t="shared" si="185"/>
        <v>Еще фото</v>
      </c>
      <c r="F3918" s="13"/>
      <c r="G3918" s="23" t="s">
        <v>150</v>
      </c>
      <c r="H3918" s="23" t="s">
        <v>151</v>
      </c>
      <c r="I3918" s="23" t="s">
        <v>424</v>
      </c>
      <c r="J3918" s="14" t="s">
        <v>29</v>
      </c>
      <c r="K3918" s="15" t="s">
        <v>47</v>
      </c>
      <c r="L3918" s="87"/>
      <c r="M3918" s="14"/>
      <c r="N3918" s="14" t="s">
        <v>265</v>
      </c>
      <c r="O3918" s="14"/>
      <c r="P3918" s="15" t="s">
        <v>3205</v>
      </c>
      <c r="Q3918" s="16">
        <v>16999</v>
      </c>
      <c r="R3918" s="17">
        <v>45</v>
      </c>
      <c r="S3918" s="18">
        <v>10751.8675</v>
      </c>
      <c r="T3918" s="19" t="s">
        <v>328</v>
      </c>
      <c r="U3918" s="20" t="s">
        <v>409</v>
      </c>
      <c r="V3918" s="21">
        <v>36</v>
      </c>
      <c r="W3918" s="21">
        <v>4</v>
      </c>
      <c r="X3918" s="22"/>
    </row>
    <row r="3919" spans="1:24" s="1" customFormat="1" ht="17.100000000000001" customHeight="1" x14ac:dyDescent="0.3">
      <c r="A3919" s="23" t="s">
        <v>3194</v>
      </c>
      <c r="B3919" s="23" t="s">
        <v>3195</v>
      </c>
      <c r="C3919" s="12" t="s">
        <v>4192</v>
      </c>
      <c r="D3919" s="84"/>
      <c r="E3919" s="69" t="str">
        <f t="shared" si="185"/>
        <v>Еще фото</v>
      </c>
      <c r="F3919" s="13"/>
      <c r="G3919" s="23" t="s">
        <v>150</v>
      </c>
      <c r="H3919" s="23" t="s">
        <v>151</v>
      </c>
      <c r="I3919" s="23" t="s">
        <v>424</v>
      </c>
      <c r="J3919" s="14" t="s">
        <v>29</v>
      </c>
      <c r="K3919" s="15" t="s">
        <v>47</v>
      </c>
      <c r="L3919" s="87"/>
      <c r="M3919" s="14"/>
      <c r="N3919" s="14" t="s">
        <v>265</v>
      </c>
      <c r="O3919" s="14"/>
      <c r="P3919" s="15" t="s">
        <v>3205</v>
      </c>
      <c r="Q3919" s="16">
        <v>16999</v>
      </c>
      <c r="R3919" s="17">
        <v>45</v>
      </c>
      <c r="S3919" s="18">
        <v>10751.8675</v>
      </c>
      <c r="T3919" s="19" t="s">
        <v>328</v>
      </c>
      <c r="U3919" s="20" t="s">
        <v>426</v>
      </c>
      <c r="V3919" s="21">
        <v>37</v>
      </c>
      <c r="W3919" s="21">
        <v>9</v>
      </c>
      <c r="X3919" s="22"/>
    </row>
    <row r="3920" spans="1:24" s="1" customFormat="1" ht="17.100000000000001" customHeight="1" x14ac:dyDescent="0.3">
      <c r="A3920" s="23" t="s">
        <v>3194</v>
      </c>
      <c r="B3920" s="23" t="s">
        <v>3195</v>
      </c>
      <c r="C3920" s="12" t="s">
        <v>4192</v>
      </c>
      <c r="D3920" s="84"/>
      <c r="E3920" s="69" t="str">
        <f t="shared" si="185"/>
        <v>Еще фото</v>
      </c>
      <c r="F3920" s="13"/>
      <c r="G3920" s="23" t="s">
        <v>150</v>
      </c>
      <c r="H3920" s="23" t="s">
        <v>151</v>
      </c>
      <c r="I3920" s="23" t="s">
        <v>424</v>
      </c>
      <c r="J3920" s="14" t="s">
        <v>29</v>
      </c>
      <c r="K3920" s="15" t="s">
        <v>47</v>
      </c>
      <c r="L3920" s="87"/>
      <c r="M3920" s="14"/>
      <c r="N3920" s="14" t="s">
        <v>265</v>
      </c>
      <c r="O3920" s="14"/>
      <c r="P3920" s="15" t="s">
        <v>3205</v>
      </c>
      <c r="Q3920" s="16">
        <v>16999</v>
      </c>
      <c r="R3920" s="17">
        <v>45</v>
      </c>
      <c r="S3920" s="18">
        <v>10751.8675</v>
      </c>
      <c r="T3920" s="19" t="s">
        <v>328</v>
      </c>
      <c r="U3920" s="20" t="s">
        <v>413</v>
      </c>
      <c r="V3920" s="21">
        <v>38</v>
      </c>
      <c r="W3920" s="21">
        <v>8</v>
      </c>
      <c r="X3920" s="22"/>
    </row>
    <row r="3921" spans="1:24" s="1" customFormat="1" ht="17.100000000000001" customHeight="1" x14ac:dyDescent="0.3">
      <c r="A3921" s="23" t="s">
        <v>3194</v>
      </c>
      <c r="B3921" s="23" t="s">
        <v>3195</v>
      </c>
      <c r="C3921" s="12" t="s">
        <v>4192</v>
      </c>
      <c r="D3921" s="84"/>
      <c r="E3921" s="69" t="str">
        <f t="shared" si="185"/>
        <v>Еще фото</v>
      </c>
      <c r="F3921" s="13"/>
      <c r="G3921" s="23" t="s">
        <v>150</v>
      </c>
      <c r="H3921" s="23" t="s">
        <v>151</v>
      </c>
      <c r="I3921" s="23" t="s">
        <v>424</v>
      </c>
      <c r="J3921" s="14" t="s">
        <v>29</v>
      </c>
      <c r="K3921" s="15" t="s">
        <v>47</v>
      </c>
      <c r="L3921" s="87"/>
      <c r="M3921" s="14"/>
      <c r="N3921" s="14" t="s">
        <v>265</v>
      </c>
      <c r="O3921" s="14"/>
      <c r="P3921" s="15" t="s">
        <v>3205</v>
      </c>
      <c r="Q3921" s="16">
        <v>16999</v>
      </c>
      <c r="R3921" s="17">
        <v>45</v>
      </c>
      <c r="S3921" s="18">
        <v>10751.8675</v>
      </c>
      <c r="T3921" s="19" t="s">
        <v>328</v>
      </c>
      <c r="U3921" s="20" t="s">
        <v>399</v>
      </c>
      <c r="V3921" s="21">
        <v>39</v>
      </c>
      <c r="W3921" s="21">
        <v>5</v>
      </c>
      <c r="X3921" s="22"/>
    </row>
    <row r="3922" spans="1:24" s="1" customFormat="1" ht="21.95" customHeight="1" x14ac:dyDescent="0.3">
      <c r="A3922" s="23" t="s">
        <v>3194</v>
      </c>
      <c r="B3922" s="23" t="s">
        <v>3195</v>
      </c>
      <c r="C3922" s="12" t="s">
        <v>4192</v>
      </c>
      <c r="D3922" s="85"/>
      <c r="E3922" s="69" t="str">
        <f t="shared" si="185"/>
        <v>Еще фото</v>
      </c>
      <c r="F3922" s="13"/>
      <c r="G3922" s="23" t="s">
        <v>150</v>
      </c>
      <c r="H3922" s="23" t="s">
        <v>151</v>
      </c>
      <c r="I3922" s="23" t="s">
        <v>424</v>
      </c>
      <c r="J3922" s="14" t="s">
        <v>29</v>
      </c>
      <c r="K3922" s="15" t="s">
        <v>47</v>
      </c>
      <c r="L3922" s="88"/>
      <c r="M3922" s="14"/>
      <c r="N3922" s="14" t="s">
        <v>265</v>
      </c>
      <c r="O3922" s="14"/>
      <c r="P3922" s="15" t="s">
        <v>3205</v>
      </c>
      <c r="Q3922" s="16">
        <v>16999</v>
      </c>
      <c r="R3922" s="17">
        <v>45</v>
      </c>
      <c r="S3922" s="18">
        <v>10751.8675</v>
      </c>
      <c r="T3922" s="19" t="s">
        <v>328</v>
      </c>
      <c r="U3922" s="20" t="s">
        <v>400</v>
      </c>
      <c r="V3922" s="21">
        <v>40</v>
      </c>
      <c r="W3922" s="21">
        <v>3</v>
      </c>
      <c r="X3922" s="22"/>
    </row>
    <row r="3923" spans="1:24" s="1" customFormat="1" ht="17.100000000000001" customHeight="1" x14ac:dyDescent="0.3">
      <c r="A3923" s="11" t="s">
        <v>3194</v>
      </c>
      <c r="B3923" s="11" t="s">
        <v>3195</v>
      </c>
      <c r="C3923" s="12" t="s">
        <v>4193</v>
      </c>
      <c r="D3923" s="83"/>
      <c r="E3923" s="69" t="str">
        <f t="shared" ref="E3923:E3928" si="186">HYPERLINK("https://www.google.ru/search?q=101988081&amp;newwindow=1&amp;tbm=isch","Еще фото")</f>
        <v>Еще фото</v>
      </c>
      <c r="F3923" s="13"/>
      <c r="G3923" s="11" t="s">
        <v>150</v>
      </c>
      <c r="H3923" s="11" t="s">
        <v>151</v>
      </c>
      <c r="I3923" s="14" t="s">
        <v>424</v>
      </c>
      <c r="J3923" s="14" t="s">
        <v>29</v>
      </c>
      <c r="K3923" s="15" t="s">
        <v>47</v>
      </c>
      <c r="L3923" s="86"/>
      <c r="M3923" s="14"/>
      <c r="N3923" s="14" t="s">
        <v>49</v>
      </c>
      <c r="O3923" s="14"/>
      <c r="P3923" s="15" t="s">
        <v>3205</v>
      </c>
      <c r="Q3923" s="16">
        <v>16999</v>
      </c>
      <c r="R3923" s="17">
        <v>45</v>
      </c>
      <c r="S3923" s="18">
        <v>10751.8675</v>
      </c>
      <c r="T3923" s="19" t="s">
        <v>328</v>
      </c>
      <c r="U3923" s="20" t="s">
        <v>1503</v>
      </c>
      <c r="V3923" s="21">
        <v>35</v>
      </c>
      <c r="W3923" s="21">
        <v>5</v>
      </c>
      <c r="X3923" s="22"/>
    </row>
    <row r="3924" spans="1:24" s="1" customFormat="1" ht="17.100000000000001" customHeight="1" x14ac:dyDescent="0.3">
      <c r="A3924" s="23" t="s">
        <v>3194</v>
      </c>
      <c r="B3924" s="23" t="s">
        <v>3195</v>
      </c>
      <c r="C3924" s="12" t="s">
        <v>4193</v>
      </c>
      <c r="D3924" s="84"/>
      <c r="E3924" s="69" t="str">
        <f t="shared" si="186"/>
        <v>Еще фото</v>
      </c>
      <c r="F3924" s="13"/>
      <c r="G3924" s="23" t="s">
        <v>150</v>
      </c>
      <c r="H3924" s="23" t="s">
        <v>151</v>
      </c>
      <c r="I3924" s="23" t="s">
        <v>424</v>
      </c>
      <c r="J3924" s="14" t="s">
        <v>29</v>
      </c>
      <c r="K3924" s="15" t="s">
        <v>47</v>
      </c>
      <c r="L3924" s="87"/>
      <c r="M3924" s="14"/>
      <c r="N3924" s="14" t="s">
        <v>49</v>
      </c>
      <c r="O3924" s="14"/>
      <c r="P3924" s="15" t="s">
        <v>3205</v>
      </c>
      <c r="Q3924" s="16">
        <v>16999</v>
      </c>
      <c r="R3924" s="17">
        <v>45</v>
      </c>
      <c r="S3924" s="18">
        <v>10751.8675</v>
      </c>
      <c r="T3924" s="19" t="s">
        <v>328</v>
      </c>
      <c r="U3924" s="20" t="s">
        <v>409</v>
      </c>
      <c r="V3924" s="21">
        <v>36</v>
      </c>
      <c r="W3924" s="21">
        <v>10</v>
      </c>
      <c r="X3924" s="22"/>
    </row>
    <row r="3925" spans="1:24" s="1" customFormat="1" ht="17.100000000000001" customHeight="1" x14ac:dyDescent="0.3">
      <c r="A3925" s="23" t="s">
        <v>3194</v>
      </c>
      <c r="B3925" s="23" t="s">
        <v>3195</v>
      </c>
      <c r="C3925" s="12" t="s">
        <v>4193</v>
      </c>
      <c r="D3925" s="84"/>
      <c r="E3925" s="69" t="str">
        <f t="shared" si="186"/>
        <v>Еще фото</v>
      </c>
      <c r="F3925" s="13"/>
      <c r="G3925" s="23" t="s">
        <v>150</v>
      </c>
      <c r="H3925" s="23" t="s">
        <v>151</v>
      </c>
      <c r="I3925" s="23" t="s">
        <v>424</v>
      </c>
      <c r="J3925" s="14" t="s">
        <v>29</v>
      </c>
      <c r="K3925" s="15" t="s">
        <v>47</v>
      </c>
      <c r="L3925" s="87"/>
      <c r="M3925" s="14"/>
      <c r="N3925" s="14" t="s">
        <v>49</v>
      </c>
      <c r="O3925" s="14"/>
      <c r="P3925" s="15" t="s">
        <v>3205</v>
      </c>
      <c r="Q3925" s="16">
        <v>16999</v>
      </c>
      <c r="R3925" s="17">
        <v>45</v>
      </c>
      <c r="S3925" s="18">
        <v>10751.8675</v>
      </c>
      <c r="T3925" s="19" t="s">
        <v>328</v>
      </c>
      <c r="U3925" s="20" t="s">
        <v>426</v>
      </c>
      <c r="V3925" s="21">
        <v>37</v>
      </c>
      <c r="W3925" s="21">
        <v>15</v>
      </c>
      <c r="X3925" s="22"/>
    </row>
    <row r="3926" spans="1:24" s="1" customFormat="1" ht="17.100000000000001" customHeight="1" x14ac:dyDescent="0.3">
      <c r="A3926" s="23" t="s">
        <v>3194</v>
      </c>
      <c r="B3926" s="23" t="s">
        <v>3195</v>
      </c>
      <c r="C3926" s="12" t="s">
        <v>4193</v>
      </c>
      <c r="D3926" s="84"/>
      <c r="E3926" s="69" t="str">
        <f t="shared" si="186"/>
        <v>Еще фото</v>
      </c>
      <c r="F3926" s="13"/>
      <c r="G3926" s="23" t="s">
        <v>150</v>
      </c>
      <c r="H3926" s="23" t="s">
        <v>151</v>
      </c>
      <c r="I3926" s="23" t="s">
        <v>424</v>
      </c>
      <c r="J3926" s="14" t="s">
        <v>29</v>
      </c>
      <c r="K3926" s="15" t="s">
        <v>47</v>
      </c>
      <c r="L3926" s="87"/>
      <c r="M3926" s="14"/>
      <c r="N3926" s="14" t="s">
        <v>49</v>
      </c>
      <c r="O3926" s="14"/>
      <c r="P3926" s="15" t="s">
        <v>3205</v>
      </c>
      <c r="Q3926" s="16">
        <v>16999</v>
      </c>
      <c r="R3926" s="17">
        <v>45</v>
      </c>
      <c r="S3926" s="18">
        <v>10751.8675</v>
      </c>
      <c r="T3926" s="19" t="s">
        <v>328</v>
      </c>
      <c r="U3926" s="20" t="s">
        <v>413</v>
      </c>
      <c r="V3926" s="21">
        <v>38</v>
      </c>
      <c r="W3926" s="21">
        <v>14</v>
      </c>
      <c r="X3926" s="22"/>
    </row>
    <row r="3927" spans="1:24" s="1" customFormat="1" ht="17.100000000000001" customHeight="1" x14ac:dyDescent="0.3">
      <c r="A3927" s="23" t="s">
        <v>3194</v>
      </c>
      <c r="B3927" s="23" t="s">
        <v>3195</v>
      </c>
      <c r="C3927" s="12" t="s">
        <v>4193</v>
      </c>
      <c r="D3927" s="84"/>
      <c r="E3927" s="69" t="str">
        <f t="shared" si="186"/>
        <v>Еще фото</v>
      </c>
      <c r="F3927" s="13"/>
      <c r="G3927" s="23" t="s">
        <v>150</v>
      </c>
      <c r="H3927" s="23" t="s">
        <v>151</v>
      </c>
      <c r="I3927" s="23" t="s">
        <v>424</v>
      </c>
      <c r="J3927" s="14" t="s">
        <v>29</v>
      </c>
      <c r="K3927" s="15" t="s">
        <v>47</v>
      </c>
      <c r="L3927" s="87"/>
      <c r="M3927" s="14"/>
      <c r="N3927" s="14" t="s">
        <v>49</v>
      </c>
      <c r="O3927" s="14"/>
      <c r="P3927" s="15" t="s">
        <v>3205</v>
      </c>
      <c r="Q3927" s="16">
        <v>16999</v>
      </c>
      <c r="R3927" s="17">
        <v>45</v>
      </c>
      <c r="S3927" s="18">
        <v>10751.8675</v>
      </c>
      <c r="T3927" s="19" t="s">
        <v>328</v>
      </c>
      <c r="U3927" s="20" t="s">
        <v>399</v>
      </c>
      <c r="V3927" s="21">
        <v>39</v>
      </c>
      <c r="W3927" s="21">
        <v>7</v>
      </c>
      <c r="X3927" s="22"/>
    </row>
    <row r="3928" spans="1:24" s="1" customFormat="1" ht="21.95" customHeight="1" x14ac:dyDescent="0.3">
      <c r="A3928" s="23" t="s">
        <v>3194</v>
      </c>
      <c r="B3928" s="23" t="s">
        <v>3195</v>
      </c>
      <c r="C3928" s="12" t="s">
        <v>4193</v>
      </c>
      <c r="D3928" s="85"/>
      <c r="E3928" s="69" t="str">
        <f t="shared" si="186"/>
        <v>Еще фото</v>
      </c>
      <c r="F3928" s="13"/>
      <c r="G3928" s="23" t="s">
        <v>150</v>
      </c>
      <c r="H3928" s="23" t="s">
        <v>151</v>
      </c>
      <c r="I3928" s="23" t="s">
        <v>424</v>
      </c>
      <c r="J3928" s="14" t="s">
        <v>29</v>
      </c>
      <c r="K3928" s="15" t="s">
        <v>47</v>
      </c>
      <c r="L3928" s="88"/>
      <c r="M3928" s="14"/>
      <c r="N3928" s="14" t="s">
        <v>49</v>
      </c>
      <c r="O3928" s="14"/>
      <c r="P3928" s="15" t="s">
        <v>3205</v>
      </c>
      <c r="Q3928" s="16">
        <v>16999</v>
      </c>
      <c r="R3928" s="17">
        <v>45</v>
      </c>
      <c r="S3928" s="18">
        <v>10751.8675</v>
      </c>
      <c r="T3928" s="19" t="s">
        <v>328</v>
      </c>
      <c r="U3928" s="20" t="s">
        <v>400</v>
      </c>
      <c r="V3928" s="21">
        <v>40</v>
      </c>
      <c r="W3928" s="21">
        <v>5</v>
      </c>
      <c r="X3928" s="22"/>
    </row>
    <row r="3929" spans="1:24" s="1" customFormat="1" ht="26.1" customHeight="1" x14ac:dyDescent="0.3">
      <c r="A3929" s="11" t="s">
        <v>3194</v>
      </c>
      <c r="B3929" s="11" t="s">
        <v>4194</v>
      </c>
      <c r="C3929" s="12" t="s">
        <v>4195</v>
      </c>
      <c r="D3929" s="83"/>
      <c r="E3929" s="69" t="str">
        <f>HYPERLINK("https://www.google.ru/search?q=101988083&amp;newwindow=1&amp;tbm=isch","Еще фото")</f>
        <v>Еще фото</v>
      </c>
      <c r="F3929" s="13"/>
      <c r="G3929" s="11" t="s">
        <v>394</v>
      </c>
      <c r="H3929" s="11" t="s">
        <v>151</v>
      </c>
      <c r="I3929" s="14" t="s">
        <v>424</v>
      </c>
      <c r="J3929" s="14" t="s">
        <v>138</v>
      </c>
      <c r="K3929" s="15" t="s">
        <v>47</v>
      </c>
      <c r="L3929" s="86"/>
      <c r="M3929" s="14"/>
      <c r="N3929" s="14" t="s">
        <v>49</v>
      </c>
      <c r="O3929" s="14"/>
      <c r="P3929" s="15" t="s">
        <v>4147</v>
      </c>
      <c r="Q3929" s="16">
        <v>6999</v>
      </c>
      <c r="R3929" s="17">
        <v>45</v>
      </c>
      <c r="S3929" s="18">
        <v>4426.8674999999994</v>
      </c>
      <c r="T3929" s="19" t="s">
        <v>328</v>
      </c>
      <c r="U3929" s="20" t="s">
        <v>1503</v>
      </c>
      <c r="V3929" s="21">
        <v>35</v>
      </c>
      <c r="W3929" s="21">
        <v>3</v>
      </c>
      <c r="X3929" s="22"/>
    </row>
    <row r="3930" spans="1:24" s="1" customFormat="1" ht="26.1" customHeight="1" x14ac:dyDescent="0.3">
      <c r="A3930" s="23" t="s">
        <v>3194</v>
      </c>
      <c r="B3930" s="23" t="s">
        <v>4194</v>
      </c>
      <c r="C3930" s="12" t="s">
        <v>4195</v>
      </c>
      <c r="D3930" s="84"/>
      <c r="E3930" s="69" t="str">
        <f>HYPERLINK("https://www.google.ru/search?q=101988083&amp;newwindow=1&amp;tbm=isch","Еще фото")</f>
        <v>Еще фото</v>
      </c>
      <c r="F3930" s="13"/>
      <c r="G3930" s="23" t="s">
        <v>394</v>
      </c>
      <c r="H3930" s="23" t="s">
        <v>151</v>
      </c>
      <c r="I3930" s="23" t="s">
        <v>424</v>
      </c>
      <c r="J3930" s="14" t="s">
        <v>138</v>
      </c>
      <c r="K3930" s="15" t="s">
        <v>47</v>
      </c>
      <c r="L3930" s="87"/>
      <c r="M3930" s="14"/>
      <c r="N3930" s="14" t="s">
        <v>49</v>
      </c>
      <c r="O3930" s="14"/>
      <c r="P3930" s="15" t="s">
        <v>4147</v>
      </c>
      <c r="Q3930" s="16">
        <v>6999</v>
      </c>
      <c r="R3930" s="17">
        <v>45</v>
      </c>
      <c r="S3930" s="18">
        <v>4426.8674999999994</v>
      </c>
      <c r="T3930" s="19" t="s">
        <v>328</v>
      </c>
      <c r="U3930" s="20" t="s">
        <v>409</v>
      </c>
      <c r="V3930" s="21">
        <v>36</v>
      </c>
      <c r="W3930" s="21">
        <v>4</v>
      </c>
      <c r="X3930" s="22"/>
    </row>
    <row r="3931" spans="1:24" s="1" customFormat="1" ht="26.1" customHeight="1" x14ac:dyDescent="0.3">
      <c r="A3931" s="23" t="s">
        <v>3194</v>
      </c>
      <c r="B3931" s="23" t="s">
        <v>4194</v>
      </c>
      <c r="C3931" s="12" t="s">
        <v>4195</v>
      </c>
      <c r="D3931" s="84"/>
      <c r="E3931" s="69" t="str">
        <f>HYPERLINK("https://www.google.ru/search?q=101988083&amp;newwindow=1&amp;tbm=isch","Еще фото")</f>
        <v>Еще фото</v>
      </c>
      <c r="F3931" s="13"/>
      <c r="G3931" s="23" t="s">
        <v>394</v>
      </c>
      <c r="H3931" s="23" t="s">
        <v>151</v>
      </c>
      <c r="I3931" s="23" t="s">
        <v>424</v>
      </c>
      <c r="J3931" s="14" t="s">
        <v>138</v>
      </c>
      <c r="K3931" s="15" t="s">
        <v>47</v>
      </c>
      <c r="L3931" s="87"/>
      <c r="M3931" s="14"/>
      <c r="N3931" s="14" t="s">
        <v>49</v>
      </c>
      <c r="O3931" s="14"/>
      <c r="P3931" s="15" t="s">
        <v>4147</v>
      </c>
      <c r="Q3931" s="16">
        <v>6999</v>
      </c>
      <c r="R3931" s="17">
        <v>45</v>
      </c>
      <c r="S3931" s="18">
        <v>4426.8674999999994</v>
      </c>
      <c r="T3931" s="19" t="s">
        <v>328</v>
      </c>
      <c r="U3931" s="20" t="s">
        <v>426</v>
      </c>
      <c r="V3931" s="21">
        <v>37</v>
      </c>
      <c r="W3931" s="21">
        <v>7</v>
      </c>
      <c r="X3931" s="22"/>
    </row>
    <row r="3932" spans="1:24" s="1" customFormat="1" ht="26.1" customHeight="1" x14ac:dyDescent="0.3">
      <c r="A3932" s="23" t="s">
        <v>3194</v>
      </c>
      <c r="B3932" s="23" t="s">
        <v>4194</v>
      </c>
      <c r="C3932" s="12" t="s">
        <v>4195</v>
      </c>
      <c r="D3932" s="85"/>
      <c r="E3932" s="69" t="str">
        <f>HYPERLINK("https://www.google.ru/search?q=101988083&amp;newwindow=1&amp;tbm=isch","Еще фото")</f>
        <v>Еще фото</v>
      </c>
      <c r="F3932" s="13"/>
      <c r="G3932" s="23" t="s">
        <v>394</v>
      </c>
      <c r="H3932" s="23" t="s">
        <v>151</v>
      </c>
      <c r="I3932" s="23" t="s">
        <v>424</v>
      </c>
      <c r="J3932" s="14" t="s">
        <v>138</v>
      </c>
      <c r="K3932" s="15" t="s">
        <v>47</v>
      </c>
      <c r="L3932" s="88"/>
      <c r="M3932" s="14"/>
      <c r="N3932" s="14" t="s">
        <v>49</v>
      </c>
      <c r="O3932" s="14"/>
      <c r="P3932" s="15" t="s">
        <v>4147</v>
      </c>
      <c r="Q3932" s="16">
        <v>6999</v>
      </c>
      <c r="R3932" s="17">
        <v>45</v>
      </c>
      <c r="S3932" s="18">
        <v>4426.8674999999994</v>
      </c>
      <c r="T3932" s="19" t="s">
        <v>328</v>
      </c>
      <c r="U3932" s="20" t="s">
        <v>399</v>
      </c>
      <c r="V3932" s="21">
        <v>39</v>
      </c>
      <c r="W3932" s="21">
        <v>1</v>
      </c>
      <c r="X3932" s="22"/>
    </row>
    <row r="3933" spans="1:24" s="1" customFormat="1" ht="17.100000000000001" customHeight="1" x14ac:dyDescent="0.3">
      <c r="A3933" s="11" t="s">
        <v>3194</v>
      </c>
      <c r="B3933" s="11" t="s">
        <v>4196</v>
      </c>
      <c r="C3933" s="12" t="s">
        <v>4197</v>
      </c>
      <c r="D3933" s="83"/>
      <c r="E3933" s="69" t="str">
        <f t="shared" ref="E3933:E3938" si="187">HYPERLINK("https://www.google.ru/search?q=101988095&amp;newwindow=1&amp;tbm=isch","Еще фото")</f>
        <v>Еще фото</v>
      </c>
      <c r="F3933" s="13"/>
      <c r="G3933" s="11" t="s">
        <v>394</v>
      </c>
      <c r="H3933" s="11" t="s">
        <v>151</v>
      </c>
      <c r="I3933" s="14" t="s">
        <v>424</v>
      </c>
      <c r="J3933" s="14" t="s">
        <v>138</v>
      </c>
      <c r="K3933" s="15" t="s">
        <v>47</v>
      </c>
      <c r="L3933" s="86"/>
      <c r="M3933" s="14"/>
      <c r="N3933" s="14" t="s">
        <v>49</v>
      </c>
      <c r="O3933" s="14"/>
      <c r="P3933" s="15" t="s">
        <v>3205</v>
      </c>
      <c r="Q3933" s="16">
        <v>8399</v>
      </c>
      <c r="R3933" s="17">
        <v>45</v>
      </c>
      <c r="S3933" s="18">
        <v>5312.3674999999994</v>
      </c>
      <c r="T3933" s="19" t="s">
        <v>328</v>
      </c>
      <c r="U3933" s="20" t="s">
        <v>1503</v>
      </c>
      <c r="V3933" s="21">
        <v>35</v>
      </c>
      <c r="W3933" s="21">
        <v>4</v>
      </c>
      <c r="X3933" s="22"/>
    </row>
    <row r="3934" spans="1:24" s="1" customFormat="1" ht="17.100000000000001" customHeight="1" x14ac:dyDescent="0.3">
      <c r="A3934" s="23" t="s">
        <v>3194</v>
      </c>
      <c r="B3934" s="23" t="s">
        <v>4196</v>
      </c>
      <c r="C3934" s="12" t="s">
        <v>4197</v>
      </c>
      <c r="D3934" s="84"/>
      <c r="E3934" s="69" t="str">
        <f t="shared" si="187"/>
        <v>Еще фото</v>
      </c>
      <c r="F3934" s="13"/>
      <c r="G3934" s="23" t="s">
        <v>394</v>
      </c>
      <c r="H3934" s="23" t="s">
        <v>151</v>
      </c>
      <c r="I3934" s="23" t="s">
        <v>424</v>
      </c>
      <c r="J3934" s="14" t="s">
        <v>138</v>
      </c>
      <c r="K3934" s="15" t="s">
        <v>47</v>
      </c>
      <c r="L3934" s="87"/>
      <c r="M3934" s="14"/>
      <c r="N3934" s="14" t="s">
        <v>49</v>
      </c>
      <c r="O3934" s="14"/>
      <c r="P3934" s="15" t="s">
        <v>3205</v>
      </c>
      <c r="Q3934" s="16">
        <v>8399</v>
      </c>
      <c r="R3934" s="17">
        <v>45</v>
      </c>
      <c r="S3934" s="18">
        <v>5312.3674999999994</v>
      </c>
      <c r="T3934" s="19" t="s">
        <v>328</v>
      </c>
      <c r="U3934" s="20" t="s">
        <v>409</v>
      </c>
      <c r="V3934" s="21">
        <v>36</v>
      </c>
      <c r="W3934" s="21">
        <v>10</v>
      </c>
      <c r="X3934" s="22"/>
    </row>
    <row r="3935" spans="1:24" s="1" customFormat="1" ht="17.100000000000001" customHeight="1" x14ac:dyDescent="0.3">
      <c r="A3935" s="23" t="s">
        <v>3194</v>
      </c>
      <c r="B3935" s="23" t="s">
        <v>4196</v>
      </c>
      <c r="C3935" s="12" t="s">
        <v>4197</v>
      </c>
      <c r="D3935" s="84"/>
      <c r="E3935" s="69" t="str">
        <f t="shared" si="187"/>
        <v>Еще фото</v>
      </c>
      <c r="F3935" s="13"/>
      <c r="G3935" s="23" t="s">
        <v>394</v>
      </c>
      <c r="H3935" s="23" t="s">
        <v>151</v>
      </c>
      <c r="I3935" s="23" t="s">
        <v>424</v>
      </c>
      <c r="J3935" s="14" t="s">
        <v>138</v>
      </c>
      <c r="K3935" s="15" t="s">
        <v>47</v>
      </c>
      <c r="L3935" s="87"/>
      <c r="M3935" s="14"/>
      <c r="N3935" s="14" t="s">
        <v>49</v>
      </c>
      <c r="O3935" s="14"/>
      <c r="P3935" s="15" t="s">
        <v>3205</v>
      </c>
      <c r="Q3935" s="16">
        <v>8399</v>
      </c>
      <c r="R3935" s="17">
        <v>45</v>
      </c>
      <c r="S3935" s="18">
        <v>5312.3674999999994</v>
      </c>
      <c r="T3935" s="19" t="s">
        <v>328</v>
      </c>
      <c r="U3935" s="20" t="s">
        <v>426</v>
      </c>
      <c r="V3935" s="21">
        <v>37</v>
      </c>
      <c r="W3935" s="21">
        <v>5</v>
      </c>
      <c r="X3935" s="22"/>
    </row>
    <row r="3936" spans="1:24" s="1" customFormat="1" ht="17.100000000000001" customHeight="1" x14ac:dyDescent="0.3">
      <c r="A3936" s="23" t="s">
        <v>3194</v>
      </c>
      <c r="B3936" s="23" t="s">
        <v>4196</v>
      </c>
      <c r="C3936" s="12" t="s">
        <v>4197</v>
      </c>
      <c r="D3936" s="84"/>
      <c r="E3936" s="69" t="str">
        <f t="shared" si="187"/>
        <v>Еще фото</v>
      </c>
      <c r="F3936" s="13"/>
      <c r="G3936" s="23" t="s">
        <v>394</v>
      </c>
      <c r="H3936" s="23" t="s">
        <v>151</v>
      </c>
      <c r="I3936" s="23" t="s">
        <v>424</v>
      </c>
      <c r="J3936" s="14" t="s">
        <v>138</v>
      </c>
      <c r="K3936" s="15" t="s">
        <v>47</v>
      </c>
      <c r="L3936" s="87"/>
      <c r="M3936" s="14"/>
      <c r="N3936" s="14" t="s">
        <v>49</v>
      </c>
      <c r="O3936" s="14"/>
      <c r="P3936" s="15" t="s">
        <v>3205</v>
      </c>
      <c r="Q3936" s="16">
        <v>8399</v>
      </c>
      <c r="R3936" s="17">
        <v>45</v>
      </c>
      <c r="S3936" s="18">
        <v>5312.3674999999994</v>
      </c>
      <c r="T3936" s="19" t="s">
        <v>328</v>
      </c>
      <c r="U3936" s="20" t="s">
        <v>413</v>
      </c>
      <c r="V3936" s="21">
        <v>38</v>
      </c>
      <c r="W3936" s="21">
        <v>9</v>
      </c>
      <c r="X3936" s="22"/>
    </row>
    <row r="3937" spans="1:24" s="1" customFormat="1" ht="17.100000000000001" customHeight="1" x14ac:dyDescent="0.3">
      <c r="A3937" s="23" t="s">
        <v>3194</v>
      </c>
      <c r="B3937" s="23" t="s">
        <v>4196</v>
      </c>
      <c r="C3937" s="12" t="s">
        <v>4197</v>
      </c>
      <c r="D3937" s="84"/>
      <c r="E3937" s="69" t="str">
        <f t="shared" si="187"/>
        <v>Еще фото</v>
      </c>
      <c r="F3937" s="13"/>
      <c r="G3937" s="23" t="s">
        <v>394</v>
      </c>
      <c r="H3937" s="23" t="s">
        <v>151</v>
      </c>
      <c r="I3937" s="23" t="s">
        <v>424</v>
      </c>
      <c r="J3937" s="14" t="s">
        <v>138</v>
      </c>
      <c r="K3937" s="15" t="s">
        <v>47</v>
      </c>
      <c r="L3937" s="87"/>
      <c r="M3937" s="14"/>
      <c r="N3937" s="14" t="s">
        <v>49</v>
      </c>
      <c r="O3937" s="14"/>
      <c r="P3937" s="15" t="s">
        <v>3205</v>
      </c>
      <c r="Q3937" s="16">
        <v>8399</v>
      </c>
      <c r="R3937" s="17">
        <v>45</v>
      </c>
      <c r="S3937" s="18">
        <v>5312.3674999999994</v>
      </c>
      <c r="T3937" s="19" t="s">
        <v>328</v>
      </c>
      <c r="U3937" s="20" t="s">
        <v>399</v>
      </c>
      <c r="V3937" s="21">
        <v>39</v>
      </c>
      <c r="W3937" s="21">
        <v>4</v>
      </c>
      <c r="X3937" s="22"/>
    </row>
    <row r="3938" spans="1:24" s="1" customFormat="1" ht="21.95" customHeight="1" x14ac:dyDescent="0.3">
      <c r="A3938" s="23" t="s">
        <v>3194</v>
      </c>
      <c r="B3938" s="23" t="s">
        <v>4196</v>
      </c>
      <c r="C3938" s="12" t="s">
        <v>4197</v>
      </c>
      <c r="D3938" s="85"/>
      <c r="E3938" s="69" t="str">
        <f t="shared" si="187"/>
        <v>Еще фото</v>
      </c>
      <c r="F3938" s="13"/>
      <c r="G3938" s="23" t="s">
        <v>394</v>
      </c>
      <c r="H3938" s="23" t="s">
        <v>151</v>
      </c>
      <c r="I3938" s="23" t="s">
        <v>424</v>
      </c>
      <c r="J3938" s="14" t="s">
        <v>138</v>
      </c>
      <c r="K3938" s="15" t="s">
        <v>47</v>
      </c>
      <c r="L3938" s="88"/>
      <c r="M3938" s="14"/>
      <c r="N3938" s="14" t="s">
        <v>49</v>
      </c>
      <c r="O3938" s="14"/>
      <c r="P3938" s="15" t="s">
        <v>3205</v>
      </c>
      <c r="Q3938" s="16">
        <v>8399</v>
      </c>
      <c r="R3938" s="17">
        <v>45</v>
      </c>
      <c r="S3938" s="18">
        <v>5312.3674999999994</v>
      </c>
      <c r="T3938" s="19" t="s">
        <v>328</v>
      </c>
      <c r="U3938" s="20" t="s">
        <v>400</v>
      </c>
      <c r="V3938" s="21">
        <v>40</v>
      </c>
      <c r="W3938" s="21">
        <v>2</v>
      </c>
      <c r="X3938" s="22"/>
    </row>
    <row r="3939" spans="1:24" s="1" customFormat="1" ht="17.100000000000001" customHeight="1" x14ac:dyDescent="0.3">
      <c r="A3939" s="11" t="s">
        <v>3194</v>
      </c>
      <c r="B3939" s="11" t="s">
        <v>3198</v>
      </c>
      <c r="C3939" s="12" t="s">
        <v>4198</v>
      </c>
      <c r="D3939" s="83"/>
      <c r="E3939" s="69" t="str">
        <f t="shared" ref="E3939:E3944" si="188">HYPERLINK("https://www.google.ru/search?q=101988097&amp;newwindow=1&amp;tbm=isch","Еще фото")</f>
        <v>Еще фото</v>
      </c>
      <c r="F3939" s="13"/>
      <c r="G3939" s="11" t="s">
        <v>150</v>
      </c>
      <c r="H3939" s="11" t="s">
        <v>151</v>
      </c>
      <c r="I3939" s="14" t="s">
        <v>424</v>
      </c>
      <c r="J3939" s="14" t="s">
        <v>29</v>
      </c>
      <c r="K3939" s="15" t="s">
        <v>55</v>
      </c>
      <c r="L3939" s="86"/>
      <c r="M3939" s="14"/>
      <c r="N3939" s="14" t="s">
        <v>326</v>
      </c>
      <c r="O3939" s="14"/>
      <c r="P3939" s="15" t="s">
        <v>3205</v>
      </c>
      <c r="Q3939" s="16">
        <v>13999</v>
      </c>
      <c r="R3939" s="17">
        <v>45</v>
      </c>
      <c r="S3939" s="18">
        <v>8854.3674999999985</v>
      </c>
      <c r="T3939" s="19" t="s">
        <v>328</v>
      </c>
      <c r="U3939" s="20" t="s">
        <v>1503</v>
      </c>
      <c r="V3939" s="21">
        <v>35</v>
      </c>
      <c r="W3939" s="21">
        <v>4</v>
      </c>
      <c r="X3939" s="22"/>
    </row>
    <row r="3940" spans="1:24" s="1" customFormat="1" ht="17.100000000000001" customHeight="1" x14ac:dyDescent="0.3">
      <c r="A3940" s="23" t="s">
        <v>3194</v>
      </c>
      <c r="B3940" s="23" t="s">
        <v>3198</v>
      </c>
      <c r="C3940" s="12" t="s">
        <v>4198</v>
      </c>
      <c r="D3940" s="84"/>
      <c r="E3940" s="69" t="str">
        <f t="shared" si="188"/>
        <v>Еще фото</v>
      </c>
      <c r="F3940" s="13"/>
      <c r="G3940" s="23" t="s">
        <v>150</v>
      </c>
      <c r="H3940" s="23" t="s">
        <v>151</v>
      </c>
      <c r="I3940" s="23" t="s">
        <v>424</v>
      </c>
      <c r="J3940" s="14" t="s">
        <v>29</v>
      </c>
      <c r="K3940" s="15" t="s">
        <v>55</v>
      </c>
      <c r="L3940" s="87"/>
      <c r="M3940" s="14"/>
      <c r="N3940" s="14" t="s">
        <v>326</v>
      </c>
      <c r="O3940" s="14"/>
      <c r="P3940" s="15" t="s">
        <v>3205</v>
      </c>
      <c r="Q3940" s="16">
        <v>13999</v>
      </c>
      <c r="R3940" s="17">
        <v>45</v>
      </c>
      <c r="S3940" s="18">
        <v>8854.3674999999985</v>
      </c>
      <c r="T3940" s="19" t="s">
        <v>328</v>
      </c>
      <c r="U3940" s="20" t="s">
        <v>409</v>
      </c>
      <c r="V3940" s="21">
        <v>36</v>
      </c>
      <c r="W3940" s="21">
        <v>8</v>
      </c>
      <c r="X3940" s="22"/>
    </row>
    <row r="3941" spans="1:24" s="1" customFormat="1" ht="17.100000000000001" customHeight="1" x14ac:dyDescent="0.3">
      <c r="A3941" s="23" t="s">
        <v>3194</v>
      </c>
      <c r="B3941" s="23" t="s">
        <v>3198</v>
      </c>
      <c r="C3941" s="12" t="s">
        <v>4198</v>
      </c>
      <c r="D3941" s="84"/>
      <c r="E3941" s="69" t="str">
        <f t="shared" si="188"/>
        <v>Еще фото</v>
      </c>
      <c r="F3941" s="13"/>
      <c r="G3941" s="23" t="s">
        <v>150</v>
      </c>
      <c r="H3941" s="23" t="s">
        <v>151</v>
      </c>
      <c r="I3941" s="23" t="s">
        <v>424</v>
      </c>
      <c r="J3941" s="14" t="s">
        <v>29</v>
      </c>
      <c r="K3941" s="15" t="s">
        <v>55</v>
      </c>
      <c r="L3941" s="87"/>
      <c r="M3941" s="14"/>
      <c r="N3941" s="14" t="s">
        <v>326</v>
      </c>
      <c r="O3941" s="14"/>
      <c r="P3941" s="15" t="s">
        <v>3205</v>
      </c>
      <c r="Q3941" s="16">
        <v>13999</v>
      </c>
      <c r="R3941" s="17">
        <v>45</v>
      </c>
      <c r="S3941" s="18">
        <v>8854.3674999999985</v>
      </c>
      <c r="T3941" s="19" t="s">
        <v>328</v>
      </c>
      <c r="U3941" s="20" t="s">
        <v>426</v>
      </c>
      <c r="V3941" s="21">
        <v>37</v>
      </c>
      <c r="W3941" s="21">
        <v>6</v>
      </c>
      <c r="X3941" s="22"/>
    </row>
    <row r="3942" spans="1:24" s="1" customFormat="1" ht="17.100000000000001" customHeight="1" x14ac:dyDescent="0.3">
      <c r="A3942" s="23" t="s">
        <v>3194</v>
      </c>
      <c r="B3942" s="23" t="s">
        <v>3198</v>
      </c>
      <c r="C3942" s="12" t="s">
        <v>4198</v>
      </c>
      <c r="D3942" s="84"/>
      <c r="E3942" s="69" t="str">
        <f t="shared" si="188"/>
        <v>Еще фото</v>
      </c>
      <c r="F3942" s="13"/>
      <c r="G3942" s="23" t="s">
        <v>150</v>
      </c>
      <c r="H3942" s="23" t="s">
        <v>151</v>
      </c>
      <c r="I3942" s="23" t="s">
        <v>424</v>
      </c>
      <c r="J3942" s="14" t="s">
        <v>29</v>
      </c>
      <c r="K3942" s="15" t="s">
        <v>55</v>
      </c>
      <c r="L3942" s="87"/>
      <c r="M3942" s="14"/>
      <c r="N3942" s="14" t="s">
        <v>326</v>
      </c>
      <c r="O3942" s="14"/>
      <c r="P3942" s="15" t="s">
        <v>3205</v>
      </c>
      <c r="Q3942" s="16">
        <v>13999</v>
      </c>
      <c r="R3942" s="17">
        <v>45</v>
      </c>
      <c r="S3942" s="18">
        <v>8854.3674999999985</v>
      </c>
      <c r="T3942" s="19" t="s">
        <v>328</v>
      </c>
      <c r="U3942" s="20" t="s">
        <v>413</v>
      </c>
      <c r="V3942" s="21">
        <v>38</v>
      </c>
      <c r="W3942" s="21">
        <v>8</v>
      </c>
      <c r="X3942" s="22"/>
    </row>
    <row r="3943" spans="1:24" s="1" customFormat="1" ht="17.100000000000001" customHeight="1" x14ac:dyDescent="0.3">
      <c r="A3943" s="23" t="s">
        <v>3194</v>
      </c>
      <c r="B3943" s="23" t="s">
        <v>3198</v>
      </c>
      <c r="C3943" s="12" t="s">
        <v>4198</v>
      </c>
      <c r="D3943" s="84"/>
      <c r="E3943" s="69" t="str">
        <f t="shared" si="188"/>
        <v>Еще фото</v>
      </c>
      <c r="F3943" s="13"/>
      <c r="G3943" s="23" t="s">
        <v>150</v>
      </c>
      <c r="H3943" s="23" t="s">
        <v>151</v>
      </c>
      <c r="I3943" s="23" t="s">
        <v>424</v>
      </c>
      <c r="J3943" s="14" t="s">
        <v>29</v>
      </c>
      <c r="K3943" s="15" t="s">
        <v>55</v>
      </c>
      <c r="L3943" s="87"/>
      <c r="M3943" s="14"/>
      <c r="N3943" s="14" t="s">
        <v>326</v>
      </c>
      <c r="O3943" s="14"/>
      <c r="P3943" s="15" t="s">
        <v>3205</v>
      </c>
      <c r="Q3943" s="16">
        <v>13999</v>
      </c>
      <c r="R3943" s="17">
        <v>45</v>
      </c>
      <c r="S3943" s="18">
        <v>8854.3674999999985</v>
      </c>
      <c r="T3943" s="19" t="s">
        <v>328</v>
      </c>
      <c r="U3943" s="20" t="s">
        <v>399</v>
      </c>
      <c r="V3943" s="21">
        <v>39</v>
      </c>
      <c r="W3943" s="21">
        <v>3</v>
      </c>
      <c r="X3943" s="22"/>
    </row>
    <row r="3944" spans="1:24" s="1" customFormat="1" ht="21.95" customHeight="1" x14ac:dyDescent="0.3">
      <c r="A3944" s="23" t="s">
        <v>3194</v>
      </c>
      <c r="B3944" s="23" t="s">
        <v>3198</v>
      </c>
      <c r="C3944" s="12" t="s">
        <v>4198</v>
      </c>
      <c r="D3944" s="85"/>
      <c r="E3944" s="69" t="str">
        <f t="shared" si="188"/>
        <v>Еще фото</v>
      </c>
      <c r="F3944" s="13"/>
      <c r="G3944" s="23" t="s">
        <v>150</v>
      </c>
      <c r="H3944" s="23" t="s">
        <v>151</v>
      </c>
      <c r="I3944" s="23" t="s">
        <v>424</v>
      </c>
      <c r="J3944" s="14" t="s">
        <v>29</v>
      </c>
      <c r="K3944" s="15" t="s">
        <v>55</v>
      </c>
      <c r="L3944" s="88"/>
      <c r="M3944" s="14"/>
      <c r="N3944" s="14" t="s">
        <v>326</v>
      </c>
      <c r="O3944" s="14"/>
      <c r="P3944" s="15" t="s">
        <v>3205</v>
      </c>
      <c r="Q3944" s="16">
        <v>13999</v>
      </c>
      <c r="R3944" s="17">
        <v>45</v>
      </c>
      <c r="S3944" s="18">
        <v>8854.3674999999985</v>
      </c>
      <c r="T3944" s="19" t="s">
        <v>328</v>
      </c>
      <c r="U3944" s="20" t="s">
        <v>400</v>
      </c>
      <c r="V3944" s="21">
        <v>40</v>
      </c>
      <c r="W3944" s="21">
        <v>1</v>
      </c>
      <c r="X3944" s="22"/>
    </row>
    <row r="3945" spans="1:24" s="1" customFormat="1" ht="21" customHeight="1" x14ac:dyDescent="0.3">
      <c r="A3945" s="11" t="s">
        <v>3194</v>
      </c>
      <c r="B3945" s="11" t="s">
        <v>3198</v>
      </c>
      <c r="C3945" s="27" t="s">
        <v>4199</v>
      </c>
      <c r="D3945" s="83"/>
      <c r="E3945" s="69" t="str">
        <f>HYPERLINK("https://www.google.ru/search?q=101988099&amp;newwindow=1&amp;tbm=isch","Еще фото")</f>
        <v>Еще фото</v>
      </c>
      <c r="F3945" s="13"/>
      <c r="G3945" s="11" t="s">
        <v>150</v>
      </c>
      <c r="H3945" s="11" t="s">
        <v>151</v>
      </c>
      <c r="I3945" s="14" t="s">
        <v>424</v>
      </c>
      <c r="J3945" s="14" t="s">
        <v>29</v>
      </c>
      <c r="K3945" s="15" t="s">
        <v>47</v>
      </c>
      <c r="L3945" s="86"/>
      <c r="M3945" s="14"/>
      <c r="N3945" s="14" t="s">
        <v>4200</v>
      </c>
      <c r="O3945" s="14"/>
      <c r="P3945" s="15" t="s">
        <v>3201</v>
      </c>
      <c r="Q3945" s="16">
        <v>14999</v>
      </c>
      <c r="R3945" s="17">
        <v>45</v>
      </c>
      <c r="S3945" s="18">
        <v>9486.8675000000003</v>
      </c>
      <c r="T3945" s="19" t="s">
        <v>328</v>
      </c>
      <c r="U3945" s="20" t="s">
        <v>1503</v>
      </c>
      <c r="V3945" s="21">
        <v>35</v>
      </c>
      <c r="W3945" s="21">
        <v>8</v>
      </c>
      <c r="X3945" s="22"/>
    </row>
    <row r="3946" spans="1:24" s="1" customFormat="1" ht="21" customHeight="1" x14ac:dyDescent="0.3">
      <c r="A3946" s="23" t="s">
        <v>3194</v>
      </c>
      <c r="B3946" s="23" t="s">
        <v>3198</v>
      </c>
      <c r="C3946" s="28" t="s">
        <v>4199</v>
      </c>
      <c r="D3946" s="84"/>
      <c r="E3946" s="69" t="str">
        <f>HYPERLINK("https://www.google.ru/search?q=101988099&amp;newwindow=1&amp;tbm=isch","Еще фото")</f>
        <v>Еще фото</v>
      </c>
      <c r="F3946" s="13"/>
      <c r="G3946" s="23" t="s">
        <v>150</v>
      </c>
      <c r="H3946" s="23" t="s">
        <v>151</v>
      </c>
      <c r="I3946" s="23" t="s">
        <v>424</v>
      </c>
      <c r="J3946" s="14" t="s">
        <v>29</v>
      </c>
      <c r="K3946" s="15" t="s">
        <v>47</v>
      </c>
      <c r="L3946" s="87"/>
      <c r="M3946" s="14"/>
      <c r="N3946" s="14" t="s">
        <v>4200</v>
      </c>
      <c r="O3946" s="14"/>
      <c r="P3946" s="15" t="s">
        <v>3201</v>
      </c>
      <c r="Q3946" s="16">
        <v>14999</v>
      </c>
      <c r="R3946" s="17">
        <v>45</v>
      </c>
      <c r="S3946" s="18">
        <v>9486.8675000000003</v>
      </c>
      <c r="T3946" s="19" t="s">
        <v>328</v>
      </c>
      <c r="U3946" s="20" t="s">
        <v>409</v>
      </c>
      <c r="V3946" s="21">
        <v>36</v>
      </c>
      <c r="W3946" s="21">
        <v>15</v>
      </c>
      <c r="X3946" s="22"/>
    </row>
    <row r="3947" spans="1:24" s="1" customFormat="1" ht="21" customHeight="1" x14ac:dyDescent="0.3">
      <c r="A3947" s="23" t="s">
        <v>3194</v>
      </c>
      <c r="B3947" s="23" t="s">
        <v>3198</v>
      </c>
      <c r="C3947" s="28" t="s">
        <v>4199</v>
      </c>
      <c r="D3947" s="84"/>
      <c r="E3947" s="69" t="str">
        <f>HYPERLINK("https://www.google.ru/search?q=101988099&amp;newwindow=1&amp;tbm=isch","Еще фото")</f>
        <v>Еще фото</v>
      </c>
      <c r="F3947" s="13"/>
      <c r="G3947" s="23" t="s">
        <v>150</v>
      </c>
      <c r="H3947" s="23" t="s">
        <v>151</v>
      </c>
      <c r="I3947" s="23" t="s">
        <v>424</v>
      </c>
      <c r="J3947" s="14" t="s">
        <v>29</v>
      </c>
      <c r="K3947" s="15" t="s">
        <v>47</v>
      </c>
      <c r="L3947" s="87"/>
      <c r="M3947" s="14"/>
      <c r="N3947" s="14" t="s">
        <v>4200</v>
      </c>
      <c r="O3947" s="14"/>
      <c r="P3947" s="15" t="s">
        <v>3201</v>
      </c>
      <c r="Q3947" s="16">
        <v>14999</v>
      </c>
      <c r="R3947" s="17">
        <v>45</v>
      </c>
      <c r="S3947" s="18">
        <v>9486.8675000000003</v>
      </c>
      <c r="T3947" s="19" t="s">
        <v>328</v>
      </c>
      <c r="U3947" s="20" t="s">
        <v>426</v>
      </c>
      <c r="V3947" s="21">
        <v>37</v>
      </c>
      <c r="W3947" s="21">
        <v>20</v>
      </c>
      <c r="X3947" s="22"/>
    </row>
    <row r="3948" spans="1:24" s="1" customFormat="1" ht="21" customHeight="1" x14ac:dyDescent="0.3">
      <c r="A3948" s="23" t="s">
        <v>3194</v>
      </c>
      <c r="B3948" s="23" t="s">
        <v>3198</v>
      </c>
      <c r="C3948" s="28" t="s">
        <v>4199</v>
      </c>
      <c r="D3948" s="84"/>
      <c r="E3948" s="69" t="str">
        <f>HYPERLINK("https://www.google.ru/search?q=101988099&amp;newwindow=1&amp;tbm=isch","Еще фото")</f>
        <v>Еще фото</v>
      </c>
      <c r="F3948" s="13"/>
      <c r="G3948" s="23" t="s">
        <v>150</v>
      </c>
      <c r="H3948" s="23" t="s">
        <v>151</v>
      </c>
      <c r="I3948" s="23" t="s">
        <v>424</v>
      </c>
      <c r="J3948" s="14" t="s">
        <v>29</v>
      </c>
      <c r="K3948" s="15" t="s">
        <v>47</v>
      </c>
      <c r="L3948" s="87"/>
      <c r="M3948" s="14"/>
      <c r="N3948" s="14" t="s">
        <v>4200</v>
      </c>
      <c r="O3948" s="14"/>
      <c r="P3948" s="15" t="s">
        <v>3201</v>
      </c>
      <c r="Q3948" s="16">
        <v>14999</v>
      </c>
      <c r="R3948" s="17">
        <v>45</v>
      </c>
      <c r="S3948" s="18">
        <v>9486.8675000000003</v>
      </c>
      <c r="T3948" s="19" t="s">
        <v>328</v>
      </c>
      <c r="U3948" s="20" t="s">
        <v>413</v>
      </c>
      <c r="V3948" s="21">
        <v>38</v>
      </c>
      <c r="W3948" s="21">
        <v>10</v>
      </c>
      <c r="X3948" s="22"/>
    </row>
    <row r="3949" spans="1:24" s="1" customFormat="1" ht="32.1" customHeight="1" x14ac:dyDescent="0.3">
      <c r="A3949" s="23" t="s">
        <v>3194</v>
      </c>
      <c r="B3949" s="23" t="s">
        <v>3198</v>
      </c>
      <c r="C3949" s="28" t="s">
        <v>4199</v>
      </c>
      <c r="D3949" s="85"/>
      <c r="E3949" s="69" t="str">
        <f>HYPERLINK("https://www.google.ru/search?q=101988099&amp;newwindow=1&amp;tbm=isch","Еще фото")</f>
        <v>Еще фото</v>
      </c>
      <c r="F3949" s="13"/>
      <c r="G3949" s="23" t="s">
        <v>150</v>
      </c>
      <c r="H3949" s="23" t="s">
        <v>151</v>
      </c>
      <c r="I3949" s="23" t="s">
        <v>424</v>
      </c>
      <c r="J3949" s="14" t="s">
        <v>29</v>
      </c>
      <c r="K3949" s="15" t="s">
        <v>47</v>
      </c>
      <c r="L3949" s="88"/>
      <c r="M3949" s="14"/>
      <c r="N3949" s="14" t="s">
        <v>4200</v>
      </c>
      <c r="O3949" s="14"/>
      <c r="P3949" s="15" t="s">
        <v>3201</v>
      </c>
      <c r="Q3949" s="16">
        <v>14999</v>
      </c>
      <c r="R3949" s="17">
        <v>45</v>
      </c>
      <c r="S3949" s="18">
        <v>9486.8675000000003</v>
      </c>
      <c r="T3949" s="19" t="s">
        <v>328</v>
      </c>
      <c r="U3949" s="20" t="s">
        <v>399</v>
      </c>
      <c r="V3949" s="21">
        <v>39</v>
      </c>
      <c r="W3949" s="21">
        <v>7</v>
      </c>
      <c r="X3949" s="22"/>
    </row>
    <row r="3950" spans="1:24" s="1" customFormat="1" ht="21" customHeight="1" x14ac:dyDescent="0.3">
      <c r="A3950" s="11" t="s">
        <v>3194</v>
      </c>
      <c r="B3950" s="11" t="s">
        <v>3198</v>
      </c>
      <c r="C3950" s="27" t="s">
        <v>4201</v>
      </c>
      <c r="D3950" s="83"/>
      <c r="E3950" s="69" t="str">
        <f>HYPERLINK("https://www.google.ru/search?q=101988100&amp;newwindow=1&amp;tbm=isch","Еще фото")</f>
        <v>Еще фото</v>
      </c>
      <c r="F3950" s="13"/>
      <c r="G3950" s="11" t="s">
        <v>150</v>
      </c>
      <c r="H3950" s="11" t="s">
        <v>151</v>
      </c>
      <c r="I3950" s="14" t="s">
        <v>424</v>
      </c>
      <c r="J3950" s="14" t="s">
        <v>29</v>
      </c>
      <c r="K3950" s="15" t="s">
        <v>47</v>
      </c>
      <c r="L3950" s="86"/>
      <c r="M3950" s="14"/>
      <c r="N3950" s="14" t="s">
        <v>3200</v>
      </c>
      <c r="O3950" s="14"/>
      <c r="P3950" s="15" t="s">
        <v>3201</v>
      </c>
      <c r="Q3950" s="16">
        <v>15699</v>
      </c>
      <c r="R3950" s="17">
        <v>45</v>
      </c>
      <c r="S3950" s="18">
        <v>9929.6175000000003</v>
      </c>
      <c r="T3950" s="19" t="s">
        <v>328</v>
      </c>
      <c r="U3950" s="20" t="s">
        <v>409</v>
      </c>
      <c r="V3950" s="21">
        <v>36</v>
      </c>
      <c r="W3950" s="21">
        <v>4</v>
      </c>
      <c r="X3950" s="22"/>
    </row>
    <row r="3951" spans="1:24" s="1" customFormat="1" ht="21" customHeight="1" x14ac:dyDescent="0.3">
      <c r="A3951" s="23" t="s">
        <v>3194</v>
      </c>
      <c r="B3951" s="23" t="s">
        <v>3198</v>
      </c>
      <c r="C3951" s="28" t="s">
        <v>4201</v>
      </c>
      <c r="D3951" s="84"/>
      <c r="E3951" s="69" t="str">
        <f>HYPERLINK("https://www.google.ru/search?q=101988100&amp;newwindow=1&amp;tbm=isch","Еще фото")</f>
        <v>Еще фото</v>
      </c>
      <c r="F3951" s="13"/>
      <c r="G3951" s="23" t="s">
        <v>150</v>
      </c>
      <c r="H3951" s="23" t="s">
        <v>151</v>
      </c>
      <c r="I3951" s="23" t="s">
        <v>424</v>
      </c>
      <c r="J3951" s="14" t="s">
        <v>29</v>
      </c>
      <c r="K3951" s="15" t="s">
        <v>47</v>
      </c>
      <c r="L3951" s="87"/>
      <c r="M3951" s="14"/>
      <c r="N3951" s="14" t="s">
        <v>3200</v>
      </c>
      <c r="O3951" s="14"/>
      <c r="P3951" s="15" t="s">
        <v>3201</v>
      </c>
      <c r="Q3951" s="16">
        <v>15699</v>
      </c>
      <c r="R3951" s="17">
        <v>45</v>
      </c>
      <c r="S3951" s="18">
        <v>9929.6175000000003</v>
      </c>
      <c r="T3951" s="19" t="s">
        <v>328</v>
      </c>
      <c r="U3951" s="20" t="s">
        <v>426</v>
      </c>
      <c r="V3951" s="21">
        <v>37</v>
      </c>
      <c r="W3951" s="21">
        <v>4</v>
      </c>
      <c r="X3951" s="22"/>
    </row>
    <row r="3952" spans="1:24" s="1" customFormat="1" ht="21" customHeight="1" x14ac:dyDescent="0.3">
      <c r="A3952" s="23" t="s">
        <v>3194</v>
      </c>
      <c r="B3952" s="23" t="s">
        <v>3198</v>
      </c>
      <c r="C3952" s="28" t="s">
        <v>4201</v>
      </c>
      <c r="D3952" s="84"/>
      <c r="E3952" s="69" t="str">
        <f>HYPERLINK("https://www.google.ru/search?q=101988100&amp;newwindow=1&amp;tbm=isch","Еще фото")</f>
        <v>Еще фото</v>
      </c>
      <c r="F3952" s="13"/>
      <c r="G3952" s="23" t="s">
        <v>150</v>
      </c>
      <c r="H3952" s="23" t="s">
        <v>151</v>
      </c>
      <c r="I3952" s="23" t="s">
        <v>424</v>
      </c>
      <c r="J3952" s="14" t="s">
        <v>29</v>
      </c>
      <c r="K3952" s="15" t="s">
        <v>47</v>
      </c>
      <c r="L3952" s="87"/>
      <c r="M3952" s="14"/>
      <c r="N3952" s="14" t="s">
        <v>3200</v>
      </c>
      <c r="O3952" s="14"/>
      <c r="P3952" s="15" t="s">
        <v>3201</v>
      </c>
      <c r="Q3952" s="16">
        <v>15699</v>
      </c>
      <c r="R3952" s="17">
        <v>45</v>
      </c>
      <c r="S3952" s="18">
        <v>9929.6175000000003</v>
      </c>
      <c r="T3952" s="19" t="s">
        <v>328</v>
      </c>
      <c r="U3952" s="20" t="s">
        <v>413</v>
      </c>
      <c r="V3952" s="21">
        <v>38</v>
      </c>
      <c r="W3952" s="21">
        <v>4</v>
      </c>
      <c r="X3952" s="22"/>
    </row>
    <row r="3953" spans="1:24" s="1" customFormat="1" ht="21" customHeight="1" x14ac:dyDescent="0.3">
      <c r="A3953" s="23" t="s">
        <v>3194</v>
      </c>
      <c r="B3953" s="23" t="s">
        <v>3198</v>
      </c>
      <c r="C3953" s="28" t="s">
        <v>4201</v>
      </c>
      <c r="D3953" s="84"/>
      <c r="E3953" s="69" t="str">
        <f>HYPERLINK("https://www.google.ru/search?q=101988100&amp;newwindow=1&amp;tbm=isch","Еще фото")</f>
        <v>Еще фото</v>
      </c>
      <c r="F3953" s="13"/>
      <c r="G3953" s="23" t="s">
        <v>150</v>
      </c>
      <c r="H3953" s="23" t="s">
        <v>151</v>
      </c>
      <c r="I3953" s="23" t="s">
        <v>424</v>
      </c>
      <c r="J3953" s="14" t="s">
        <v>29</v>
      </c>
      <c r="K3953" s="15" t="s">
        <v>47</v>
      </c>
      <c r="L3953" s="87"/>
      <c r="M3953" s="14"/>
      <c r="N3953" s="14" t="s">
        <v>3200</v>
      </c>
      <c r="O3953" s="14"/>
      <c r="P3953" s="15" t="s">
        <v>3201</v>
      </c>
      <c r="Q3953" s="16">
        <v>15699</v>
      </c>
      <c r="R3953" s="17">
        <v>45</v>
      </c>
      <c r="S3953" s="18">
        <v>9929.6175000000003</v>
      </c>
      <c r="T3953" s="19" t="s">
        <v>328</v>
      </c>
      <c r="U3953" s="20" t="s">
        <v>399</v>
      </c>
      <c r="V3953" s="21">
        <v>39</v>
      </c>
      <c r="W3953" s="21">
        <v>2</v>
      </c>
      <c r="X3953" s="22"/>
    </row>
    <row r="3954" spans="1:24" s="1" customFormat="1" ht="32.1" customHeight="1" x14ac:dyDescent="0.3">
      <c r="A3954" s="23" t="s">
        <v>3194</v>
      </c>
      <c r="B3954" s="23" t="s">
        <v>3198</v>
      </c>
      <c r="C3954" s="28" t="s">
        <v>4201</v>
      </c>
      <c r="D3954" s="85"/>
      <c r="E3954" s="69" t="str">
        <f>HYPERLINK("https://www.google.ru/search?q=101988100&amp;newwindow=1&amp;tbm=isch","Еще фото")</f>
        <v>Еще фото</v>
      </c>
      <c r="F3954" s="13"/>
      <c r="G3954" s="23" t="s">
        <v>150</v>
      </c>
      <c r="H3954" s="23" t="s">
        <v>151</v>
      </c>
      <c r="I3954" s="23" t="s">
        <v>424</v>
      </c>
      <c r="J3954" s="14" t="s">
        <v>29</v>
      </c>
      <c r="K3954" s="15" t="s">
        <v>47</v>
      </c>
      <c r="L3954" s="88"/>
      <c r="M3954" s="14"/>
      <c r="N3954" s="14" t="s">
        <v>3200</v>
      </c>
      <c r="O3954" s="14"/>
      <c r="P3954" s="15" t="s">
        <v>3201</v>
      </c>
      <c r="Q3954" s="16">
        <v>15699</v>
      </c>
      <c r="R3954" s="17">
        <v>45</v>
      </c>
      <c r="S3954" s="18">
        <v>9929.6175000000003</v>
      </c>
      <c r="T3954" s="19" t="s">
        <v>328</v>
      </c>
      <c r="U3954" s="20" t="s">
        <v>400</v>
      </c>
      <c r="V3954" s="21">
        <v>40</v>
      </c>
      <c r="W3954" s="21">
        <v>1</v>
      </c>
      <c r="X3954" s="22"/>
    </row>
    <row r="3955" spans="1:24" s="1" customFormat="1" ht="17.100000000000001" customHeight="1" x14ac:dyDescent="0.3">
      <c r="A3955" s="11" t="s">
        <v>3194</v>
      </c>
      <c r="B3955" s="11" t="s">
        <v>3198</v>
      </c>
      <c r="C3955" s="12" t="s">
        <v>4202</v>
      </c>
      <c r="D3955" s="83"/>
      <c r="E3955" s="69" t="str">
        <f t="shared" ref="E3955:E3960" si="189">HYPERLINK("https://www.google.ru/search?q=101988102&amp;newwindow=1&amp;tbm=isch","Еще фото")</f>
        <v>Еще фото</v>
      </c>
      <c r="F3955" s="13"/>
      <c r="G3955" s="11" t="s">
        <v>150</v>
      </c>
      <c r="H3955" s="11" t="s">
        <v>151</v>
      </c>
      <c r="I3955" s="14" t="s">
        <v>424</v>
      </c>
      <c r="J3955" s="14" t="s">
        <v>29</v>
      </c>
      <c r="K3955" s="15" t="s">
        <v>47</v>
      </c>
      <c r="L3955" s="86"/>
      <c r="M3955" s="14"/>
      <c r="N3955" s="14" t="s">
        <v>154</v>
      </c>
      <c r="O3955" s="14"/>
      <c r="P3955" s="15" t="s">
        <v>3201</v>
      </c>
      <c r="Q3955" s="16">
        <v>15699</v>
      </c>
      <c r="R3955" s="17">
        <v>45</v>
      </c>
      <c r="S3955" s="18">
        <v>9929.6175000000003</v>
      </c>
      <c r="T3955" s="19" t="s">
        <v>328</v>
      </c>
      <c r="U3955" s="20" t="s">
        <v>1503</v>
      </c>
      <c r="V3955" s="21">
        <v>35</v>
      </c>
      <c r="W3955" s="21">
        <v>6</v>
      </c>
      <c r="X3955" s="22"/>
    </row>
    <row r="3956" spans="1:24" s="1" customFormat="1" ht="17.100000000000001" customHeight="1" x14ac:dyDescent="0.3">
      <c r="A3956" s="23" t="s">
        <v>3194</v>
      </c>
      <c r="B3956" s="23" t="s">
        <v>3198</v>
      </c>
      <c r="C3956" s="12" t="s">
        <v>4202</v>
      </c>
      <c r="D3956" s="84"/>
      <c r="E3956" s="69" t="str">
        <f t="shared" si="189"/>
        <v>Еще фото</v>
      </c>
      <c r="F3956" s="13"/>
      <c r="G3956" s="23" t="s">
        <v>150</v>
      </c>
      <c r="H3956" s="23" t="s">
        <v>151</v>
      </c>
      <c r="I3956" s="23" t="s">
        <v>424</v>
      </c>
      <c r="J3956" s="14" t="s">
        <v>29</v>
      </c>
      <c r="K3956" s="15" t="s">
        <v>47</v>
      </c>
      <c r="L3956" s="87"/>
      <c r="M3956" s="14"/>
      <c r="N3956" s="14" t="s">
        <v>154</v>
      </c>
      <c r="O3956" s="14"/>
      <c r="P3956" s="15" t="s">
        <v>3201</v>
      </c>
      <c r="Q3956" s="16">
        <v>15699</v>
      </c>
      <c r="R3956" s="17">
        <v>45</v>
      </c>
      <c r="S3956" s="18">
        <v>9929.6175000000003</v>
      </c>
      <c r="T3956" s="19" t="s">
        <v>328</v>
      </c>
      <c r="U3956" s="20" t="s">
        <v>409</v>
      </c>
      <c r="V3956" s="21">
        <v>36</v>
      </c>
      <c r="W3956" s="21">
        <v>15</v>
      </c>
      <c r="X3956" s="22"/>
    </row>
    <row r="3957" spans="1:24" s="1" customFormat="1" ht="17.100000000000001" customHeight="1" x14ac:dyDescent="0.3">
      <c r="A3957" s="23" t="s">
        <v>3194</v>
      </c>
      <c r="B3957" s="23" t="s">
        <v>3198</v>
      </c>
      <c r="C3957" s="12" t="s">
        <v>4202</v>
      </c>
      <c r="D3957" s="84"/>
      <c r="E3957" s="69" t="str">
        <f t="shared" si="189"/>
        <v>Еще фото</v>
      </c>
      <c r="F3957" s="13"/>
      <c r="G3957" s="23" t="s">
        <v>150</v>
      </c>
      <c r="H3957" s="23" t="s">
        <v>151</v>
      </c>
      <c r="I3957" s="23" t="s">
        <v>424</v>
      </c>
      <c r="J3957" s="14" t="s">
        <v>29</v>
      </c>
      <c r="K3957" s="15" t="s">
        <v>47</v>
      </c>
      <c r="L3957" s="87"/>
      <c r="M3957" s="14"/>
      <c r="N3957" s="14" t="s">
        <v>154</v>
      </c>
      <c r="O3957" s="14"/>
      <c r="P3957" s="15" t="s">
        <v>3201</v>
      </c>
      <c r="Q3957" s="16">
        <v>15699</v>
      </c>
      <c r="R3957" s="17">
        <v>45</v>
      </c>
      <c r="S3957" s="18">
        <v>9929.6175000000003</v>
      </c>
      <c r="T3957" s="19" t="s">
        <v>328</v>
      </c>
      <c r="U3957" s="20" t="s">
        <v>426</v>
      </c>
      <c r="V3957" s="21">
        <v>37</v>
      </c>
      <c r="W3957" s="21">
        <v>20</v>
      </c>
      <c r="X3957" s="22"/>
    </row>
    <row r="3958" spans="1:24" s="1" customFormat="1" ht="17.100000000000001" customHeight="1" x14ac:dyDescent="0.3">
      <c r="A3958" s="23" t="s">
        <v>3194</v>
      </c>
      <c r="B3958" s="23" t="s">
        <v>3198</v>
      </c>
      <c r="C3958" s="12" t="s">
        <v>4202</v>
      </c>
      <c r="D3958" s="84"/>
      <c r="E3958" s="69" t="str">
        <f t="shared" si="189"/>
        <v>Еще фото</v>
      </c>
      <c r="F3958" s="13"/>
      <c r="G3958" s="23" t="s">
        <v>150</v>
      </c>
      <c r="H3958" s="23" t="s">
        <v>151</v>
      </c>
      <c r="I3958" s="23" t="s">
        <v>424</v>
      </c>
      <c r="J3958" s="14" t="s">
        <v>29</v>
      </c>
      <c r="K3958" s="15" t="s">
        <v>47</v>
      </c>
      <c r="L3958" s="87"/>
      <c r="M3958" s="14"/>
      <c r="N3958" s="14" t="s">
        <v>154</v>
      </c>
      <c r="O3958" s="14"/>
      <c r="P3958" s="15" t="s">
        <v>3201</v>
      </c>
      <c r="Q3958" s="16">
        <v>15699</v>
      </c>
      <c r="R3958" s="17">
        <v>45</v>
      </c>
      <c r="S3958" s="18">
        <v>9929.6175000000003</v>
      </c>
      <c r="T3958" s="19" t="s">
        <v>328</v>
      </c>
      <c r="U3958" s="20" t="s">
        <v>413</v>
      </c>
      <c r="V3958" s="21">
        <v>38</v>
      </c>
      <c r="W3958" s="21">
        <v>12</v>
      </c>
      <c r="X3958" s="22"/>
    </row>
    <row r="3959" spans="1:24" s="1" customFormat="1" ht="17.100000000000001" customHeight="1" x14ac:dyDescent="0.3">
      <c r="A3959" s="23" t="s">
        <v>3194</v>
      </c>
      <c r="B3959" s="23" t="s">
        <v>3198</v>
      </c>
      <c r="C3959" s="12" t="s">
        <v>4202</v>
      </c>
      <c r="D3959" s="84"/>
      <c r="E3959" s="69" t="str">
        <f t="shared" si="189"/>
        <v>Еще фото</v>
      </c>
      <c r="F3959" s="13"/>
      <c r="G3959" s="23" t="s">
        <v>150</v>
      </c>
      <c r="H3959" s="23" t="s">
        <v>151</v>
      </c>
      <c r="I3959" s="23" t="s">
        <v>424</v>
      </c>
      <c r="J3959" s="14" t="s">
        <v>29</v>
      </c>
      <c r="K3959" s="15" t="s">
        <v>47</v>
      </c>
      <c r="L3959" s="87"/>
      <c r="M3959" s="14"/>
      <c r="N3959" s="14" t="s">
        <v>154</v>
      </c>
      <c r="O3959" s="14"/>
      <c r="P3959" s="15" t="s">
        <v>3201</v>
      </c>
      <c r="Q3959" s="16">
        <v>15699</v>
      </c>
      <c r="R3959" s="17">
        <v>45</v>
      </c>
      <c r="S3959" s="18">
        <v>9929.6175000000003</v>
      </c>
      <c r="T3959" s="19" t="s">
        <v>328</v>
      </c>
      <c r="U3959" s="20" t="s">
        <v>399</v>
      </c>
      <c r="V3959" s="21">
        <v>39</v>
      </c>
      <c r="W3959" s="21">
        <v>8</v>
      </c>
      <c r="X3959" s="22"/>
    </row>
    <row r="3960" spans="1:24" s="1" customFormat="1" ht="21.95" customHeight="1" x14ac:dyDescent="0.3">
      <c r="A3960" s="23" t="s">
        <v>3194</v>
      </c>
      <c r="B3960" s="23" t="s">
        <v>3198</v>
      </c>
      <c r="C3960" s="12" t="s">
        <v>4202</v>
      </c>
      <c r="D3960" s="85"/>
      <c r="E3960" s="69" t="str">
        <f t="shared" si="189"/>
        <v>Еще фото</v>
      </c>
      <c r="F3960" s="13"/>
      <c r="G3960" s="23" t="s">
        <v>150</v>
      </c>
      <c r="H3960" s="23" t="s">
        <v>151</v>
      </c>
      <c r="I3960" s="23" t="s">
        <v>424</v>
      </c>
      <c r="J3960" s="14" t="s">
        <v>29</v>
      </c>
      <c r="K3960" s="15" t="s">
        <v>47</v>
      </c>
      <c r="L3960" s="88"/>
      <c r="M3960" s="14"/>
      <c r="N3960" s="14" t="s">
        <v>154</v>
      </c>
      <c r="O3960" s="14"/>
      <c r="P3960" s="15" t="s">
        <v>3201</v>
      </c>
      <c r="Q3960" s="16">
        <v>15699</v>
      </c>
      <c r="R3960" s="17">
        <v>45</v>
      </c>
      <c r="S3960" s="18">
        <v>9929.6175000000003</v>
      </c>
      <c r="T3960" s="19" t="s">
        <v>328</v>
      </c>
      <c r="U3960" s="20" t="s">
        <v>400</v>
      </c>
      <c r="V3960" s="21">
        <v>40</v>
      </c>
      <c r="W3960" s="21">
        <v>4</v>
      </c>
      <c r="X3960" s="22"/>
    </row>
    <row r="3961" spans="1:24" s="1" customFormat="1" ht="17.100000000000001" customHeight="1" x14ac:dyDescent="0.3">
      <c r="A3961" s="11" t="s">
        <v>3194</v>
      </c>
      <c r="B3961" s="11" t="s">
        <v>3198</v>
      </c>
      <c r="C3961" s="12" t="s">
        <v>4203</v>
      </c>
      <c r="D3961" s="83"/>
      <c r="E3961" s="69" t="str">
        <f t="shared" ref="E3961:E3966" si="190">HYPERLINK("https://www.google.ru/search?q=101988103&amp;newwindow=1&amp;tbm=isch","Еще фото")</f>
        <v>Еще фото</v>
      </c>
      <c r="F3961" s="13"/>
      <c r="G3961" s="11" t="s">
        <v>150</v>
      </c>
      <c r="H3961" s="11" t="s">
        <v>151</v>
      </c>
      <c r="I3961" s="14" t="s">
        <v>424</v>
      </c>
      <c r="J3961" s="14" t="s">
        <v>29</v>
      </c>
      <c r="K3961" s="15" t="s">
        <v>55</v>
      </c>
      <c r="L3961" s="86"/>
      <c r="M3961" s="14"/>
      <c r="N3961" s="14" t="s">
        <v>49</v>
      </c>
      <c r="O3961" s="14"/>
      <c r="P3961" s="15" t="s">
        <v>3205</v>
      </c>
      <c r="Q3961" s="16">
        <v>14499</v>
      </c>
      <c r="R3961" s="17">
        <v>45</v>
      </c>
      <c r="S3961" s="18">
        <v>9170.6174999999985</v>
      </c>
      <c r="T3961" s="19" t="s">
        <v>328</v>
      </c>
      <c r="U3961" s="20" t="s">
        <v>1503</v>
      </c>
      <c r="V3961" s="21">
        <v>35</v>
      </c>
      <c r="W3961" s="21">
        <v>3</v>
      </c>
      <c r="X3961" s="22"/>
    </row>
    <row r="3962" spans="1:24" s="1" customFormat="1" ht="17.100000000000001" customHeight="1" x14ac:dyDescent="0.3">
      <c r="A3962" s="23" t="s">
        <v>3194</v>
      </c>
      <c r="B3962" s="23" t="s">
        <v>3198</v>
      </c>
      <c r="C3962" s="12" t="s">
        <v>4203</v>
      </c>
      <c r="D3962" s="84"/>
      <c r="E3962" s="69" t="str">
        <f t="shared" si="190"/>
        <v>Еще фото</v>
      </c>
      <c r="F3962" s="13"/>
      <c r="G3962" s="23" t="s">
        <v>150</v>
      </c>
      <c r="H3962" s="23" t="s">
        <v>151</v>
      </c>
      <c r="I3962" s="23" t="s">
        <v>424</v>
      </c>
      <c r="J3962" s="14" t="s">
        <v>29</v>
      </c>
      <c r="K3962" s="15" t="s">
        <v>55</v>
      </c>
      <c r="L3962" s="87"/>
      <c r="M3962" s="14"/>
      <c r="N3962" s="14" t="s">
        <v>49</v>
      </c>
      <c r="O3962" s="14"/>
      <c r="P3962" s="15" t="s">
        <v>3205</v>
      </c>
      <c r="Q3962" s="16">
        <v>14499</v>
      </c>
      <c r="R3962" s="17">
        <v>45</v>
      </c>
      <c r="S3962" s="18">
        <v>9170.6174999999985</v>
      </c>
      <c r="T3962" s="19" t="s">
        <v>328</v>
      </c>
      <c r="U3962" s="20" t="s">
        <v>409</v>
      </c>
      <c r="V3962" s="21">
        <v>36</v>
      </c>
      <c r="W3962" s="21">
        <v>5</v>
      </c>
      <c r="X3962" s="22"/>
    </row>
    <row r="3963" spans="1:24" s="1" customFormat="1" ht="17.100000000000001" customHeight="1" x14ac:dyDescent="0.3">
      <c r="A3963" s="23" t="s">
        <v>3194</v>
      </c>
      <c r="B3963" s="23" t="s">
        <v>3198</v>
      </c>
      <c r="C3963" s="12" t="s">
        <v>4203</v>
      </c>
      <c r="D3963" s="84"/>
      <c r="E3963" s="69" t="str">
        <f t="shared" si="190"/>
        <v>Еще фото</v>
      </c>
      <c r="F3963" s="13"/>
      <c r="G3963" s="23" t="s">
        <v>150</v>
      </c>
      <c r="H3963" s="23" t="s">
        <v>151</v>
      </c>
      <c r="I3963" s="23" t="s">
        <v>424</v>
      </c>
      <c r="J3963" s="14" t="s">
        <v>29</v>
      </c>
      <c r="K3963" s="15" t="s">
        <v>55</v>
      </c>
      <c r="L3963" s="87"/>
      <c r="M3963" s="14"/>
      <c r="N3963" s="14" t="s">
        <v>49</v>
      </c>
      <c r="O3963" s="14"/>
      <c r="P3963" s="15" t="s">
        <v>3205</v>
      </c>
      <c r="Q3963" s="16">
        <v>14499</v>
      </c>
      <c r="R3963" s="17">
        <v>45</v>
      </c>
      <c r="S3963" s="18">
        <v>9170.6174999999985</v>
      </c>
      <c r="T3963" s="19" t="s">
        <v>328</v>
      </c>
      <c r="U3963" s="20" t="s">
        <v>426</v>
      </c>
      <c r="V3963" s="21">
        <v>37</v>
      </c>
      <c r="W3963" s="21">
        <v>6</v>
      </c>
      <c r="X3963" s="22"/>
    </row>
    <row r="3964" spans="1:24" s="1" customFormat="1" ht="17.100000000000001" customHeight="1" x14ac:dyDescent="0.3">
      <c r="A3964" s="23" t="s">
        <v>3194</v>
      </c>
      <c r="B3964" s="23" t="s">
        <v>3198</v>
      </c>
      <c r="C3964" s="12" t="s">
        <v>4203</v>
      </c>
      <c r="D3964" s="84"/>
      <c r="E3964" s="69" t="str">
        <f t="shared" si="190"/>
        <v>Еще фото</v>
      </c>
      <c r="F3964" s="13"/>
      <c r="G3964" s="23" t="s">
        <v>150</v>
      </c>
      <c r="H3964" s="23" t="s">
        <v>151</v>
      </c>
      <c r="I3964" s="23" t="s">
        <v>424</v>
      </c>
      <c r="J3964" s="14" t="s">
        <v>29</v>
      </c>
      <c r="K3964" s="15" t="s">
        <v>55</v>
      </c>
      <c r="L3964" s="87"/>
      <c r="M3964" s="14"/>
      <c r="N3964" s="14" t="s">
        <v>49</v>
      </c>
      <c r="O3964" s="14"/>
      <c r="P3964" s="15" t="s">
        <v>3205</v>
      </c>
      <c r="Q3964" s="16">
        <v>14499</v>
      </c>
      <c r="R3964" s="17">
        <v>45</v>
      </c>
      <c r="S3964" s="18">
        <v>9170.6174999999985</v>
      </c>
      <c r="T3964" s="19" t="s">
        <v>328</v>
      </c>
      <c r="U3964" s="20" t="s">
        <v>413</v>
      </c>
      <c r="V3964" s="21">
        <v>38</v>
      </c>
      <c r="W3964" s="21">
        <v>4</v>
      </c>
      <c r="X3964" s="22"/>
    </row>
    <row r="3965" spans="1:24" s="1" customFormat="1" ht="17.100000000000001" customHeight="1" x14ac:dyDescent="0.3">
      <c r="A3965" s="23" t="s">
        <v>3194</v>
      </c>
      <c r="B3965" s="23" t="s">
        <v>3198</v>
      </c>
      <c r="C3965" s="12" t="s">
        <v>4203</v>
      </c>
      <c r="D3965" s="84"/>
      <c r="E3965" s="69" t="str">
        <f t="shared" si="190"/>
        <v>Еще фото</v>
      </c>
      <c r="F3965" s="13"/>
      <c r="G3965" s="23" t="s">
        <v>150</v>
      </c>
      <c r="H3965" s="23" t="s">
        <v>151</v>
      </c>
      <c r="I3965" s="23" t="s">
        <v>424</v>
      </c>
      <c r="J3965" s="14" t="s">
        <v>29</v>
      </c>
      <c r="K3965" s="15" t="s">
        <v>55</v>
      </c>
      <c r="L3965" s="87"/>
      <c r="M3965" s="14"/>
      <c r="N3965" s="14" t="s">
        <v>49</v>
      </c>
      <c r="O3965" s="14"/>
      <c r="P3965" s="15" t="s">
        <v>3205</v>
      </c>
      <c r="Q3965" s="16">
        <v>14499</v>
      </c>
      <c r="R3965" s="17">
        <v>45</v>
      </c>
      <c r="S3965" s="18">
        <v>9170.6174999999985</v>
      </c>
      <c r="T3965" s="19" t="s">
        <v>328</v>
      </c>
      <c r="U3965" s="20" t="s">
        <v>399</v>
      </c>
      <c r="V3965" s="21">
        <v>39</v>
      </c>
      <c r="W3965" s="21">
        <v>5</v>
      </c>
      <c r="X3965" s="22"/>
    </row>
    <row r="3966" spans="1:24" s="1" customFormat="1" ht="21.95" customHeight="1" x14ac:dyDescent="0.3">
      <c r="A3966" s="23" t="s">
        <v>3194</v>
      </c>
      <c r="B3966" s="23" t="s">
        <v>3198</v>
      </c>
      <c r="C3966" s="12" t="s">
        <v>4203</v>
      </c>
      <c r="D3966" s="85"/>
      <c r="E3966" s="69" t="str">
        <f t="shared" si="190"/>
        <v>Еще фото</v>
      </c>
      <c r="F3966" s="13"/>
      <c r="G3966" s="23" t="s">
        <v>150</v>
      </c>
      <c r="H3966" s="23" t="s">
        <v>151</v>
      </c>
      <c r="I3966" s="23" t="s">
        <v>424</v>
      </c>
      <c r="J3966" s="14" t="s">
        <v>29</v>
      </c>
      <c r="K3966" s="15" t="s">
        <v>55</v>
      </c>
      <c r="L3966" s="88"/>
      <c r="M3966" s="14"/>
      <c r="N3966" s="14" t="s">
        <v>49</v>
      </c>
      <c r="O3966" s="14"/>
      <c r="P3966" s="15" t="s">
        <v>3205</v>
      </c>
      <c r="Q3966" s="16">
        <v>14499</v>
      </c>
      <c r="R3966" s="17">
        <v>45</v>
      </c>
      <c r="S3966" s="18">
        <v>9170.6174999999985</v>
      </c>
      <c r="T3966" s="19" t="s">
        <v>328</v>
      </c>
      <c r="U3966" s="20" t="s">
        <v>400</v>
      </c>
      <c r="V3966" s="21">
        <v>40</v>
      </c>
      <c r="W3966" s="21">
        <v>1</v>
      </c>
      <c r="X3966" s="22"/>
    </row>
    <row r="3967" spans="1:24" s="1" customFormat="1" ht="21" customHeight="1" x14ac:dyDescent="0.3">
      <c r="A3967" s="11" t="s">
        <v>3194</v>
      </c>
      <c r="B3967" s="11" t="s">
        <v>3198</v>
      </c>
      <c r="C3967" s="27" t="s">
        <v>4204</v>
      </c>
      <c r="D3967" s="83"/>
      <c r="E3967" s="69" t="str">
        <f>HYPERLINK("https://www.google.ru/search?q=101988105&amp;newwindow=1&amp;tbm=isch","Еще фото")</f>
        <v>Еще фото</v>
      </c>
      <c r="F3967" s="13"/>
      <c r="G3967" s="11" t="s">
        <v>150</v>
      </c>
      <c r="H3967" s="11" t="s">
        <v>151</v>
      </c>
      <c r="I3967" s="14" t="s">
        <v>424</v>
      </c>
      <c r="J3967" s="14" t="s">
        <v>29</v>
      </c>
      <c r="K3967" s="15" t="s">
        <v>55</v>
      </c>
      <c r="L3967" s="86"/>
      <c r="M3967" s="14"/>
      <c r="N3967" s="14" t="s">
        <v>326</v>
      </c>
      <c r="O3967" s="14"/>
      <c r="P3967" s="15" t="s">
        <v>3205</v>
      </c>
      <c r="Q3967" s="16">
        <v>14499</v>
      </c>
      <c r="R3967" s="17">
        <v>45</v>
      </c>
      <c r="S3967" s="18">
        <v>9170.6174999999985</v>
      </c>
      <c r="T3967" s="19" t="s">
        <v>328</v>
      </c>
      <c r="U3967" s="20" t="s">
        <v>1503</v>
      </c>
      <c r="V3967" s="21">
        <v>35</v>
      </c>
      <c r="W3967" s="21">
        <v>3</v>
      </c>
      <c r="X3967" s="22"/>
    </row>
    <row r="3968" spans="1:24" s="1" customFormat="1" ht="21" customHeight="1" x14ac:dyDescent="0.3">
      <c r="A3968" s="23" t="s">
        <v>3194</v>
      </c>
      <c r="B3968" s="23" t="s">
        <v>3198</v>
      </c>
      <c r="C3968" s="28" t="s">
        <v>4204</v>
      </c>
      <c r="D3968" s="84"/>
      <c r="E3968" s="69" t="str">
        <f>HYPERLINK("https://www.google.ru/search?q=101988105&amp;newwindow=1&amp;tbm=isch","Еще фото")</f>
        <v>Еще фото</v>
      </c>
      <c r="F3968" s="13"/>
      <c r="G3968" s="23" t="s">
        <v>150</v>
      </c>
      <c r="H3968" s="23" t="s">
        <v>151</v>
      </c>
      <c r="I3968" s="23" t="s">
        <v>424</v>
      </c>
      <c r="J3968" s="14" t="s">
        <v>29</v>
      </c>
      <c r="K3968" s="15" t="s">
        <v>55</v>
      </c>
      <c r="L3968" s="87"/>
      <c r="M3968" s="14"/>
      <c r="N3968" s="14" t="s">
        <v>326</v>
      </c>
      <c r="O3968" s="14"/>
      <c r="P3968" s="15" t="s">
        <v>3205</v>
      </c>
      <c r="Q3968" s="16">
        <v>14499</v>
      </c>
      <c r="R3968" s="17">
        <v>45</v>
      </c>
      <c r="S3968" s="18">
        <v>9170.6174999999985</v>
      </c>
      <c r="T3968" s="19" t="s">
        <v>328</v>
      </c>
      <c r="U3968" s="20" t="s">
        <v>409</v>
      </c>
      <c r="V3968" s="21">
        <v>36</v>
      </c>
      <c r="W3968" s="21">
        <v>5</v>
      </c>
      <c r="X3968" s="22"/>
    </row>
    <row r="3969" spans="1:24" s="1" customFormat="1" ht="21" customHeight="1" x14ac:dyDescent="0.3">
      <c r="A3969" s="23" t="s">
        <v>3194</v>
      </c>
      <c r="B3969" s="23" t="s">
        <v>3198</v>
      </c>
      <c r="C3969" s="28" t="s">
        <v>4204</v>
      </c>
      <c r="D3969" s="84"/>
      <c r="E3969" s="69" t="str">
        <f>HYPERLINK("https://www.google.ru/search?q=101988105&amp;newwindow=1&amp;tbm=isch","Еще фото")</f>
        <v>Еще фото</v>
      </c>
      <c r="F3969" s="13"/>
      <c r="G3969" s="23" t="s">
        <v>150</v>
      </c>
      <c r="H3969" s="23" t="s">
        <v>151</v>
      </c>
      <c r="I3969" s="23" t="s">
        <v>424</v>
      </c>
      <c r="J3969" s="14" t="s">
        <v>29</v>
      </c>
      <c r="K3969" s="15" t="s">
        <v>55</v>
      </c>
      <c r="L3969" s="87"/>
      <c r="M3969" s="14"/>
      <c r="N3969" s="14" t="s">
        <v>326</v>
      </c>
      <c r="O3969" s="14"/>
      <c r="P3969" s="15" t="s">
        <v>3205</v>
      </c>
      <c r="Q3969" s="16">
        <v>14499</v>
      </c>
      <c r="R3969" s="17">
        <v>45</v>
      </c>
      <c r="S3969" s="18">
        <v>9170.6174999999985</v>
      </c>
      <c r="T3969" s="19" t="s">
        <v>328</v>
      </c>
      <c r="U3969" s="20" t="s">
        <v>426</v>
      </c>
      <c r="V3969" s="21">
        <v>37</v>
      </c>
      <c r="W3969" s="21">
        <v>9</v>
      </c>
      <c r="X3969" s="22"/>
    </row>
    <row r="3970" spans="1:24" s="1" customFormat="1" ht="21" customHeight="1" x14ac:dyDescent="0.3">
      <c r="A3970" s="23" t="s">
        <v>3194</v>
      </c>
      <c r="B3970" s="23" t="s">
        <v>3198</v>
      </c>
      <c r="C3970" s="28" t="s">
        <v>4204</v>
      </c>
      <c r="D3970" s="84"/>
      <c r="E3970" s="69" t="str">
        <f>HYPERLINK("https://www.google.ru/search?q=101988105&amp;newwindow=1&amp;tbm=isch","Еще фото")</f>
        <v>Еще фото</v>
      </c>
      <c r="F3970" s="13"/>
      <c r="G3970" s="23" t="s">
        <v>150</v>
      </c>
      <c r="H3970" s="23" t="s">
        <v>151</v>
      </c>
      <c r="I3970" s="23" t="s">
        <v>424</v>
      </c>
      <c r="J3970" s="14" t="s">
        <v>29</v>
      </c>
      <c r="K3970" s="15" t="s">
        <v>55</v>
      </c>
      <c r="L3970" s="87"/>
      <c r="M3970" s="14"/>
      <c r="N3970" s="14" t="s">
        <v>326</v>
      </c>
      <c r="O3970" s="14"/>
      <c r="P3970" s="15" t="s">
        <v>3205</v>
      </c>
      <c r="Q3970" s="16">
        <v>14499</v>
      </c>
      <c r="R3970" s="17">
        <v>45</v>
      </c>
      <c r="S3970" s="18">
        <v>9170.6174999999985</v>
      </c>
      <c r="T3970" s="19" t="s">
        <v>328</v>
      </c>
      <c r="U3970" s="20" t="s">
        <v>413</v>
      </c>
      <c r="V3970" s="21">
        <v>38</v>
      </c>
      <c r="W3970" s="21">
        <v>9</v>
      </c>
      <c r="X3970" s="22"/>
    </row>
    <row r="3971" spans="1:24" s="1" customFormat="1" ht="32.1" customHeight="1" x14ac:dyDescent="0.3">
      <c r="A3971" s="23" t="s">
        <v>3194</v>
      </c>
      <c r="B3971" s="23" t="s">
        <v>3198</v>
      </c>
      <c r="C3971" s="28" t="s">
        <v>4204</v>
      </c>
      <c r="D3971" s="85"/>
      <c r="E3971" s="69" t="str">
        <f>HYPERLINK("https://www.google.ru/search?q=101988105&amp;newwindow=1&amp;tbm=isch","Еще фото")</f>
        <v>Еще фото</v>
      </c>
      <c r="F3971" s="13"/>
      <c r="G3971" s="23" t="s">
        <v>150</v>
      </c>
      <c r="H3971" s="23" t="s">
        <v>151</v>
      </c>
      <c r="I3971" s="23" t="s">
        <v>424</v>
      </c>
      <c r="J3971" s="14" t="s">
        <v>29</v>
      </c>
      <c r="K3971" s="15" t="s">
        <v>55</v>
      </c>
      <c r="L3971" s="88"/>
      <c r="M3971" s="14"/>
      <c r="N3971" s="14" t="s">
        <v>326</v>
      </c>
      <c r="O3971" s="14"/>
      <c r="P3971" s="15" t="s">
        <v>3205</v>
      </c>
      <c r="Q3971" s="16">
        <v>14499</v>
      </c>
      <c r="R3971" s="17">
        <v>45</v>
      </c>
      <c r="S3971" s="18">
        <v>9170.6174999999985</v>
      </c>
      <c r="T3971" s="19" t="s">
        <v>328</v>
      </c>
      <c r="U3971" s="20" t="s">
        <v>399</v>
      </c>
      <c r="V3971" s="21">
        <v>39</v>
      </c>
      <c r="W3971" s="21">
        <v>4</v>
      </c>
      <c r="X3971" s="22"/>
    </row>
    <row r="3972" spans="1:24" s="1" customFormat="1" ht="17.100000000000001" customHeight="1" x14ac:dyDescent="0.3">
      <c r="A3972" s="11" t="s">
        <v>3194</v>
      </c>
      <c r="B3972" s="11" t="s">
        <v>3198</v>
      </c>
      <c r="C3972" s="12" t="s">
        <v>4205</v>
      </c>
      <c r="D3972" s="83"/>
      <c r="E3972" s="69" t="str">
        <f t="shared" ref="E3972:E3977" si="191">HYPERLINK("https://www.google.ru/search?q=101988108&amp;newwindow=1&amp;tbm=isch","Еще фото")</f>
        <v>Еще фото</v>
      </c>
      <c r="F3972" s="13"/>
      <c r="G3972" s="11" t="s">
        <v>150</v>
      </c>
      <c r="H3972" s="11" t="s">
        <v>151</v>
      </c>
      <c r="I3972" s="14" t="s">
        <v>424</v>
      </c>
      <c r="J3972" s="14" t="s">
        <v>29</v>
      </c>
      <c r="K3972" s="15" t="s">
        <v>55</v>
      </c>
      <c r="L3972" s="86"/>
      <c r="M3972" s="14"/>
      <c r="N3972" s="14" t="s">
        <v>154</v>
      </c>
      <c r="O3972" s="14"/>
      <c r="P3972" s="15" t="s">
        <v>3205</v>
      </c>
      <c r="Q3972" s="16">
        <v>14499</v>
      </c>
      <c r="R3972" s="17">
        <v>45</v>
      </c>
      <c r="S3972" s="18">
        <v>9170.6174999999985</v>
      </c>
      <c r="T3972" s="19" t="s">
        <v>328</v>
      </c>
      <c r="U3972" s="20" t="s">
        <v>1503</v>
      </c>
      <c r="V3972" s="21">
        <v>35</v>
      </c>
      <c r="W3972" s="21">
        <v>3</v>
      </c>
      <c r="X3972" s="22"/>
    </row>
    <row r="3973" spans="1:24" s="1" customFormat="1" ht="17.100000000000001" customHeight="1" x14ac:dyDescent="0.3">
      <c r="A3973" s="23" t="s">
        <v>3194</v>
      </c>
      <c r="B3973" s="23" t="s">
        <v>3198</v>
      </c>
      <c r="C3973" s="12" t="s">
        <v>4205</v>
      </c>
      <c r="D3973" s="84"/>
      <c r="E3973" s="69" t="str">
        <f t="shared" si="191"/>
        <v>Еще фото</v>
      </c>
      <c r="F3973" s="13"/>
      <c r="G3973" s="23" t="s">
        <v>150</v>
      </c>
      <c r="H3973" s="23" t="s">
        <v>151</v>
      </c>
      <c r="I3973" s="23" t="s">
        <v>424</v>
      </c>
      <c r="J3973" s="14" t="s">
        <v>29</v>
      </c>
      <c r="K3973" s="15" t="s">
        <v>55</v>
      </c>
      <c r="L3973" s="87"/>
      <c r="M3973" s="14"/>
      <c r="N3973" s="14" t="s">
        <v>154</v>
      </c>
      <c r="O3973" s="14"/>
      <c r="P3973" s="15" t="s">
        <v>3205</v>
      </c>
      <c r="Q3973" s="16">
        <v>14499</v>
      </c>
      <c r="R3973" s="17">
        <v>45</v>
      </c>
      <c r="S3973" s="18">
        <v>9170.6174999999985</v>
      </c>
      <c r="T3973" s="19" t="s">
        <v>328</v>
      </c>
      <c r="U3973" s="20" t="s">
        <v>409</v>
      </c>
      <c r="V3973" s="21">
        <v>36</v>
      </c>
      <c r="W3973" s="21">
        <v>5</v>
      </c>
      <c r="X3973" s="22"/>
    </row>
    <row r="3974" spans="1:24" s="1" customFormat="1" ht="17.100000000000001" customHeight="1" x14ac:dyDescent="0.3">
      <c r="A3974" s="23" t="s">
        <v>3194</v>
      </c>
      <c r="B3974" s="23" t="s">
        <v>3198</v>
      </c>
      <c r="C3974" s="12" t="s">
        <v>4205</v>
      </c>
      <c r="D3974" s="84"/>
      <c r="E3974" s="69" t="str">
        <f t="shared" si="191"/>
        <v>Еще фото</v>
      </c>
      <c r="F3974" s="13"/>
      <c r="G3974" s="23" t="s">
        <v>150</v>
      </c>
      <c r="H3974" s="23" t="s">
        <v>151</v>
      </c>
      <c r="I3974" s="23" t="s">
        <v>424</v>
      </c>
      <c r="J3974" s="14" t="s">
        <v>29</v>
      </c>
      <c r="K3974" s="15" t="s">
        <v>55</v>
      </c>
      <c r="L3974" s="87"/>
      <c r="M3974" s="14"/>
      <c r="N3974" s="14" t="s">
        <v>154</v>
      </c>
      <c r="O3974" s="14"/>
      <c r="P3974" s="15" t="s">
        <v>3205</v>
      </c>
      <c r="Q3974" s="16">
        <v>14499</v>
      </c>
      <c r="R3974" s="17">
        <v>45</v>
      </c>
      <c r="S3974" s="18">
        <v>9170.6174999999985</v>
      </c>
      <c r="T3974" s="19" t="s">
        <v>328</v>
      </c>
      <c r="U3974" s="20" t="s">
        <v>426</v>
      </c>
      <c r="V3974" s="21">
        <v>37</v>
      </c>
      <c r="W3974" s="21">
        <v>7</v>
      </c>
      <c r="X3974" s="22"/>
    </row>
    <row r="3975" spans="1:24" s="1" customFormat="1" ht="17.100000000000001" customHeight="1" x14ac:dyDescent="0.3">
      <c r="A3975" s="23" t="s">
        <v>3194</v>
      </c>
      <c r="B3975" s="23" t="s">
        <v>3198</v>
      </c>
      <c r="C3975" s="12" t="s">
        <v>4205</v>
      </c>
      <c r="D3975" s="84"/>
      <c r="E3975" s="69" t="str">
        <f t="shared" si="191"/>
        <v>Еще фото</v>
      </c>
      <c r="F3975" s="13"/>
      <c r="G3975" s="23" t="s">
        <v>150</v>
      </c>
      <c r="H3975" s="23" t="s">
        <v>151</v>
      </c>
      <c r="I3975" s="23" t="s">
        <v>424</v>
      </c>
      <c r="J3975" s="14" t="s">
        <v>29</v>
      </c>
      <c r="K3975" s="15" t="s">
        <v>55</v>
      </c>
      <c r="L3975" s="87"/>
      <c r="M3975" s="14"/>
      <c r="N3975" s="14" t="s">
        <v>154</v>
      </c>
      <c r="O3975" s="14"/>
      <c r="P3975" s="15" t="s">
        <v>3205</v>
      </c>
      <c r="Q3975" s="16">
        <v>14499</v>
      </c>
      <c r="R3975" s="17">
        <v>45</v>
      </c>
      <c r="S3975" s="18">
        <v>9170.6174999999985</v>
      </c>
      <c r="T3975" s="19" t="s">
        <v>328</v>
      </c>
      <c r="U3975" s="20" t="s">
        <v>413</v>
      </c>
      <c r="V3975" s="21">
        <v>38</v>
      </c>
      <c r="W3975" s="21">
        <v>3</v>
      </c>
      <c r="X3975" s="22"/>
    </row>
    <row r="3976" spans="1:24" s="1" customFormat="1" ht="17.100000000000001" customHeight="1" x14ac:dyDescent="0.3">
      <c r="A3976" s="23" t="s">
        <v>3194</v>
      </c>
      <c r="B3976" s="23" t="s">
        <v>3198</v>
      </c>
      <c r="C3976" s="12" t="s">
        <v>4205</v>
      </c>
      <c r="D3976" s="84"/>
      <c r="E3976" s="69" t="str">
        <f t="shared" si="191"/>
        <v>Еще фото</v>
      </c>
      <c r="F3976" s="13"/>
      <c r="G3976" s="23" t="s">
        <v>150</v>
      </c>
      <c r="H3976" s="23" t="s">
        <v>151</v>
      </c>
      <c r="I3976" s="23" t="s">
        <v>424</v>
      </c>
      <c r="J3976" s="14" t="s">
        <v>29</v>
      </c>
      <c r="K3976" s="15" t="s">
        <v>55</v>
      </c>
      <c r="L3976" s="87"/>
      <c r="M3976" s="14"/>
      <c r="N3976" s="14" t="s">
        <v>154</v>
      </c>
      <c r="O3976" s="14"/>
      <c r="P3976" s="15" t="s">
        <v>3205</v>
      </c>
      <c r="Q3976" s="16">
        <v>14499</v>
      </c>
      <c r="R3976" s="17">
        <v>45</v>
      </c>
      <c r="S3976" s="18">
        <v>9170.6174999999985</v>
      </c>
      <c r="T3976" s="19" t="s">
        <v>328</v>
      </c>
      <c r="U3976" s="20" t="s">
        <v>399</v>
      </c>
      <c r="V3976" s="21">
        <v>39</v>
      </c>
      <c r="W3976" s="21">
        <v>1</v>
      </c>
      <c r="X3976" s="22"/>
    </row>
    <row r="3977" spans="1:24" s="1" customFormat="1" ht="21.95" customHeight="1" x14ac:dyDescent="0.3">
      <c r="A3977" s="23" t="s">
        <v>3194</v>
      </c>
      <c r="B3977" s="23" t="s">
        <v>3198</v>
      </c>
      <c r="C3977" s="12" t="s">
        <v>4205</v>
      </c>
      <c r="D3977" s="85"/>
      <c r="E3977" s="69" t="str">
        <f t="shared" si="191"/>
        <v>Еще фото</v>
      </c>
      <c r="F3977" s="13"/>
      <c r="G3977" s="23" t="s">
        <v>150</v>
      </c>
      <c r="H3977" s="23" t="s">
        <v>151</v>
      </c>
      <c r="I3977" s="23" t="s">
        <v>424</v>
      </c>
      <c r="J3977" s="14" t="s">
        <v>29</v>
      </c>
      <c r="K3977" s="15" t="s">
        <v>55</v>
      </c>
      <c r="L3977" s="88"/>
      <c r="M3977" s="14"/>
      <c r="N3977" s="14" t="s">
        <v>154</v>
      </c>
      <c r="O3977" s="14"/>
      <c r="P3977" s="15" t="s">
        <v>3205</v>
      </c>
      <c r="Q3977" s="16">
        <v>14499</v>
      </c>
      <c r="R3977" s="17">
        <v>45</v>
      </c>
      <c r="S3977" s="18">
        <v>9170.6174999999985</v>
      </c>
      <c r="T3977" s="19" t="s">
        <v>328</v>
      </c>
      <c r="U3977" s="20" t="s">
        <v>400</v>
      </c>
      <c r="V3977" s="21">
        <v>40</v>
      </c>
      <c r="W3977" s="21">
        <v>1</v>
      </c>
      <c r="X3977" s="22"/>
    </row>
    <row r="3978" spans="1:24" s="1" customFormat="1" ht="35.1" customHeight="1" x14ac:dyDescent="0.3">
      <c r="A3978" s="11" t="s">
        <v>3194</v>
      </c>
      <c r="B3978" s="11" t="s">
        <v>4206</v>
      </c>
      <c r="C3978" s="12" t="s">
        <v>4207</v>
      </c>
      <c r="D3978" s="83"/>
      <c r="E3978" s="69" t="str">
        <f>HYPERLINK("https://www.google.ru/search?q=101988113&amp;newwindow=1&amp;tbm=isch","Еще фото")</f>
        <v>Еще фото</v>
      </c>
      <c r="F3978" s="13"/>
      <c r="G3978" s="11" t="s">
        <v>3224</v>
      </c>
      <c r="H3978" s="11" t="s">
        <v>151</v>
      </c>
      <c r="I3978" s="14" t="s">
        <v>424</v>
      </c>
      <c r="J3978" s="14" t="s">
        <v>29</v>
      </c>
      <c r="K3978" s="15" t="s">
        <v>47</v>
      </c>
      <c r="L3978" s="86"/>
      <c r="M3978" s="14"/>
      <c r="N3978" s="14" t="s">
        <v>49</v>
      </c>
      <c r="O3978" s="14"/>
      <c r="P3978" s="15" t="s">
        <v>4208</v>
      </c>
      <c r="Q3978" s="16">
        <v>9899</v>
      </c>
      <c r="R3978" s="17">
        <v>45</v>
      </c>
      <c r="S3978" s="18">
        <v>6261.1174999999994</v>
      </c>
      <c r="T3978" s="19" t="s">
        <v>328</v>
      </c>
      <c r="U3978" s="20" t="s">
        <v>1503</v>
      </c>
      <c r="V3978" s="21">
        <v>35</v>
      </c>
      <c r="W3978" s="21">
        <v>1</v>
      </c>
      <c r="X3978" s="22"/>
    </row>
    <row r="3979" spans="1:24" s="1" customFormat="1" ht="35.1" customHeight="1" x14ac:dyDescent="0.3">
      <c r="A3979" s="23" t="s">
        <v>3194</v>
      </c>
      <c r="B3979" s="23" t="s">
        <v>4206</v>
      </c>
      <c r="C3979" s="12" t="s">
        <v>4207</v>
      </c>
      <c r="D3979" s="84"/>
      <c r="E3979" s="69" t="str">
        <f>HYPERLINK("https://www.google.ru/search?q=101988113&amp;newwindow=1&amp;tbm=isch","Еще фото")</f>
        <v>Еще фото</v>
      </c>
      <c r="F3979" s="13"/>
      <c r="G3979" s="23" t="s">
        <v>3224</v>
      </c>
      <c r="H3979" s="23" t="s">
        <v>151</v>
      </c>
      <c r="I3979" s="23" t="s">
        <v>424</v>
      </c>
      <c r="J3979" s="14" t="s">
        <v>29</v>
      </c>
      <c r="K3979" s="15" t="s">
        <v>47</v>
      </c>
      <c r="L3979" s="87"/>
      <c r="M3979" s="14"/>
      <c r="N3979" s="14" t="s">
        <v>49</v>
      </c>
      <c r="O3979" s="14"/>
      <c r="P3979" s="15" t="s">
        <v>4208</v>
      </c>
      <c r="Q3979" s="16">
        <v>9899</v>
      </c>
      <c r="R3979" s="17">
        <v>45</v>
      </c>
      <c r="S3979" s="18">
        <v>6261.1174999999994</v>
      </c>
      <c r="T3979" s="19" t="s">
        <v>328</v>
      </c>
      <c r="U3979" s="20" t="s">
        <v>409</v>
      </c>
      <c r="V3979" s="21">
        <v>36</v>
      </c>
      <c r="W3979" s="21">
        <v>4</v>
      </c>
      <c r="X3979" s="22"/>
    </row>
    <row r="3980" spans="1:24" s="1" customFormat="1" ht="36.950000000000003" customHeight="1" x14ac:dyDescent="0.3">
      <c r="A3980" s="23" t="s">
        <v>3194</v>
      </c>
      <c r="B3980" s="23" t="s">
        <v>4206</v>
      </c>
      <c r="C3980" s="12" t="s">
        <v>4207</v>
      </c>
      <c r="D3980" s="85"/>
      <c r="E3980" s="69" t="str">
        <f>HYPERLINK("https://www.google.ru/search?q=101988113&amp;newwindow=1&amp;tbm=isch","Еще фото")</f>
        <v>Еще фото</v>
      </c>
      <c r="F3980" s="13"/>
      <c r="G3980" s="23" t="s">
        <v>3224</v>
      </c>
      <c r="H3980" s="23" t="s">
        <v>151</v>
      </c>
      <c r="I3980" s="23" t="s">
        <v>424</v>
      </c>
      <c r="J3980" s="14" t="s">
        <v>29</v>
      </c>
      <c r="K3980" s="15" t="s">
        <v>47</v>
      </c>
      <c r="L3980" s="88"/>
      <c r="M3980" s="14"/>
      <c r="N3980" s="14" t="s">
        <v>49</v>
      </c>
      <c r="O3980" s="14"/>
      <c r="P3980" s="15" t="s">
        <v>4208</v>
      </c>
      <c r="Q3980" s="16">
        <v>9899</v>
      </c>
      <c r="R3980" s="17">
        <v>45</v>
      </c>
      <c r="S3980" s="18">
        <v>6261.1174999999994</v>
      </c>
      <c r="T3980" s="19" t="s">
        <v>328</v>
      </c>
      <c r="U3980" s="20" t="s">
        <v>413</v>
      </c>
      <c r="V3980" s="21">
        <v>38</v>
      </c>
      <c r="W3980" s="21">
        <v>4</v>
      </c>
      <c r="X3980" s="22"/>
    </row>
    <row r="3981" spans="1:24" s="1" customFormat="1" ht="26.1" customHeight="1" x14ac:dyDescent="0.3">
      <c r="A3981" s="11" t="s">
        <v>3194</v>
      </c>
      <c r="B3981" s="11" t="s">
        <v>4209</v>
      </c>
      <c r="C3981" s="12" t="s">
        <v>4210</v>
      </c>
      <c r="D3981" s="83"/>
      <c r="E3981" s="69" t="str">
        <f>HYPERLINK("https://www.google.ru/search?q=101988168&amp;newwindow=1&amp;tbm=isch","Еще фото")</f>
        <v>Еще фото</v>
      </c>
      <c r="F3981" s="13"/>
      <c r="G3981" s="11" t="s">
        <v>3224</v>
      </c>
      <c r="H3981" s="11" t="s">
        <v>151</v>
      </c>
      <c r="I3981" s="14" t="s">
        <v>424</v>
      </c>
      <c r="J3981" s="14" t="s">
        <v>29</v>
      </c>
      <c r="K3981" s="15" t="s">
        <v>47</v>
      </c>
      <c r="L3981" s="86"/>
      <c r="M3981" s="14"/>
      <c r="N3981" s="14" t="s">
        <v>326</v>
      </c>
      <c r="O3981" s="14"/>
      <c r="P3981" s="15" t="s">
        <v>4211</v>
      </c>
      <c r="Q3981" s="16">
        <v>9699</v>
      </c>
      <c r="R3981" s="17">
        <v>45</v>
      </c>
      <c r="S3981" s="18">
        <v>6134.6174999999994</v>
      </c>
      <c r="T3981" s="19" t="s">
        <v>328</v>
      </c>
      <c r="U3981" s="20" t="s">
        <v>1503</v>
      </c>
      <c r="V3981" s="21">
        <v>35</v>
      </c>
      <c r="W3981" s="21">
        <v>4</v>
      </c>
      <c r="X3981" s="22"/>
    </row>
    <row r="3982" spans="1:24" s="1" customFormat="1" ht="26.1" customHeight="1" x14ac:dyDescent="0.3">
      <c r="A3982" s="23" t="s">
        <v>3194</v>
      </c>
      <c r="B3982" s="23" t="s">
        <v>4209</v>
      </c>
      <c r="C3982" s="12" t="s">
        <v>4210</v>
      </c>
      <c r="D3982" s="84"/>
      <c r="E3982" s="69" t="str">
        <f>HYPERLINK("https://www.google.ru/search?q=101988168&amp;newwindow=1&amp;tbm=isch","Еще фото")</f>
        <v>Еще фото</v>
      </c>
      <c r="F3982" s="13"/>
      <c r="G3982" s="23" t="s">
        <v>3224</v>
      </c>
      <c r="H3982" s="23" t="s">
        <v>151</v>
      </c>
      <c r="I3982" s="23" t="s">
        <v>424</v>
      </c>
      <c r="J3982" s="14" t="s">
        <v>29</v>
      </c>
      <c r="K3982" s="15" t="s">
        <v>47</v>
      </c>
      <c r="L3982" s="87"/>
      <c r="M3982" s="14"/>
      <c r="N3982" s="14" t="s">
        <v>326</v>
      </c>
      <c r="O3982" s="14"/>
      <c r="P3982" s="15" t="s">
        <v>4211</v>
      </c>
      <c r="Q3982" s="16">
        <v>9699</v>
      </c>
      <c r="R3982" s="17">
        <v>45</v>
      </c>
      <c r="S3982" s="18">
        <v>6134.6174999999994</v>
      </c>
      <c r="T3982" s="19" t="s">
        <v>328</v>
      </c>
      <c r="U3982" s="20" t="s">
        <v>409</v>
      </c>
      <c r="V3982" s="21">
        <v>36</v>
      </c>
      <c r="W3982" s="21">
        <v>7</v>
      </c>
      <c r="X3982" s="22"/>
    </row>
    <row r="3983" spans="1:24" s="1" customFormat="1" ht="26.1" customHeight="1" x14ac:dyDescent="0.3">
      <c r="A3983" s="23" t="s">
        <v>3194</v>
      </c>
      <c r="B3983" s="23" t="s">
        <v>4209</v>
      </c>
      <c r="C3983" s="12" t="s">
        <v>4210</v>
      </c>
      <c r="D3983" s="84"/>
      <c r="E3983" s="69" t="str">
        <f>HYPERLINK("https://www.google.ru/search?q=101988168&amp;newwindow=1&amp;tbm=isch","Еще фото")</f>
        <v>Еще фото</v>
      </c>
      <c r="F3983" s="13"/>
      <c r="G3983" s="23" t="s">
        <v>3224</v>
      </c>
      <c r="H3983" s="23" t="s">
        <v>151</v>
      </c>
      <c r="I3983" s="23" t="s">
        <v>424</v>
      </c>
      <c r="J3983" s="14" t="s">
        <v>29</v>
      </c>
      <c r="K3983" s="15" t="s">
        <v>47</v>
      </c>
      <c r="L3983" s="87"/>
      <c r="M3983" s="14"/>
      <c r="N3983" s="14" t="s">
        <v>326</v>
      </c>
      <c r="O3983" s="14"/>
      <c r="P3983" s="15" t="s">
        <v>4211</v>
      </c>
      <c r="Q3983" s="16">
        <v>9699</v>
      </c>
      <c r="R3983" s="17">
        <v>45</v>
      </c>
      <c r="S3983" s="18">
        <v>6134.6174999999994</v>
      </c>
      <c r="T3983" s="19" t="s">
        <v>328</v>
      </c>
      <c r="U3983" s="20" t="s">
        <v>426</v>
      </c>
      <c r="V3983" s="21">
        <v>37</v>
      </c>
      <c r="W3983" s="21">
        <v>6</v>
      </c>
      <c r="X3983" s="22"/>
    </row>
    <row r="3984" spans="1:24" s="1" customFormat="1" ht="26.1" customHeight="1" x14ac:dyDescent="0.3">
      <c r="A3984" s="23" t="s">
        <v>3194</v>
      </c>
      <c r="B3984" s="23" t="s">
        <v>4209</v>
      </c>
      <c r="C3984" s="12" t="s">
        <v>4210</v>
      </c>
      <c r="D3984" s="85"/>
      <c r="E3984" s="69" t="str">
        <f>HYPERLINK("https://www.google.ru/search?q=101988168&amp;newwindow=1&amp;tbm=isch","Еще фото")</f>
        <v>Еще фото</v>
      </c>
      <c r="F3984" s="13"/>
      <c r="G3984" s="23" t="s">
        <v>3224</v>
      </c>
      <c r="H3984" s="23" t="s">
        <v>151</v>
      </c>
      <c r="I3984" s="23" t="s">
        <v>424</v>
      </c>
      <c r="J3984" s="14" t="s">
        <v>29</v>
      </c>
      <c r="K3984" s="15" t="s">
        <v>47</v>
      </c>
      <c r="L3984" s="88"/>
      <c r="M3984" s="14"/>
      <c r="N3984" s="14" t="s">
        <v>326</v>
      </c>
      <c r="O3984" s="14"/>
      <c r="P3984" s="15" t="s">
        <v>4211</v>
      </c>
      <c r="Q3984" s="16">
        <v>9699</v>
      </c>
      <c r="R3984" s="17">
        <v>45</v>
      </c>
      <c r="S3984" s="18">
        <v>6134.6174999999994</v>
      </c>
      <c r="T3984" s="19" t="s">
        <v>328</v>
      </c>
      <c r="U3984" s="20" t="s">
        <v>399</v>
      </c>
      <c r="V3984" s="21">
        <v>39</v>
      </c>
      <c r="W3984" s="21">
        <v>2</v>
      </c>
      <c r="X3984" s="22"/>
    </row>
    <row r="3985" spans="1:24" s="1" customFormat="1" ht="108" customHeight="1" x14ac:dyDescent="0.3">
      <c r="A3985" s="11" t="s">
        <v>3014</v>
      </c>
      <c r="B3985" s="11" t="s">
        <v>4212</v>
      </c>
      <c r="C3985" s="12" t="s">
        <v>4213</v>
      </c>
      <c r="D3985" s="24"/>
      <c r="E3985" s="69" t="str">
        <f>HYPERLINK("https://www.google.ru/search?q=71404301-4650&amp;newwindow=1&amp;tbm=isch","Еще фото")</f>
        <v>Еще фото</v>
      </c>
      <c r="F3985" s="13"/>
      <c r="G3985" s="11" t="s">
        <v>394</v>
      </c>
      <c r="H3985" s="11" t="s">
        <v>151</v>
      </c>
      <c r="I3985" s="14" t="s">
        <v>424</v>
      </c>
      <c r="J3985" s="14" t="s">
        <v>29</v>
      </c>
      <c r="K3985" s="15" t="s">
        <v>30</v>
      </c>
      <c r="L3985" s="14" t="s">
        <v>4214</v>
      </c>
      <c r="M3985" s="14"/>
      <c r="N3985" s="14" t="s">
        <v>275</v>
      </c>
      <c r="O3985" s="14"/>
      <c r="P3985" s="15" t="s">
        <v>4215</v>
      </c>
      <c r="Q3985" s="16">
        <v>3999</v>
      </c>
      <c r="R3985" s="17">
        <v>45</v>
      </c>
      <c r="S3985" s="18">
        <v>2529.3674999999994</v>
      </c>
      <c r="T3985" s="19" t="s">
        <v>117</v>
      </c>
      <c r="U3985" s="20" t="s">
        <v>3246</v>
      </c>
      <c r="V3985" s="21">
        <v>28</v>
      </c>
      <c r="W3985" s="21">
        <v>1</v>
      </c>
      <c r="X3985" s="22"/>
    </row>
    <row r="3986" spans="1:24" s="1" customFormat="1" ht="21" customHeight="1" x14ac:dyDescent="0.3">
      <c r="A3986" s="11" t="s">
        <v>3014</v>
      </c>
      <c r="B3986" s="11" t="s">
        <v>4216</v>
      </c>
      <c r="C3986" s="27" t="s">
        <v>4217</v>
      </c>
      <c r="D3986" s="83"/>
      <c r="E3986" s="69" t="str">
        <f>HYPERLINK("https://www.google.ru/search?q=71404304-0100&amp;newwindow=1&amp;tbm=isch","Еще фото")</f>
        <v>Еще фото</v>
      </c>
      <c r="F3986" s="13"/>
      <c r="G3986" s="11" t="s">
        <v>394</v>
      </c>
      <c r="H3986" s="11" t="s">
        <v>151</v>
      </c>
      <c r="I3986" s="14" t="s">
        <v>424</v>
      </c>
      <c r="J3986" s="14" t="s">
        <v>29</v>
      </c>
      <c r="K3986" s="15" t="s">
        <v>30</v>
      </c>
      <c r="L3986" s="86" t="s">
        <v>4218</v>
      </c>
      <c r="M3986" s="14"/>
      <c r="N3986" s="14" t="s">
        <v>89</v>
      </c>
      <c r="O3986" s="14"/>
      <c r="P3986" s="15" t="s">
        <v>4219</v>
      </c>
      <c r="Q3986" s="16">
        <v>4999</v>
      </c>
      <c r="R3986" s="17">
        <v>45</v>
      </c>
      <c r="S3986" s="18">
        <v>3161.8674999999994</v>
      </c>
      <c r="T3986" s="19" t="s">
        <v>117</v>
      </c>
      <c r="U3986" s="20" t="s">
        <v>4220</v>
      </c>
      <c r="V3986" s="21">
        <v>20</v>
      </c>
      <c r="W3986" s="21">
        <v>1</v>
      </c>
      <c r="X3986" s="22"/>
    </row>
    <row r="3987" spans="1:24" s="1" customFormat="1" ht="21" customHeight="1" x14ac:dyDescent="0.3">
      <c r="A3987" s="23" t="s">
        <v>3014</v>
      </c>
      <c r="B3987" s="23" t="s">
        <v>4216</v>
      </c>
      <c r="C3987" s="28" t="s">
        <v>4217</v>
      </c>
      <c r="D3987" s="84"/>
      <c r="E3987" s="69" t="str">
        <f>HYPERLINK("https://www.google.ru/search?q=71404304-0100&amp;newwindow=1&amp;tbm=isch","Еще фото")</f>
        <v>Еще фото</v>
      </c>
      <c r="F3987" s="13"/>
      <c r="G3987" s="23" t="s">
        <v>394</v>
      </c>
      <c r="H3987" s="23" t="s">
        <v>151</v>
      </c>
      <c r="I3987" s="23" t="s">
        <v>424</v>
      </c>
      <c r="J3987" s="14" t="s">
        <v>29</v>
      </c>
      <c r="K3987" s="15" t="s">
        <v>30</v>
      </c>
      <c r="L3987" s="87"/>
      <c r="M3987" s="14"/>
      <c r="N3987" s="14" t="s">
        <v>89</v>
      </c>
      <c r="O3987" s="14"/>
      <c r="P3987" s="15" t="s">
        <v>4219</v>
      </c>
      <c r="Q3987" s="16">
        <v>4999</v>
      </c>
      <c r="R3987" s="17">
        <v>45</v>
      </c>
      <c r="S3987" s="18">
        <v>3161.8674999999994</v>
      </c>
      <c r="T3987" s="19" t="s">
        <v>117</v>
      </c>
      <c r="U3987" s="20" t="s">
        <v>4221</v>
      </c>
      <c r="V3987" s="21">
        <v>21</v>
      </c>
      <c r="W3987" s="21">
        <v>1</v>
      </c>
      <c r="X3987" s="22"/>
    </row>
    <row r="3988" spans="1:24" s="1" customFormat="1" ht="21" customHeight="1" x14ac:dyDescent="0.3">
      <c r="A3988" s="23" t="s">
        <v>3014</v>
      </c>
      <c r="B3988" s="23" t="s">
        <v>4216</v>
      </c>
      <c r="C3988" s="28" t="s">
        <v>4217</v>
      </c>
      <c r="D3988" s="84"/>
      <c r="E3988" s="69" t="str">
        <f>HYPERLINK("https://www.google.ru/search?q=71404304-0100&amp;newwindow=1&amp;tbm=isch","Еще фото")</f>
        <v>Еще фото</v>
      </c>
      <c r="F3988" s="13"/>
      <c r="G3988" s="23" t="s">
        <v>394</v>
      </c>
      <c r="H3988" s="23" t="s">
        <v>151</v>
      </c>
      <c r="I3988" s="23" t="s">
        <v>424</v>
      </c>
      <c r="J3988" s="14" t="s">
        <v>29</v>
      </c>
      <c r="K3988" s="15" t="s">
        <v>30</v>
      </c>
      <c r="L3988" s="87"/>
      <c r="M3988" s="14"/>
      <c r="N3988" s="14" t="s">
        <v>89</v>
      </c>
      <c r="O3988" s="14"/>
      <c r="P3988" s="15" t="s">
        <v>4219</v>
      </c>
      <c r="Q3988" s="16">
        <v>4999</v>
      </c>
      <c r="R3988" s="17">
        <v>45</v>
      </c>
      <c r="S3988" s="18">
        <v>3161.8674999999994</v>
      </c>
      <c r="T3988" s="19" t="s">
        <v>117</v>
      </c>
      <c r="U3988" s="20" t="s">
        <v>3514</v>
      </c>
      <c r="V3988" s="21">
        <v>23</v>
      </c>
      <c r="W3988" s="21">
        <v>1</v>
      </c>
      <c r="X3988" s="22"/>
    </row>
    <row r="3989" spans="1:24" s="1" customFormat="1" ht="21" customHeight="1" x14ac:dyDescent="0.3">
      <c r="A3989" s="23" t="s">
        <v>3014</v>
      </c>
      <c r="B3989" s="23" t="s">
        <v>4216</v>
      </c>
      <c r="C3989" s="28" t="s">
        <v>4217</v>
      </c>
      <c r="D3989" s="84"/>
      <c r="E3989" s="69" t="str">
        <f>HYPERLINK("https://www.google.ru/search?q=71404304-0100&amp;newwindow=1&amp;tbm=isch","Еще фото")</f>
        <v>Еще фото</v>
      </c>
      <c r="F3989" s="13"/>
      <c r="G3989" s="23" t="s">
        <v>394</v>
      </c>
      <c r="H3989" s="23" t="s">
        <v>151</v>
      </c>
      <c r="I3989" s="23" t="s">
        <v>424</v>
      </c>
      <c r="J3989" s="14" t="s">
        <v>29</v>
      </c>
      <c r="K3989" s="15" t="s">
        <v>30</v>
      </c>
      <c r="L3989" s="87"/>
      <c r="M3989" s="14"/>
      <c r="N3989" s="14" t="s">
        <v>89</v>
      </c>
      <c r="O3989" s="14"/>
      <c r="P3989" s="15" t="s">
        <v>4219</v>
      </c>
      <c r="Q3989" s="16">
        <v>4999</v>
      </c>
      <c r="R3989" s="17">
        <v>45</v>
      </c>
      <c r="S3989" s="18">
        <v>3161.8674999999994</v>
      </c>
      <c r="T3989" s="19" t="s">
        <v>117</v>
      </c>
      <c r="U3989" s="20" t="s">
        <v>4222</v>
      </c>
      <c r="V3989" s="21">
        <v>24</v>
      </c>
      <c r="W3989" s="21">
        <v>2</v>
      </c>
      <c r="X3989" s="22"/>
    </row>
    <row r="3990" spans="1:24" s="1" customFormat="1" ht="32.1" customHeight="1" x14ac:dyDescent="0.3">
      <c r="A3990" s="23" t="s">
        <v>3014</v>
      </c>
      <c r="B3990" s="23" t="s">
        <v>4216</v>
      </c>
      <c r="C3990" s="28" t="s">
        <v>4217</v>
      </c>
      <c r="D3990" s="85"/>
      <c r="E3990" s="69" t="str">
        <f>HYPERLINK("https://www.google.ru/search?q=71404304-0100&amp;newwindow=1&amp;tbm=isch","Еще фото")</f>
        <v>Еще фото</v>
      </c>
      <c r="F3990" s="13"/>
      <c r="G3990" s="23" t="s">
        <v>394</v>
      </c>
      <c r="H3990" s="23" t="s">
        <v>151</v>
      </c>
      <c r="I3990" s="23" t="s">
        <v>424</v>
      </c>
      <c r="J3990" s="14" t="s">
        <v>29</v>
      </c>
      <c r="K3990" s="15" t="s">
        <v>30</v>
      </c>
      <c r="L3990" s="88"/>
      <c r="M3990" s="14"/>
      <c r="N3990" s="14" t="s">
        <v>89</v>
      </c>
      <c r="O3990" s="14"/>
      <c r="P3990" s="15" t="s">
        <v>4219</v>
      </c>
      <c r="Q3990" s="16">
        <v>4999</v>
      </c>
      <c r="R3990" s="17">
        <v>45</v>
      </c>
      <c r="S3990" s="18">
        <v>3161.8674999999994</v>
      </c>
      <c r="T3990" s="19" t="s">
        <v>117</v>
      </c>
      <c r="U3990" s="20" t="s">
        <v>3515</v>
      </c>
      <c r="V3990" s="21">
        <v>25</v>
      </c>
      <c r="W3990" s="21">
        <v>3</v>
      </c>
      <c r="X3990" s="22"/>
    </row>
    <row r="3991" spans="1:24" s="1" customFormat="1" ht="26.1" customHeight="1" x14ac:dyDescent="0.3">
      <c r="A3991" s="11" t="s">
        <v>3014</v>
      </c>
      <c r="B3991" s="11" t="s">
        <v>4216</v>
      </c>
      <c r="C3991" s="12" t="s">
        <v>4223</v>
      </c>
      <c r="D3991" s="83"/>
      <c r="E3991" s="69" t="str">
        <f>HYPERLINK("https://www.google.ru/search?q=71404304-6960&amp;newwindow=1&amp;tbm=isch","Еще фото")</f>
        <v>Еще фото</v>
      </c>
      <c r="F3991" s="13"/>
      <c r="G3991" s="11" t="s">
        <v>394</v>
      </c>
      <c r="H3991" s="11" t="s">
        <v>151</v>
      </c>
      <c r="I3991" s="14" t="s">
        <v>424</v>
      </c>
      <c r="J3991" s="14" t="s">
        <v>29</v>
      </c>
      <c r="K3991" s="15" t="s">
        <v>30</v>
      </c>
      <c r="L3991" s="86" t="s">
        <v>4218</v>
      </c>
      <c r="M3991" s="14"/>
      <c r="N3991" s="14" t="s">
        <v>70</v>
      </c>
      <c r="O3991" s="14"/>
      <c r="P3991" s="15" t="s">
        <v>4219</v>
      </c>
      <c r="Q3991" s="16">
        <v>4999</v>
      </c>
      <c r="R3991" s="17">
        <v>45</v>
      </c>
      <c r="S3991" s="18">
        <v>3161.8674999999994</v>
      </c>
      <c r="T3991" s="19" t="s">
        <v>117</v>
      </c>
      <c r="U3991" s="20" t="s">
        <v>4220</v>
      </c>
      <c r="V3991" s="21">
        <v>20</v>
      </c>
      <c r="W3991" s="21">
        <v>4</v>
      </c>
      <c r="X3991" s="22"/>
    </row>
    <row r="3992" spans="1:24" s="1" customFormat="1" ht="26.1" customHeight="1" x14ac:dyDescent="0.3">
      <c r="A3992" s="23" t="s">
        <v>3014</v>
      </c>
      <c r="B3992" s="23" t="s">
        <v>4216</v>
      </c>
      <c r="C3992" s="12" t="s">
        <v>4223</v>
      </c>
      <c r="D3992" s="84"/>
      <c r="E3992" s="69" t="str">
        <f>HYPERLINK("https://www.google.ru/search?q=71404304-6960&amp;newwindow=1&amp;tbm=isch","Еще фото")</f>
        <v>Еще фото</v>
      </c>
      <c r="F3992" s="13"/>
      <c r="G3992" s="23" t="s">
        <v>394</v>
      </c>
      <c r="H3992" s="23" t="s">
        <v>151</v>
      </c>
      <c r="I3992" s="23" t="s">
        <v>424</v>
      </c>
      <c r="J3992" s="14" t="s">
        <v>29</v>
      </c>
      <c r="K3992" s="15" t="s">
        <v>30</v>
      </c>
      <c r="L3992" s="87"/>
      <c r="M3992" s="14"/>
      <c r="N3992" s="14" t="s">
        <v>70</v>
      </c>
      <c r="O3992" s="14"/>
      <c r="P3992" s="15" t="s">
        <v>4219</v>
      </c>
      <c r="Q3992" s="16">
        <v>4999</v>
      </c>
      <c r="R3992" s="17">
        <v>45</v>
      </c>
      <c r="S3992" s="18">
        <v>3161.8674999999994</v>
      </c>
      <c r="T3992" s="19" t="s">
        <v>117</v>
      </c>
      <c r="U3992" s="20" t="s">
        <v>4221</v>
      </c>
      <c r="V3992" s="21">
        <v>21</v>
      </c>
      <c r="W3992" s="21">
        <v>4</v>
      </c>
      <c r="X3992" s="22"/>
    </row>
    <row r="3993" spans="1:24" s="1" customFormat="1" ht="26.1" customHeight="1" x14ac:dyDescent="0.3">
      <c r="A3993" s="23" t="s">
        <v>3014</v>
      </c>
      <c r="B3993" s="23" t="s">
        <v>4216</v>
      </c>
      <c r="C3993" s="12" t="s">
        <v>4223</v>
      </c>
      <c r="D3993" s="84"/>
      <c r="E3993" s="69" t="str">
        <f>HYPERLINK("https://www.google.ru/search?q=71404304-6960&amp;newwindow=1&amp;tbm=isch","Еще фото")</f>
        <v>Еще фото</v>
      </c>
      <c r="F3993" s="13"/>
      <c r="G3993" s="23" t="s">
        <v>394</v>
      </c>
      <c r="H3993" s="23" t="s">
        <v>151</v>
      </c>
      <c r="I3993" s="23" t="s">
        <v>424</v>
      </c>
      <c r="J3993" s="14" t="s">
        <v>29</v>
      </c>
      <c r="K3993" s="15" t="s">
        <v>30</v>
      </c>
      <c r="L3993" s="87"/>
      <c r="M3993" s="14"/>
      <c r="N3993" s="14" t="s">
        <v>70</v>
      </c>
      <c r="O3993" s="14"/>
      <c r="P3993" s="15" t="s">
        <v>4219</v>
      </c>
      <c r="Q3993" s="16">
        <v>4999</v>
      </c>
      <c r="R3993" s="17">
        <v>45</v>
      </c>
      <c r="S3993" s="18">
        <v>3161.8674999999994</v>
      </c>
      <c r="T3993" s="19" t="s">
        <v>117</v>
      </c>
      <c r="U3993" s="20" t="s">
        <v>3505</v>
      </c>
      <c r="V3993" s="21">
        <v>22</v>
      </c>
      <c r="W3993" s="21">
        <v>2</v>
      </c>
      <c r="X3993" s="22"/>
    </row>
    <row r="3994" spans="1:24" s="1" customFormat="1" ht="26.1" customHeight="1" x14ac:dyDescent="0.3">
      <c r="A3994" s="23" t="s">
        <v>3014</v>
      </c>
      <c r="B3994" s="23" t="s">
        <v>4216</v>
      </c>
      <c r="C3994" s="12" t="s">
        <v>4223</v>
      </c>
      <c r="D3994" s="85"/>
      <c r="E3994" s="69" t="str">
        <f>HYPERLINK("https://www.google.ru/search?q=71404304-6960&amp;newwindow=1&amp;tbm=isch","Еще фото")</f>
        <v>Еще фото</v>
      </c>
      <c r="F3994" s="13"/>
      <c r="G3994" s="23" t="s">
        <v>394</v>
      </c>
      <c r="H3994" s="23" t="s">
        <v>151</v>
      </c>
      <c r="I3994" s="23" t="s">
        <v>424</v>
      </c>
      <c r="J3994" s="14" t="s">
        <v>29</v>
      </c>
      <c r="K3994" s="15" t="s">
        <v>30</v>
      </c>
      <c r="L3994" s="88"/>
      <c r="M3994" s="14"/>
      <c r="N3994" s="14" t="s">
        <v>70</v>
      </c>
      <c r="O3994" s="14"/>
      <c r="P3994" s="15" t="s">
        <v>4219</v>
      </c>
      <c r="Q3994" s="16">
        <v>4999</v>
      </c>
      <c r="R3994" s="17">
        <v>45</v>
      </c>
      <c r="S3994" s="18">
        <v>3161.8674999999994</v>
      </c>
      <c r="T3994" s="19" t="s">
        <v>117</v>
      </c>
      <c r="U3994" s="20" t="s">
        <v>3515</v>
      </c>
      <c r="V3994" s="21">
        <v>25</v>
      </c>
      <c r="W3994" s="21">
        <v>4</v>
      </c>
      <c r="X3994" s="22"/>
    </row>
    <row r="3995" spans="1:24" s="1" customFormat="1" ht="108" customHeight="1" x14ac:dyDescent="0.3">
      <c r="A3995" s="11" t="s">
        <v>3014</v>
      </c>
      <c r="B3995" s="11" t="s">
        <v>4216</v>
      </c>
      <c r="C3995" s="12" t="s">
        <v>4224</v>
      </c>
      <c r="D3995" s="24"/>
      <c r="E3995" s="69" t="str">
        <f>HYPERLINK("https://www.google.ru/search?q=71406302-0100&amp;newwindow=1&amp;tbm=isch","Еще фото")</f>
        <v>Еще фото</v>
      </c>
      <c r="F3995" s="13"/>
      <c r="G3995" s="11" t="s">
        <v>394</v>
      </c>
      <c r="H3995" s="11" t="s">
        <v>151</v>
      </c>
      <c r="I3995" s="14" t="s">
        <v>424</v>
      </c>
      <c r="J3995" s="14" t="s">
        <v>29</v>
      </c>
      <c r="K3995" s="15" t="s">
        <v>30</v>
      </c>
      <c r="L3995" s="14"/>
      <c r="M3995" s="14"/>
      <c r="N3995" s="14" t="s">
        <v>89</v>
      </c>
      <c r="O3995" s="14"/>
      <c r="P3995" s="15" t="s">
        <v>4225</v>
      </c>
      <c r="Q3995" s="16">
        <v>5999</v>
      </c>
      <c r="R3995" s="17">
        <v>45</v>
      </c>
      <c r="S3995" s="18">
        <v>3794.3674999999994</v>
      </c>
      <c r="T3995" s="19" t="s">
        <v>117</v>
      </c>
      <c r="U3995" s="20" t="s">
        <v>4226</v>
      </c>
      <c r="V3995" s="21">
        <v>26</v>
      </c>
      <c r="W3995" s="21">
        <v>1</v>
      </c>
      <c r="X3995" s="22"/>
    </row>
    <row r="3996" spans="1:24" s="1" customFormat="1" ht="35.1" customHeight="1" x14ac:dyDescent="0.3">
      <c r="A3996" s="11" t="s">
        <v>3014</v>
      </c>
      <c r="B3996" s="11" t="s">
        <v>4216</v>
      </c>
      <c r="C3996" s="12" t="s">
        <v>4227</v>
      </c>
      <c r="D3996" s="83"/>
      <c r="E3996" s="69" t="str">
        <f>HYPERLINK("https://www.google.ru/search?q=71406302-9470&amp;newwindow=1&amp;tbm=isch","Еще фото")</f>
        <v>Еще фото</v>
      </c>
      <c r="F3996" s="13"/>
      <c r="G3996" s="11" t="s">
        <v>394</v>
      </c>
      <c r="H3996" s="11" t="s">
        <v>151</v>
      </c>
      <c r="I3996" s="14" t="s">
        <v>424</v>
      </c>
      <c r="J3996" s="14" t="s">
        <v>29</v>
      </c>
      <c r="K3996" s="15" t="s">
        <v>30</v>
      </c>
      <c r="L3996" s="86"/>
      <c r="M3996" s="14"/>
      <c r="N3996" s="14" t="s">
        <v>41</v>
      </c>
      <c r="O3996" s="14"/>
      <c r="P3996" s="15" t="s">
        <v>4225</v>
      </c>
      <c r="Q3996" s="16">
        <v>5999</v>
      </c>
      <c r="R3996" s="17">
        <v>45</v>
      </c>
      <c r="S3996" s="18">
        <v>3794.3674999999994</v>
      </c>
      <c r="T3996" s="19" t="s">
        <v>117</v>
      </c>
      <c r="U3996" s="20" t="s">
        <v>3514</v>
      </c>
      <c r="V3996" s="21">
        <v>23</v>
      </c>
      <c r="W3996" s="21">
        <v>1</v>
      </c>
      <c r="X3996" s="22"/>
    </row>
    <row r="3997" spans="1:24" s="1" customFormat="1" ht="35.1" customHeight="1" x14ac:dyDescent="0.3">
      <c r="A3997" s="23" t="s">
        <v>3014</v>
      </c>
      <c r="B3997" s="23" t="s">
        <v>4216</v>
      </c>
      <c r="C3997" s="12" t="s">
        <v>4227</v>
      </c>
      <c r="D3997" s="84"/>
      <c r="E3997" s="69" t="str">
        <f>HYPERLINK("https://www.google.ru/search?q=71406302-9470&amp;newwindow=1&amp;tbm=isch","Еще фото")</f>
        <v>Еще фото</v>
      </c>
      <c r="F3997" s="13"/>
      <c r="G3997" s="23" t="s">
        <v>394</v>
      </c>
      <c r="H3997" s="23" t="s">
        <v>151</v>
      </c>
      <c r="I3997" s="23" t="s">
        <v>424</v>
      </c>
      <c r="J3997" s="14" t="s">
        <v>29</v>
      </c>
      <c r="K3997" s="15" t="s">
        <v>30</v>
      </c>
      <c r="L3997" s="87"/>
      <c r="M3997" s="14"/>
      <c r="N3997" s="14" t="s">
        <v>41</v>
      </c>
      <c r="O3997" s="14"/>
      <c r="P3997" s="15" t="s">
        <v>4225</v>
      </c>
      <c r="Q3997" s="16">
        <v>5999</v>
      </c>
      <c r="R3997" s="17">
        <v>45</v>
      </c>
      <c r="S3997" s="18">
        <v>3794.3674999999994</v>
      </c>
      <c r="T3997" s="19" t="s">
        <v>117</v>
      </c>
      <c r="U3997" s="20" t="s">
        <v>4222</v>
      </c>
      <c r="V3997" s="21">
        <v>24</v>
      </c>
      <c r="W3997" s="21">
        <v>2</v>
      </c>
      <c r="X3997" s="22"/>
    </row>
    <row r="3998" spans="1:24" s="1" customFormat="1" ht="36.950000000000003" customHeight="1" x14ac:dyDescent="0.3">
      <c r="A3998" s="23" t="s">
        <v>3014</v>
      </c>
      <c r="B3998" s="23" t="s">
        <v>4216</v>
      </c>
      <c r="C3998" s="12" t="s">
        <v>4227</v>
      </c>
      <c r="D3998" s="85"/>
      <c r="E3998" s="69" t="str">
        <f>HYPERLINK("https://www.google.ru/search?q=71406302-9470&amp;newwindow=1&amp;tbm=isch","Еще фото")</f>
        <v>Еще фото</v>
      </c>
      <c r="F3998" s="13"/>
      <c r="G3998" s="23" t="s">
        <v>394</v>
      </c>
      <c r="H3998" s="23" t="s">
        <v>151</v>
      </c>
      <c r="I3998" s="23" t="s">
        <v>424</v>
      </c>
      <c r="J3998" s="14" t="s">
        <v>29</v>
      </c>
      <c r="K3998" s="15" t="s">
        <v>30</v>
      </c>
      <c r="L3998" s="88"/>
      <c r="M3998" s="14"/>
      <c r="N3998" s="14" t="s">
        <v>41</v>
      </c>
      <c r="O3998" s="14"/>
      <c r="P3998" s="15" t="s">
        <v>4225</v>
      </c>
      <c r="Q3998" s="16">
        <v>5999</v>
      </c>
      <c r="R3998" s="17">
        <v>45</v>
      </c>
      <c r="S3998" s="18">
        <v>3794.3674999999994</v>
      </c>
      <c r="T3998" s="19" t="s">
        <v>117</v>
      </c>
      <c r="U3998" s="20" t="s">
        <v>4226</v>
      </c>
      <c r="V3998" s="21">
        <v>26</v>
      </c>
      <c r="W3998" s="21">
        <v>2</v>
      </c>
      <c r="X3998" s="22"/>
    </row>
    <row r="3999" spans="1:24" s="1" customFormat="1" ht="108" customHeight="1" x14ac:dyDescent="0.3">
      <c r="A3999" s="11" t="s">
        <v>3014</v>
      </c>
      <c r="B3999" s="11" t="s">
        <v>4228</v>
      </c>
      <c r="C3999" s="12" t="s">
        <v>4229</v>
      </c>
      <c r="D3999" s="24"/>
      <c r="E3999" s="69" t="str">
        <f>HYPERLINK("https://www.google.ru/search?q=72404202-9990&amp;newwindow=1&amp;tbm=isch","Еще фото")</f>
        <v>Еще фото</v>
      </c>
      <c r="F3999" s="13"/>
      <c r="G3999" s="11" t="s">
        <v>394</v>
      </c>
      <c r="H3999" s="11" t="s">
        <v>151</v>
      </c>
      <c r="I3999" s="14" t="s">
        <v>424</v>
      </c>
      <c r="J3999" s="14" t="s">
        <v>29</v>
      </c>
      <c r="K3999" s="15" t="s">
        <v>30</v>
      </c>
      <c r="L3999" s="14" t="s">
        <v>4230</v>
      </c>
      <c r="M3999" s="14"/>
      <c r="N3999" s="14" t="s">
        <v>49</v>
      </c>
      <c r="O3999" s="14"/>
      <c r="P3999" s="15" t="s">
        <v>4215</v>
      </c>
      <c r="Q3999" s="16">
        <v>3999</v>
      </c>
      <c r="R3999" s="17">
        <v>45</v>
      </c>
      <c r="S3999" s="18">
        <v>2529.3674999999994</v>
      </c>
      <c r="T3999" s="19" t="s">
        <v>117</v>
      </c>
      <c r="U3999" s="20" t="s">
        <v>3240</v>
      </c>
      <c r="V3999" s="21">
        <v>32</v>
      </c>
      <c r="W3999" s="21">
        <v>1</v>
      </c>
      <c r="X3999" s="22"/>
    </row>
    <row r="4000" spans="1:24" s="1" customFormat="1" ht="26.1" customHeight="1" x14ac:dyDescent="0.3">
      <c r="A4000" s="11" t="s">
        <v>3014</v>
      </c>
      <c r="B4000" s="11" t="s">
        <v>4231</v>
      </c>
      <c r="C4000" s="12" t="s">
        <v>4232</v>
      </c>
      <c r="D4000" s="83"/>
      <c r="E4000" s="69" t="str">
        <f>HYPERLINK("https://www.google.ru/search?q=72404302-6960&amp;newwindow=1&amp;tbm=isch","Еще фото")</f>
        <v>Еще фото</v>
      </c>
      <c r="F4000" s="13"/>
      <c r="G4000" s="11" t="s">
        <v>484</v>
      </c>
      <c r="H4000" s="11" t="s">
        <v>151</v>
      </c>
      <c r="I4000" s="14" t="s">
        <v>424</v>
      </c>
      <c r="J4000" s="14" t="s">
        <v>29</v>
      </c>
      <c r="K4000" s="15" t="s">
        <v>30</v>
      </c>
      <c r="L4000" s="86" t="s">
        <v>4233</v>
      </c>
      <c r="M4000" s="14"/>
      <c r="N4000" s="14" t="s">
        <v>70</v>
      </c>
      <c r="O4000" s="14"/>
      <c r="P4000" s="15" t="s">
        <v>4234</v>
      </c>
      <c r="Q4000" s="16">
        <v>5499</v>
      </c>
      <c r="R4000" s="17">
        <v>45</v>
      </c>
      <c r="S4000" s="18">
        <v>3478.1174999999994</v>
      </c>
      <c r="T4000" s="19" t="s">
        <v>117</v>
      </c>
      <c r="U4000" s="20" t="s">
        <v>3246</v>
      </c>
      <c r="V4000" s="21">
        <v>28</v>
      </c>
      <c r="W4000" s="21">
        <v>1</v>
      </c>
      <c r="X4000" s="22"/>
    </row>
    <row r="4001" spans="1:24" s="1" customFormat="1" ht="26.1" customHeight="1" x14ac:dyDescent="0.3">
      <c r="A4001" s="23" t="s">
        <v>3014</v>
      </c>
      <c r="B4001" s="23" t="s">
        <v>4231</v>
      </c>
      <c r="C4001" s="12" t="s">
        <v>4232</v>
      </c>
      <c r="D4001" s="84"/>
      <c r="E4001" s="69" t="str">
        <f>HYPERLINK("https://www.google.ru/search?q=72404302-6960&amp;newwindow=1&amp;tbm=isch","Еще фото")</f>
        <v>Еще фото</v>
      </c>
      <c r="F4001" s="13"/>
      <c r="G4001" s="23" t="s">
        <v>484</v>
      </c>
      <c r="H4001" s="23" t="s">
        <v>151</v>
      </c>
      <c r="I4001" s="23" t="s">
        <v>424</v>
      </c>
      <c r="J4001" s="14" t="s">
        <v>29</v>
      </c>
      <c r="K4001" s="15" t="s">
        <v>30</v>
      </c>
      <c r="L4001" s="87"/>
      <c r="M4001" s="14"/>
      <c r="N4001" s="14" t="s">
        <v>70</v>
      </c>
      <c r="O4001" s="14"/>
      <c r="P4001" s="15" t="s">
        <v>4234</v>
      </c>
      <c r="Q4001" s="16">
        <v>5499</v>
      </c>
      <c r="R4001" s="17">
        <v>45</v>
      </c>
      <c r="S4001" s="18">
        <v>3478.1174999999994</v>
      </c>
      <c r="T4001" s="19" t="s">
        <v>117</v>
      </c>
      <c r="U4001" s="20" t="s">
        <v>3237</v>
      </c>
      <c r="V4001" s="21">
        <v>29</v>
      </c>
      <c r="W4001" s="21">
        <v>1</v>
      </c>
      <c r="X4001" s="22"/>
    </row>
    <row r="4002" spans="1:24" s="1" customFormat="1" ht="26.1" customHeight="1" x14ac:dyDescent="0.3">
      <c r="A4002" s="23" t="s">
        <v>3014</v>
      </c>
      <c r="B4002" s="23" t="s">
        <v>4231</v>
      </c>
      <c r="C4002" s="12" t="s">
        <v>4232</v>
      </c>
      <c r="D4002" s="84"/>
      <c r="E4002" s="69" t="str">
        <f>HYPERLINK("https://www.google.ru/search?q=72404302-6960&amp;newwindow=1&amp;tbm=isch","Еще фото")</f>
        <v>Еще фото</v>
      </c>
      <c r="F4002" s="13"/>
      <c r="G4002" s="23" t="s">
        <v>484</v>
      </c>
      <c r="H4002" s="23" t="s">
        <v>151</v>
      </c>
      <c r="I4002" s="23" t="s">
        <v>424</v>
      </c>
      <c r="J4002" s="14" t="s">
        <v>29</v>
      </c>
      <c r="K4002" s="15" t="s">
        <v>30</v>
      </c>
      <c r="L4002" s="87"/>
      <c r="M4002" s="14"/>
      <c r="N4002" s="14" t="s">
        <v>70</v>
      </c>
      <c r="O4002" s="14"/>
      <c r="P4002" s="15" t="s">
        <v>4234</v>
      </c>
      <c r="Q4002" s="16">
        <v>5499</v>
      </c>
      <c r="R4002" s="17">
        <v>45</v>
      </c>
      <c r="S4002" s="18">
        <v>3478.1174999999994</v>
      </c>
      <c r="T4002" s="19" t="s">
        <v>117</v>
      </c>
      <c r="U4002" s="20" t="s">
        <v>3238</v>
      </c>
      <c r="V4002" s="21">
        <v>30</v>
      </c>
      <c r="W4002" s="21">
        <v>2</v>
      </c>
      <c r="X4002" s="22"/>
    </row>
    <row r="4003" spans="1:24" s="1" customFormat="1" ht="26.1" customHeight="1" x14ac:dyDescent="0.3">
      <c r="A4003" s="23" t="s">
        <v>3014</v>
      </c>
      <c r="B4003" s="23" t="s">
        <v>4231</v>
      </c>
      <c r="C4003" s="12" t="s">
        <v>4232</v>
      </c>
      <c r="D4003" s="85"/>
      <c r="E4003" s="69" t="str">
        <f>HYPERLINK("https://www.google.ru/search?q=72404302-6960&amp;newwindow=1&amp;tbm=isch","Еще фото")</f>
        <v>Еще фото</v>
      </c>
      <c r="F4003" s="13"/>
      <c r="G4003" s="23" t="s">
        <v>484</v>
      </c>
      <c r="H4003" s="23" t="s">
        <v>151</v>
      </c>
      <c r="I4003" s="23" t="s">
        <v>424</v>
      </c>
      <c r="J4003" s="14" t="s">
        <v>29</v>
      </c>
      <c r="K4003" s="15" t="s">
        <v>30</v>
      </c>
      <c r="L4003" s="88"/>
      <c r="M4003" s="14"/>
      <c r="N4003" s="14" t="s">
        <v>70</v>
      </c>
      <c r="O4003" s="14"/>
      <c r="P4003" s="15" t="s">
        <v>4234</v>
      </c>
      <c r="Q4003" s="16">
        <v>5499</v>
      </c>
      <c r="R4003" s="17">
        <v>45</v>
      </c>
      <c r="S4003" s="18">
        <v>3478.1174999999994</v>
      </c>
      <c r="T4003" s="19" t="s">
        <v>117</v>
      </c>
      <c r="U4003" s="20" t="s">
        <v>3239</v>
      </c>
      <c r="V4003" s="21">
        <v>31</v>
      </c>
      <c r="W4003" s="21">
        <v>2</v>
      </c>
      <c r="X4003" s="22"/>
    </row>
    <row r="4004" spans="1:24" s="1" customFormat="1" ht="108" customHeight="1" x14ac:dyDescent="0.3">
      <c r="A4004" s="11" t="s">
        <v>3014</v>
      </c>
      <c r="B4004" s="11" t="s">
        <v>4235</v>
      </c>
      <c r="C4004" s="12" t="s">
        <v>4236</v>
      </c>
      <c r="D4004" s="24"/>
      <c r="E4004" s="69" t="str">
        <f>HYPERLINK("https://www.google.ru/search?q=72404303-0100&amp;newwindow=1&amp;tbm=isch","Еще фото")</f>
        <v>Еще фото</v>
      </c>
      <c r="F4004" s="13"/>
      <c r="G4004" s="11" t="s">
        <v>394</v>
      </c>
      <c r="H4004" s="11" t="s">
        <v>151</v>
      </c>
      <c r="I4004" s="14" t="s">
        <v>424</v>
      </c>
      <c r="J4004" s="14" t="s">
        <v>29</v>
      </c>
      <c r="K4004" s="15" t="s">
        <v>30</v>
      </c>
      <c r="L4004" s="14" t="s">
        <v>4237</v>
      </c>
      <c r="M4004" s="14"/>
      <c r="N4004" s="14" t="s">
        <v>89</v>
      </c>
      <c r="O4004" s="14"/>
      <c r="P4004" s="15" t="s">
        <v>4215</v>
      </c>
      <c r="Q4004" s="16">
        <v>5499</v>
      </c>
      <c r="R4004" s="17">
        <v>45</v>
      </c>
      <c r="S4004" s="18">
        <v>3478.1174999999994</v>
      </c>
      <c r="T4004" s="19" t="s">
        <v>117</v>
      </c>
      <c r="U4004" s="20" t="s">
        <v>3240</v>
      </c>
      <c r="V4004" s="21">
        <v>32</v>
      </c>
      <c r="W4004" s="21">
        <v>1</v>
      </c>
      <c r="X4004" s="22"/>
    </row>
    <row r="4005" spans="1:24" s="1" customFormat="1" ht="35.1" customHeight="1" x14ac:dyDescent="0.3">
      <c r="A4005" s="11" t="s">
        <v>3014</v>
      </c>
      <c r="B4005" s="11" t="s">
        <v>4238</v>
      </c>
      <c r="C4005" s="12" t="s">
        <v>4239</v>
      </c>
      <c r="D4005" s="83"/>
      <c r="E4005" s="69" t="str">
        <f>HYPERLINK("https://www.google.ru/search?q=72404306-6960&amp;newwindow=1&amp;tbm=isch","Еще фото")</f>
        <v>Еще фото</v>
      </c>
      <c r="F4005" s="13"/>
      <c r="G4005" s="11" t="s">
        <v>394</v>
      </c>
      <c r="H4005" s="11" t="s">
        <v>151</v>
      </c>
      <c r="I4005" s="14" t="s">
        <v>424</v>
      </c>
      <c r="J4005" s="14" t="s">
        <v>29</v>
      </c>
      <c r="K4005" s="15" t="s">
        <v>30</v>
      </c>
      <c r="L4005" s="86" t="s">
        <v>4240</v>
      </c>
      <c r="M4005" s="14"/>
      <c r="N4005" s="14" t="s">
        <v>70</v>
      </c>
      <c r="O4005" s="14"/>
      <c r="P4005" s="15" t="s">
        <v>4219</v>
      </c>
      <c r="Q4005" s="16">
        <v>5499</v>
      </c>
      <c r="R4005" s="17">
        <v>45</v>
      </c>
      <c r="S4005" s="18">
        <v>3478.1174999999994</v>
      </c>
      <c r="T4005" s="19" t="s">
        <v>117</v>
      </c>
      <c r="U4005" s="20" t="s">
        <v>3237</v>
      </c>
      <c r="V4005" s="21">
        <v>29</v>
      </c>
      <c r="W4005" s="21">
        <v>1</v>
      </c>
      <c r="X4005" s="22"/>
    </row>
    <row r="4006" spans="1:24" s="1" customFormat="1" ht="35.1" customHeight="1" x14ac:dyDescent="0.3">
      <c r="A4006" s="23" t="s">
        <v>3014</v>
      </c>
      <c r="B4006" s="23" t="s">
        <v>4238</v>
      </c>
      <c r="C4006" s="12" t="s">
        <v>4239</v>
      </c>
      <c r="D4006" s="84"/>
      <c r="E4006" s="69" t="str">
        <f>HYPERLINK("https://www.google.ru/search?q=72404306-6960&amp;newwindow=1&amp;tbm=isch","Еще фото")</f>
        <v>Еще фото</v>
      </c>
      <c r="F4006" s="13"/>
      <c r="G4006" s="23" t="s">
        <v>394</v>
      </c>
      <c r="H4006" s="23" t="s">
        <v>151</v>
      </c>
      <c r="I4006" s="23" t="s">
        <v>424</v>
      </c>
      <c r="J4006" s="14" t="s">
        <v>29</v>
      </c>
      <c r="K4006" s="15" t="s">
        <v>30</v>
      </c>
      <c r="L4006" s="87"/>
      <c r="M4006" s="14"/>
      <c r="N4006" s="14" t="s">
        <v>70</v>
      </c>
      <c r="O4006" s="14"/>
      <c r="P4006" s="15" t="s">
        <v>4219</v>
      </c>
      <c r="Q4006" s="16">
        <v>5499</v>
      </c>
      <c r="R4006" s="17">
        <v>45</v>
      </c>
      <c r="S4006" s="18">
        <v>3478.1174999999994</v>
      </c>
      <c r="T4006" s="19" t="s">
        <v>117</v>
      </c>
      <c r="U4006" s="20" t="s">
        <v>3238</v>
      </c>
      <c r="V4006" s="21">
        <v>30</v>
      </c>
      <c r="W4006" s="21">
        <v>2</v>
      </c>
      <c r="X4006" s="22"/>
    </row>
    <row r="4007" spans="1:24" s="1" customFormat="1" ht="36.950000000000003" customHeight="1" x14ac:dyDescent="0.3">
      <c r="A4007" s="23" t="s">
        <v>3014</v>
      </c>
      <c r="B4007" s="23" t="s">
        <v>4238</v>
      </c>
      <c r="C4007" s="12" t="s">
        <v>4239</v>
      </c>
      <c r="D4007" s="85"/>
      <c r="E4007" s="69" t="str">
        <f>HYPERLINK("https://www.google.ru/search?q=72404306-6960&amp;newwindow=1&amp;tbm=isch","Еще фото")</f>
        <v>Еще фото</v>
      </c>
      <c r="F4007" s="13"/>
      <c r="G4007" s="23" t="s">
        <v>394</v>
      </c>
      <c r="H4007" s="23" t="s">
        <v>151</v>
      </c>
      <c r="I4007" s="23" t="s">
        <v>424</v>
      </c>
      <c r="J4007" s="14" t="s">
        <v>29</v>
      </c>
      <c r="K4007" s="15" t="s">
        <v>30</v>
      </c>
      <c r="L4007" s="88"/>
      <c r="M4007" s="14"/>
      <c r="N4007" s="14" t="s">
        <v>70</v>
      </c>
      <c r="O4007" s="14"/>
      <c r="P4007" s="15" t="s">
        <v>4219</v>
      </c>
      <c r="Q4007" s="16">
        <v>5499</v>
      </c>
      <c r="R4007" s="17">
        <v>45</v>
      </c>
      <c r="S4007" s="18">
        <v>3478.1174999999994</v>
      </c>
      <c r="T4007" s="19" t="s">
        <v>117</v>
      </c>
      <c r="U4007" s="20" t="s">
        <v>3239</v>
      </c>
      <c r="V4007" s="21">
        <v>31</v>
      </c>
      <c r="W4007" s="21">
        <v>1</v>
      </c>
      <c r="X4007" s="22"/>
    </row>
    <row r="4008" spans="1:24" s="1" customFormat="1" ht="14.1" customHeight="1" x14ac:dyDescent="0.3">
      <c r="A4008" s="11" t="s">
        <v>3014</v>
      </c>
      <c r="B4008" s="11" t="s">
        <v>4238</v>
      </c>
      <c r="C4008" s="12" t="s">
        <v>4241</v>
      </c>
      <c r="D4008" s="83"/>
      <c r="E4008" s="69" t="str">
        <f t="shared" ref="E4008:E4014" si="192">HYPERLINK("https://www.google.ru/search?q=72404306-9990&amp;newwindow=1&amp;tbm=isch","Еще фото")</f>
        <v>Еще фото</v>
      </c>
      <c r="F4008" s="13"/>
      <c r="G4008" s="11" t="s">
        <v>394</v>
      </c>
      <c r="H4008" s="11" t="s">
        <v>151</v>
      </c>
      <c r="I4008" s="14" t="s">
        <v>424</v>
      </c>
      <c r="J4008" s="14" t="s">
        <v>29</v>
      </c>
      <c r="K4008" s="15" t="s">
        <v>30</v>
      </c>
      <c r="L4008" s="86" t="s">
        <v>4240</v>
      </c>
      <c r="M4008" s="14"/>
      <c r="N4008" s="14" t="s">
        <v>49</v>
      </c>
      <c r="O4008" s="14"/>
      <c r="P4008" s="15" t="s">
        <v>4219</v>
      </c>
      <c r="Q4008" s="16">
        <v>5499</v>
      </c>
      <c r="R4008" s="17">
        <v>45</v>
      </c>
      <c r="S4008" s="18">
        <v>3478.1174999999994</v>
      </c>
      <c r="T4008" s="19" t="s">
        <v>117</v>
      </c>
      <c r="U4008" s="20" t="s">
        <v>3246</v>
      </c>
      <c r="V4008" s="21">
        <v>28</v>
      </c>
      <c r="W4008" s="21">
        <v>5</v>
      </c>
      <c r="X4008" s="22"/>
    </row>
    <row r="4009" spans="1:24" s="1" customFormat="1" ht="14.1" customHeight="1" x14ac:dyDescent="0.3">
      <c r="A4009" s="23" t="s">
        <v>3014</v>
      </c>
      <c r="B4009" s="23" t="s">
        <v>4238</v>
      </c>
      <c r="C4009" s="12" t="s">
        <v>4241</v>
      </c>
      <c r="D4009" s="84"/>
      <c r="E4009" s="69" t="str">
        <f t="shared" si="192"/>
        <v>Еще фото</v>
      </c>
      <c r="F4009" s="13"/>
      <c r="G4009" s="23" t="s">
        <v>394</v>
      </c>
      <c r="H4009" s="23" t="s">
        <v>151</v>
      </c>
      <c r="I4009" s="23" t="s">
        <v>424</v>
      </c>
      <c r="J4009" s="14" t="s">
        <v>29</v>
      </c>
      <c r="K4009" s="15" t="s">
        <v>30</v>
      </c>
      <c r="L4009" s="87"/>
      <c r="M4009" s="14"/>
      <c r="N4009" s="14" t="s">
        <v>49</v>
      </c>
      <c r="O4009" s="14"/>
      <c r="P4009" s="15" t="s">
        <v>4219</v>
      </c>
      <c r="Q4009" s="16">
        <v>5499</v>
      </c>
      <c r="R4009" s="17">
        <v>45</v>
      </c>
      <c r="S4009" s="18">
        <v>3478.1174999999994</v>
      </c>
      <c r="T4009" s="19" t="s">
        <v>117</v>
      </c>
      <c r="U4009" s="20" t="s">
        <v>3237</v>
      </c>
      <c r="V4009" s="21">
        <v>29</v>
      </c>
      <c r="W4009" s="21">
        <v>4</v>
      </c>
      <c r="X4009" s="22"/>
    </row>
    <row r="4010" spans="1:24" s="1" customFormat="1" ht="14.1" customHeight="1" x14ac:dyDescent="0.3">
      <c r="A4010" s="23" t="s">
        <v>3014</v>
      </c>
      <c r="B4010" s="23" t="s">
        <v>4238</v>
      </c>
      <c r="C4010" s="12" t="s">
        <v>4241</v>
      </c>
      <c r="D4010" s="84"/>
      <c r="E4010" s="69" t="str">
        <f t="shared" si="192"/>
        <v>Еще фото</v>
      </c>
      <c r="F4010" s="13"/>
      <c r="G4010" s="23" t="s">
        <v>394</v>
      </c>
      <c r="H4010" s="23" t="s">
        <v>151</v>
      </c>
      <c r="I4010" s="23" t="s">
        <v>424</v>
      </c>
      <c r="J4010" s="14" t="s">
        <v>29</v>
      </c>
      <c r="K4010" s="15" t="s">
        <v>30</v>
      </c>
      <c r="L4010" s="87"/>
      <c r="M4010" s="14"/>
      <c r="N4010" s="14" t="s">
        <v>49</v>
      </c>
      <c r="O4010" s="14"/>
      <c r="P4010" s="15" t="s">
        <v>4219</v>
      </c>
      <c r="Q4010" s="16">
        <v>5499</v>
      </c>
      <c r="R4010" s="17">
        <v>45</v>
      </c>
      <c r="S4010" s="18">
        <v>3478.1174999999994</v>
      </c>
      <c r="T4010" s="19" t="s">
        <v>117</v>
      </c>
      <c r="U4010" s="20" t="s">
        <v>3238</v>
      </c>
      <c r="V4010" s="21">
        <v>30</v>
      </c>
      <c r="W4010" s="21">
        <v>5</v>
      </c>
      <c r="X4010" s="22"/>
    </row>
    <row r="4011" spans="1:24" s="1" customFormat="1" ht="14.1" customHeight="1" x14ac:dyDescent="0.3">
      <c r="A4011" s="23" t="s">
        <v>3014</v>
      </c>
      <c r="B4011" s="23" t="s">
        <v>4238</v>
      </c>
      <c r="C4011" s="12" t="s">
        <v>4241</v>
      </c>
      <c r="D4011" s="84"/>
      <c r="E4011" s="69" t="str">
        <f t="shared" si="192"/>
        <v>Еще фото</v>
      </c>
      <c r="F4011" s="13"/>
      <c r="G4011" s="23" t="s">
        <v>394</v>
      </c>
      <c r="H4011" s="23" t="s">
        <v>151</v>
      </c>
      <c r="I4011" s="23" t="s">
        <v>424</v>
      </c>
      <c r="J4011" s="14" t="s">
        <v>29</v>
      </c>
      <c r="K4011" s="15" t="s">
        <v>30</v>
      </c>
      <c r="L4011" s="87"/>
      <c r="M4011" s="14"/>
      <c r="N4011" s="14" t="s">
        <v>49</v>
      </c>
      <c r="O4011" s="14"/>
      <c r="P4011" s="15" t="s">
        <v>4219</v>
      </c>
      <c r="Q4011" s="16">
        <v>5499</v>
      </c>
      <c r="R4011" s="17">
        <v>45</v>
      </c>
      <c r="S4011" s="18">
        <v>3478.1174999999994</v>
      </c>
      <c r="T4011" s="19" t="s">
        <v>117</v>
      </c>
      <c r="U4011" s="20" t="s">
        <v>3239</v>
      </c>
      <c r="V4011" s="21">
        <v>31</v>
      </c>
      <c r="W4011" s="21">
        <v>4</v>
      </c>
      <c r="X4011" s="22"/>
    </row>
    <row r="4012" spans="1:24" s="1" customFormat="1" ht="14.1" customHeight="1" x14ac:dyDescent="0.3">
      <c r="A4012" s="23" t="s">
        <v>3014</v>
      </c>
      <c r="B4012" s="23" t="s">
        <v>4238</v>
      </c>
      <c r="C4012" s="12" t="s">
        <v>4241</v>
      </c>
      <c r="D4012" s="84"/>
      <c r="E4012" s="69" t="str">
        <f t="shared" si="192"/>
        <v>Еще фото</v>
      </c>
      <c r="F4012" s="13"/>
      <c r="G4012" s="23" t="s">
        <v>394</v>
      </c>
      <c r="H4012" s="23" t="s">
        <v>151</v>
      </c>
      <c r="I4012" s="23" t="s">
        <v>424</v>
      </c>
      <c r="J4012" s="14" t="s">
        <v>29</v>
      </c>
      <c r="K4012" s="15" t="s">
        <v>30</v>
      </c>
      <c r="L4012" s="87"/>
      <c r="M4012" s="14"/>
      <c r="N4012" s="14" t="s">
        <v>49</v>
      </c>
      <c r="O4012" s="14"/>
      <c r="P4012" s="15" t="s">
        <v>4219</v>
      </c>
      <c r="Q4012" s="16">
        <v>5499</v>
      </c>
      <c r="R4012" s="17">
        <v>45</v>
      </c>
      <c r="S4012" s="18">
        <v>3478.1174999999994</v>
      </c>
      <c r="T4012" s="19" t="s">
        <v>117</v>
      </c>
      <c r="U4012" s="20" t="s">
        <v>3240</v>
      </c>
      <c r="V4012" s="21">
        <v>32</v>
      </c>
      <c r="W4012" s="21">
        <v>5</v>
      </c>
      <c r="X4012" s="22"/>
    </row>
    <row r="4013" spans="1:24" s="1" customFormat="1" ht="14.1" customHeight="1" x14ac:dyDescent="0.3">
      <c r="A4013" s="23" t="s">
        <v>3014</v>
      </c>
      <c r="B4013" s="23" t="s">
        <v>4238</v>
      </c>
      <c r="C4013" s="12" t="s">
        <v>4241</v>
      </c>
      <c r="D4013" s="84"/>
      <c r="E4013" s="69" t="str">
        <f t="shared" si="192"/>
        <v>Еще фото</v>
      </c>
      <c r="F4013" s="13"/>
      <c r="G4013" s="23" t="s">
        <v>394</v>
      </c>
      <c r="H4013" s="23" t="s">
        <v>151</v>
      </c>
      <c r="I4013" s="23" t="s">
        <v>424</v>
      </c>
      <c r="J4013" s="14" t="s">
        <v>29</v>
      </c>
      <c r="K4013" s="15" t="s">
        <v>30</v>
      </c>
      <c r="L4013" s="87"/>
      <c r="M4013" s="14"/>
      <c r="N4013" s="14" t="s">
        <v>49</v>
      </c>
      <c r="O4013" s="14"/>
      <c r="P4013" s="15" t="s">
        <v>4219</v>
      </c>
      <c r="Q4013" s="16">
        <v>5499</v>
      </c>
      <c r="R4013" s="17">
        <v>45</v>
      </c>
      <c r="S4013" s="18">
        <v>3478.1174999999994</v>
      </c>
      <c r="T4013" s="19" t="s">
        <v>117</v>
      </c>
      <c r="U4013" s="20" t="s">
        <v>4242</v>
      </c>
      <c r="V4013" s="21">
        <v>33</v>
      </c>
      <c r="W4013" s="21">
        <v>3</v>
      </c>
      <c r="X4013" s="22"/>
    </row>
    <row r="4014" spans="1:24" s="1" customFormat="1" ht="17.100000000000001" customHeight="1" x14ac:dyDescent="0.3">
      <c r="A4014" s="23" t="s">
        <v>3014</v>
      </c>
      <c r="B4014" s="23" t="s">
        <v>4238</v>
      </c>
      <c r="C4014" s="12" t="s">
        <v>4241</v>
      </c>
      <c r="D4014" s="85"/>
      <c r="E4014" s="69" t="str">
        <f t="shared" si="192"/>
        <v>Еще фото</v>
      </c>
      <c r="F4014" s="13"/>
      <c r="G4014" s="23" t="s">
        <v>394</v>
      </c>
      <c r="H4014" s="23" t="s">
        <v>151</v>
      </c>
      <c r="I4014" s="23" t="s">
        <v>424</v>
      </c>
      <c r="J4014" s="14" t="s">
        <v>29</v>
      </c>
      <c r="K4014" s="15" t="s">
        <v>30</v>
      </c>
      <c r="L4014" s="88"/>
      <c r="M4014" s="14"/>
      <c r="N4014" s="14" t="s">
        <v>49</v>
      </c>
      <c r="O4014" s="14"/>
      <c r="P4014" s="15" t="s">
        <v>4219</v>
      </c>
      <c r="Q4014" s="16">
        <v>5499</v>
      </c>
      <c r="R4014" s="17">
        <v>45</v>
      </c>
      <c r="S4014" s="18">
        <v>3478.1174999999994</v>
      </c>
      <c r="T4014" s="19" t="s">
        <v>117</v>
      </c>
      <c r="U4014" s="20" t="s">
        <v>3522</v>
      </c>
      <c r="V4014" s="21">
        <v>34</v>
      </c>
      <c r="W4014" s="21">
        <v>2</v>
      </c>
      <c r="X4014" s="22"/>
    </row>
    <row r="4015" spans="1:24" s="1" customFormat="1" ht="35.1" customHeight="1" x14ac:dyDescent="0.3">
      <c r="A4015" s="11" t="s">
        <v>3014</v>
      </c>
      <c r="B4015" s="11" t="s">
        <v>4243</v>
      </c>
      <c r="C4015" s="12" t="s">
        <v>4244</v>
      </c>
      <c r="D4015" s="83"/>
      <c r="E4015" s="69" t="str">
        <f>HYPERLINK("https://www.google.ru/search?q=72405201-9370&amp;newwindow=1&amp;tbm=isch","Еще фото")</f>
        <v>Еще фото</v>
      </c>
      <c r="F4015" s="13"/>
      <c r="G4015" s="11" t="s">
        <v>394</v>
      </c>
      <c r="H4015" s="11" t="s">
        <v>151</v>
      </c>
      <c r="I4015" s="14" t="s">
        <v>424</v>
      </c>
      <c r="J4015" s="14" t="s">
        <v>29</v>
      </c>
      <c r="K4015" s="15" t="s">
        <v>30</v>
      </c>
      <c r="L4015" s="86"/>
      <c r="M4015" s="14"/>
      <c r="N4015" s="14" t="s">
        <v>41</v>
      </c>
      <c r="O4015" s="14"/>
      <c r="P4015" s="15" t="s">
        <v>4245</v>
      </c>
      <c r="Q4015" s="16">
        <v>6499</v>
      </c>
      <c r="R4015" s="17">
        <v>45</v>
      </c>
      <c r="S4015" s="18">
        <v>4110.6174999999994</v>
      </c>
      <c r="T4015" s="19" t="s">
        <v>117</v>
      </c>
      <c r="U4015" s="20" t="s">
        <v>4246</v>
      </c>
      <c r="V4015" s="21">
        <v>36</v>
      </c>
      <c r="W4015" s="21">
        <v>1</v>
      </c>
      <c r="X4015" s="22"/>
    </row>
    <row r="4016" spans="1:24" s="1" customFormat="1" ht="35.1" customHeight="1" x14ac:dyDescent="0.3">
      <c r="A4016" s="23" t="s">
        <v>3014</v>
      </c>
      <c r="B4016" s="23" t="s">
        <v>4243</v>
      </c>
      <c r="C4016" s="12" t="s">
        <v>4244</v>
      </c>
      <c r="D4016" s="84"/>
      <c r="E4016" s="69" t="str">
        <f>HYPERLINK("https://www.google.ru/search?q=72405201-9370&amp;newwindow=1&amp;tbm=isch","Еще фото")</f>
        <v>Еще фото</v>
      </c>
      <c r="F4016" s="13"/>
      <c r="G4016" s="23" t="s">
        <v>394</v>
      </c>
      <c r="H4016" s="23" t="s">
        <v>151</v>
      </c>
      <c r="I4016" s="23" t="s">
        <v>424</v>
      </c>
      <c r="J4016" s="14" t="s">
        <v>29</v>
      </c>
      <c r="K4016" s="15" t="s">
        <v>30</v>
      </c>
      <c r="L4016" s="87"/>
      <c r="M4016" s="14"/>
      <c r="N4016" s="14" t="s">
        <v>41</v>
      </c>
      <c r="O4016" s="14"/>
      <c r="P4016" s="15" t="s">
        <v>4245</v>
      </c>
      <c r="Q4016" s="16">
        <v>6499</v>
      </c>
      <c r="R4016" s="17">
        <v>45</v>
      </c>
      <c r="S4016" s="18">
        <v>4110.6174999999994</v>
      </c>
      <c r="T4016" s="19" t="s">
        <v>117</v>
      </c>
      <c r="U4016" s="20" t="s">
        <v>3516</v>
      </c>
      <c r="V4016" s="21">
        <v>37</v>
      </c>
      <c r="W4016" s="21">
        <v>1</v>
      </c>
      <c r="X4016" s="22"/>
    </row>
    <row r="4017" spans="1:24" s="1" customFormat="1" ht="36.950000000000003" customHeight="1" x14ac:dyDescent="0.3">
      <c r="A4017" s="23" t="s">
        <v>3014</v>
      </c>
      <c r="B4017" s="23" t="s">
        <v>4243</v>
      </c>
      <c r="C4017" s="12" t="s">
        <v>4244</v>
      </c>
      <c r="D4017" s="85"/>
      <c r="E4017" s="69" t="str">
        <f>HYPERLINK("https://www.google.ru/search?q=72405201-9370&amp;newwindow=1&amp;tbm=isch","Еще фото")</f>
        <v>Еще фото</v>
      </c>
      <c r="F4017" s="13"/>
      <c r="G4017" s="23" t="s">
        <v>394</v>
      </c>
      <c r="H4017" s="23" t="s">
        <v>151</v>
      </c>
      <c r="I4017" s="23" t="s">
        <v>424</v>
      </c>
      <c r="J4017" s="14" t="s">
        <v>29</v>
      </c>
      <c r="K4017" s="15" t="s">
        <v>30</v>
      </c>
      <c r="L4017" s="88"/>
      <c r="M4017" s="14"/>
      <c r="N4017" s="14" t="s">
        <v>41</v>
      </c>
      <c r="O4017" s="14"/>
      <c r="P4017" s="15" t="s">
        <v>4245</v>
      </c>
      <c r="Q4017" s="16">
        <v>6499</v>
      </c>
      <c r="R4017" s="17">
        <v>45</v>
      </c>
      <c r="S4017" s="18">
        <v>4110.6174999999994</v>
      </c>
      <c r="T4017" s="19" t="s">
        <v>117</v>
      </c>
      <c r="U4017" s="20" t="s">
        <v>4247</v>
      </c>
      <c r="V4017" s="21">
        <v>38</v>
      </c>
      <c r="W4017" s="21">
        <v>5</v>
      </c>
      <c r="X4017" s="22"/>
    </row>
    <row r="4018" spans="1:24" s="1" customFormat="1" ht="51.95" customHeight="1" x14ac:dyDescent="0.3">
      <c r="A4018" s="11" t="s">
        <v>3014</v>
      </c>
      <c r="B4018" s="11" t="s">
        <v>4243</v>
      </c>
      <c r="C4018" s="12" t="s">
        <v>4248</v>
      </c>
      <c r="D4018" s="89"/>
      <c r="E4018" s="69" t="str">
        <f>HYPERLINK("https://www.google.ru/search?q=72405201-9990&amp;newwindow=1&amp;tbm=isch","Еще фото")</f>
        <v>Еще фото</v>
      </c>
      <c r="F4018" s="13"/>
      <c r="G4018" s="11" t="s">
        <v>394</v>
      </c>
      <c r="H4018" s="11" t="s">
        <v>151</v>
      </c>
      <c r="I4018" s="14" t="s">
        <v>424</v>
      </c>
      <c r="J4018" s="14" t="s">
        <v>29</v>
      </c>
      <c r="K4018" s="15" t="s">
        <v>30</v>
      </c>
      <c r="L4018" s="86"/>
      <c r="M4018" s="14"/>
      <c r="N4018" s="14" t="s">
        <v>49</v>
      </c>
      <c r="O4018" s="14"/>
      <c r="P4018" s="15" t="s">
        <v>4245</v>
      </c>
      <c r="Q4018" s="16">
        <v>6499</v>
      </c>
      <c r="R4018" s="17">
        <v>45</v>
      </c>
      <c r="S4018" s="18">
        <v>4110.6174999999994</v>
      </c>
      <c r="T4018" s="19" t="s">
        <v>117</v>
      </c>
      <c r="U4018" s="20" t="s">
        <v>3238</v>
      </c>
      <c r="V4018" s="21">
        <v>30</v>
      </c>
      <c r="W4018" s="21">
        <v>1</v>
      </c>
      <c r="X4018" s="22"/>
    </row>
    <row r="4019" spans="1:24" s="1" customFormat="1" ht="60.95" customHeight="1" x14ac:dyDescent="0.3">
      <c r="A4019" s="23" t="s">
        <v>3014</v>
      </c>
      <c r="B4019" s="23" t="s">
        <v>4243</v>
      </c>
      <c r="C4019" s="12" t="s">
        <v>4248</v>
      </c>
      <c r="D4019" s="90"/>
      <c r="E4019" s="69" t="str">
        <f>HYPERLINK("https://www.google.ru/search?q=72405201-9990&amp;newwindow=1&amp;tbm=isch","Еще фото")</f>
        <v>Еще фото</v>
      </c>
      <c r="F4019" s="13"/>
      <c r="G4019" s="23" t="s">
        <v>394</v>
      </c>
      <c r="H4019" s="23" t="s">
        <v>151</v>
      </c>
      <c r="I4019" s="23" t="s">
        <v>424</v>
      </c>
      <c r="J4019" s="14" t="s">
        <v>29</v>
      </c>
      <c r="K4019" s="15" t="s">
        <v>30</v>
      </c>
      <c r="L4019" s="88"/>
      <c r="M4019" s="14"/>
      <c r="N4019" s="14" t="s">
        <v>49</v>
      </c>
      <c r="O4019" s="14"/>
      <c r="P4019" s="15" t="s">
        <v>4245</v>
      </c>
      <c r="Q4019" s="16">
        <v>6499</v>
      </c>
      <c r="R4019" s="17">
        <v>45</v>
      </c>
      <c r="S4019" s="18">
        <v>4110.6174999999994</v>
      </c>
      <c r="T4019" s="19" t="s">
        <v>117</v>
      </c>
      <c r="U4019" s="20" t="s">
        <v>3240</v>
      </c>
      <c r="V4019" s="21">
        <v>32</v>
      </c>
      <c r="W4019" s="21">
        <v>3</v>
      </c>
      <c r="X4019" s="22"/>
    </row>
    <row r="4020" spans="1:24" s="1" customFormat="1" ht="35.1" customHeight="1" x14ac:dyDescent="0.3">
      <c r="A4020" s="11" t="s">
        <v>3014</v>
      </c>
      <c r="B4020" s="11" t="s">
        <v>4243</v>
      </c>
      <c r="C4020" s="12" t="s">
        <v>4249</v>
      </c>
      <c r="D4020" s="83"/>
      <c r="E4020" s="69" t="str">
        <f>HYPERLINK("https://www.google.ru/search?q=72406201-4680&amp;newwindow=1&amp;tbm=isch","Еще фото")</f>
        <v>Еще фото</v>
      </c>
      <c r="F4020" s="13"/>
      <c r="G4020" s="11" t="s">
        <v>394</v>
      </c>
      <c r="H4020" s="11" t="s">
        <v>151</v>
      </c>
      <c r="I4020" s="14" t="s">
        <v>424</v>
      </c>
      <c r="J4020" s="14" t="s">
        <v>29</v>
      </c>
      <c r="K4020" s="15" t="s">
        <v>30</v>
      </c>
      <c r="L4020" s="86"/>
      <c r="M4020" s="14"/>
      <c r="N4020" s="14" t="s">
        <v>275</v>
      </c>
      <c r="O4020" s="14"/>
      <c r="P4020" s="15" t="s">
        <v>4245</v>
      </c>
      <c r="Q4020" s="16">
        <v>6499</v>
      </c>
      <c r="R4020" s="17">
        <v>45</v>
      </c>
      <c r="S4020" s="18">
        <v>4110.6174999999994</v>
      </c>
      <c r="T4020" s="19" t="s">
        <v>117</v>
      </c>
      <c r="U4020" s="20" t="s">
        <v>3237</v>
      </c>
      <c r="V4020" s="21">
        <v>29</v>
      </c>
      <c r="W4020" s="21">
        <v>2</v>
      </c>
      <c r="X4020" s="22"/>
    </row>
    <row r="4021" spans="1:24" s="1" customFormat="1" ht="35.1" customHeight="1" x14ac:dyDescent="0.3">
      <c r="A4021" s="23" t="s">
        <v>3014</v>
      </c>
      <c r="B4021" s="23" t="s">
        <v>4243</v>
      </c>
      <c r="C4021" s="12" t="s">
        <v>4249</v>
      </c>
      <c r="D4021" s="84"/>
      <c r="E4021" s="69" t="str">
        <f>HYPERLINK("https://www.google.ru/search?q=72406201-4680&amp;newwindow=1&amp;tbm=isch","Еще фото")</f>
        <v>Еще фото</v>
      </c>
      <c r="F4021" s="13"/>
      <c r="G4021" s="23" t="s">
        <v>394</v>
      </c>
      <c r="H4021" s="23" t="s">
        <v>151</v>
      </c>
      <c r="I4021" s="23" t="s">
        <v>424</v>
      </c>
      <c r="J4021" s="14" t="s">
        <v>29</v>
      </c>
      <c r="K4021" s="15" t="s">
        <v>30</v>
      </c>
      <c r="L4021" s="87"/>
      <c r="M4021" s="14"/>
      <c r="N4021" s="14" t="s">
        <v>275</v>
      </c>
      <c r="O4021" s="14"/>
      <c r="P4021" s="15" t="s">
        <v>4245</v>
      </c>
      <c r="Q4021" s="16">
        <v>6499</v>
      </c>
      <c r="R4021" s="17">
        <v>45</v>
      </c>
      <c r="S4021" s="18">
        <v>4110.6174999999994</v>
      </c>
      <c r="T4021" s="19" t="s">
        <v>117</v>
      </c>
      <c r="U4021" s="20" t="s">
        <v>3522</v>
      </c>
      <c r="V4021" s="21">
        <v>34</v>
      </c>
      <c r="W4021" s="21">
        <v>1</v>
      </c>
      <c r="X4021" s="22"/>
    </row>
    <row r="4022" spans="1:24" s="1" customFormat="1" ht="36.950000000000003" customHeight="1" x14ac:dyDescent="0.3">
      <c r="A4022" s="23" t="s">
        <v>3014</v>
      </c>
      <c r="B4022" s="23" t="s">
        <v>4243</v>
      </c>
      <c r="C4022" s="12" t="s">
        <v>4249</v>
      </c>
      <c r="D4022" s="85"/>
      <c r="E4022" s="69" t="str">
        <f>HYPERLINK("https://www.google.ru/search?q=72406201-4680&amp;newwindow=1&amp;tbm=isch","Еще фото")</f>
        <v>Еще фото</v>
      </c>
      <c r="F4022" s="13"/>
      <c r="G4022" s="23" t="s">
        <v>394</v>
      </c>
      <c r="H4022" s="23" t="s">
        <v>151</v>
      </c>
      <c r="I4022" s="23" t="s">
        <v>424</v>
      </c>
      <c r="J4022" s="14" t="s">
        <v>29</v>
      </c>
      <c r="K4022" s="15" t="s">
        <v>30</v>
      </c>
      <c r="L4022" s="88"/>
      <c r="M4022" s="14"/>
      <c r="N4022" s="14" t="s">
        <v>275</v>
      </c>
      <c r="O4022" s="14"/>
      <c r="P4022" s="15" t="s">
        <v>4245</v>
      </c>
      <c r="Q4022" s="16">
        <v>6499</v>
      </c>
      <c r="R4022" s="17">
        <v>45</v>
      </c>
      <c r="S4022" s="18">
        <v>4110.6174999999994</v>
      </c>
      <c r="T4022" s="19" t="s">
        <v>117</v>
      </c>
      <c r="U4022" s="20" t="s">
        <v>725</v>
      </c>
      <c r="V4022" s="21">
        <v>35</v>
      </c>
      <c r="W4022" s="21">
        <v>1</v>
      </c>
      <c r="X4022" s="22"/>
    </row>
    <row r="4023" spans="1:24" s="1" customFormat="1" ht="26.1" customHeight="1" x14ac:dyDescent="0.3">
      <c r="A4023" s="11" t="s">
        <v>3014</v>
      </c>
      <c r="B4023" s="11" t="s">
        <v>4243</v>
      </c>
      <c r="C4023" s="12" t="s">
        <v>4250</v>
      </c>
      <c r="D4023" s="83"/>
      <c r="E4023" s="69" t="str">
        <f>HYPERLINK("https://www.google.ru/search?q=72406201-9470&amp;newwindow=1&amp;tbm=isch","Еще фото")</f>
        <v>Еще фото</v>
      </c>
      <c r="F4023" s="13"/>
      <c r="G4023" s="11" t="s">
        <v>394</v>
      </c>
      <c r="H4023" s="11" t="s">
        <v>151</v>
      </c>
      <c r="I4023" s="14" t="s">
        <v>424</v>
      </c>
      <c r="J4023" s="14" t="s">
        <v>29</v>
      </c>
      <c r="K4023" s="15" t="s">
        <v>30</v>
      </c>
      <c r="L4023" s="86"/>
      <c r="M4023" s="14"/>
      <c r="N4023" s="14" t="s">
        <v>41</v>
      </c>
      <c r="O4023" s="14"/>
      <c r="P4023" s="15" t="s">
        <v>4245</v>
      </c>
      <c r="Q4023" s="16">
        <v>6499</v>
      </c>
      <c r="R4023" s="17">
        <v>45</v>
      </c>
      <c r="S4023" s="18">
        <v>4110.6174999999994</v>
      </c>
      <c r="T4023" s="19" t="s">
        <v>117</v>
      </c>
      <c r="U4023" s="20" t="s">
        <v>3240</v>
      </c>
      <c r="V4023" s="21">
        <v>32</v>
      </c>
      <c r="W4023" s="21">
        <v>4</v>
      </c>
      <c r="X4023" s="22"/>
    </row>
    <row r="4024" spans="1:24" s="1" customFormat="1" ht="26.1" customHeight="1" x14ac:dyDescent="0.3">
      <c r="A4024" s="23" t="s">
        <v>3014</v>
      </c>
      <c r="B4024" s="23" t="s">
        <v>4243</v>
      </c>
      <c r="C4024" s="12" t="s">
        <v>4250</v>
      </c>
      <c r="D4024" s="84"/>
      <c r="E4024" s="69" t="str">
        <f>HYPERLINK("https://www.google.ru/search?q=72406201-9470&amp;newwindow=1&amp;tbm=isch","Еще фото")</f>
        <v>Еще фото</v>
      </c>
      <c r="F4024" s="13"/>
      <c r="G4024" s="23" t="s">
        <v>394</v>
      </c>
      <c r="H4024" s="23" t="s">
        <v>151</v>
      </c>
      <c r="I4024" s="23" t="s">
        <v>424</v>
      </c>
      <c r="J4024" s="14" t="s">
        <v>29</v>
      </c>
      <c r="K4024" s="15" t="s">
        <v>30</v>
      </c>
      <c r="L4024" s="87"/>
      <c r="M4024" s="14"/>
      <c r="N4024" s="14" t="s">
        <v>41</v>
      </c>
      <c r="O4024" s="14"/>
      <c r="P4024" s="15" t="s">
        <v>4245</v>
      </c>
      <c r="Q4024" s="16">
        <v>6499</v>
      </c>
      <c r="R4024" s="17">
        <v>45</v>
      </c>
      <c r="S4024" s="18">
        <v>4110.6174999999994</v>
      </c>
      <c r="T4024" s="19" t="s">
        <v>117</v>
      </c>
      <c r="U4024" s="20" t="s">
        <v>4242</v>
      </c>
      <c r="V4024" s="21">
        <v>33</v>
      </c>
      <c r="W4024" s="21">
        <v>2</v>
      </c>
      <c r="X4024" s="22"/>
    </row>
    <row r="4025" spans="1:24" s="1" customFormat="1" ht="26.1" customHeight="1" x14ac:dyDescent="0.3">
      <c r="A4025" s="23" t="s">
        <v>3014</v>
      </c>
      <c r="B4025" s="23" t="s">
        <v>4243</v>
      </c>
      <c r="C4025" s="12" t="s">
        <v>4250</v>
      </c>
      <c r="D4025" s="84"/>
      <c r="E4025" s="69" t="str">
        <f>HYPERLINK("https://www.google.ru/search?q=72406201-9470&amp;newwindow=1&amp;tbm=isch","Еще фото")</f>
        <v>Еще фото</v>
      </c>
      <c r="F4025" s="13"/>
      <c r="G4025" s="23" t="s">
        <v>394</v>
      </c>
      <c r="H4025" s="23" t="s">
        <v>151</v>
      </c>
      <c r="I4025" s="23" t="s">
        <v>424</v>
      </c>
      <c r="J4025" s="14" t="s">
        <v>29</v>
      </c>
      <c r="K4025" s="15" t="s">
        <v>30</v>
      </c>
      <c r="L4025" s="87"/>
      <c r="M4025" s="14"/>
      <c r="N4025" s="14" t="s">
        <v>41</v>
      </c>
      <c r="O4025" s="14"/>
      <c r="P4025" s="15" t="s">
        <v>4245</v>
      </c>
      <c r="Q4025" s="16">
        <v>6499</v>
      </c>
      <c r="R4025" s="17">
        <v>45</v>
      </c>
      <c r="S4025" s="18">
        <v>4110.6174999999994</v>
      </c>
      <c r="T4025" s="19" t="s">
        <v>117</v>
      </c>
      <c r="U4025" s="20" t="s">
        <v>725</v>
      </c>
      <c r="V4025" s="21">
        <v>35</v>
      </c>
      <c r="W4025" s="21">
        <v>1</v>
      </c>
      <c r="X4025" s="22"/>
    </row>
    <row r="4026" spans="1:24" s="1" customFormat="1" ht="26.1" customHeight="1" x14ac:dyDescent="0.3">
      <c r="A4026" s="23" t="s">
        <v>3014</v>
      </c>
      <c r="B4026" s="23" t="s">
        <v>4243</v>
      </c>
      <c r="C4026" s="12" t="s">
        <v>4250</v>
      </c>
      <c r="D4026" s="85"/>
      <c r="E4026" s="69" t="str">
        <f>HYPERLINK("https://www.google.ru/search?q=72406201-9470&amp;newwindow=1&amp;tbm=isch","Еще фото")</f>
        <v>Еще фото</v>
      </c>
      <c r="F4026" s="13"/>
      <c r="G4026" s="23" t="s">
        <v>394</v>
      </c>
      <c r="H4026" s="23" t="s">
        <v>151</v>
      </c>
      <c r="I4026" s="23" t="s">
        <v>424</v>
      </c>
      <c r="J4026" s="14" t="s">
        <v>29</v>
      </c>
      <c r="K4026" s="15" t="s">
        <v>30</v>
      </c>
      <c r="L4026" s="88"/>
      <c r="M4026" s="14"/>
      <c r="N4026" s="14" t="s">
        <v>41</v>
      </c>
      <c r="O4026" s="14"/>
      <c r="P4026" s="15" t="s">
        <v>4245</v>
      </c>
      <c r="Q4026" s="16">
        <v>6499</v>
      </c>
      <c r="R4026" s="17">
        <v>45</v>
      </c>
      <c r="S4026" s="18">
        <v>4110.6174999999994</v>
      </c>
      <c r="T4026" s="19" t="s">
        <v>117</v>
      </c>
      <c r="U4026" s="20" t="s">
        <v>4246</v>
      </c>
      <c r="V4026" s="21">
        <v>36</v>
      </c>
      <c r="W4026" s="21">
        <v>1</v>
      </c>
      <c r="X4026" s="22"/>
    </row>
    <row r="4027" spans="1:24" s="1" customFormat="1" ht="26.1" customHeight="1" x14ac:dyDescent="0.3">
      <c r="A4027" s="11" t="s">
        <v>3014</v>
      </c>
      <c r="B4027" s="11" t="s">
        <v>4238</v>
      </c>
      <c r="C4027" s="12" t="s">
        <v>4251</v>
      </c>
      <c r="D4027" s="83"/>
      <c r="E4027" s="69" t="str">
        <f>HYPERLINK("https://www.google.ru/search?q=72406303-9990&amp;newwindow=1&amp;tbm=isch","Еще фото")</f>
        <v>Еще фото</v>
      </c>
      <c r="F4027" s="13"/>
      <c r="G4027" s="11" t="s">
        <v>394</v>
      </c>
      <c r="H4027" s="11" t="s">
        <v>151</v>
      </c>
      <c r="I4027" s="14" t="s">
        <v>424</v>
      </c>
      <c r="J4027" s="14" t="s">
        <v>29</v>
      </c>
      <c r="K4027" s="15" t="s">
        <v>30</v>
      </c>
      <c r="L4027" s="86"/>
      <c r="M4027" s="14"/>
      <c r="N4027" s="14" t="s">
        <v>1117</v>
      </c>
      <c r="O4027" s="14"/>
      <c r="P4027" s="15" t="s">
        <v>4252</v>
      </c>
      <c r="Q4027" s="16">
        <v>5999</v>
      </c>
      <c r="R4027" s="17">
        <v>45</v>
      </c>
      <c r="S4027" s="18">
        <v>3794.3674999999994</v>
      </c>
      <c r="T4027" s="19" t="s">
        <v>117</v>
      </c>
      <c r="U4027" s="20" t="s">
        <v>3246</v>
      </c>
      <c r="V4027" s="21">
        <v>28</v>
      </c>
      <c r="W4027" s="21">
        <v>3</v>
      </c>
      <c r="X4027" s="22"/>
    </row>
    <row r="4028" spans="1:24" s="1" customFormat="1" ht="26.1" customHeight="1" x14ac:dyDescent="0.3">
      <c r="A4028" s="23" t="s">
        <v>3014</v>
      </c>
      <c r="B4028" s="23" t="s">
        <v>4238</v>
      </c>
      <c r="C4028" s="12" t="s">
        <v>4251</v>
      </c>
      <c r="D4028" s="84"/>
      <c r="E4028" s="69" t="str">
        <f>HYPERLINK("https://www.google.ru/search?q=72406303-9990&amp;newwindow=1&amp;tbm=isch","Еще фото")</f>
        <v>Еще фото</v>
      </c>
      <c r="F4028" s="13"/>
      <c r="G4028" s="23" t="s">
        <v>394</v>
      </c>
      <c r="H4028" s="23" t="s">
        <v>151</v>
      </c>
      <c r="I4028" s="23" t="s">
        <v>424</v>
      </c>
      <c r="J4028" s="14" t="s">
        <v>29</v>
      </c>
      <c r="K4028" s="15" t="s">
        <v>30</v>
      </c>
      <c r="L4028" s="87"/>
      <c r="M4028" s="14"/>
      <c r="N4028" s="14" t="s">
        <v>1117</v>
      </c>
      <c r="O4028" s="14"/>
      <c r="P4028" s="15" t="s">
        <v>4252</v>
      </c>
      <c r="Q4028" s="16">
        <v>5999</v>
      </c>
      <c r="R4028" s="17">
        <v>45</v>
      </c>
      <c r="S4028" s="18">
        <v>3794.3674999999994</v>
      </c>
      <c r="T4028" s="19" t="s">
        <v>117</v>
      </c>
      <c r="U4028" s="20" t="s">
        <v>3237</v>
      </c>
      <c r="V4028" s="21">
        <v>29</v>
      </c>
      <c r="W4028" s="21">
        <v>3</v>
      </c>
      <c r="X4028" s="22"/>
    </row>
    <row r="4029" spans="1:24" s="1" customFormat="1" ht="26.1" customHeight="1" x14ac:dyDescent="0.3">
      <c r="A4029" s="23" t="s">
        <v>3014</v>
      </c>
      <c r="B4029" s="23" t="s">
        <v>4238</v>
      </c>
      <c r="C4029" s="12" t="s">
        <v>4251</v>
      </c>
      <c r="D4029" s="84"/>
      <c r="E4029" s="69" t="str">
        <f>HYPERLINK("https://www.google.ru/search?q=72406303-9990&amp;newwindow=1&amp;tbm=isch","Еще фото")</f>
        <v>Еще фото</v>
      </c>
      <c r="F4029" s="13"/>
      <c r="G4029" s="23" t="s">
        <v>394</v>
      </c>
      <c r="H4029" s="23" t="s">
        <v>151</v>
      </c>
      <c r="I4029" s="23" t="s">
        <v>424</v>
      </c>
      <c r="J4029" s="14" t="s">
        <v>29</v>
      </c>
      <c r="K4029" s="15" t="s">
        <v>30</v>
      </c>
      <c r="L4029" s="87"/>
      <c r="M4029" s="14"/>
      <c r="N4029" s="14" t="s">
        <v>1117</v>
      </c>
      <c r="O4029" s="14"/>
      <c r="P4029" s="15" t="s">
        <v>4252</v>
      </c>
      <c r="Q4029" s="16">
        <v>5999</v>
      </c>
      <c r="R4029" s="17">
        <v>45</v>
      </c>
      <c r="S4029" s="18">
        <v>3794.3674999999994</v>
      </c>
      <c r="T4029" s="19" t="s">
        <v>117</v>
      </c>
      <c r="U4029" s="20" t="s">
        <v>3238</v>
      </c>
      <c r="V4029" s="21">
        <v>30</v>
      </c>
      <c r="W4029" s="21">
        <v>3</v>
      </c>
      <c r="X4029" s="22"/>
    </row>
    <row r="4030" spans="1:24" s="1" customFormat="1" ht="26.1" customHeight="1" x14ac:dyDescent="0.3">
      <c r="A4030" s="23" t="s">
        <v>3014</v>
      </c>
      <c r="B4030" s="23" t="s">
        <v>4238</v>
      </c>
      <c r="C4030" s="12" t="s">
        <v>4251</v>
      </c>
      <c r="D4030" s="85"/>
      <c r="E4030" s="69" t="str">
        <f>HYPERLINK("https://www.google.ru/search?q=72406303-9990&amp;newwindow=1&amp;tbm=isch","Еще фото")</f>
        <v>Еще фото</v>
      </c>
      <c r="F4030" s="13"/>
      <c r="G4030" s="23" t="s">
        <v>394</v>
      </c>
      <c r="H4030" s="23" t="s">
        <v>151</v>
      </c>
      <c r="I4030" s="23" t="s">
        <v>424</v>
      </c>
      <c r="J4030" s="14" t="s">
        <v>29</v>
      </c>
      <c r="K4030" s="15" t="s">
        <v>30</v>
      </c>
      <c r="L4030" s="88"/>
      <c r="M4030" s="14"/>
      <c r="N4030" s="14" t="s">
        <v>1117</v>
      </c>
      <c r="O4030" s="14"/>
      <c r="P4030" s="15" t="s">
        <v>4252</v>
      </c>
      <c r="Q4030" s="16">
        <v>5999</v>
      </c>
      <c r="R4030" s="17">
        <v>45</v>
      </c>
      <c r="S4030" s="18">
        <v>3794.3674999999994</v>
      </c>
      <c r="T4030" s="19" t="s">
        <v>117</v>
      </c>
      <c r="U4030" s="20" t="s">
        <v>3239</v>
      </c>
      <c r="V4030" s="21">
        <v>31</v>
      </c>
      <c r="W4030" s="21">
        <v>3</v>
      </c>
      <c r="X4030" s="22"/>
    </row>
    <row r="4031" spans="1:24" s="1" customFormat="1" ht="12.95" customHeight="1" x14ac:dyDescent="0.3">
      <c r="A4031" s="11" t="s">
        <v>3014</v>
      </c>
      <c r="B4031" s="11" t="s">
        <v>4253</v>
      </c>
      <c r="C4031" s="12" t="s">
        <v>4254</v>
      </c>
      <c r="D4031" s="83"/>
      <c r="E4031" s="69" t="str">
        <f t="shared" ref="E4031:E4038" si="193">HYPERLINK("https://www.google.ru/search?q=72406305-9990&amp;newwindow=1&amp;tbm=isch","Еще фото")</f>
        <v>Еще фото</v>
      </c>
      <c r="F4031" s="13"/>
      <c r="G4031" s="11" t="s">
        <v>394</v>
      </c>
      <c r="H4031" s="11" t="s">
        <v>151</v>
      </c>
      <c r="I4031" s="14" t="s">
        <v>424</v>
      </c>
      <c r="J4031" s="14" t="s">
        <v>29</v>
      </c>
      <c r="K4031" s="15" t="s">
        <v>30</v>
      </c>
      <c r="L4031" s="86"/>
      <c r="M4031" s="14"/>
      <c r="N4031" s="14" t="s">
        <v>41</v>
      </c>
      <c r="O4031" s="14"/>
      <c r="P4031" s="15" t="s">
        <v>4252</v>
      </c>
      <c r="Q4031" s="16">
        <v>6499</v>
      </c>
      <c r="R4031" s="17">
        <v>45</v>
      </c>
      <c r="S4031" s="18">
        <v>4110.6174999999994</v>
      </c>
      <c r="T4031" s="19" t="s">
        <v>117</v>
      </c>
      <c r="U4031" s="26" t="s">
        <v>3238</v>
      </c>
      <c r="V4031" s="21">
        <v>30</v>
      </c>
      <c r="W4031" s="21">
        <v>2</v>
      </c>
      <c r="X4031" s="22"/>
    </row>
    <row r="4032" spans="1:24" s="1" customFormat="1" ht="12.95" customHeight="1" x14ac:dyDescent="0.3">
      <c r="A4032" s="23" t="s">
        <v>3014</v>
      </c>
      <c r="B4032" s="23" t="s">
        <v>4253</v>
      </c>
      <c r="C4032" s="12" t="s">
        <v>4254</v>
      </c>
      <c r="D4032" s="84"/>
      <c r="E4032" s="69" t="str">
        <f t="shared" si="193"/>
        <v>Еще фото</v>
      </c>
      <c r="F4032" s="13"/>
      <c r="G4032" s="23" t="s">
        <v>394</v>
      </c>
      <c r="H4032" s="23" t="s">
        <v>151</v>
      </c>
      <c r="I4032" s="23" t="s">
        <v>424</v>
      </c>
      <c r="J4032" s="14" t="s">
        <v>29</v>
      </c>
      <c r="K4032" s="15" t="s">
        <v>30</v>
      </c>
      <c r="L4032" s="87"/>
      <c r="M4032" s="14"/>
      <c r="N4032" s="14" t="s">
        <v>41</v>
      </c>
      <c r="O4032" s="14"/>
      <c r="P4032" s="15" t="s">
        <v>4252</v>
      </c>
      <c r="Q4032" s="16">
        <v>6499</v>
      </c>
      <c r="R4032" s="17">
        <v>45</v>
      </c>
      <c r="S4032" s="18">
        <v>4110.6174999999994</v>
      </c>
      <c r="T4032" s="19" t="s">
        <v>117</v>
      </c>
      <c r="U4032" s="20" t="s">
        <v>3239</v>
      </c>
      <c r="V4032" s="21">
        <v>31</v>
      </c>
      <c r="W4032" s="21">
        <v>3</v>
      </c>
      <c r="X4032" s="22"/>
    </row>
    <row r="4033" spans="1:24" s="1" customFormat="1" ht="12.95" customHeight="1" x14ac:dyDescent="0.3">
      <c r="A4033" s="23" t="s">
        <v>3014</v>
      </c>
      <c r="B4033" s="23" t="s">
        <v>4253</v>
      </c>
      <c r="C4033" s="12" t="s">
        <v>4254</v>
      </c>
      <c r="D4033" s="84"/>
      <c r="E4033" s="69" t="str">
        <f t="shared" si="193"/>
        <v>Еще фото</v>
      </c>
      <c r="F4033" s="13"/>
      <c r="G4033" s="23" t="s">
        <v>394</v>
      </c>
      <c r="H4033" s="23" t="s">
        <v>151</v>
      </c>
      <c r="I4033" s="23" t="s">
        <v>424</v>
      </c>
      <c r="J4033" s="14" t="s">
        <v>29</v>
      </c>
      <c r="K4033" s="15" t="s">
        <v>30</v>
      </c>
      <c r="L4033" s="87"/>
      <c r="M4033" s="14"/>
      <c r="N4033" s="14" t="s">
        <v>41</v>
      </c>
      <c r="O4033" s="14"/>
      <c r="P4033" s="15" t="s">
        <v>4252</v>
      </c>
      <c r="Q4033" s="16">
        <v>6499</v>
      </c>
      <c r="R4033" s="17">
        <v>45</v>
      </c>
      <c r="S4033" s="18">
        <v>4110.6174999999994</v>
      </c>
      <c r="T4033" s="19" t="s">
        <v>117</v>
      </c>
      <c r="U4033" s="20" t="s">
        <v>3240</v>
      </c>
      <c r="V4033" s="21">
        <v>32</v>
      </c>
      <c r="W4033" s="21">
        <v>2</v>
      </c>
      <c r="X4033" s="22"/>
    </row>
    <row r="4034" spans="1:24" s="1" customFormat="1" ht="12.95" customHeight="1" x14ac:dyDescent="0.3">
      <c r="A4034" s="23" t="s">
        <v>3014</v>
      </c>
      <c r="B4034" s="23" t="s">
        <v>4253</v>
      </c>
      <c r="C4034" s="12" t="s">
        <v>4254</v>
      </c>
      <c r="D4034" s="84"/>
      <c r="E4034" s="69" t="str">
        <f t="shared" si="193"/>
        <v>Еще фото</v>
      </c>
      <c r="F4034" s="13"/>
      <c r="G4034" s="23" t="s">
        <v>394</v>
      </c>
      <c r="H4034" s="23" t="s">
        <v>151</v>
      </c>
      <c r="I4034" s="23" t="s">
        <v>424</v>
      </c>
      <c r="J4034" s="14" t="s">
        <v>29</v>
      </c>
      <c r="K4034" s="15" t="s">
        <v>30</v>
      </c>
      <c r="L4034" s="87"/>
      <c r="M4034" s="14"/>
      <c r="N4034" s="14" t="s">
        <v>41</v>
      </c>
      <c r="O4034" s="14"/>
      <c r="P4034" s="15" t="s">
        <v>4252</v>
      </c>
      <c r="Q4034" s="16">
        <v>6499</v>
      </c>
      <c r="R4034" s="17">
        <v>45</v>
      </c>
      <c r="S4034" s="18">
        <v>4110.6174999999994</v>
      </c>
      <c r="T4034" s="19" t="s">
        <v>117</v>
      </c>
      <c r="U4034" s="20" t="s">
        <v>4242</v>
      </c>
      <c r="V4034" s="21">
        <v>33</v>
      </c>
      <c r="W4034" s="21">
        <v>4</v>
      </c>
      <c r="X4034" s="22"/>
    </row>
    <row r="4035" spans="1:24" s="1" customFormat="1" ht="12.95" customHeight="1" x14ac:dyDescent="0.3">
      <c r="A4035" s="23" t="s">
        <v>3014</v>
      </c>
      <c r="B4035" s="23" t="s">
        <v>4253</v>
      </c>
      <c r="C4035" s="12" t="s">
        <v>4254</v>
      </c>
      <c r="D4035" s="84"/>
      <c r="E4035" s="69" t="str">
        <f t="shared" si="193"/>
        <v>Еще фото</v>
      </c>
      <c r="F4035" s="13"/>
      <c r="G4035" s="23" t="s">
        <v>394</v>
      </c>
      <c r="H4035" s="23" t="s">
        <v>151</v>
      </c>
      <c r="I4035" s="23" t="s">
        <v>424</v>
      </c>
      <c r="J4035" s="14" t="s">
        <v>29</v>
      </c>
      <c r="K4035" s="15" t="s">
        <v>30</v>
      </c>
      <c r="L4035" s="87"/>
      <c r="M4035" s="14"/>
      <c r="N4035" s="14" t="s">
        <v>41</v>
      </c>
      <c r="O4035" s="14"/>
      <c r="P4035" s="15" t="s">
        <v>4252</v>
      </c>
      <c r="Q4035" s="16">
        <v>6499</v>
      </c>
      <c r="R4035" s="17">
        <v>45</v>
      </c>
      <c r="S4035" s="18">
        <v>4110.6174999999994</v>
      </c>
      <c r="T4035" s="19" t="s">
        <v>117</v>
      </c>
      <c r="U4035" s="20" t="s">
        <v>3522</v>
      </c>
      <c r="V4035" s="21">
        <v>34</v>
      </c>
      <c r="W4035" s="21">
        <v>1</v>
      </c>
      <c r="X4035" s="22"/>
    </row>
    <row r="4036" spans="1:24" s="1" customFormat="1" ht="12.95" customHeight="1" x14ac:dyDescent="0.3">
      <c r="A4036" s="23" t="s">
        <v>3014</v>
      </c>
      <c r="B4036" s="23" t="s">
        <v>4253</v>
      </c>
      <c r="C4036" s="12" t="s">
        <v>4254</v>
      </c>
      <c r="D4036" s="84"/>
      <c r="E4036" s="69" t="str">
        <f t="shared" si="193"/>
        <v>Еще фото</v>
      </c>
      <c r="F4036" s="13"/>
      <c r="G4036" s="23" t="s">
        <v>394</v>
      </c>
      <c r="H4036" s="23" t="s">
        <v>151</v>
      </c>
      <c r="I4036" s="23" t="s">
        <v>424</v>
      </c>
      <c r="J4036" s="14" t="s">
        <v>29</v>
      </c>
      <c r="K4036" s="15" t="s">
        <v>30</v>
      </c>
      <c r="L4036" s="87"/>
      <c r="M4036" s="14"/>
      <c r="N4036" s="14" t="s">
        <v>41</v>
      </c>
      <c r="O4036" s="14"/>
      <c r="P4036" s="15" t="s">
        <v>4252</v>
      </c>
      <c r="Q4036" s="16">
        <v>6499</v>
      </c>
      <c r="R4036" s="17">
        <v>45</v>
      </c>
      <c r="S4036" s="18">
        <v>4110.6174999999994</v>
      </c>
      <c r="T4036" s="19" t="s">
        <v>117</v>
      </c>
      <c r="U4036" s="20" t="s">
        <v>4246</v>
      </c>
      <c r="V4036" s="21">
        <v>36</v>
      </c>
      <c r="W4036" s="21">
        <v>3</v>
      </c>
      <c r="X4036" s="22"/>
    </row>
    <row r="4037" spans="1:24" s="1" customFormat="1" ht="12.95" customHeight="1" x14ac:dyDescent="0.3">
      <c r="A4037" s="23" t="s">
        <v>3014</v>
      </c>
      <c r="B4037" s="23" t="s">
        <v>4253</v>
      </c>
      <c r="C4037" s="12" t="s">
        <v>4254</v>
      </c>
      <c r="D4037" s="84"/>
      <c r="E4037" s="69" t="str">
        <f t="shared" si="193"/>
        <v>Еще фото</v>
      </c>
      <c r="F4037" s="13"/>
      <c r="G4037" s="23" t="s">
        <v>394</v>
      </c>
      <c r="H4037" s="23" t="s">
        <v>151</v>
      </c>
      <c r="I4037" s="23" t="s">
        <v>424</v>
      </c>
      <c r="J4037" s="14" t="s">
        <v>29</v>
      </c>
      <c r="K4037" s="15" t="s">
        <v>30</v>
      </c>
      <c r="L4037" s="87"/>
      <c r="M4037" s="14"/>
      <c r="N4037" s="14" t="s">
        <v>41</v>
      </c>
      <c r="O4037" s="14"/>
      <c r="P4037" s="15" t="s">
        <v>4252</v>
      </c>
      <c r="Q4037" s="16">
        <v>6499</v>
      </c>
      <c r="R4037" s="17">
        <v>45</v>
      </c>
      <c r="S4037" s="18">
        <v>4110.6174999999994</v>
      </c>
      <c r="T4037" s="19" t="s">
        <v>117</v>
      </c>
      <c r="U4037" s="20" t="s">
        <v>3516</v>
      </c>
      <c r="V4037" s="21">
        <v>37</v>
      </c>
      <c r="W4037" s="21">
        <v>1</v>
      </c>
      <c r="X4037" s="22"/>
    </row>
    <row r="4038" spans="1:24" s="1" customFormat="1" ht="18" customHeight="1" x14ac:dyDescent="0.3">
      <c r="A4038" s="23" t="s">
        <v>3014</v>
      </c>
      <c r="B4038" s="23" t="s">
        <v>4253</v>
      </c>
      <c r="C4038" s="12" t="s">
        <v>4254</v>
      </c>
      <c r="D4038" s="85"/>
      <c r="E4038" s="69" t="str">
        <f t="shared" si="193"/>
        <v>Еще фото</v>
      </c>
      <c r="F4038" s="13"/>
      <c r="G4038" s="23" t="s">
        <v>394</v>
      </c>
      <c r="H4038" s="23" t="s">
        <v>151</v>
      </c>
      <c r="I4038" s="23" t="s">
        <v>424</v>
      </c>
      <c r="J4038" s="14" t="s">
        <v>29</v>
      </c>
      <c r="K4038" s="15" t="s">
        <v>30</v>
      </c>
      <c r="L4038" s="88"/>
      <c r="M4038" s="14"/>
      <c r="N4038" s="14" t="s">
        <v>41</v>
      </c>
      <c r="O4038" s="14"/>
      <c r="P4038" s="15" t="s">
        <v>4252</v>
      </c>
      <c r="Q4038" s="16">
        <v>6499</v>
      </c>
      <c r="R4038" s="17">
        <v>45</v>
      </c>
      <c r="S4038" s="18">
        <v>4110.6174999999994</v>
      </c>
      <c r="T4038" s="19" t="s">
        <v>117</v>
      </c>
      <c r="U4038" s="20" t="s">
        <v>4247</v>
      </c>
      <c r="V4038" s="21">
        <v>38</v>
      </c>
      <c r="W4038" s="21">
        <v>2</v>
      </c>
      <c r="X4038" s="22"/>
    </row>
    <row r="4039" spans="1:24" s="1" customFormat="1" ht="17.100000000000001" customHeight="1" x14ac:dyDescent="0.3">
      <c r="A4039" s="11" t="s">
        <v>3014</v>
      </c>
      <c r="B4039" s="11" t="s">
        <v>4255</v>
      </c>
      <c r="C4039" s="12" t="s">
        <v>4256</v>
      </c>
      <c r="D4039" s="83"/>
      <c r="E4039" s="69" t="str">
        <f t="shared" ref="E4039:E4044" si="194">HYPERLINK("https://www.google.ru/search?q=72406312-4650&amp;newwindow=1&amp;tbm=isch","Еще фото")</f>
        <v>Еще фото</v>
      </c>
      <c r="F4039" s="13"/>
      <c r="G4039" s="11" t="s">
        <v>394</v>
      </c>
      <c r="H4039" s="11" t="s">
        <v>151</v>
      </c>
      <c r="I4039" s="14" t="s">
        <v>424</v>
      </c>
      <c r="J4039" s="14" t="s">
        <v>29</v>
      </c>
      <c r="K4039" s="15" t="s">
        <v>30</v>
      </c>
      <c r="L4039" s="86"/>
      <c r="M4039" s="14"/>
      <c r="N4039" s="14" t="s">
        <v>275</v>
      </c>
      <c r="O4039" s="14"/>
      <c r="P4039" s="15" t="s">
        <v>4257</v>
      </c>
      <c r="Q4039" s="16">
        <v>4499</v>
      </c>
      <c r="R4039" s="17">
        <v>45</v>
      </c>
      <c r="S4039" s="18">
        <v>2845.6174999999994</v>
      </c>
      <c r="T4039" s="19" t="s">
        <v>117</v>
      </c>
      <c r="U4039" s="20" t="s">
        <v>3246</v>
      </c>
      <c r="V4039" s="21">
        <v>28</v>
      </c>
      <c r="W4039" s="21">
        <v>1</v>
      </c>
      <c r="X4039" s="22"/>
    </row>
    <row r="4040" spans="1:24" s="1" customFormat="1" ht="17.100000000000001" customHeight="1" x14ac:dyDescent="0.3">
      <c r="A4040" s="23" t="s">
        <v>3014</v>
      </c>
      <c r="B4040" s="23" t="s">
        <v>4255</v>
      </c>
      <c r="C4040" s="12" t="s">
        <v>4256</v>
      </c>
      <c r="D4040" s="84"/>
      <c r="E4040" s="69" t="str">
        <f t="shared" si="194"/>
        <v>Еще фото</v>
      </c>
      <c r="F4040" s="13"/>
      <c r="G4040" s="23" t="s">
        <v>394</v>
      </c>
      <c r="H4040" s="23" t="s">
        <v>151</v>
      </c>
      <c r="I4040" s="23" t="s">
        <v>424</v>
      </c>
      <c r="J4040" s="14" t="s">
        <v>29</v>
      </c>
      <c r="K4040" s="15" t="s">
        <v>30</v>
      </c>
      <c r="L4040" s="87"/>
      <c r="M4040" s="14"/>
      <c r="N4040" s="14" t="s">
        <v>275</v>
      </c>
      <c r="O4040" s="14"/>
      <c r="P4040" s="15" t="s">
        <v>4257</v>
      </c>
      <c r="Q4040" s="16">
        <v>4499</v>
      </c>
      <c r="R4040" s="17">
        <v>45</v>
      </c>
      <c r="S4040" s="18">
        <v>2845.6174999999994</v>
      </c>
      <c r="T4040" s="19" t="s">
        <v>117</v>
      </c>
      <c r="U4040" s="20" t="s">
        <v>3237</v>
      </c>
      <c r="V4040" s="21">
        <v>29</v>
      </c>
      <c r="W4040" s="21">
        <v>1</v>
      </c>
      <c r="X4040" s="22"/>
    </row>
    <row r="4041" spans="1:24" s="1" customFormat="1" ht="17.100000000000001" customHeight="1" x14ac:dyDescent="0.3">
      <c r="A4041" s="23" t="s">
        <v>3014</v>
      </c>
      <c r="B4041" s="23" t="s">
        <v>4255</v>
      </c>
      <c r="C4041" s="12" t="s">
        <v>4256</v>
      </c>
      <c r="D4041" s="84"/>
      <c r="E4041" s="69" t="str">
        <f t="shared" si="194"/>
        <v>Еще фото</v>
      </c>
      <c r="F4041" s="13"/>
      <c r="G4041" s="23" t="s">
        <v>394</v>
      </c>
      <c r="H4041" s="23" t="s">
        <v>151</v>
      </c>
      <c r="I4041" s="23" t="s">
        <v>424</v>
      </c>
      <c r="J4041" s="14" t="s">
        <v>29</v>
      </c>
      <c r="K4041" s="15" t="s">
        <v>30</v>
      </c>
      <c r="L4041" s="87"/>
      <c r="M4041" s="14"/>
      <c r="N4041" s="14" t="s">
        <v>275</v>
      </c>
      <c r="O4041" s="14"/>
      <c r="P4041" s="15" t="s">
        <v>4257</v>
      </c>
      <c r="Q4041" s="16">
        <v>4499</v>
      </c>
      <c r="R4041" s="17">
        <v>45</v>
      </c>
      <c r="S4041" s="18">
        <v>2845.6174999999994</v>
      </c>
      <c r="T4041" s="19" t="s">
        <v>117</v>
      </c>
      <c r="U4041" s="20" t="s">
        <v>3238</v>
      </c>
      <c r="V4041" s="21">
        <v>30</v>
      </c>
      <c r="W4041" s="21">
        <v>2</v>
      </c>
      <c r="X4041" s="22"/>
    </row>
    <row r="4042" spans="1:24" s="1" customFormat="1" ht="17.100000000000001" customHeight="1" x14ac:dyDescent="0.3">
      <c r="A4042" s="23" t="s">
        <v>3014</v>
      </c>
      <c r="B4042" s="23" t="s">
        <v>4255</v>
      </c>
      <c r="C4042" s="12" t="s">
        <v>4256</v>
      </c>
      <c r="D4042" s="84"/>
      <c r="E4042" s="69" t="str">
        <f t="shared" si="194"/>
        <v>Еще фото</v>
      </c>
      <c r="F4042" s="13"/>
      <c r="G4042" s="23" t="s">
        <v>394</v>
      </c>
      <c r="H4042" s="23" t="s">
        <v>151</v>
      </c>
      <c r="I4042" s="23" t="s">
        <v>424</v>
      </c>
      <c r="J4042" s="14" t="s">
        <v>29</v>
      </c>
      <c r="K4042" s="15" t="s">
        <v>30</v>
      </c>
      <c r="L4042" s="87"/>
      <c r="M4042" s="14"/>
      <c r="N4042" s="14" t="s">
        <v>275</v>
      </c>
      <c r="O4042" s="14"/>
      <c r="P4042" s="15" t="s">
        <v>4257</v>
      </c>
      <c r="Q4042" s="16">
        <v>4499</v>
      </c>
      <c r="R4042" s="17">
        <v>45</v>
      </c>
      <c r="S4042" s="18">
        <v>2845.6174999999994</v>
      </c>
      <c r="T4042" s="19" t="s">
        <v>117</v>
      </c>
      <c r="U4042" s="20" t="s">
        <v>3239</v>
      </c>
      <c r="V4042" s="21">
        <v>31</v>
      </c>
      <c r="W4042" s="21">
        <v>4</v>
      </c>
      <c r="X4042" s="22"/>
    </row>
    <row r="4043" spans="1:24" s="1" customFormat="1" ht="17.100000000000001" customHeight="1" x14ac:dyDescent="0.3">
      <c r="A4043" s="23" t="s">
        <v>3014</v>
      </c>
      <c r="B4043" s="23" t="s">
        <v>4255</v>
      </c>
      <c r="C4043" s="12" t="s">
        <v>4256</v>
      </c>
      <c r="D4043" s="84"/>
      <c r="E4043" s="69" t="str">
        <f t="shared" si="194"/>
        <v>Еще фото</v>
      </c>
      <c r="F4043" s="13"/>
      <c r="G4043" s="23" t="s">
        <v>394</v>
      </c>
      <c r="H4043" s="23" t="s">
        <v>151</v>
      </c>
      <c r="I4043" s="23" t="s">
        <v>424</v>
      </c>
      <c r="J4043" s="14" t="s">
        <v>29</v>
      </c>
      <c r="K4043" s="15" t="s">
        <v>30</v>
      </c>
      <c r="L4043" s="87"/>
      <c r="M4043" s="14"/>
      <c r="N4043" s="14" t="s">
        <v>275</v>
      </c>
      <c r="O4043" s="14"/>
      <c r="P4043" s="15" t="s">
        <v>4257</v>
      </c>
      <c r="Q4043" s="16">
        <v>4499</v>
      </c>
      <c r="R4043" s="17">
        <v>45</v>
      </c>
      <c r="S4043" s="18">
        <v>2845.6174999999994</v>
      </c>
      <c r="T4043" s="19" t="s">
        <v>117</v>
      </c>
      <c r="U4043" s="20" t="s">
        <v>3240</v>
      </c>
      <c r="V4043" s="21">
        <v>32</v>
      </c>
      <c r="W4043" s="21">
        <v>2</v>
      </c>
      <c r="X4043" s="22"/>
    </row>
    <row r="4044" spans="1:24" s="1" customFormat="1" ht="21.95" customHeight="1" x14ac:dyDescent="0.3">
      <c r="A4044" s="23" t="s">
        <v>3014</v>
      </c>
      <c r="B4044" s="23" t="s">
        <v>4255</v>
      </c>
      <c r="C4044" s="12" t="s">
        <v>4256</v>
      </c>
      <c r="D4044" s="85"/>
      <c r="E4044" s="69" t="str">
        <f t="shared" si="194"/>
        <v>Еще фото</v>
      </c>
      <c r="F4044" s="13"/>
      <c r="G4044" s="23" t="s">
        <v>394</v>
      </c>
      <c r="H4044" s="23" t="s">
        <v>151</v>
      </c>
      <c r="I4044" s="23" t="s">
        <v>424</v>
      </c>
      <c r="J4044" s="14" t="s">
        <v>29</v>
      </c>
      <c r="K4044" s="15" t="s">
        <v>30</v>
      </c>
      <c r="L4044" s="88"/>
      <c r="M4044" s="14"/>
      <c r="N4044" s="14" t="s">
        <v>275</v>
      </c>
      <c r="O4044" s="14"/>
      <c r="P4044" s="15" t="s">
        <v>4257</v>
      </c>
      <c r="Q4044" s="16">
        <v>4499</v>
      </c>
      <c r="R4044" s="17">
        <v>45</v>
      </c>
      <c r="S4044" s="18">
        <v>2845.6174999999994</v>
      </c>
      <c r="T4044" s="19" t="s">
        <v>117</v>
      </c>
      <c r="U4044" s="20" t="s">
        <v>4246</v>
      </c>
      <c r="V4044" s="21">
        <v>36</v>
      </c>
      <c r="W4044" s="21">
        <v>2</v>
      </c>
      <c r="X4044" s="22"/>
    </row>
    <row r="4045" spans="1:24" s="1" customFormat="1" ht="108" customHeight="1" x14ac:dyDescent="0.3">
      <c r="A4045" s="11" t="s">
        <v>3014</v>
      </c>
      <c r="B4045" s="11" t="s">
        <v>4255</v>
      </c>
      <c r="C4045" s="12" t="s">
        <v>4258</v>
      </c>
      <c r="D4045" s="24"/>
      <c r="E4045" s="69" t="str">
        <f>HYPERLINK("https://www.google.ru/search?q=72406312-6910&amp;newwindow=1&amp;tbm=isch","Еще фото")</f>
        <v>Еще фото</v>
      </c>
      <c r="F4045" s="13"/>
      <c r="G4045" s="11" t="s">
        <v>394</v>
      </c>
      <c r="H4045" s="11" t="s">
        <v>151</v>
      </c>
      <c r="I4045" s="14" t="s">
        <v>424</v>
      </c>
      <c r="J4045" s="14" t="s">
        <v>29</v>
      </c>
      <c r="K4045" s="15" t="s">
        <v>30</v>
      </c>
      <c r="L4045" s="14"/>
      <c r="M4045" s="14"/>
      <c r="N4045" s="14" t="s">
        <v>70</v>
      </c>
      <c r="O4045" s="14"/>
      <c r="P4045" s="15" t="s">
        <v>4257</v>
      </c>
      <c r="Q4045" s="16">
        <v>4499</v>
      </c>
      <c r="R4045" s="17">
        <v>45</v>
      </c>
      <c r="S4045" s="18">
        <v>2845.6174999999994</v>
      </c>
      <c r="T4045" s="19" t="s">
        <v>117</v>
      </c>
      <c r="U4045" s="20" t="s">
        <v>3238</v>
      </c>
      <c r="V4045" s="21">
        <v>30</v>
      </c>
      <c r="W4045" s="21">
        <v>1</v>
      </c>
      <c r="X4045" s="22"/>
    </row>
    <row r="4046" spans="1:24" s="1" customFormat="1" ht="26.1" customHeight="1" x14ac:dyDescent="0.3">
      <c r="A4046" s="11" t="s">
        <v>3014</v>
      </c>
      <c r="B4046" s="11" t="s">
        <v>4259</v>
      </c>
      <c r="C4046" s="12" t="s">
        <v>4260</v>
      </c>
      <c r="D4046" s="83"/>
      <c r="E4046" s="69" t="str">
        <f>HYPERLINK("https://www.google.ru/search?q=73403402-9990&amp;newwindow=1&amp;tbm=isch","Еще фото")</f>
        <v>Еще фото</v>
      </c>
      <c r="F4046" s="13"/>
      <c r="G4046" s="11" t="s">
        <v>4261</v>
      </c>
      <c r="H4046" s="11" t="s">
        <v>151</v>
      </c>
      <c r="I4046" s="14" t="s">
        <v>424</v>
      </c>
      <c r="J4046" s="14" t="s">
        <v>29</v>
      </c>
      <c r="K4046" s="15" t="s">
        <v>30</v>
      </c>
      <c r="L4046" s="86" t="s">
        <v>4262</v>
      </c>
      <c r="M4046" s="14"/>
      <c r="N4046" s="14" t="s">
        <v>49</v>
      </c>
      <c r="O4046" s="14"/>
      <c r="P4046" s="15" t="s">
        <v>4263</v>
      </c>
      <c r="Q4046" s="16">
        <v>9999</v>
      </c>
      <c r="R4046" s="17">
        <v>45</v>
      </c>
      <c r="S4046" s="18">
        <v>6324.3674999999994</v>
      </c>
      <c r="T4046" s="19" t="s">
        <v>117</v>
      </c>
      <c r="U4046" s="20" t="s">
        <v>3237</v>
      </c>
      <c r="V4046" s="21">
        <v>29</v>
      </c>
      <c r="W4046" s="21">
        <v>1</v>
      </c>
      <c r="X4046" s="22"/>
    </row>
    <row r="4047" spans="1:24" s="1" customFormat="1" ht="26.1" customHeight="1" x14ac:dyDescent="0.3">
      <c r="A4047" s="23" t="s">
        <v>3014</v>
      </c>
      <c r="B4047" s="23" t="s">
        <v>4259</v>
      </c>
      <c r="C4047" s="12" t="s">
        <v>4260</v>
      </c>
      <c r="D4047" s="84"/>
      <c r="E4047" s="69" t="str">
        <f>HYPERLINK("https://www.google.ru/search?q=73403402-9990&amp;newwindow=1&amp;tbm=isch","Еще фото")</f>
        <v>Еще фото</v>
      </c>
      <c r="F4047" s="13"/>
      <c r="G4047" s="23" t="s">
        <v>4261</v>
      </c>
      <c r="H4047" s="23" t="s">
        <v>151</v>
      </c>
      <c r="I4047" s="23" t="s">
        <v>424</v>
      </c>
      <c r="J4047" s="14" t="s">
        <v>29</v>
      </c>
      <c r="K4047" s="15" t="s">
        <v>30</v>
      </c>
      <c r="L4047" s="87"/>
      <c r="M4047" s="14"/>
      <c r="N4047" s="14" t="s">
        <v>49</v>
      </c>
      <c r="O4047" s="14"/>
      <c r="P4047" s="15" t="s">
        <v>4263</v>
      </c>
      <c r="Q4047" s="16">
        <v>9999</v>
      </c>
      <c r="R4047" s="17">
        <v>45</v>
      </c>
      <c r="S4047" s="18">
        <v>6324.3674999999994</v>
      </c>
      <c r="T4047" s="19" t="s">
        <v>117</v>
      </c>
      <c r="U4047" s="20" t="s">
        <v>3238</v>
      </c>
      <c r="V4047" s="21">
        <v>30</v>
      </c>
      <c r="W4047" s="21">
        <v>2</v>
      </c>
      <c r="X4047" s="22"/>
    </row>
    <row r="4048" spans="1:24" s="1" customFormat="1" ht="26.1" customHeight="1" x14ac:dyDescent="0.3">
      <c r="A4048" s="23" t="s">
        <v>3014</v>
      </c>
      <c r="B4048" s="23" t="s">
        <v>4259</v>
      </c>
      <c r="C4048" s="12" t="s">
        <v>4260</v>
      </c>
      <c r="D4048" s="84"/>
      <c r="E4048" s="69" t="str">
        <f>HYPERLINK("https://www.google.ru/search?q=73403402-9990&amp;newwindow=1&amp;tbm=isch","Еще фото")</f>
        <v>Еще фото</v>
      </c>
      <c r="F4048" s="13"/>
      <c r="G4048" s="23" t="s">
        <v>4261</v>
      </c>
      <c r="H4048" s="23" t="s">
        <v>151</v>
      </c>
      <c r="I4048" s="23" t="s">
        <v>424</v>
      </c>
      <c r="J4048" s="14" t="s">
        <v>29</v>
      </c>
      <c r="K4048" s="15" t="s">
        <v>30</v>
      </c>
      <c r="L4048" s="87"/>
      <c r="M4048" s="14"/>
      <c r="N4048" s="14" t="s">
        <v>49</v>
      </c>
      <c r="O4048" s="14"/>
      <c r="P4048" s="15" t="s">
        <v>4263</v>
      </c>
      <c r="Q4048" s="16">
        <v>9999</v>
      </c>
      <c r="R4048" s="17">
        <v>45</v>
      </c>
      <c r="S4048" s="18">
        <v>6324.3674999999994</v>
      </c>
      <c r="T4048" s="19" t="s">
        <v>117</v>
      </c>
      <c r="U4048" s="20" t="s">
        <v>3240</v>
      </c>
      <c r="V4048" s="21">
        <v>32</v>
      </c>
      <c r="W4048" s="21">
        <v>4</v>
      </c>
      <c r="X4048" s="22"/>
    </row>
    <row r="4049" spans="1:24" s="1" customFormat="1" ht="26.1" customHeight="1" x14ac:dyDescent="0.3">
      <c r="A4049" s="23" t="s">
        <v>3014</v>
      </c>
      <c r="B4049" s="23" t="s">
        <v>4259</v>
      </c>
      <c r="C4049" s="12" t="s">
        <v>4260</v>
      </c>
      <c r="D4049" s="85"/>
      <c r="E4049" s="69" t="str">
        <f>HYPERLINK("https://www.google.ru/search?q=73403402-9990&amp;newwindow=1&amp;tbm=isch","Еще фото")</f>
        <v>Еще фото</v>
      </c>
      <c r="F4049" s="13"/>
      <c r="G4049" s="23" t="s">
        <v>4261</v>
      </c>
      <c r="H4049" s="23" t="s">
        <v>151</v>
      </c>
      <c r="I4049" s="23" t="s">
        <v>424</v>
      </c>
      <c r="J4049" s="14" t="s">
        <v>29</v>
      </c>
      <c r="K4049" s="15" t="s">
        <v>30</v>
      </c>
      <c r="L4049" s="88"/>
      <c r="M4049" s="14"/>
      <c r="N4049" s="14" t="s">
        <v>49</v>
      </c>
      <c r="O4049" s="14"/>
      <c r="P4049" s="15" t="s">
        <v>4263</v>
      </c>
      <c r="Q4049" s="16">
        <v>9999</v>
      </c>
      <c r="R4049" s="17">
        <v>45</v>
      </c>
      <c r="S4049" s="18">
        <v>6324.3674999999994</v>
      </c>
      <c r="T4049" s="19" t="s">
        <v>117</v>
      </c>
      <c r="U4049" s="20" t="s">
        <v>4242</v>
      </c>
      <c r="V4049" s="21">
        <v>33</v>
      </c>
      <c r="W4049" s="21">
        <v>1</v>
      </c>
      <c r="X4049" s="22"/>
    </row>
    <row r="4050" spans="1:24" s="1" customFormat="1" ht="108" customHeight="1" x14ac:dyDescent="0.3">
      <c r="A4050" s="11" t="s">
        <v>3014</v>
      </c>
      <c r="B4050" s="11" t="s">
        <v>4264</v>
      </c>
      <c r="C4050" s="12" t="s">
        <v>4265</v>
      </c>
      <c r="D4050" s="24"/>
      <c r="E4050" s="69" t="str">
        <f>HYPERLINK("https://www.google.ru/search?q=73404305-9990&amp;newwindow=1&amp;tbm=isch","Еще фото")</f>
        <v>Еще фото</v>
      </c>
      <c r="F4050" s="13"/>
      <c r="G4050" s="11" t="s">
        <v>394</v>
      </c>
      <c r="H4050" s="11" t="s">
        <v>151</v>
      </c>
      <c r="I4050" s="14" t="s">
        <v>424</v>
      </c>
      <c r="J4050" s="14" t="s">
        <v>29</v>
      </c>
      <c r="K4050" s="15" t="s">
        <v>30</v>
      </c>
      <c r="L4050" s="14" t="s">
        <v>4266</v>
      </c>
      <c r="M4050" s="14"/>
      <c r="N4050" s="14" t="s">
        <v>49</v>
      </c>
      <c r="O4050" s="14"/>
      <c r="P4050" s="15" t="s">
        <v>4219</v>
      </c>
      <c r="Q4050" s="16">
        <v>4999</v>
      </c>
      <c r="R4050" s="17">
        <v>45</v>
      </c>
      <c r="S4050" s="18">
        <v>3161.8674999999994</v>
      </c>
      <c r="T4050" s="19" t="s">
        <v>117</v>
      </c>
      <c r="U4050" s="20" t="s">
        <v>4242</v>
      </c>
      <c r="V4050" s="21">
        <v>33</v>
      </c>
      <c r="W4050" s="21">
        <v>1</v>
      </c>
      <c r="X4050" s="22"/>
    </row>
    <row r="4051" spans="1:24" s="1" customFormat="1" ht="26.1" customHeight="1" x14ac:dyDescent="0.3">
      <c r="A4051" s="11" t="s">
        <v>3014</v>
      </c>
      <c r="B4051" s="11" t="s">
        <v>4267</v>
      </c>
      <c r="C4051" s="12" t="s">
        <v>4268</v>
      </c>
      <c r="D4051" s="83"/>
      <c r="E4051" s="69" t="str">
        <f>HYPERLINK("https://www.google.ru/search?q=73406104-0100&amp;newwindow=1&amp;tbm=isch","Еще фото")</f>
        <v>Еще фото</v>
      </c>
      <c r="F4051" s="13"/>
      <c r="G4051" s="11" t="s">
        <v>4269</v>
      </c>
      <c r="H4051" s="11" t="s">
        <v>151</v>
      </c>
      <c r="I4051" s="14" t="s">
        <v>424</v>
      </c>
      <c r="J4051" s="14" t="s">
        <v>29</v>
      </c>
      <c r="K4051" s="15" t="s">
        <v>30</v>
      </c>
      <c r="L4051" s="86"/>
      <c r="M4051" s="14"/>
      <c r="N4051" s="14" t="s">
        <v>89</v>
      </c>
      <c r="O4051" s="14"/>
      <c r="P4051" s="15" t="s">
        <v>4270</v>
      </c>
      <c r="Q4051" s="16">
        <v>6999</v>
      </c>
      <c r="R4051" s="17">
        <v>45</v>
      </c>
      <c r="S4051" s="18">
        <v>4426.8674999999994</v>
      </c>
      <c r="T4051" s="19" t="s">
        <v>117</v>
      </c>
      <c r="U4051" s="20" t="s">
        <v>3240</v>
      </c>
      <c r="V4051" s="21">
        <v>32</v>
      </c>
      <c r="W4051" s="21">
        <v>2</v>
      </c>
      <c r="X4051" s="22"/>
    </row>
    <row r="4052" spans="1:24" s="1" customFormat="1" ht="26.1" customHeight="1" x14ac:dyDescent="0.3">
      <c r="A4052" s="23" t="s">
        <v>3014</v>
      </c>
      <c r="B4052" s="23" t="s">
        <v>4267</v>
      </c>
      <c r="C4052" s="12" t="s">
        <v>4268</v>
      </c>
      <c r="D4052" s="84"/>
      <c r="E4052" s="69" t="str">
        <f>HYPERLINK("https://www.google.ru/search?q=73406104-0100&amp;newwindow=1&amp;tbm=isch","Еще фото")</f>
        <v>Еще фото</v>
      </c>
      <c r="F4052" s="13"/>
      <c r="G4052" s="23" t="s">
        <v>4269</v>
      </c>
      <c r="H4052" s="23" t="s">
        <v>151</v>
      </c>
      <c r="I4052" s="23" t="s">
        <v>424</v>
      </c>
      <c r="J4052" s="14" t="s">
        <v>29</v>
      </c>
      <c r="K4052" s="15" t="s">
        <v>30</v>
      </c>
      <c r="L4052" s="87"/>
      <c r="M4052" s="14"/>
      <c r="N4052" s="14" t="s">
        <v>89</v>
      </c>
      <c r="O4052" s="14"/>
      <c r="P4052" s="15" t="s">
        <v>4270</v>
      </c>
      <c r="Q4052" s="16">
        <v>6999</v>
      </c>
      <c r="R4052" s="17">
        <v>45</v>
      </c>
      <c r="S4052" s="18">
        <v>4426.8674999999994</v>
      </c>
      <c r="T4052" s="19" t="s">
        <v>117</v>
      </c>
      <c r="U4052" s="20" t="s">
        <v>4242</v>
      </c>
      <c r="V4052" s="21">
        <v>33</v>
      </c>
      <c r="W4052" s="21">
        <v>3</v>
      </c>
      <c r="X4052" s="22"/>
    </row>
    <row r="4053" spans="1:24" s="1" customFormat="1" ht="26.1" customHeight="1" x14ac:dyDescent="0.3">
      <c r="A4053" s="23" t="s">
        <v>3014</v>
      </c>
      <c r="B4053" s="23" t="s">
        <v>4267</v>
      </c>
      <c r="C4053" s="12" t="s">
        <v>4268</v>
      </c>
      <c r="D4053" s="84"/>
      <c r="E4053" s="69" t="str">
        <f>HYPERLINK("https://www.google.ru/search?q=73406104-0100&amp;newwindow=1&amp;tbm=isch","Еще фото")</f>
        <v>Еще фото</v>
      </c>
      <c r="F4053" s="13"/>
      <c r="G4053" s="23" t="s">
        <v>4269</v>
      </c>
      <c r="H4053" s="23" t="s">
        <v>151</v>
      </c>
      <c r="I4053" s="23" t="s">
        <v>424</v>
      </c>
      <c r="J4053" s="14" t="s">
        <v>29</v>
      </c>
      <c r="K4053" s="15" t="s">
        <v>30</v>
      </c>
      <c r="L4053" s="87"/>
      <c r="M4053" s="14"/>
      <c r="N4053" s="14" t="s">
        <v>89</v>
      </c>
      <c r="O4053" s="14"/>
      <c r="P4053" s="15" t="s">
        <v>4270</v>
      </c>
      <c r="Q4053" s="16">
        <v>6999</v>
      </c>
      <c r="R4053" s="17">
        <v>45</v>
      </c>
      <c r="S4053" s="18">
        <v>4426.8674999999994</v>
      </c>
      <c r="T4053" s="19" t="s">
        <v>117</v>
      </c>
      <c r="U4053" s="20" t="s">
        <v>3522</v>
      </c>
      <c r="V4053" s="21">
        <v>34</v>
      </c>
      <c r="W4053" s="21">
        <v>1</v>
      </c>
      <c r="X4053" s="22"/>
    </row>
    <row r="4054" spans="1:24" s="1" customFormat="1" ht="26.1" customHeight="1" x14ac:dyDescent="0.3">
      <c r="A4054" s="23" t="s">
        <v>3014</v>
      </c>
      <c r="B4054" s="23" t="s">
        <v>4267</v>
      </c>
      <c r="C4054" s="12" t="s">
        <v>4268</v>
      </c>
      <c r="D4054" s="85"/>
      <c r="E4054" s="69" t="str">
        <f>HYPERLINK("https://www.google.ru/search?q=73406104-0100&amp;newwindow=1&amp;tbm=isch","Еще фото")</f>
        <v>Еще фото</v>
      </c>
      <c r="F4054" s="13"/>
      <c r="G4054" s="23" t="s">
        <v>4269</v>
      </c>
      <c r="H4054" s="23" t="s">
        <v>151</v>
      </c>
      <c r="I4054" s="23" t="s">
        <v>424</v>
      </c>
      <c r="J4054" s="14" t="s">
        <v>29</v>
      </c>
      <c r="K4054" s="15" t="s">
        <v>30</v>
      </c>
      <c r="L4054" s="88"/>
      <c r="M4054" s="14"/>
      <c r="N4054" s="14" t="s">
        <v>89</v>
      </c>
      <c r="O4054" s="14"/>
      <c r="P4054" s="15" t="s">
        <v>4270</v>
      </c>
      <c r="Q4054" s="16">
        <v>6999</v>
      </c>
      <c r="R4054" s="17">
        <v>45</v>
      </c>
      <c r="S4054" s="18">
        <v>4426.8674999999994</v>
      </c>
      <c r="T4054" s="19" t="s">
        <v>117</v>
      </c>
      <c r="U4054" s="20" t="s">
        <v>725</v>
      </c>
      <c r="V4054" s="21">
        <v>35</v>
      </c>
      <c r="W4054" s="21">
        <v>2</v>
      </c>
      <c r="X4054" s="22"/>
    </row>
    <row r="4055" spans="1:24" s="1" customFormat="1" ht="17.100000000000001" customHeight="1" x14ac:dyDescent="0.3">
      <c r="A4055" s="11" t="s">
        <v>3014</v>
      </c>
      <c r="B4055" s="11" t="s">
        <v>4271</v>
      </c>
      <c r="C4055" s="12" t="s">
        <v>4272</v>
      </c>
      <c r="D4055" s="83"/>
      <c r="E4055" s="69" t="str">
        <f t="shared" ref="E4055:E4060" si="195">HYPERLINK("https://www.google.ru/search?q=73406201-9991&amp;newwindow=1&amp;tbm=isch","Еще фото")</f>
        <v>Еще фото</v>
      </c>
      <c r="F4055" s="13"/>
      <c r="G4055" s="11" t="s">
        <v>394</v>
      </c>
      <c r="H4055" s="11" t="s">
        <v>151</v>
      </c>
      <c r="I4055" s="14" t="s">
        <v>424</v>
      </c>
      <c r="J4055" s="14" t="s">
        <v>29</v>
      </c>
      <c r="K4055" s="15" t="s">
        <v>30</v>
      </c>
      <c r="L4055" s="86"/>
      <c r="M4055" s="14"/>
      <c r="N4055" s="14" t="s">
        <v>242</v>
      </c>
      <c r="O4055" s="14"/>
      <c r="P4055" s="15" t="s">
        <v>4252</v>
      </c>
      <c r="Q4055" s="16">
        <v>7999</v>
      </c>
      <c r="R4055" s="17">
        <v>45</v>
      </c>
      <c r="S4055" s="18">
        <v>5059.3674999999994</v>
      </c>
      <c r="T4055" s="19" t="s">
        <v>117</v>
      </c>
      <c r="U4055" s="20" t="s">
        <v>3246</v>
      </c>
      <c r="V4055" s="21">
        <v>28</v>
      </c>
      <c r="W4055" s="21">
        <v>1</v>
      </c>
      <c r="X4055" s="22"/>
    </row>
    <row r="4056" spans="1:24" s="1" customFormat="1" ht="17.100000000000001" customHeight="1" x14ac:dyDescent="0.3">
      <c r="A4056" s="23" t="s">
        <v>3014</v>
      </c>
      <c r="B4056" s="23" t="s">
        <v>4271</v>
      </c>
      <c r="C4056" s="12" t="s">
        <v>4272</v>
      </c>
      <c r="D4056" s="84"/>
      <c r="E4056" s="69" t="str">
        <f t="shared" si="195"/>
        <v>Еще фото</v>
      </c>
      <c r="F4056" s="13"/>
      <c r="G4056" s="23" t="s">
        <v>394</v>
      </c>
      <c r="H4056" s="23" t="s">
        <v>151</v>
      </c>
      <c r="I4056" s="23" t="s">
        <v>424</v>
      </c>
      <c r="J4056" s="14" t="s">
        <v>29</v>
      </c>
      <c r="K4056" s="15" t="s">
        <v>30</v>
      </c>
      <c r="L4056" s="87"/>
      <c r="M4056" s="14"/>
      <c r="N4056" s="14" t="s">
        <v>242</v>
      </c>
      <c r="O4056" s="14"/>
      <c r="P4056" s="15" t="s">
        <v>4252</v>
      </c>
      <c r="Q4056" s="16">
        <v>7999</v>
      </c>
      <c r="R4056" s="17">
        <v>45</v>
      </c>
      <c r="S4056" s="18">
        <v>5059.3674999999994</v>
      </c>
      <c r="T4056" s="19" t="s">
        <v>117</v>
      </c>
      <c r="U4056" s="20" t="s">
        <v>3237</v>
      </c>
      <c r="V4056" s="21">
        <v>29</v>
      </c>
      <c r="W4056" s="21">
        <v>1</v>
      </c>
      <c r="X4056" s="22"/>
    </row>
    <row r="4057" spans="1:24" s="1" customFormat="1" ht="17.100000000000001" customHeight="1" x14ac:dyDescent="0.3">
      <c r="A4057" s="23" t="s">
        <v>3014</v>
      </c>
      <c r="B4057" s="23" t="s">
        <v>4271</v>
      </c>
      <c r="C4057" s="12" t="s">
        <v>4272</v>
      </c>
      <c r="D4057" s="84"/>
      <c r="E4057" s="69" t="str">
        <f t="shared" si="195"/>
        <v>Еще фото</v>
      </c>
      <c r="F4057" s="13"/>
      <c r="G4057" s="23" t="s">
        <v>394</v>
      </c>
      <c r="H4057" s="23" t="s">
        <v>151</v>
      </c>
      <c r="I4057" s="23" t="s">
        <v>424</v>
      </c>
      <c r="J4057" s="14" t="s">
        <v>29</v>
      </c>
      <c r="K4057" s="15" t="s">
        <v>30</v>
      </c>
      <c r="L4057" s="87"/>
      <c r="M4057" s="14"/>
      <c r="N4057" s="14" t="s">
        <v>242</v>
      </c>
      <c r="O4057" s="14"/>
      <c r="P4057" s="15" t="s">
        <v>4252</v>
      </c>
      <c r="Q4057" s="16">
        <v>7999</v>
      </c>
      <c r="R4057" s="17">
        <v>45</v>
      </c>
      <c r="S4057" s="18">
        <v>5059.3674999999994</v>
      </c>
      <c r="T4057" s="19" t="s">
        <v>117</v>
      </c>
      <c r="U4057" s="20" t="s">
        <v>3238</v>
      </c>
      <c r="V4057" s="21">
        <v>30</v>
      </c>
      <c r="W4057" s="21">
        <v>2</v>
      </c>
      <c r="X4057" s="22"/>
    </row>
    <row r="4058" spans="1:24" s="1" customFormat="1" ht="17.100000000000001" customHeight="1" x14ac:dyDescent="0.3">
      <c r="A4058" s="23" t="s">
        <v>3014</v>
      </c>
      <c r="B4058" s="23" t="s">
        <v>4271</v>
      </c>
      <c r="C4058" s="12" t="s">
        <v>4272</v>
      </c>
      <c r="D4058" s="84"/>
      <c r="E4058" s="69" t="str">
        <f t="shared" si="195"/>
        <v>Еще фото</v>
      </c>
      <c r="F4058" s="13"/>
      <c r="G4058" s="23" t="s">
        <v>394</v>
      </c>
      <c r="H4058" s="23" t="s">
        <v>151</v>
      </c>
      <c r="I4058" s="23" t="s">
        <v>424</v>
      </c>
      <c r="J4058" s="14" t="s">
        <v>29</v>
      </c>
      <c r="K4058" s="15" t="s">
        <v>30</v>
      </c>
      <c r="L4058" s="87"/>
      <c r="M4058" s="14"/>
      <c r="N4058" s="14" t="s">
        <v>242</v>
      </c>
      <c r="O4058" s="14"/>
      <c r="P4058" s="15" t="s">
        <v>4252</v>
      </c>
      <c r="Q4058" s="16">
        <v>7999</v>
      </c>
      <c r="R4058" s="17">
        <v>45</v>
      </c>
      <c r="S4058" s="18">
        <v>5059.3674999999994</v>
      </c>
      <c r="T4058" s="19" t="s">
        <v>117</v>
      </c>
      <c r="U4058" s="20" t="s">
        <v>3239</v>
      </c>
      <c r="V4058" s="21">
        <v>31</v>
      </c>
      <c r="W4058" s="21">
        <v>1</v>
      </c>
      <c r="X4058" s="22"/>
    </row>
    <row r="4059" spans="1:24" s="1" customFormat="1" ht="17.100000000000001" customHeight="1" x14ac:dyDescent="0.3">
      <c r="A4059" s="23" t="s">
        <v>3014</v>
      </c>
      <c r="B4059" s="23" t="s">
        <v>4271</v>
      </c>
      <c r="C4059" s="12" t="s">
        <v>4272</v>
      </c>
      <c r="D4059" s="84"/>
      <c r="E4059" s="69" t="str">
        <f t="shared" si="195"/>
        <v>Еще фото</v>
      </c>
      <c r="F4059" s="13"/>
      <c r="G4059" s="23" t="s">
        <v>394</v>
      </c>
      <c r="H4059" s="23" t="s">
        <v>151</v>
      </c>
      <c r="I4059" s="23" t="s">
        <v>424</v>
      </c>
      <c r="J4059" s="14" t="s">
        <v>29</v>
      </c>
      <c r="K4059" s="15" t="s">
        <v>30</v>
      </c>
      <c r="L4059" s="87"/>
      <c r="M4059" s="14"/>
      <c r="N4059" s="14" t="s">
        <v>242</v>
      </c>
      <c r="O4059" s="14"/>
      <c r="P4059" s="15" t="s">
        <v>4252</v>
      </c>
      <c r="Q4059" s="16">
        <v>7999</v>
      </c>
      <c r="R4059" s="17">
        <v>45</v>
      </c>
      <c r="S4059" s="18">
        <v>5059.3674999999994</v>
      </c>
      <c r="T4059" s="19" t="s">
        <v>117</v>
      </c>
      <c r="U4059" s="20" t="s">
        <v>3240</v>
      </c>
      <c r="V4059" s="21">
        <v>32</v>
      </c>
      <c r="W4059" s="21">
        <v>2</v>
      </c>
      <c r="X4059" s="22"/>
    </row>
    <row r="4060" spans="1:24" s="1" customFormat="1" ht="21.95" customHeight="1" x14ac:dyDescent="0.3">
      <c r="A4060" s="23" t="s">
        <v>3014</v>
      </c>
      <c r="B4060" s="23" t="s">
        <v>4271</v>
      </c>
      <c r="C4060" s="12" t="s">
        <v>4272</v>
      </c>
      <c r="D4060" s="85"/>
      <c r="E4060" s="69" t="str">
        <f t="shared" si="195"/>
        <v>Еще фото</v>
      </c>
      <c r="F4060" s="13"/>
      <c r="G4060" s="23" t="s">
        <v>394</v>
      </c>
      <c r="H4060" s="23" t="s">
        <v>151</v>
      </c>
      <c r="I4060" s="23" t="s">
        <v>424</v>
      </c>
      <c r="J4060" s="14" t="s">
        <v>29</v>
      </c>
      <c r="K4060" s="15" t="s">
        <v>30</v>
      </c>
      <c r="L4060" s="88"/>
      <c r="M4060" s="14"/>
      <c r="N4060" s="14" t="s">
        <v>242</v>
      </c>
      <c r="O4060" s="14"/>
      <c r="P4060" s="15" t="s">
        <v>4252</v>
      </c>
      <c r="Q4060" s="16">
        <v>7999</v>
      </c>
      <c r="R4060" s="17">
        <v>45</v>
      </c>
      <c r="S4060" s="18">
        <v>5059.3674999999994</v>
      </c>
      <c r="T4060" s="19" t="s">
        <v>117</v>
      </c>
      <c r="U4060" s="20" t="s">
        <v>4246</v>
      </c>
      <c r="V4060" s="21">
        <v>36</v>
      </c>
      <c r="W4060" s="21">
        <v>2</v>
      </c>
      <c r="X4060" s="22"/>
    </row>
    <row r="4061" spans="1:24" s="1" customFormat="1" ht="108" customHeight="1" x14ac:dyDescent="0.3">
      <c r="A4061" s="11" t="s">
        <v>3014</v>
      </c>
      <c r="B4061" s="11" t="s">
        <v>4273</v>
      </c>
      <c r="C4061" s="12" t="s">
        <v>4274</v>
      </c>
      <c r="D4061" s="24"/>
      <c r="E4061" s="69" t="str">
        <f>HYPERLINK("https://www.google.ru/search?q=7400035A-2151&amp;newwindow=1&amp;tbm=isch","Еще фото")</f>
        <v>Еще фото</v>
      </c>
      <c r="F4061" s="13"/>
      <c r="G4061" s="11" t="s">
        <v>394</v>
      </c>
      <c r="H4061" s="11" t="s">
        <v>151</v>
      </c>
      <c r="I4061" s="14" t="s">
        <v>424</v>
      </c>
      <c r="J4061" s="14" t="s">
        <v>29</v>
      </c>
      <c r="K4061" s="15" t="s">
        <v>30</v>
      </c>
      <c r="L4061" s="14" t="s">
        <v>4275</v>
      </c>
      <c r="M4061" s="14"/>
      <c r="N4061" s="14" t="s">
        <v>313</v>
      </c>
      <c r="O4061" s="14"/>
      <c r="P4061" s="15" t="s">
        <v>4276</v>
      </c>
      <c r="Q4061" s="16">
        <v>4799</v>
      </c>
      <c r="R4061" s="17">
        <v>45</v>
      </c>
      <c r="S4061" s="18">
        <v>3035.3674999999994</v>
      </c>
      <c r="T4061" s="19" t="s">
        <v>117</v>
      </c>
      <c r="U4061" s="20" t="s">
        <v>3246</v>
      </c>
      <c r="V4061" s="21">
        <v>28</v>
      </c>
      <c r="W4061" s="21">
        <v>1</v>
      </c>
      <c r="X4061" s="22"/>
    </row>
    <row r="4062" spans="1:24" s="1" customFormat="1" ht="12.95" customHeight="1" x14ac:dyDescent="0.3">
      <c r="A4062" s="11" t="s">
        <v>3129</v>
      </c>
      <c r="B4062" s="11" t="s">
        <v>4277</v>
      </c>
      <c r="C4062" s="12" t="s">
        <v>4278</v>
      </c>
      <c r="D4062" s="83"/>
      <c r="E4062" s="69" t="str">
        <f t="shared" ref="E4062:E4069" si="196">HYPERLINK("https://www.google.ru/search?q=760140-7150&amp;newwindow=1&amp;tbm=isch","Еще фото")</f>
        <v>Еще фото</v>
      </c>
      <c r="F4062" s="13"/>
      <c r="G4062" s="11" t="s">
        <v>394</v>
      </c>
      <c r="H4062" s="11" t="s">
        <v>151</v>
      </c>
      <c r="I4062" s="14" t="s">
        <v>424</v>
      </c>
      <c r="J4062" s="14" t="s">
        <v>29</v>
      </c>
      <c r="K4062" s="15" t="s">
        <v>30</v>
      </c>
      <c r="L4062" s="86" t="s">
        <v>4279</v>
      </c>
      <c r="M4062" s="14"/>
      <c r="N4062" s="14" t="s">
        <v>70</v>
      </c>
      <c r="O4062" s="14"/>
      <c r="P4062" s="15" t="s">
        <v>4280</v>
      </c>
      <c r="Q4062" s="16">
        <v>5199</v>
      </c>
      <c r="R4062" s="17">
        <v>45</v>
      </c>
      <c r="S4062" s="18">
        <v>3288.3674999999994</v>
      </c>
      <c r="T4062" s="19" t="s">
        <v>117</v>
      </c>
      <c r="U4062" s="26" t="s">
        <v>3238</v>
      </c>
      <c r="V4062" s="21">
        <v>30</v>
      </c>
      <c r="W4062" s="21">
        <v>2</v>
      </c>
      <c r="X4062" s="22"/>
    </row>
    <row r="4063" spans="1:24" s="1" customFormat="1" ht="12.95" customHeight="1" x14ac:dyDescent="0.3">
      <c r="A4063" s="23" t="s">
        <v>3129</v>
      </c>
      <c r="B4063" s="23" t="s">
        <v>4277</v>
      </c>
      <c r="C4063" s="12" t="s">
        <v>4278</v>
      </c>
      <c r="D4063" s="84"/>
      <c r="E4063" s="69" t="str">
        <f t="shared" si="196"/>
        <v>Еще фото</v>
      </c>
      <c r="F4063" s="13"/>
      <c r="G4063" s="23" t="s">
        <v>394</v>
      </c>
      <c r="H4063" s="23" t="s">
        <v>151</v>
      </c>
      <c r="I4063" s="23" t="s">
        <v>424</v>
      </c>
      <c r="J4063" s="14" t="s">
        <v>29</v>
      </c>
      <c r="K4063" s="15" t="s">
        <v>30</v>
      </c>
      <c r="L4063" s="87"/>
      <c r="M4063" s="14"/>
      <c r="N4063" s="14" t="s">
        <v>70</v>
      </c>
      <c r="O4063" s="14"/>
      <c r="P4063" s="15" t="s">
        <v>4280</v>
      </c>
      <c r="Q4063" s="16">
        <v>5199</v>
      </c>
      <c r="R4063" s="17">
        <v>45</v>
      </c>
      <c r="S4063" s="18">
        <v>3288.3674999999994</v>
      </c>
      <c r="T4063" s="19" t="s">
        <v>117</v>
      </c>
      <c r="U4063" s="20" t="s">
        <v>3239</v>
      </c>
      <c r="V4063" s="21">
        <v>31</v>
      </c>
      <c r="W4063" s="21">
        <v>1</v>
      </c>
      <c r="X4063" s="22"/>
    </row>
    <row r="4064" spans="1:24" s="1" customFormat="1" ht="12.95" customHeight="1" x14ac:dyDescent="0.3">
      <c r="A4064" s="23" t="s">
        <v>3129</v>
      </c>
      <c r="B4064" s="23" t="s">
        <v>4277</v>
      </c>
      <c r="C4064" s="12" t="s">
        <v>4278</v>
      </c>
      <c r="D4064" s="84"/>
      <c r="E4064" s="69" t="str">
        <f t="shared" si="196"/>
        <v>Еще фото</v>
      </c>
      <c r="F4064" s="13"/>
      <c r="G4064" s="23" t="s">
        <v>394</v>
      </c>
      <c r="H4064" s="23" t="s">
        <v>151</v>
      </c>
      <c r="I4064" s="23" t="s">
        <v>424</v>
      </c>
      <c r="J4064" s="14" t="s">
        <v>29</v>
      </c>
      <c r="K4064" s="15" t="s">
        <v>30</v>
      </c>
      <c r="L4064" s="87"/>
      <c r="M4064" s="14"/>
      <c r="N4064" s="14" t="s">
        <v>70</v>
      </c>
      <c r="O4064" s="14"/>
      <c r="P4064" s="15" t="s">
        <v>4280</v>
      </c>
      <c r="Q4064" s="16">
        <v>5199</v>
      </c>
      <c r="R4064" s="17">
        <v>45</v>
      </c>
      <c r="S4064" s="18">
        <v>3288.3674999999994</v>
      </c>
      <c r="T4064" s="19" t="s">
        <v>117</v>
      </c>
      <c r="U4064" s="20" t="s">
        <v>3240</v>
      </c>
      <c r="V4064" s="21">
        <v>32</v>
      </c>
      <c r="W4064" s="21">
        <v>1</v>
      </c>
      <c r="X4064" s="22"/>
    </row>
    <row r="4065" spans="1:24" s="1" customFormat="1" ht="12.95" customHeight="1" x14ac:dyDescent="0.3">
      <c r="A4065" s="23" t="s">
        <v>3129</v>
      </c>
      <c r="B4065" s="23" t="s">
        <v>4277</v>
      </c>
      <c r="C4065" s="12" t="s">
        <v>4278</v>
      </c>
      <c r="D4065" s="84"/>
      <c r="E4065" s="69" t="str">
        <f t="shared" si="196"/>
        <v>Еще фото</v>
      </c>
      <c r="F4065" s="13"/>
      <c r="G4065" s="23" t="s">
        <v>394</v>
      </c>
      <c r="H4065" s="23" t="s">
        <v>151</v>
      </c>
      <c r="I4065" s="23" t="s">
        <v>424</v>
      </c>
      <c r="J4065" s="14" t="s">
        <v>29</v>
      </c>
      <c r="K4065" s="15" t="s">
        <v>30</v>
      </c>
      <c r="L4065" s="87"/>
      <c r="M4065" s="14"/>
      <c r="N4065" s="14" t="s">
        <v>70</v>
      </c>
      <c r="O4065" s="14"/>
      <c r="P4065" s="15" t="s">
        <v>4280</v>
      </c>
      <c r="Q4065" s="16">
        <v>5199</v>
      </c>
      <c r="R4065" s="17">
        <v>45</v>
      </c>
      <c r="S4065" s="18">
        <v>3288.3674999999994</v>
      </c>
      <c r="T4065" s="19" t="s">
        <v>117</v>
      </c>
      <c r="U4065" s="20" t="s">
        <v>4242</v>
      </c>
      <c r="V4065" s="21">
        <v>33</v>
      </c>
      <c r="W4065" s="21">
        <v>1</v>
      </c>
      <c r="X4065" s="22"/>
    </row>
    <row r="4066" spans="1:24" s="1" customFormat="1" ht="12.95" customHeight="1" x14ac:dyDescent="0.3">
      <c r="A4066" s="23" t="s">
        <v>3129</v>
      </c>
      <c r="B4066" s="23" t="s">
        <v>4277</v>
      </c>
      <c r="C4066" s="12" t="s">
        <v>4278</v>
      </c>
      <c r="D4066" s="84"/>
      <c r="E4066" s="69" t="str">
        <f t="shared" si="196"/>
        <v>Еще фото</v>
      </c>
      <c r="F4066" s="13"/>
      <c r="G4066" s="23" t="s">
        <v>394</v>
      </c>
      <c r="H4066" s="23" t="s">
        <v>151</v>
      </c>
      <c r="I4066" s="23" t="s">
        <v>424</v>
      </c>
      <c r="J4066" s="14" t="s">
        <v>29</v>
      </c>
      <c r="K4066" s="15" t="s">
        <v>30</v>
      </c>
      <c r="L4066" s="87"/>
      <c r="M4066" s="14"/>
      <c r="N4066" s="14" t="s">
        <v>70</v>
      </c>
      <c r="O4066" s="14"/>
      <c r="P4066" s="15" t="s">
        <v>4280</v>
      </c>
      <c r="Q4066" s="16">
        <v>5199</v>
      </c>
      <c r="R4066" s="17">
        <v>45</v>
      </c>
      <c r="S4066" s="18">
        <v>3288.3674999999994</v>
      </c>
      <c r="T4066" s="19" t="s">
        <v>117</v>
      </c>
      <c r="U4066" s="20" t="s">
        <v>3522</v>
      </c>
      <c r="V4066" s="21">
        <v>34</v>
      </c>
      <c r="W4066" s="21">
        <v>1</v>
      </c>
      <c r="X4066" s="22"/>
    </row>
    <row r="4067" spans="1:24" s="1" customFormat="1" ht="12.95" customHeight="1" x14ac:dyDescent="0.3">
      <c r="A4067" s="23" t="s">
        <v>3129</v>
      </c>
      <c r="B4067" s="23" t="s">
        <v>4277</v>
      </c>
      <c r="C4067" s="12" t="s">
        <v>4278</v>
      </c>
      <c r="D4067" s="84"/>
      <c r="E4067" s="69" t="str">
        <f t="shared" si="196"/>
        <v>Еще фото</v>
      </c>
      <c r="F4067" s="13"/>
      <c r="G4067" s="23" t="s">
        <v>394</v>
      </c>
      <c r="H4067" s="23" t="s">
        <v>151</v>
      </c>
      <c r="I4067" s="23" t="s">
        <v>424</v>
      </c>
      <c r="J4067" s="14" t="s">
        <v>29</v>
      </c>
      <c r="K4067" s="15" t="s">
        <v>30</v>
      </c>
      <c r="L4067" s="87"/>
      <c r="M4067" s="14"/>
      <c r="N4067" s="14" t="s">
        <v>70</v>
      </c>
      <c r="O4067" s="14"/>
      <c r="P4067" s="15" t="s">
        <v>4280</v>
      </c>
      <c r="Q4067" s="16">
        <v>5199</v>
      </c>
      <c r="R4067" s="17">
        <v>45</v>
      </c>
      <c r="S4067" s="18">
        <v>3288.3674999999994</v>
      </c>
      <c r="T4067" s="19" t="s">
        <v>117</v>
      </c>
      <c r="U4067" s="20" t="s">
        <v>725</v>
      </c>
      <c r="V4067" s="21">
        <v>35</v>
      </c>
      <c r="W4067" s="21">
        <v>1</v>
      </c>
      <c r="X4067" s="22"/>
    </row>
    <row r="4068" spans="1:24" s="1" customFormat="1" ht="12.95" customHeight="1" x14ac:dyDescent="0.3">
      <c r="A4068" s="23" t="s">
        <v>3129</v>
      </c>
      <c r="B4068" s="23" t="s">
        <v>4277</v>
      </c>
      <c r="C4068" s="12" t="s">
        <v>4278</v>
      </c>
      <c r="D4068" s="84"/>
      <c r="E4068" s="69" t="str">
        <f t="shared" si="196"/>
        <v>Еще фото</v>
      </c>
      <c r="F4068" s="13"/>
      <c r="G4068" s="23" t="s">
        <v>394</v>
      </c>
      <c r="H4068" s="23" t="s">
        <v>151</v>
      </c>
      <c r="I4068" s="23" t="s">
        <v>424</v>
      </c>
      <c r="J4068" s="14" t="s">
        <v>29</v>
      </c>
      <c r="K4068" s="15" t="s">
        <v>30</v>
      </c>
      <c r="L4068" s="87"/>
      <c r="M4068" s="14"/>
      <c r="N4068" s="14" t="s">
        <v>70</v>
      </c>
      <c r="O4068" s="14"/>
      <c r="P4068" s="15" t="s">
        <v>4280</v>
      </c>
      <c r="Q4068" s="16">
        <v>5199</v>
      </c>
      <c r="R4068" s="17">
        <v>45</v>
      </c>
      <c r="S4068" s="18">
        <v>3288.3674999999994</v>
      </c>
      <c r="T4068" s="19" t="s">
        <v>117</v>
      </c>
      <c r="U4068" s="20" t="s">
        <v>4247</v>
      </c>
      <c r="V4068" s="21">
        <v>38</v>
      </c>
      <c r="W4068" s="21">
        <v>1</v>
      </c>
      <c r="X4068" s="22"/>
    </row>
    <row r="4069" spans="1:24" s="1" customFormat="1" ht="18" customHeight="1" x14ac:dyDescent="0.3">
      <c r="A4069" s="23" t="s">
        <v>3129</v>
      </c>
      <c r="B4069" s="23" t="s">
        <v>4277</v>
      </c>
      <c r="C4069" s="12" t="s">
        <v>4278</v>
      </c>
      <c r="D4069" s="85"/>
      <c r="E4069" s="69" t="str">
        <f t="shared" si="196"/>
        <v>Еще фото</v>
      </c>
      <c r="F4069" s="13"/>
      <c r="G4069" s="23" t="s">
        <v>394</v>
      </c>
      <c r="H4069" s="23" t="s">
        <v>151</v>
      </c>
      <c r="I4069" s="23" t="s">
        <v>424</v>
      </c>
      <c r="J4069" s="14" t="s">
        <v>29</v>
      </c>
      <c r="K4069" s="15" t="s">
        <v>30</v>
      </c>
      <c r="L4069" s="88"/>
      <c r="M4069" s="14"/>
      <c r="N4069" s="14" t="s">
        <v>70</v>
      </c>
      <c r="O4069" s="14"/>
      <c r="P4069" s="15" t="s">
        <v>4280</v>
      </c>
      <c r="Q4069" s="16">
        <v>5199</v>
      </c>
      <c r="R4069" s="17">
        <v>45</v>
      </c>
      <c r="S4069" s="18">
        <v>3288.3674999999994</v>
      </c>
      <c r="T4069" s="19" t="s">
        <v>117</v>
      </c>
      <c r="U4069" s="20" t="s">
        <v>4281</v>
      </c>
      <c r="V4069" s="21">
        <v>39</v>
      </c>
      <c r="W4069" s="21">
        <v>1</v>
      </c>
      <c r="X4069" s="22"/>
    </row>
    <row r="4070" spans="1:24" s="1" customFormat="1" ht="108" customHeight="1" x14ac:dyDescent="0.3">
      <c r="A4070" s="11" t="s">
        <v>3278</v>
      </c>
      <c r="B4070" s="11" t="s">
        <v>4282</v>
      </c>
      <c r="C4070" s="12" t="s">
        <v>4283</v>
      </c>
      <c r="D4070" s="24"/>
      <c r="E4070" s="69" t="str">
        <f>HYPERLINK("https://www.google.ru/search?q=BF-P03&amp;newwindow=1&amp;tbm=isch","Еще фото")</f>
        <v>Еще фото</v>
      </c>
      <c r="F4070" s="13"/>
      <c r="G4070" s="11" t="s">
        <v>4282</v>
      </c>
      <c r="H4070" s="11" t="s">
        <v>814</v>
      </c>
      <c r="I4070" s="14" t="s">
        <v>1538</v>
      </c>
      <c r="J4070" s="14" t="s">
        <v>29</v>
      </c>
      <c r="K4070" s="15" t="s">
        <v>114</v>
      </c>
      <c r="L4070" s="14"/>
      <c r="M4070" s="14"/>
      <c r="N4070" s="14" t="s">
        <v>49</v>
      </c>
      <c r="O4070" s="14"/>
      <c r="P4070" s="15" t="s">
        <v>4284</v>
      </c>
      <c r="Q4070" s="59">
        <v>390</v>
      </c>
      <c r="R4070" s="17">
        <v>67.239999999999995</v>
      </c>
      <c r="S4070" s="29">
        <v>146.93549999999999</v>
      </c>
      <c r="T4070" s="19" t="s">
        <v>117</v>
      </c>
      <c r="U4070" s="20" t="s">
        <v>4285</v>
      </c>
      <c r="V4070" s="25" t="s">
        <v>119</v>
      </c>
      <c r="W4070" s="21">
        <v>4</v>
      </c>
      <c r="X4070" s="22"/>
    </row>
    <row r="4071" spans="1:24" s="1" customFormat="1" ht="108" customHeight="1" x14ac:dyDescent="0.3">
      <c r="A4071" s="11" t="s">
        <v>4286</v>
      </c>
      <c r="B4071" s="11" t="s">
        <v>4287</v>
      </c>
      <c r="C4071" s="12" t="s">
        <v>4288</v>
      </c>
      <c r="D4071" s="24"/>
      <c r="E4071" s="69" t="str">
        <f>HYPERLINK("https://www.google.ru/search?q=УТ-00010044&amp;newwindow=1&amp;tbm=isch","Еще фото")</f>
        <v>Еще фото</v>
      </c>
      <c r="F4071" s="13"/>
      <c r="G4071" s="11" t="s">
        <v>4289</v>
      </c>
      <c r="H4071" s="11" t="s">
        <v>814</v>
      </c>
      <c r="I4071" s="14" t="s">
        <v>1538</v>
      </c>
      <c r="J4071" s="14" t="s">
        <v>406</v>
      </c>
      <c r="K4071" s="15" t="s">
        <v>114</v>
      </c>
      <c r="L4071" s="14" t="s">
        <v>4290</v>
      </c>
      <c r="M4071" s="14"/>
      <c r="N4071" s="14" t="s">
        <v>2549</v>
      </c>
      <c r="O4071" s="14"/>
      <c r="P4071" s="15" t="s">
        <v>4291</v>
      </c>
      <c r="Q4071" s="16">
        <v>3190</v>
      </c>
      <c r="R4071" s="17">
        <v>46.78</v>
      </c>
      <c r="S4071" s="18">
        <v>1952.4354999999998</v>
      </c>
      <c r="T4071" s="19" t="s">
        <v>117</v>
      </c>
      <c r="U4071" s="20" t="s">
        <v>2883</v>
      </c>
      <c r="V4071" s="25" t="s">
        <v>119</v>
      </c>
      <c r="W4071" s="21">
        <v>2</v>
      </c>
      <c r="X4071" s="22"/>
    </row>
    <row r="4072" spans="1:24" s="1" customFormat="1" ht="35.1" customHeight="1" x14ac:dyDescent="0.3">
      <c r="A4072" s="11" t="s">
        <v>3029</v>
      </c>
      <c r="B4072" s="11" t="s">
        <v>529</v>
      </c>
      <c r="C4072" s="12" t="s">
        <v>4292</v>
      </c>
      <c r="D4072" s="83"/>
      <c r="E4072" s="69" t="str">
        <f>HYPERLINK("https://www.google.ru/search?q=123419-1450&amp;newwindow=1&amp;tbm=isch","Еще фото")</f>
        <v>Еще фото</v>
      </c>
      <c r="F4072" s="13"/>
      <c r="G4072" s="11" t="s">
        <v>531</v>
      </c>
      <c r="H4072" s="11" t="s">
        <v>27</v>
      </c>
      <c r="I4072" s="14" t="s">
        <v>522</v>
      </c>
      <c r="J4072" s="14" t="s">
        <v>29</v>
      </c>
      <c r="K4072" s="15" t="s">
        <v>30</v>
      </c>
      <c r="L4072" s="86" t="s">
        <v>4293</v>
      </c>
      <c r="M4072" s="14"/>
      <c r="N4072" s="14" t="s">
        <v>89</v>
      </c>
      <c r="O4072" s="14"/>
      <c r="P4072" s="15" t="s">
        <v>4294</v>
      </c>
      <c r="Q4072" s="16">
        <v>3999</v>
      </c>
      <c r="R4072" s="17">
        <v>45</v>
      </c>
      <c r="S4072" s="18">
        <v>2529.3674999999994</v>
      </c>
      <c r="T4072" s="19" t="s">
        <v>117</v>
      </c>
      <c r="U4072" s="20" t="s">
        <v>94</v>
      </c>
      <c r="V4072" s="21">
        <v>104</v>
      </c>
      <c r="W4072" s="21">
        <v>2</v>
      </c>
      <c r="X4072" s="22"/>
    </row>
    <row r="4073" spans="1:24" s="1" customFormat="1" ht="35.1" customHeight="1" x14ac:dyDescent="0.3">
      <c r="A4073" s="23" t="s">
        <v>3029</v>
      </c>
      <c r="B4073" s="23" t="s">
        <v>529</v>
      </c>
      <c r="C4073" s="12" t="s">
        <v>4292</v>
      </c>
      <c r="D4073" s="84"/>
      <c r="E4073" s="69" t="str">
        <f>HYPERLINK("https://www.google.ru/search?q=123419-1450&amp;newwindow=1&amp;tbm=isch","Еще фото")</f>
        <v>Еще фото</v>
      </c>
      <c r="F4073" s="13"/>
      <c r="G4073" s="23" t="s">
        <v>531</v>
      </c>
      <c r="H4073" s="23" t="s">
        <v>27</v>
      </c>
      <c r="I4073" s="23" t="s">
        <v>522</v>
      </c>
      <c r="J4073" s="14" t="s">
        <v>29</v>
      </c>
      <c r="K4073" s="15" t="s">
        <v>30</v>
      </c>
      <c r="L4073" s="87"/>
      <c r="M4073" s="14"/>
      <c r="N4073" s="14" t="s">
        <v>89</v>
      </c>
      <c r="O4073" s="14"/>
      <c r="P4073" s="15" t="s">
        <v>4294</v>
      </c>
      <c r="Q4073" s="16">
        <v>3999</v>
      </c>
      <c r="R4073" s="17">
        <v>45</v>
      </c>
      <c r="S4073" s="18">
        <v>2529.3674999999994</v>
      </c>
      <c r="T4073" s="19" t="s">
        <v>117</v>
      </c>
      <c r="U4073" s="20" t="s">
        <v>43</v>
      </c>
      <c r="V4073" s="21">
        <v>110</v>
      </c>
      <c r="W4073" s="21">
        <v>1</v>
      </c>
      <c r="X4073" s="22"/>
    </row>
    <row r="4074" spans="1:24" s="1" customFormat="1" ht="36.950000000000003" customHeight="1" x14ac:dyDescent="0.3">
      <c r="A4074" s="23" t="s">
        <v>3029</v>
      </c>
      <c r="B4074" s="23" t="s">
        <v>529</v>
      </c>
      <c r="C4074" s="12" t="s">
        <v>4292</v>
      </c>
      <c r="D4074" s="85"/>
      <c r="E4074" s="69" t="str">
        <f>HYPERLINK("https://www.google.ru/search?q=123419-1450&amp;newwindow=1&amp;tbm=isch","Еще фото")</f>
        <v>Еще фото</v>
      </c>
      <c r="F4074" s="13"/>
      <c r="G4074" s="23" t="s">
        <v>531</v>
      </c>
      <c r="H4074" s="23" t="s">
        <v>27</v>
      </c>
      <c r="I4074" s="23" t="s">
        <v>522</v>
      </c>
      <c r="J4074" s="14" t="s">
        <v>29</v>
      </c>
      <c r="K4074" s="15" t="s">
        <v>30</v>
      </c>
      <c r="L4074" s="88"/>
      <c r="M4074" s="14"/>
      <c r="N4074" s="14" t="s">
        <v>89</v>
      </c>
      <c r="O4074" s="14"/>
      <c r="P4074" s="15" t="s">
        <v>4294</v>
      </c>
      <c r="Q4074" s="16">
        <v>3999</v>
      </c>
      <c r="R4074" s="17">
        <v>45</v>
      </c>
      <c r="S4074" s="18">
        <v>2529.3674999999994</v>
      </c>
      <c r="T4074" s="19" t="s">
        <v>117</v>
      </c>
      <c r="U4074" s="20" t="s">
        <v>290</v>
      </c>
      <c r="V4074" s="21">
        <v>140</v>
      </c>
      <c r="W4074" s="21">
        <v>1</v>
      </c>
      <c r="X4074" s="22"/>
    </row>
    <row r="4075" spans="1:24" s="1" customFormat="1" ht="26.1" customHeight="1" x14ac:dyDescent="0.3">
      <c r="A4075" s="11" t="s">
        <v>3014</v>
      </c>
      <c r="B4075" s="11" t="s">
        <v>4295</v>
      </c>
      <c r="C4075" s="12" t="s">
        <v>4296</v>
      </c>
      <c r="D4075" s="83"/>
      <c r="E4075" s="69" t="str">
        <f>HYPERLINK("https://www.google.ru/search?q=72204413-6030&amp;newwindow=1&amp;tbm=isch","Еще фото")</f>
        <v>Еще фото</v>
      </c>
      <c r="F4075" s="13"/>
      <c r="G4075" s="11" t="s">
        <v>531</v>
      </c>
      <c r="H4075" s="11" t="s">
        <v>27</v>
      </c>
      <c r="I4075" s="14" t="s">
        <v>522</v>
      </c>
      <c r="J4075" s="14" t="s">
        <v>29</v>
      </c>
      <c r="K4075" s="15" t="s">
        <v>30</v>
      </c>
      <c r="L4075" s="86" t="s">
        <v>4297</v>
      </c>
      <c r="M4075" s="14"/>
      <c r="N4075" s="14" t="s">
        <v>265</v>
      </c>
      <c r="O4075" s="14"/>
      <c r="P4075" s="15" t="s">
        <v>76</v>
      </c>
      <c r="Q4075" s="16">
        <v>2999</v>
      </c>
      <c r="R4075" s="17">
        <v>45</v>
      </c>
      <c r="S4075" s="18">
        <v>1896.8674999999998</v>
      </c>
      <c r="T4075" s="19" t="s">
        <v>117</v>
      </c>
      <c r="U4075" s="20" t="s">
        <v>94</v>
      </c>
      <c r="V4075" s="21">
        <v>104</v>
      </c>
      <c r="W4075" s="21">
        <v>3</v>
      </c>
      <c r="X4075" s="22"/>
    </row>
    <row r="4076" spans="1:24" s="1" customFormat="1" ht="26.1" customHeight="1" x14ac:dyDescent="0.3">
      <c r="A4076" s="23" t="s">
        <v>3014</v>
      </c>
      <c r="B4076" s="23" t="s">
        <v>4295</v>
      </c>
      <c r="C4076" s="12" t="s">
        <v>4296</v>
      </c>
      <c r="D4076" s="84"/>
      <c r="E4076" s="69" t="str">
        <f>HYPERLINK("https://www.google.ru/search?q=72204413-6030&amp;newwindow=1&amp;tbm=isch","Еще фото")</f>
        <v>Еще фото</v>
      </c>
      <c r="F4076" s="13"/>
      <c r="G4076" s="23" t="s">
        <v>531</v>
      </c>
      <c r="H4076" s="23" t="s">
        <v>27</v>
      </c>
      <c r="I4076" s="23" t="s">
        <v>522</v>
      </c>
      <c r="J4076" s="14" t="s">
        <v>29</v>
      </c>
      <c r="K4076" s="15" t="s">
        <v>30</v>
      </c>
      <c r="L4076" s="87"/>
      <c r="M4076" s="14"/>
      <c r="N4076" s="14" t="s">
        <v>265</v>
      </c>
      <c r="O4076" s="14"/>
      <c r="P4076" s="15" t="s">
        <v>76</v>
      </c>
      <c r="Q4076" s="16">
        <v>2999</v>
      </c>
      <c r="R4076" s="17">
        <v>45</v>
      </c>
      <c r="S4076" s="18">
        <v>1896.8674999999998</v>
      </c>
      <c r="T4076" s="19" t="s">
        <v>117</v>
      </c>
      <c r="U4076" s="20" t="s">
        <v>43</v>
      </c>
      <c r="V4076" s="21">
        <v>110</v>
      </c>
      <c r="W4076" s="21">
        <v>4</v>
      </c>
      <c r="X4076" s="22"/>
    </row>
    <row r="4077" spans="1:24" s="1" customFormat="1" ht="26.1" customHeight="1" x14ac:dyDescent="0.3">
      <c r="A4077" s="23" t="s">
        <v>3014</v>
      </c>
      <c r="B4077" s="23" t="s">
        <v>4295</v>
      </c>
      <c r="C4077" s="12" t="s">
        <v>4296</v>
      </c>
      <c r="D4077" s="84"/>
      <c r="E4077" s="69" t="str">
        <f>HYPERLINK("https://www.google.ru/search?q=72204413-6030&amp;newwindow=1&amp;tbm=isch","Еще фото")</f>
        <v>Еще фото</v>
      </c>
      <c r="F4077" s="13"/>
      <c r="G4077" s="23" t="s">
        <v>531</v>
      </c>
      <c r="H4077" s="23" t="s">
        <v>27</v>
      </c>
      <c r="I4077" s="23" t="s">
        <v>522</v>
      </c>
      <c r="J4077" s="14" t="s">
        <v>29</v>
      </c>
      <c r="K4077" s="15" t="s">
        <v>30</v>
      </c>
      <c r="L4077" s="87"/>
      <c r="M4077" s="14"/>
      <c r="N4077" s="14" t="s">
        <v>265</v>
      </c>
      <c r="O4077" s="14"/>
      <c r="P4077" s="15" t="s">
        <v>76</v>
      </c>
      <c r="Q4077" s="16">
        <v>2999</v>
      </c>
      <c r="R4077" s="17">
        <v>45</v>
      </c>
      <c r="S4077" s="18">
        <v>1896.8674999999998</v>
      </c>
      <c r="T4077" s="19" t="s">
        <v>117</v>
      </c>
      <c r="U4077" s="20" t="s">
        <v>35</v>
      </c>
      <c r="V4077" s="21">
        <v>116</v>
      </c>
      <c r="W4077" s="21">
        <v>4</v>
      </c>
      <c r="X4077" s="22"/>
    </row>
    <row r="4078" spans="1:24" s="1" customFormat="1" ht="26.1" customHeight="1" x14ac:dyDescent="0.3">
      <c r="A4078" s="23" t="s">
        <v>3014</v>
      </c>
      <c r="B4078" s="23" t="s">
        <v>4295</v>
      </c>
      <c r="C4078" s="12" t="s">
        <v>4296</v>
      </c>
      <c r="D4078" s="85"/>
      <c r="E4078" s="69" t="str">
        <f>HYPERLINK("https://www.google.ru/search?q=72204413-6030&amp;newwindow=1&amp;tbm=isch","Еще фото")</f>
        <v>Еще фото</v>
      </c>
      <c r="F4078" s="13"/>
      <c r="G4078" s="23" t="s">
        <v>531</v>
      </c>
      <c r="H4078" s="23" t="s">
        <v>27</v>
      </c>
      <c r="I4078" s="23" t="s">
        <v>522</v>
      </c>
      <c r="J4078" s="14" t="s">
        <v>29</v>
      </c>
      <c r="K4078" s="15" t="s">
        <v>30</v>
      </c>
      <c r="L4078" s="88"/>
      <c r="M4078" s="14"/>
      <c r="N4078" s="14" t="s">
        <v>265</v>
      </c>
      <c r="O4078" s="14"/>
      <c r="P4078" s="15" t="s">
        <v>76</v>
      </c>
      <c r="Q4078" s="16">
        <v>2999</v>
      </c>
      <c r="R4078" s="17">
        <v>45</v>
      </c>
      <c r="S4078" s="18">
        <v>1896.8674999999998</v>
      </c>
      <c r="T4078" s="19" t="s">
        <v>117</v>
      </c>
      <c r="U4078" s="20" t="s">
        <v>36</v>
      </c>
      <c r="V4078" s="21">
        <v>122</v>
      </c>
      <c r="W4078" s="21">
        <v>5</v>
      </c>
      <c r="X4078" s="22"/>
    </row>
    <row r="4079" spans="1:24" s="1" customFormat="1" ht="26.1" customHeight="1" x14ac:dyDescent="0.3">
      <c r="A4079" s="11" t="s">
        <v>3014</v>
      </c>
      <c r="B4079" s="11" t="s">
        <v>4295</v>
      </c>
      <c r="C4079" s="12" t="s">
        <v>4298</v>
      </c>
      <c r="D4079" s="83"/>
      <c r="E4079" s="69" t="str">
        <f>HYPERLINK("https://www.google.ru/search?q=72204413-6960&amp;newwindow=1&amp;tbm=isch","Еще фото")</f>
        <v>Еще фото</v>
      </c>
      <c r="F4079" s="13"/>
      <c r="G4079" s="11" t="s">
        <v>531</v>
      </c>
      <c r="H4079" s="11" t="s">
        <v>27</v>
      </c>
      <c r="I4079" s="14" t="s">
        <v>522</v>
      </c>
      <c r="J4079" s="14" t="s">
        <v>29</v>
      </c>
      <c r="K4079" s="15" t="s">
        <v>30</v>
      </c>
      <c r="L4079" s="86" t="s">
        <v>4297</v>
      </c>
      <c r="M4079" s="14"/>
      <c r="N4079" s="14" t="s">
        <v>70</v>
      </c>
      <c r="O4079" s="14"/>
      <c r="P4079" s="15" t="s">
        <v>76</v>
      </c>
      <c r="Q4079" s="16">
        <v>2999</v>
      </c>
      <c r="R4079" s="17">
        <v>45</v>
      </c>
      <c r="S4079" s="18">
        <v>1896.8674999999998</v>
      </c>
      <c r="T4079" s="19" t="s">
        <v>117</v>
      </c>
      <c r="U4079" s="20" t="s">
        <v>94</v>
      </c>
      <c r="V4079" s="21">
        <v>104</v>
      </c>
      <c r="W4079" s="21">
        <v>5</v>
      </c>
      <c r="X4079" s="22"/>
    </row>
    <row r="4080" spans="1:24" s="1" customFormat="1" ht="26.1" customHeight="1" x14ac:dyDescent="0.3">
      <c r="A4080" s="23" t="s">
        <v>3014</v>
      </c>
      <c r="B4080" s="23" t="s">
        <v>4295</v>
      </c>
      <c r="C4080" s="12" t="s">
        <v>4298</v>
      </c>
      <c r="D4080" s="84"/>
      <c r="E4080" s="69" t="str">
        <f>HYPERLINK("https://www.google.ru/search?q=72204413-6960&amp;newwindow=1&amp;tbm=isch","Еще фото")</f>
        <v>Еще фото</v>
      </c>
      <c r="F4080" s="13"/>
      <c r="G4080" s="23" t="s">
        <v>531</v>
      </c>
      <c r="H4080" s="23" t="s">
        <v>27</v>
      </c>
      <c r="I4080" s="23" t="s">
        <v>522</v>
      </c>
      <c r="J4080" s="14" t="s">
        <v>29</v>
      </c>
      <c r="K4080" s="15" t="s">
        <v>30</v>
      </c>
      <c r="L4080" s="87"/>
      <c r="M4080" s="14"/>
      <c r="N4080" s="14" t="s">
        <v>70</v>
      </c>
      <c r="O4080" s="14"/>
      <c r="P4080" s="15" t="s">
        <v>76</v>
      </c>
      <c r="Q4080" s="16">
        <v>2999</v>
      </c>
      <c r="R4080" s="17">
        <v>45</v>
      </c>
      <c r="S4080" s="18">
        <v>1896.8674999999998</v>
      </c>
      <c r="T4080" s="19" t="s">
        <v>117</v>
      </c>
      <c r="U4080" s="20" t="s">
        <v>43</v>
      </c>
      <c r="V4080" s="21">
        <v>110</v>
      </c>
      <c r="W4080" s="21">
        <v>5</v>
      </c>
      <c r="X4080" s="22"/>
    </row>
    <row r="4081" spans="1:24" s="1" customFormat="1" ht="26.1" customHeight="1" x14ac:dyDescent="0.3">
      <c r="A4081" s="23" t="s">
        <v>3014</v>
      </c>
      <c r="B4081" s="23" t="s">
        <v>4295</v>
      </c>
      <c r="C4081" s="12" t="s">
        <v>4298</v>
      </c>
      <c r="D4081" s="84"/>
      <c r="E4081" s="69" t="str">
        <f>HYPERLINK("https://www.google.ru/search?q=72204413-6960&amp;newwindow=1&amp;tbm=isch","Еще фото")</f>
        <v>Еще фото</v>
      </c>
      <c r="F4081" s="13"/>
      <c r="G4081" s="23" t="s">
        <v>531</v>
      </c>
      <c r="H4081" s="23" t="s">
        <v>27</v>
      </c>
      <c r="I4081" s="23" t="s">
        <v>522</v>
      </c>
      <c r="J4081" s="14" t="s">
        <v>29</v>
      </c>
      <c r="K4081" s="15" t="s">
        <v>30</v>
      </c>
      <c r="L4081" s="87"/>
      <c r="M4081" s="14"/>
      <c r="N4081" s="14" t="s">
        <v>70</v>
      </c>
      <c r="O4081" s="14"/>
      <c r="P4081" s="15" t="s">
        <v>76</v>
      </c>
      <c r="Q4081" s="16">
        <v>2999</v>
      </c>
      <c r="R4081" s="17">
        <v>45</v>
      </c>
      <c r="S4081" s="18">
        <v>1896.8674999999998</v>
      </c>
      <c r="T4081" s="19" t="s">
        <v>117</v>
      </c>
      <c r="U4081" s="20" t="s">
        <v>35</v>
      </c>
      <c r="V4081" s="21">
        <v>116</v>
      </c>
      <c r="W4081" s="21">
        <v>5</v>
      </c>
      <c r="X4081" s="22"/>
    </row>
    <row r="4082" spans="1:24" s="1" customFormat="1" ht="26.1" customHeight="1" x14ac:dyDescent="0.3">
      <c r="A4082" s="23" t="s">
        <v>3014</v>
      </c>
      <c r="B4082" s="23" t="s">
        <v>4295</v>
      </c>
      <c r="C4082" s="12" t="s">
        <v>4298</v>
      </c>
      <c r="D4082" s="85"/>
      <c r="E4082" s="69" t="str">
        <f>HYPERLINK("https://www.google.ru/search?q=72204413-6960&amp;newwindow=1&amp;tbm=isch","Еще фото")</f>
        <v>Еще фото</v>
      </c>
      <c r="F4082" s="13"/>
      <c r="G4082" s="23" t="s">
        <v>531</v>
      </c>
      <c r="H4082" s="23" t="s">
        <v>27</v>
      </c>
      <c r="I4082" s="23" t="s">
        <v>522</v>
      </c>
      <c r="J4082" s="14" t="s">
        <v>29</v>
      </c>
      <c r="K4082" s="15" t="s">
        <v>30</v>
      </c>
      <c r="L4082" s="88"/>
      <c r="M4082" s="14"/>
      <c r="N4082" s="14" t="s">
        <v>70</v>
      </c>
      <c r="O4082" s="14"/>
      <c r="P4082" s="15" t="s">
        <v>76</v>
      </c>
      <c r="Q4082" s="16">
        <v>2999</v>
      </c>
      <c r="R4082" s="17">
        <v>45</v>
      </c>
      <c r="S4082" s="18">
        <v>1896.8674999999998</v>
      </c>
      <c r="T4082" s="19" t="s">
        <v>117</v>
      </c>
      <c r="U4082" s="20" t="s">
        <v>36</v>
      </c>
      <c r="V4082" s="21">
        <v>122</v>
      </c>
      <c r="W4082" s="21">
        <v>5</v>
      </c>
      <c r="X4082" s="22"/>
    </row>
    <row r="4083" spans="1:24" s="1" customFormat="1" ht="17.100000000000001" customHeight="1" x14ac:dyDescent="0.3">
      <c r="A4083" s="11" t="s">
        <v>3183</v>
      </c>
      <c r="B4083" s="11" t="s">
        <v>4299</v>
      </c>
      <c r="C4083" s="12" t="s">
        <v>4300</v>
      </c>
      <c r="D4083" s="83"/>
      <c r="E4083" s="69" t="str">
        <f t="shared" ref="E4083:E4088" si="197">HYPERLINK("https://www.google.ru/search?q=J658LD000BCC3X3N&amp;newwindow=1&amp;tbm=isch","Еще фото")</f>
        <v>Еще фото</v>
      </c>
      <c r="F4083" s="13"/>
      <c r="G4083" s="11" t="s">
        <v>1224</v>
      </c>
      <c r="H4083" s="11" t="s">
        <v>151</v>
      </c>
      <c r="I4083" s="14" t="s">
        <v>546</v>
      </c>
      <c r="J4083" s="14" t="s">
        <v>138</v>
      </c>
      <c r="K4083" s="15" t="s">
        <v>30</v>
      </c>
      <c r="L4083" s="86" t="s">
        <v>4301</v>
      </c>
      <c r="M4083" s="14"/>
      <c r="N4083" s="14" t="s">
        <v>242</v>
      </c>
      <c r="O4083" s="14"/>
      <c r="P4083" s="15" t="s">
        <v>4302</v>
      </c>
      <c r="Q4083" s="16">
        <v>8190</v>
      </c>
      <c r="R4083" s="17">
        <v>56.32</v>
      </c>
      <c r="S4083" s="18">
        <v>4114.4354999999996</v>
      </c>
      <c r="T4083" s="19" t="s">
        <v>328</v>
      </c>
      <c r="U4083" s="20" t="s">
        <v>3189</v>
      </c>
      <c r="V4083" s="21">
        <v>30</v>
      </c>
      <c r="W4083" s="21">
        <v>2</v>
      </c>
      <c r="X4083" s="22"/>
    </row>
    <row r="4084" spans="1:24" s="1" customFormat="1" ht="17.100000000000001" customHeight="1" x14ac:dyDescent="0.3">
      <c r="A4084" s="23" t="s">
        <v>3183</v>
      </c>
      <c r="B4084" s="23" t="s">
        <v>4299</v>
      </c>
      <c r="C4084" s="12" t="s">
        <v>4300</v>
      </c>
      <c r="D4084" s="84"/>
      <c r="E4084" s="69" t="str">
        <f t="shared" si="197"/>
        <v>Еще фото</v>
      </c>
      <c r="F4084" s="13"/>
      <c r="G4084" s="23" t="s">
        <v>1224</v>
      </c>
      <c r="H4084" s="23" t="s">
        <v>151</v>
      </c>
      <c r="I4084" s="23" t="s">
        <v>546</v>
      </c>
      <c r="J4084" s="14" t="s">
        <v>138</v>
      </c>
      <c r="K4084" s="15" t="s">
        <v>30</v>
      </c>
      <c r="L4084" s="87"/>
      <c r="M4084" s="14"/>
      <c r="N4084" s="14" t="s">
        <v>242</v>
      </c>
      <c r="O4084" s="14"/>
      <c r="P4084" s="15" t="s">
        <v>4302</v>
      </c>
      <c r="Q4084" s="16">
        <v>8190</v>
      </c>
      <c r="R4084" s="17">
        <v>56.32</v>
      </c>
      <c r="S4084" s="18">
        <v>4114.4354999999996</v>
      </c>
      <c r="T4084" s="19" t="s">
        <v>328</v>
      </c>
      <c r="U4084" s="20" t="s">
        <v>3190</v>
      </c>
      <c r="V4084" s="21">
        <v>31</v>
      </c>
      <c r="W4084" s="21">
        <v>1</v>
      </c>
      <c r="X4084" s="22"/>
    </row>
    <row r="4085" spans="1:24" s="1" customFormat="1" ht="17.100000000000001" customHeight="1" x14ac:dyDescent="0.3">
      <c r="A4085" s="23" t="s">
        <v>3183</v>
      </c>
      <c r="B4085" s="23" t="s">
        <v>4299</v>
      </c>
      <c r="C4085" s="12" t="s">
        <v>4300</v>
      </c>
      <c r="D4085" s="84"/>
      <c r="E4085" s="69" t="str">
        <f t="shared" si="197"/>
        <v>Еще фото</v>
      </c>
      <c r="F4085" s="13"/>
      <c r="G4085" s="23" t="s">
        <v>1224</v>
      </c>
      <c r="H4085" s="23" t="s">
        <v>151</v>
      </c>
      <c r="I4085" s="23" t="s">
        <v>546</v>
      </c>
      <c r="J4085" s="14" t="s">
        <v>138</v>
      </c>
      <c r="K4085" s="15" t="s">
        <v>30</v>
      </c>
      <c r="L4085" s="87"/>
      <c r="M4085" s="14"/>
      <c r="N4085" s="14" t="s">
        <v>242</v>
      </c>
      <c r="O4085" s="14"/>
      <c r="P4085" s="15" t="s">
        <v>4302</v>
      </c>
      <c r="Q4085" s="16">
        <v>8190</v>
      </c>
      <c r="R4085" s="17">
        <v>56.32</v>
      </c>
      <c r="S4085" s="18">
        <v>4114.4354999999996</v>
      </c>
      <c r="T4085" s="19" t="s">
        <v>328</v>
      </c>
      <c r="U4085" s="20" t="s">
        <v>552</v>
      </c>
      <c r="V4085" s="21">
        <v>32</v>
      </c>
      <c r="W4085" s="21">
        <v>3</v>
      </c>
      <c r="X4085" s="22"/>
    </row>
    <row r="4086" spans="1:24" s="1" customFormat="1" ht="17.100000000000001" customHeight="1" x14ac:dyDescent="0.3">
      <c r="A4086" s="23" t="s">
        <v>3183</v>
      </c>
      <c r="B4086" s="23" t="s">
        <v>4299</v>
      </c>
      <c r="C4086" s="12" t="s">
        <v>4300</v>
      </c>
      <c r="D4086" s="84"/>
      <c r="E4086" s="69" t="str">
        <f t="shared" si="197"/>
        <v>Еще фото</v>
      </c>
      <c r="F4086" s="13"/>
      <c r="G4086" s="23" t="s">
        <v>1224</v>
      </c>
      <c r="H4086" s="23" t="s">
        <v>151</v>
      </c>
      <c r="I4086" s="23" t="s">
        <v>546</v>
      </c>
      <c r="J4086" s="14" t="s">
        <v>138</v>
      </c>
      <c r="K4086" s="15" t="s">
        <v>30</v>
      </c>
      <c r="L4086" s="87"/>
      <c r="M4086" s="14"/>
      <c r="N4086" s="14" t="s">
        <v>242</v>
      </c>
      <c r="O4086" s="14"/>
      <c r="P4086" s="15" t="s">
        <v>4302</v>
      </c>
      <c r="Q4086" s="16">
        <v>8190</v>
      </c>
      <c r="R4086" s="17">
        <v>56.32</v>
      </c>
      <c r="S4086" s="18">
        <v>4114.4354999999996</v>
      </c>
      <c r="T4086" s="19" t="s">
        <v>328</v>
      </c>
      <c r="U4086" s="20" t="s">
        <v>553</v>
      </c>
      <c r="V4086" s="21">
        <v>33</v>
      </c>
      <c r="W4086" s="21">
        <v>2</v>
      </c>
      <c r="X4086" s="22"/>
    </row>
    <row r="4087" spans="1:24" s="1" customFormat="1" ht="17.100000000000001" customHeight="1" x14ac:dyDescent="0.3">
      <c r="A4087" s="23" t="s">
        <v>3183</v>
      </c>
      <c r="B4087" s="23" t="s">
        <v>4299</v>
      </c>
      <c r="C4087" s="12" t="s">
        <v>4300</v>
      </c>
      <c r="D4087" s="84"/>
      <c r="E4087" s="69" t="str">
        <f t="shared" si="197"/>
        <v>Еще фото</v>
      </c>
      <c r="F4087" s="13"/>
      <c r="G4087" s="23" t="s">
        <v>1224</v>
      </c>
      <c r="H4087" s="23" t="s">
        <v>151</v>
      </c>
      <c r="I4087" s="23" t="s">
        <v>546</v>
      </c>
      <c r="J4087" s="14" t="s">
        <v>138</v>
      </c>
      <c r="K4087" s="15" t="s">
        <v>30</v>
      </c>
      <c r="L4087" s="87"/>
      <c r="M4087" s="14"/>
      <c r="N4087" s="14" t="s">
        <v>242</v>
      </c>
      <c r="O4087" s="14"/>
      <c r="P4087" s="15" t="s">
        <v>4302</v>
      </c>
      <c r="Q4087" s="16">
        <v>8190</v>
      </c>
      <c r="R4087" s="17">
        <v>56.32</v>
      </c>
      <c r="S4087" s="18">
        <v>4114.4354999999996</v>
      </c>
      <c r="T4087" s="19" t="s">
        <v>328</v>
      </c>
      <c r="U4087" s="20" t="s">
        <v>554</v>
      </c>
      <c r="V4087" s="21">
        <v>34</v>
      </c>
      <c r="W4087" s="21">
        <v>3</v>
      </c>
      <c r="X4087" s="22"/>
    </row>
    <row r="4088" spans="1:24" s="1" customFormat="1" ht="21.95" customHeight="1" x14ac:dyDescent="0.3">
      <c r="A4088" s="23" t="s">
        <v>3183</v>
      </c>
      <c r="B4088" s="23" t="s">
        <v>4299</v>
      </c>
      <c r="C4088" s="12" t="s">
        <v>4300</v>
      </c>
      <c r="D4088" s="85"/>
      <c r="E4088" s="69" t="str">
        <f t="shared" si="197"/>
        <v>Еще фото</v>
      </c>
      <c r="F4088" s="13"/>
      <c r="G4088" s="23" t="s">
        <v>1224</v>
      </c>
      <c r="H4088" s="23" t="s">
        <v>151</v>
      </c>
      <c r="I4088" s="23" t="s">
        <v>546</v>
      </c>
      <c r="J4088" s="14" t="s">
        <v>138</v>
      </c>
      <c r="K4088" s="15" t="s">
        <v>30</v>
      </c>
      <c r="L4088" s="88"/>
      <c r="M4088" s="14"/>
      <c r="N4088" s="14" t="s">
        <v>242</v>
      </c>
      <c r="O4088" s="14"/>
      <c r="P4088" s="15" t="s">
        <v>4302</v>
      </c>
      <c r="Q4088" s="16">
        <v>8190</v>
      </c>
      <c r="R4088" s="17">
        <v>56.32</v>
      </c>
      <c r="S4088" s="18">
        <v>4114.4354999999996</v>
      </c>
      <c r="T4088" s="19" t="s">
        <v>328</v>
      </c>
      <c r="U4088" s="20" t="s">
        <v>1503</v>
      </c>
      <c r="V4088" s="21">
        <v>36</v>
      </c>
      <c r="W4088" s="21">
        <v>2</v>
      </c>
      <c r="X4088" s="22"/>
    </row>
    <row r="4089" spans="1:24" s="1" customFormat="1" ht="21" customHeight="1" x14ac:dyDescent="0.3">
      <c r="A4089" s="11" t="s">
        <v>3183</v>
      </c>
      <c r="B4089" s="11" t="s">
        <v>4303</v>
      </c>
      <c r="C4089" s="27" t="s">
        <v>4304</v>
      </c>
      <c r="D4089" s="83"/>
      <c r="E4089" s="69" t="str">
        <f>HYPERLINK("https://www.google.ru/search?q=J5235D00254C1000&amp;newwindow=1&amp;tbm=isch","Еще фото")</f>
        <v>Еще фото</v>
      </c>
      <c r="F4089" s="13"/>
      <c r="G4089" s="11" t="s">
        <v>1224</v>
      </c>
      <c r="H4089" s="11" t="s">
        <v>151</v>
      </c>
      <c r="I4089" s="14" t="s">
        <v>546</v>
      </c>
      <c r="J4089" s="14" t="s">
        <v>138</v>
      </c>
      <c r="K4089" s="15" t="s">
        <v>30</v>
      </c>
      <c r="L4089" s="86" t="s">
        <v>4305</v>
      </c>
      <c r="M4089" s="14"/>
      <c r="N4089" s="14" t="s">
        <v>89</v>
      </c>
      <c r="O4089" s="14"/>
      <c r="P4089" s="15" t="s">
        <v>4306</v>
      </c>
      <c r="Q4089" s="16">
        <v>7290</v>
      </c>
      <c r="R4089" s="17">
        <v>56.27</v>
      </c>
      <c r="S4089" s="18">
        <v>3665.9354999999996</v>
      </c>
      <c r="T4089" s="19" t="s">
        <v>328</v>
      </c>
      <c r="U4089" s="20" t="s">
        <v>3189</v>
      </c>
      <c r="V4089" s="21">
        <v>30</v>
      </c>
      <c r="W4089" s="21">
        <v>3</v>
      </c>
      <c r="X4089" s="22"/>
    </row>
    <row r="4090" spans="1:24" s="1" customFormat="1" ht="21" customHeight="1" x14ac:dyDescent="0.3">
      <c r="A4090" s="23" t="s">
        <v>3183</v>
      </c>
      <c r="B4090" s="23" t="s">
        <v>4303</v>
      </c>
      <c r="C4090" s="28" t="s">
        <v>4304</v>
      </c>
      <c r="D4090" s="84"/>
      <c r="E4090" s="69" t="str">
        <f>HYPERLINK("https://www.google.ru/search?q=J5235D00254C1000&amp;newwindow=1&amp;tbm=isch","Еще фото")</f>
        <v>Еще фото</v>
      </c>
      <c r="F4090" s="13"/>
      <c r="G4090" s="23" t="s">
        <v>1224</v>
      </c>
      <c r="H4090" s="23" t="s">
        <v>151</v>
      </c>
      <c r="I4090" s="23" t="s">
        <v>546</v>
      </c>
      <c r="J4090" s="14" t="s">
        <v>138</v>
      </c>
      <c r="K4090" s="15" t="s">
        <v>30</v>
      </c>
      <c r="L4090" s="87"/>
      <c r="M4090" s="14"/>
      <c r="N4090" s="14" t="s">
        <v>89</v>
      </c>
      <c r="O4090" s="14"/>
      <c r="P4090" s="15" t="s">
        <v>4306</v>
      </c>
      <c r="Q4090" s="16">
        <v>7290</v>
      </c>
      <c r="R4090" s="17">
        <v>56.27</v>
      </c>
      <c r="S4090" s="18">
        <v>3665.9354999999996</v>
      </c>
      <c r="T4090" s="19" t="s">
        <v>328</v>
      </c>
      <c r="U4090" s="20" t="s">
        <v>3190</v>
      </c>
      <c r="V4090" s="21">
        <v>31</v>
      </c>
      <c r="W4090" s="21">
        <v>3</v>
      </c>
      <c r="X4090" s="22"/>
    </row>
    <row r="4091" spans="1:24" s="1" customFormat="1" ht="21" customHeight="1" x14ac:dyDescent="0.3">
      <c r="A4091" s="23" t="s">
        <v>3183</v>
      </c>
      <c r="B4091" s="23" t="s">
        <v>4303</v>
      </c>
      <c r="C4091" s="28" t="s">
        <v>4304</v>
      </c>
      <c r="D4091" s="84"/>
      <c r="E4091" s="69" t="str">
        <f>HYPERLINK("https://www.google.ru/search?q=J5235D00254C1000&amp;newwindow=1&amp;tbm=isch","Еще фото")</f>
        <v>Еще фото</v>
      </c>
      <c r="F4091" s="13"/>
      <c r="G4091" s="23" t="s">
        <v>1224</v>
      </c>
      <c r="H4091" s="23" t="s">
        <v>151</v>
      </c>
      <c r="I4091" s="23" t="s">
        <v>546</v>
      </c>
      <c r="J4091" s="14" t="s">
        <v>138</v>
      </c>
      <c r="K4091" s="15" t="s">
        <v>30</v>
      </c>
      <c r="L4091" s="87"/>
      <c r="M4091" s="14"/>
      <c r="N4091" s="14" t="s">
        <v>89</v>
      </c>
      <c r="O4091" s="14"/>
      <c r="P4091" s="15" t="s">
        <v>4306</v>
      </c>
      <c r="Q4091" s="16">
        <v>7290</v>
      </c>
      <c r="R4091" s="17">
        <v>56.27</v>
      </c>
      <c r="S4091" s="18">
        <v>3665.9354999999996</v>
      </c>
      <c r="T4091" s="19" t="s">
        <v>328</v>
      </c>
      <c r="U4091" s="20" t="s">
        <v>552</v>
      </c>
      <c r="V4091" s="21">
        <v>32</v>
      </c>
      <c r="W4091" s="21">
        <v>13</v>
      </c>
      <c r="X4091" s="22"/>
    </row>
    <row r="4092" spans="1:24" s="1" customFormat="1" ht="21" customHeight="1" x14ac:dyDescent="0.3">
      <c r="A4092" s="23" t="s">
        <v>3183</v>
      </c>
      <c r="B4092" s="23" t="s">
        <v>4303</v>
      </c>
      <c r="C4092" s="28" t="s">
        <v>4304</v>
      </c>
      <c r="D4092" s="84"/>
      <c r="E4092" s="69" t="str">
        <f>HYPERLINK("https://www.google.ru/search?q=J5235D00254C1000&amp;newwindow=1&amp;tbm=isch","Еще фото")</f>
        <v>Еще фото</v>
      </c>
      <c r="F4092" s="13"/>
      <c r="G4092" s="23" t="s">
        <v>1224</v>
      </c>
      <c r="H4092" s="23" t="s">
        <v>151</v>
      </c>
      <c r="I4092" s="23" t="s">
        <v>546</v>
      </c>
      <c r="J4092" s="14" t="s">
        <v>138</v>
      </c>
      <c r="K4092" s="15" t="s">
        <v>30</v>
      </c>
      <c r="L4092" s="87"/>
      <c r="M4092" s="14"/>
      <c r="N4092" s="14" t="s">
        <v>89</v>
      </c>
      <c r="O4092" s="14"/>
      <c r="P4092" s="15" t="s">
        <v>4306</v>
      </c>
      <c r="Q4092" s="16">
        <v>7290</v>
      </c>
      <c r="R4092" s="17">
        <v>56.27</v>
      </c>
      <c r="S4092" s="18">
        <v>3665.9354999999996</v>
      </c>
      <c r="T4092" s="19" t="s">
        <v>328</v>
      </c>
      <c r="U4092" s="20" t="s">
        <v>553</v>
      </c>
      <c r="V4092" s="21">
        <v>33</v>
      </c>
      <c r="W4092" s="21">
        <v>6</v>
      </c>
      <c r="X4092" s="22"/>
    </row>
    <row r="4093" spans="1:24" s="1" customFormat="1" ht="32.1" customHeight="1" x14ac:dyDescent="0.3">
      <c r="A4093" s="23" t="s">
        <v>3183</v>
      </c>
      <c r="B4093" s="23" t="s">
        <v>4303</v>
      </c>
      <c r="C4093" s="28" t="s">
        <v>4304</v>
      </c>
      <c r="D4093" s="85"/>
      <c r="E4093" s="69" t="str">
        <f>HYPERLINK("https://www.google.ru/search?q=J5235D00254C1000&amp;newwindow=1&amp;tbm=isch","Еще фото")</f>
        <v>Еще фото</v>
      </c>
      <c r="F4093" s="13"/>
      <c r="G4093" s="23" t="s">
        <v>1224</v>
      </c>
      <c r="H4093" s="23" t="s">
        <v>151</v>
      </c>
      <c r="I4093" s="23" t="s">
        <v>546</v>
      </c>
      <c r="J4093" s="14" t="s">
        <v>138</v>
      </c>
      <c r="K4093" s="15" t="s">
        <v>30</v>
      </c>
      <c r="L4093" s="88"/>
      <c r="M4093" s="14"/>
      <c r="N4093" s="14" t="s">
        <v>89</v>
      </c>
      <c r="O4093" s="14"/>
      <c r="P4093" s="15" t="s">
        <v>4306</v>
      </c>
      <c r="Q4093" s="16">
        <v>7290</v>
      </c>
      <c r="R4093" s="17">
        <v>56.27</v>
      </c>
      <c r="S4093" s="18">
        <v>3665.9354999999996</v>
      </c>
      <c r="T4093" s="19" t="s">
        <v>328</v>
      </c>
      <c r="U4093" s="20" t="s">
        <v>554</v>
      </c>
      <c r="V4093" s="21">
        <v>34</v>
      </c>
      <c r="W4093" s="21">
        <v>4</v>
      </c>
      <c r="X4093" s="22"/>
    </row>
    <row r="4094" spans="1:24" s="1" customFormat="1" ht="17.100000000000001" customHeight="1" x14ac:dyDescent="0.3">
      <c r="A4094" s="11" t="s">
        <v>3183</v>
      </c>
      <c r="B4094" s="11" t="s">
        <v>4307</v>
      </c>
      <c r="C4094" s="12" t="s">
        <v>4308</v>
      </c>
      <c r="D4094" s="83"/>
      <c r="E4094" s="69" t="str">
        <f t="shared" ref="E4094:E4099" si="198">HYPERLINK("https://www.google.ru/search?q=J028LB0009FC4218&amp;newwindow=1&amp;tbm=isch","Еще фото")</f>
        <v>Еще фото</v>
      </c>
      <c r="F4094" s="13"/>
      <c r="G4094" s="11" t="s">
        <v>1224</v>
      </c>
      <c r="H4094" s="11" t="s">
        <v>151</v>
      </c>
      <c r="I4094" s="14" t="s">
        <v>546</v>
      </c>
      <c r="J4094" s="14" t="s">
        <v>138</v>
      </c>
      <c r="K4094" s="15" t="s">
        <v>30</v>
      </c>
      <c r="L4094" s="86" t="s">
        <v>4309</v>
      </c>
      <c r="M4094" s="14"/>
      <c r="N4094" s="14" t="s">
        <v>70</v>
      </c>
      <c r="O4094" s="14"/>
      <c r="P4094" s="15" t="s">
        <v>4310</v>
      </c>
      <c r="Q4094" s="16">
        <v>7990</v>
      </c>
      <c r="R4094" s="17">
        <v>56.22</v>
      </c>
      <c r="S4094" s="18">
        <v>4022.4354999999996</v>
      </c>
      <c r="T4094" s="19" t="s">
        <v>328</v>
      </c>
      <c r="U4094" s="20" t="s">
        <v>3189</v>
      </c>
      <c r="V4094" s="21">
        <v>30</v>
      </c>
      <c r="W4094" s="21">
        <v>7</v>
      </c>
      <c r="X4094" s="22"/>
    </row>
    <row r="4095" spans="1:24" s="1" customFormat="1" ht="17.100000000000001" customHeight="1" x14ac:dyDescent="0.3">
      <c r="A4095" s="23" t="s">
        <v>3183</v>
      </c>
      <c r="B4095" s="23" t="s">
        <v>4307</v>
      </c>
      <c r="C4095" s="12" t="s">
        <v>4308</v>
      </c>
      <c r="D4095" s="84"/>
      <c r="E4095" s="69" t="str">
        <f t="shared" si="198"/>
        <v>Еще фото</v>
      </c>
      <c r="F4095" s="13"/>
      <c r="G4095" s="23" t="s">
        <v>1224</v>
      </c>
      <c r="H4095" s="23" t="s">
        <v>151</v>
      </c>
      <c r="I4095" s="23" t="s">
        <v>546</v>
      </c>
      <c r="J4095" s="14" t="s">
        <v>138</v>
      </c>
      <c r="K4095" s="15" t="s">
        <v>30</v>
      </c>
      <c r="L4095" s="87"/>
      <c r="M4095" s="14"/>
      <c r="N4095" s="14" t="s">
        <v>70</v>
      </c>
      <c r="O4095" s="14"/>
      <c r="P4095" s="15" t="s">
        <v>4310</v>
      </c>
      <c r="Q4095" s="16">
        <v>7990</v>
      </c>
      <c r="R4095" s="17">
        <v>56.22</v>
      </c>
      <c r="S4095" s="18">
        <v>4022.4354999999996</v>
      </c>
      <c r="T4095" s="19" t="s">
        <v>328</v>
      </c>
      <c r="U4095" s="20" t="s">
        <v>3190</v>
      </c>
      <c r="V4095" s="21">
        <v>31</v>
      </c>
      <c r="W4095" s="21">
        <v>10</v>
      </c>
      <c r="X4095" s="22"/>
    </row>
    <row r="4096" spans="1:24" s="1" customFormat="1" ht="17.100000000000001" customHeight="1" x14ac:dyDescent="0.3">
      <c r="A4096" s="23" t="s">
        <v>3183</v>
      </c>
      <c r="B4096" s="23" t="s">
        <v>4307</v>
      </c>
      <c r="C4096" s="12" t="s">
        <v>4308</v>
      </c>
      <c r="D4096" s="84"/>
      <c r="E4096" s="69" t="str">
        <f t="shared" si="198"/>
        <v>Еще фото</v>
      </c>
      <c r="F4096" s="13"/>
      <c r="G4096" s="23" t="s">
        <v>1224</v>
      </c>
      <c r="H4096" s="23" t="s">
        <v>151</v>
      </c>
      <c r="I4096" s="23" t="s">
        <v>546</v>
      </c>
      <c r="J4096" s="14" t="s">
        <v>138</v>
      </c>
      <c r="K4096" s="15" t="s">
        <v>30</v>
      </c>
      <c r="L4096" s="87"/>
      <c r="M4096" s="14"/>
      <c r="N4096" s="14" t="s">
        <v>70</v>
      </c>
      <c r="O4096" s="14"/>
      <c r="P4096" s="15" t="s">
        <v>4310</v>
      </c>
      <c r="Q4096" s="16">
        <v>7990</v>
      </c>
      <c r="R4096" s="17">
        <v>56.22</v>
      </c>
      <c r="S4096" s="18">
        <v>4022.4354999999996</v>
      </c>
      <c r="T4096" s="19" t="s">
        <v>328</v>
      </c>
      <c r="U4096" s="20" t="s">
        <v>552</v>
      </c>
      <c r="V4096" s="21">
        <v>32</v>
      </c>
      <c r="W4096" s="21">
        <v>10</v>
      </c>
      <c r="X4096" s="22"/>
    </row>
    <row r="4097" spans="1:24" s="1" customFormat="1" ht="17.100000000000001" customHeight="1" x14ac:dyDescent="0.3">
      <c r="A4097" s="23" t="s">
        <v>3183</v>
      </c>
      <c r="B4097" s="23" t="s">
        <v>4307</v>
      </c>
      <c r="C4097" s="12" t="s">
        <v>4308</v>
      </c>
      <c r="D4097" s="84"/>
      <c r="E4097" s="69" t="str">
        <f t="shared" si="198"/>
        <v>Еще фото</v>
      </c>
      <c r="F4097" s="13"/>
      <c r="G4097" s="23" t="s">
        <v>1224</v>
      </c>
      <c r="H4097" s="23" t="s">
        <v>151</v>
      </c>
      <c r="I4097" s="23" t="s">
        <v>546</v>
      </c>
      <c r="J4097" s="14" t="s">
        <v>138</v>
      </c>
      <c r="K4097" s="15" t="s">
        <v>30</v>
      </c>
      <c r="L4097" s="87"/>
      <c r="M4097" s="14"/>
      <c r="N4097" s="14" t="s">
        <v>70</v>
      </c>
      <c r="O4097" s="14"/>
      <c r="P4097" s="15" t="s">
        <v>4310</v>
      </c>
      <c r="Q4097" s="16">
        <v>7990</v>
      </c>
      <c r="R4097" s="17">
        <v>56.22</v>
      </c>
      <c r="S4097" s="18">
        <v>4022.4354999999996</v>
      </c>
      <c r="T4097" s="19" t="s">
        <v>328</v>
      </c>
      <c r="U4097" s="20" t="s">
        <v>553</v>
      </c>
      <c r="V4097" s="21">
        <v>33</v>
      </c>
      <c r="W4097" s="21">
        <v>7</v>
      </c>
      <c r="X4097" s="22"/>
    </row>
    <row r="4098" spans="1:24" s="1" customFormat="1" ht="17.100000000000001" customHeight="1" x14ac:dyDescent="0.3">
      <c r="A4098" s="23" t="s">
        <v>3183</v>
      </c>
      <c r="B4098" s="23" t="s">
        <v>4307</v>
      </c>
      <c r="C4098" s="12" t="s">
        <v>4308</v>
      </c>
      <c r="D4098" s="84"/>
      <c r="E4098" s="69" t="str">
        <f t="shared" si="198"/>
        <v>Еще фото</v>
      </c>
      <c r="F4098" s="13"/>
      <c r="G4098" s="23" t="s">
        <v>1224</v>
      </c>
      <c r="H4098" s="23" t="s">
        <v>151</v>
      </c>
      <c r="I4098" s="23" t="s">
        <v>546</v>
      </c>
      <c r="J4098" s="14" t="s">
        <v>138</v>
      </c>
      <c r="K4098" s="15" t="s">
        <v>30</v>
      </c>
      <c r="L4098" s="87"/>
      <c r="M4098" s="14"/>
      <c r="N4098" s="14" t="s">
        <v>70</v>
      </c>
      <c r="O4098" s="14"/>
      <c r="P4098" s="15" t="s">
        <v>4310</v>
      </c>
      <c r="Q4098" s="16">
        <v>7990</v>
      </c>
      <c r="R4098" s="17">
        <v>56.22</v>
      </c>
      <c r="S4098" s="18">
        <v>4022.4354999999996</v>
      </c>
      <c r="T4098" s="19" t="s">
        <v>328</v>
      </c>
      <c r="U4098" s="20" t="s">
        <v>431</v>
      </c>
      <c r="V4098" s="21">
        <v>35</v>
      </c>
      <c r="W4098" s="21">
        <v>3</v>
      </c>
      <c r="X4098" s="22"/>
    </row>
    <row r="4099" spans="1:24" s="1" customFormat="1" ht="21.95" customHeight="1" x14ac:dyDescent="0.3">
      <c r="A4099" s="23" t="s">
        <v>3183</v>
      </c>
      <c r="B4099" s="23" t="s">
        <v>4307</v>
      </c>
      <c r="C4099" s="12" t="s">
        <v>4308</v>
      </c>
      <c r="D4099" s="85"/>
      <c r="E4099" s="69" t="str">
        <f t="shared" si="198"/>
        <v>Еще фото</v>
      </c>
      <c r="F4099" s="13"/>
      <c r="G4099" s="23" t="s">
        <v>1224</v>
      </c>
      <c r="H4099" s="23" t="s">
        <v>151</v>
      </c>
      <c r="I4099" s="23" t="s">
        <v>546</v>
      </c>
      <c r="J4099" s="14" t="s">
        <v>138</v>
      </c>
      <c r="K4099" s="15" t="s">
        <v>30</v>
      </c>
      <c r="L4099" s="88"/>
      <c r="M4099" s="14"/>
      <c r="N4099" s="14" t="s">
        <v>70</v>
      </c>
      <c r="O4099" s="14"/>
      <c r="P4099" s="15" t="s">
        <v>4310</v>
      </c>
      <c r="Q4099" s="16">
        <v>7990</v>
      </c>
      <c r="R4099" s="17">
        <v>56.22</v>
      </c>
      <c r="S4099" s="18">
        <v>4022.4354999999996</v>
      </c>
      <c r="T4099" s="19" t="s">
        <v>328</v>
      </c>
      <c r="U4099" s="20" t="s">
        <v>1503</v>
      </c>
      <c r="V4099" s="21">
        <v>36</v>
      </c>
      <c r="W4099" s="21">
        <v>1</v>
      </c>
      <c r="X4099" s="22"/>
    </row>
    <row r="4100" spans="1:24" s="1" customFormat="1" ht="14.1" customHeight="1" x14ac:dyDescent="0.3">
      <c r="A4100" s="11" t="s">
        <v>3183</v>
      </c>
      <c r="B4100" s="11" t="s">
        <v>4307</v>
      </c>
      <c r="C4100" s="12" t="s">
        <v>4311</v>
      </c>
      <c r="D4100" s="83"/>
      <c r="E4100" s="69" t="str">
        <f t="shared" ref="E4100:E4106" si="199">HYPERLINK("https://www.google.ru/search?q=J028LB000BCC4005&amp;newwindow=1&amp;tbm=isch","Еще фото")</f>
        <v>Еще фото</v>
      </c>
      <c r="F4100" s="13"/>
      <c r="G4100" s="11" t="s">
        <v>1224</v>
      </c>
      <c r="H4100" s="11" t="s">
        <v>151</v>
      </c>
      <c r="I4100" s="14" t="s">
        <v>546</v>
      </c>
      <c r="J4100" s="14" t="s">
        <v>138</v>
      </c>
      <c r="K4100" s="15" t="s">
        <v>30</v>
      </c>
      <c r="L4100" s="86" t="s">
        <v>4309</v>
      </c>
      <c r="M4100" s="14"/>
      <c r="N4100" s="14" t="s">
        <v>70</v>
      </c>
      <c r="O4100" s="14"/>
      <c r="P4100" s="15" t="s">
        <v>4312</v>
      </c>
      <c r="Q4100" s="16">
        <v>7290</v>
      </c>
      <c r="R4100" s="17">
        <v>53.53</v>
      </c>
      <c r="S4100" s="18">
        <v>3895.9354999999996</v>
      </c>
      <c r="T4100" s="19" t="s">
        <v>328</v>
      </c>
      <c r="U4100" s="20" t="s">
        <v>3189</v>
      </c>
      <c r="V4100" s="21">
        <v>30</v>
      </c>
      <c r="W4100" s="21">
        <v>2</v>
      </c>
      <c r="X4100" s="22"/>
    </row>
    <row r="4101" spans="1:24" s="1" customFormat="1" ht="14.1" customHeight="1" x14ac:dyDescent="0.3">
      <c r="A4101" s="23" t="s">
        <v>3183</v>
      </c>
      <c r="B4101" s="23" t="s">
        <v>4307</v>
      </c>
      <c r="C4101" s="12" t="s">
        <v>4311</v>
      </c>
      <c r="D4101" s="84"/>
      <c r="E4101" s="69" t="str">
        <f t="shared" si="199"/>
        <v>Еще фото</v>
      </c>
      <c r="F4101" s="13"/>
      <c r="G4101" s="23" t="s">
        <v>1224</v>
      </c>
      <c r="H4101" s="23" t="s">
        <v>151</v>
      </c>
      <c r="I4101" s="23" t="s">
        <v>546</v>
      </c>
      <c r="J4101" s="14" t="s">
        <v>138</v>
      </c>
      <c r="K4101" s="15" t="s">
        <v>30</v>
      </c>
      <c r="L4101" s="87"/>
      <c r="M4101" s="14"/>
      <c r="N4101" s="14" t="s">
        <v>70</v>
      </c>
      <c r="O4101" s="14"/>
      <c r="P4101" s="15" t="s">
        <v>4312</v>
      </c>
      <c r="Q4101" s="16">
        <v>7290</v>
      </c>
      <c r="R4101" s="17">
        <v>53.53</v>
      </c>
      <c r="S4101" s="18">
        <v>3895.9354999999996</v>
      </c>
      <c r="T4101" s="19" t="s">
        <v>328</v>
      </c>
      <c r="U4101" s="20" t="s">
        <v>3190</v>
      </c>
      <c r="V4101" s="21">
        <v>31</v>
      </c>
      <c r="W4101" s="21">
        <v>4</v>
      </c>
      <c r="X4101" s="22"/>
    </row>
    <row r="4102" spans="1:24" s="1" customFormat="1" ht="14.1" customHeight="1" x14ac:dyDescent="0.3">
      <c r="A4102" s="23" t="s">
        <v>3183</v>
      </c>
      <c r="B4102" s="23" t="s">
        <v>4307</v>
      </c>
      <c r="C4102" s="12" t="s">
        <v>4311</v>
      </c>
      <c r="D4102" s="84"/>
      <c r="E4102" s="69" t="str">
        <f t="shared" si="199"/>
        <v>Еще фото</v>
      </c>
      <c r="F4102" s="13"/>
      <c r="G4102" s="23" t="s">
        <v>1224</v>
      </c>
      <c r="H4102" s="23" t="s">
        <v>151</v>
      </c>
      <c r="I4102" s="23" t="s">
        <v>546</v>
      </c>
      <c r="J4102" s="14" t="s">
        <v>138</v>
      </c>
      <c r="K4102" s="15" t="s">
        <v>30</v>
      </c>
      <c r="L4102" s="87"/>
      <c r="M4102" s="14"/>
      <c r="N4102" s="14" t="s">
        <v>70</v>
      </c>
      <c r="O4102" s="14"/>
      <c r="P4102" s="15" t="s">
        <v>4312</v>
      </c>
      <c r="Q4102" s="16">
        <v>7290</v>
      </c>
      <c r="R4102" s="17">
        <v>53.53</v>
      </c>
      <c r="S4102" s="18">
        <v>3895.9354999999996</v>
      </c>
      <c r="T4102" s="19" t="s">
        <v>328</v>
      </c>
      <c r="U4102" s="20" t="s">
        <v>552</v>
      </c>
      <c r="V4102" s="21">
        <v>32</v>
      </c>
      <c r="W4102" s="21">
        <v>4</v>
      </c>
      <c r="X4102" s="22"/>
    </row>
    <row r="4103" spans="1:24" s="1" customFormat="1" ht="14.1" customHeight="1" x14ac:dyDescent="0.3">
      <c r="A4103" s="23" t="s">
        <v>3183</v>
      </c>
      <c r="B4103" s="23" t="s">
        <v>4307</v>
      </c>
      <c r="C4103" s="12" t="s">
        <v>4311</v>
      </c>
      <c r="D4103" s="84"/>
      <c r="E4103" s="69" t="str">
        <f t="shared" si="199"/>
        <v>Еще фото</v>
      </c>
      <c r="F4103" s="13"/>
      <c r="G4103" s="23" t="s">
        <v>1224</v>
      </c>
      <c r="H4103" s="23" t="s">
        <v>151</v>
      </c>
      <c r="I4103" s="23" t="s">
        <v>546</v>
      </c>
      <c r="J4103" s="14" t="s">
        <v>138</v>
      </c>
      <c r="K4103" s="15" t="s">
        <v>30</v>
      </c>
      <c r="L4103" s="87"/>
      <c r="M4103" s="14"/>
      <c r="N4103" s="14" t="s">
        <v>70</v>
      </c>
      <c r="O4103" s="14"/>
      <c r="P4103" s="15" t="s">
        <v>4312</v>
      </c>
      <c r="Q4103" s="16">
        <v>7290</v>
      </c>
      <c r="R4103" s="17">
        <v>53.53</v>
      </c>
      <c r="S4103" s="18">
        <v>3895.9354999999996</v>
      </c>
      <c r="T4103" s="19" t="s">
        <v>328</v>
      </c>
      <c r="U4103" s="20" t="s">
        <v>553</v>
      </c>
      <c r="V4103" s="21">
        <v>33</v>
      </c>
      <c r="W4103" s="21">
        <v>4</v>
      </c>
      <c r="X4103" s="22"/>
    </row>
    <row r="4104" spans="1:24" s="1" customFormat="1" ht="14.1" customHeight="1" x14ac:dyDescent="0.3">
      <c r="A4104" s="23" t="s">
        <v>3183</v>
      </c>
      <c r="B4104" s="23" t="s">
        <v>4307</v>
      </c>
      <c r="C4104" s="12" t="s">
        <v>4311</v>
      </c>
      <c r="D4104" s="84"/>
      <c r="E4104" s="69" t="str">
        <f t="shared" si="199"/>
        <v>Еще фото</v>
      </c>
      <c r="F4104" s="13"/>
      <c r="G4104" s="23" t="s">
        <v>1224</v>
      </c>
      <c r="H4104" s="23" t="s">
        <v>151</v>
      </c>
      <c r="I4104" s="23" t="s">
        <v>546</v>
      </c>
      <c r="J4104" s="14" t="s">
        <v>138</v>
      </c>
      <c r="K4104" s="15" t="s">
        <v>30</v>
      </c>
      <c r="L4104" s="87"/>
      <c r="M4104" s="14"/>
      <c r="N4104" s="14" t="s">
        <v>70</v>
      </c>
      <c r="O4104" s="14"/>
      <c r="P4104" s="15" t="s">
        <v>4312</v>
      </c>
      <c r="Q4104" s="16">
        <v>7290</v>
      </c>
      <c r="R4104" s="17">
        <v>53.53</v>
      </c>
      <c r="S4104" s="18">
        <v>3895.9354999999996</v>
      </c>
      <c r="T4104" s="19" t="s">
        <v>328</v>
      </c>
      <c r="U4104" s="20" t="s">
        <v>554</v>
      </c>
      <c r="V4104" s="21">
        <v>34</v>
      </c>
      <c r="W4104" s="21">
        <v>2</v>
      </c>
      <c r="X4104" s="22"/>
    </row>
    <row r="4105" spans="1:24" s="1" customFormat="1" ht="14.1" customHeight="1" x14ac:dyDescent="0.3">
      <c r="A4105" s="23" t="s">
        <v>3183</v>
      </c>
      <c r="B4105" s="23" t="s">
        <v>4307</v>
      </c>
      <c r="C4105" s="12" t="s">
        <v>4311</v>
      </c>
      <c r="D4105" s="84"/>
      <c r="E4105" s="69" t="str">
        <f t="shared" si="199"/>
        <v>Еще фото</v>
      </c>
      <c r="F4105" s="13"/>
      <c r="G4105" s="23" t="s">
        <v>1224</v>
      </c>
      <c r="H4105" s="23" t="s">
        <v>151</v>
      </c>
      <c r="I4105" s="23" t="s">
        <v>546</v>
      </c>
      <c r="J4105" s="14" t="s">
        <v>138</v>
      </c>
      <c r="K4105" s="15" t="s">
        <v>30</v>
      </c>
      <c r="L4105" s="87"/>
      <c r="M4105" s="14"/>
      <c r="N4105" s="14" t="s">
        <v>70</v>
      </c>
      <c r="O4105" s="14"/>
      <c r="P4105" s="15" t="s">
        <v>4312</v>
      </c>
      <c r="Q4105" s="16">
        <v>7290</v>
      </c>
      <c r="R4105" s="17">
        <v>53.53</v>
      </c>
      <c r="S4105" s="18">
        <v>3895.9354999999996</v>
      </c>
      <c r="T4105" s="19" t="s">
        <v>328</v>
      </c>
      <c r="U4105" s="20" t="s">
        <v>431</v>
      </c>
      <c r="V4105" s="21">
        <v>35</v>
      </c>
      <c r="W4105" s="21">
        <v>3</v>
      </c>
      <c r="X4105" s="22"/>
    </row>
    <row r="4106" spans="1:24" s="1" customFormat="1" ht="17.100000000000001" customHeight="1" x14ac:dyDescent="0.3">
      <c r="A4106" s="23" t="s">
        <v>3183</v>
      </c>
      <c r="B4106" s="23" t="s">
        <v>4307</v>
      </c>
      <c r="C4106" s="12" t="s">
        <v>4311</v>
      </c>
      <c r="D4106" s="85"/>
      <c r="E4106" s="69" t="str">
        <f t="shared" si="199"/>
        <v>Еще фото</v>
      </c>
      <c r="F4106" s="13"/>
      <c r="G4106" s="23" t="s">
        <v>1224</v>
      </c>
      <c r="H4106" s="23" t="s">
        <v>151</v>
      </c>
      <c r="I4106" s="23" t="s">
        <v>546</v>
      </c>
      <c r="J4106" s="14" t="s">
        <v>138</v>
      </c>
      <c r="K4106" s="15" t="s">
        <v>30</v>
      </c>
      <c r="L4106" s="88"/>
      <c r="M4106" s="14"/>
      <c r="N4106" s="14" t="s">
        <v>70</v>
      </c>
      <c r="O4106" s="14"/>
      <c r="P4106" s="15" t="s">
        <v>4312</v>
      </c>
      <c r="Q4106" s="16">
        <v>7290</v>
      </c>
      <c r="R4106" s="17">
        <v>53.53</v>
      </c>
      <c r="S4106" s="18">
        <v>3895.9354999999996</v>
      </c>
      <c r="T4106" s="19" t="s">
        <v>328</v>
      </c>
      <c r="U4106" s="20" t="s">
        <v>1503</v>
      </c>
      <c r="V4106" s="21">
        <v>36</v>
      </c>
      <c r="W4106" s="21">
        <v>1</v>
      </c>
      <c r="X4106" s="22"/>
    </row>
    <row r="4107" spans="1:24" s="1" customFormat="1" ht="21" customHeight="1" x14ac:dyDescent="0.3">
      <c r="A4107" s="11" t="s">
        <v>3183</v>
      </c>
      <c r="B4107" s="11" t="s">
        <v>4313</v>
      </c>
      <c r="C4107" s="27" t="s">
        <v>4314</v>
      </c>
      <c r="D4107" s="83"/>
      <c r="E4107" s="69" t="str">
        <f>HYPERLINK("https://www.google.ru/search?q=J45GQE000CECF44D&amp;newwindow=1&amp;tbm=isch","Еще фото")</f>
        <v>Еще фото</v>
      </c>
      <c r="F4107" s="13"/>
      <c r="G4107" s="11" t="s">
        <v>1224</v>
      </c>
      <c r="H4107" s="11" t="s">
        <v>151</v>
      </c>
      <c r="I4107" s="14" t="s">
        <v>546</v>
      </c>
      <c r="J4107" s="14" t="s">
        <v>138</v>
      </c>
      <c r="K4107" s="15" t="s">
        <v>30</v>
      </c>
      <c r="L4107" s="86" t="s">
        <v>4315</v>
      </c>
      <c r="M4107" s="14"/>
      <c r="N4107" s="14" t="s">
        <v>4316</v>
      </c>
      <c r="O4107" s="14"/>
      <c r="P4107" s="15" t="s">
        <v>4317</v>
      </c>
      <c r="Q4107" s="16">
        <v>4599</v>
      </c>
      <c r="R4107" s="17">
        <v>53.52</v>
      </c>
      <c r="S4107" s="18">
        <v>2458.4354999999996</v>
      </c>
      <c r="T4107" s="19" t="s">
        <v>328</v>
      </c>
      <c r="U4107" s="20" t="s">
        <v>3189</v>
      </c>
      <c r="V4107" s="21">
        <v>30</v>
      </c>
      <c r="W4107" s="21">
        <v>1</v>
      </c>
      <c r="X4107" s="22"/>
    </row>
    <row r="4108" spans="1:24" s="1" customFormat="1" ht="21" customHeight="1" x14ac:dyDescent="0.3">
      <c r="A4108" s="23" t="s">
        <v>3183</v>
      </c>
      <c r="B4108" s="23" t="s">
        <v>4313</v>
      </c>
      <c r="C4108" s="28" t="s">
        <v>4314</v>
      </c>
      <c r="D4108" s="84"/>
      <c r="E4108" s="69" t="str">
        <f>HYPERLINK("https://www.google.ru/search?q=J45GQE000CECF44D&amp;newwindow=1&amp;tbm=isch","Еще фото")</f>
        <v>Еще фото</v>
      </c>
      <c r="F4108" s="13"/>
      <c r="G4108" s="23" t="s">
        <v>1224</v>
      </c>
      <c r="H4108" s="23" t="s">
        <v>151</v>
      </c>
      <c r="I4108" s="23" t="s">
        <v>546</v>
      </c>
      <c r="J4108" s="14" t="s">
        <v>138</v>
      </c>
      <c r="K4108" s="15" t="s">
        <v>30</v>
      </c>
      <c r="L4108" s="87"/>
      <c r="M4108" s="14"/>
      <c r="N4108" s="14" t="s">
        <v>4316</v>
      </c>
      <c r="O4108" s="14"/>
      <c r="P4108" s="15" t="s">
        <v>4317</v>
      </c>
      <c r="Q4108" s="16">
        <v>4599</v>
      </c>
      <c r="R4108" s="17">
        <v>53.52</v>
      </c>
      <c r="S4108" s="18">
        <v>2458.4354999999996</v>
      </c>
      <c r="T4108" s="19" t="s">
        <v>328</v>
      </c>
      <c r="U4108" s="20" t="s">
        <v>3190</v>
      </c>
      <c r="V4108" s="21">
        <v>31</v>
      </c>
      <c r="W4108" s="21">
        <v>2</v>
      </c>
      <c r="X4108" s="22"/>
    </row>
    <row r="4109" spans="1:24" s="1" customFormat="1" ht="21" customHeight="1" x14ac:dyDescent="0.3">
      <c r="A4109" s="23" t="s">
        <v>3183</v>
      </c>
      <c r="B4109" s="23" t="s">
        <v>4313</v>
      </c>
      <c r="C4109" s="28" t="s">
        <v>4314</v>
      </c>
      <c r="D4109" s="84"/>
      <c r="E4109" s="69" t="str">
        <f>HYPERLINK("https://www.google.ru/search?q=J45GQE000CECF44D&amp;newwindow=1&amp;tbm=isch","Еще фото")</f>
        <v>Еще фото</v>
      </c>
      <c r="F4109" s="13"/>
      <c r="G4109" s="23" t="s">
        <v>1224</v>
      </c>
      <c r="H4109" s="23" t="s">
        <v>151</v>
      </c>
      <c r="I4109" s="23" t="s">
        <v>546</v>
      </c>
      <c r="J4109" s="14" t="s">
        <v>138</v>
      </c>
      <c r="K4109" s="15" t="s">
        <v>30</v>
      </c>
      <c r="L4109" s="87"/>
      <c r="M4109" s="14"/>
      <c r="N4109" s="14" t="s">
        <v>4316</v>
      </c>
      <c r="O4109" s="14"/>
      <c r="P4109" s="15" t="s">
        <v>4317</v>
      </c>
      <c r="Q4109" s="16">
        <v>4599</v>
      </c>
      <c r="R4109" s="17">
        <v>53.52</v>
      </c>
      <c r="S4109" s="18">
        <v>2458.4354999999996</v>
      </c>
      <c r="T4109" s="19" t="s">
        <v>328</v>
      </c>
      <c r="U4109" s="20" t="s">
        <v>552</v>
      </c>
      <c r="V4109" s="21">
        <v>32</v>
      </c>
      <c r="W4109" s="21">
        <v>1</v>
      </c>
      <c r="X4109" s="22"/>
    </row>
    <row r="4110" spans="1:24" s="1" customFormat="1" ht="21" customHeight="1" x14ac:dyDescent="0.3">
      <c r="A4110" s="23" t="s">
        <v>3183</v>
      </c>
      <c r="B4110" s="23" t="s">
        <v>4313</v>
      </c>
      <c r="C4110" s="28" t="s">
        <v>4314</v>
      </c>
      <c r="D4110" s="84"/>
      <c r="E4110" s="69" t="str">
        <f>HYPERLINK("https://www.google.ru/search?q=J45GQE000CECF44D&amp;newwindow=1&amp;tbm=isch","Еще фото")</f>
        <v>Еще фото</v>
      </c>
      <c r="F4110" s="13"/>
      <c r="G4110" s="23" t="s">
        <v>1224</v>
      </c>
      <c r="H4110" s="23" t="s">
        <v>151</v>
      </c>
      <c r="I4110" s="23" t="s">
        <v>546</v>
      </c>
      <c r="J4110" s="14" t="s">
        <v>138</v>
      </c>
      <c r="K4110" s="15" t="s">
        <v>30</v>
      </c>
      <c r="L4110" s="87"/>
      <c r="M4110" s="14"/>
      <c r="N4110" s="14" t="s">
        <v>4316</v>
      </c>
      <c r="O4110" s="14"/>
      <c r="P4110" s="15" t="s">
        <v>4317</v>
      </c>
      <c r="Q4110" s="16">
        <v>4599</v>
      </c>
      <c r="R4110" s="17">
        <v>53.52</v>
      </c>
      <c r="S4110" s="18">
        <v>2458.4354999999996</v>
      </c>
      <c r="T4110" s="19" t="s">
        <v>328</v>
      </c>
      <c r="U4110" s="20" t="s">
        <v>1503</v>
      </c>
      <c r="V4110" s="21">
        <v>36</v>
      </c>
      <c r="W4110" s="21">
        <v>6</v>
      </c>
      <c r="X4110" s="22"/>
    </row>
    <row r="4111" spans="1:24" s="1" customFormat="1" ht="32.1" customHeight="1" x14ac:dyDescent="0.3">
      <c r="A4111" s="23" t="s">
        <v>3183</v>
      </c>
      <c r="B4111" s="23" t="s">
        <v>4313</v>
      </c>
      <c r="C4111" s="28" t="s">
        <v>4314</v>
      </c>
      <c r="D4111" s="85"/>
      <c r="E4111" s="69" t="str">
        <f>HYPERLINK("https://www.google.ru/search?q=J45GQE000CECF44D&amp;newwindow=1&amp;tbm=isch","Еще фото")</f>
        <v>Еще фото</v>
      </c>
      <c r="F4111" s="13"/>
      <c r="G4111" s="23" t="s">
        <v>1224</v>
      </c>
      <c r="H4111" s="23" t="s">
        <v>151</v>
      </c>
      <c r="I4111" s="23" t="s">
        <v>546</v>
      </c>
      <c r="J4111" s="14" t="s">
        <v>138</v>
      </c>
      <c r="K4111" s="15" t="s">
        <v>30</v>
      </c>
      <c r="L4111" s="88"/>
      <c r="M4111" s="14"/>
      <c r="N4111" s="14" t="s">
        <v>4316</v>
      </c>
      <c r="O4111" s="14"/>
      <c r="P4111" s="15" t="s">
        <v>4317</v>
      </c>
      <c r="Q4111" s="16">
        <v>4599</v>
      </c>
      <c r="R4111" s="17">
        <v>53.52</v>
      </c>
      <c r="S4111" s="18">
        <v>2458.4354999999996</v>
      </c>
      <c r="T4111" s="19" t="s">
        <v>328</v>
      </c>
      <c r="U4111" s="20" t="s">
        <v>409</v>
      </c>
      <c r="V4111" s="21">
        <v>37</v>
      </c>
      <c r="W4111" s="21">
        <v>2</v>
      </c>
      <c r="X4111" s="22"/>
    </row>
    <row r="4112" spans="1:24" s="1" customFormat="1" ht="17.100000000000001" customHeight="1" x14ac:dyDescent="0.3">
      <c r="A4112" s="11" t="s">
        <v>3183</v>
      </c>
      <c r="B4112" s="11" t="s">
        <v>4299</v>
      </c>
      <c r="C4112" s="12" t="s">
        <v>4318</v>
      </c>
      <c r="D4112" s="83"/>
      <c r="E4112" s="69" t="str">
        <f t="shared" ref="E4112:E4117" si="200">HYPERLINK("https://www.google.ru/search?q=J658LD000BCCF44D&amp;newwindow=1&amp;tbm=isch","Еще фото")</f>
        <v>Еще фото</v>
      </c>
      <c r="F4112" s="13"/>
      <c r="G4112" s="11" t="s">
        <v>1224</v>
      </c>
      <c r="H4112" s="11" t="s">
        <v>151</v>
      </c>
      <c r="I4112" s="14" t="s">
        <v>546</v>
      </c>
      <c r="J4112" s="14" t="s">
        <v>138</v>
      </c>
      <c r="K4112" s="15" t="s">
        <v>30</v>
      </c>
      <c r="L4112" s="86" t="s">
        <v>4301</v>
      </c>
      <c r="M4112" s="14"/>
      <c r="N4112" s="14" t="s">
        <v>70</v>
      </c>
      <c r="O4112" s="14"/>
      <c r="P4112" s="15" t="s">
        <v>4302</v>
      </c>
      <c r="Q4112" s="16">
        <v>8190</v>
      </c>
      <c r="R4112" s="17">
        <v>53.51</v>
      </c>
      <c r="S4112" s="18">
        <v>4378.9354999999996</v>
      </c>
      <c r="T4112" s="19" t="s">
        <v>328</v>
      </c>
      <c r="U4112" s="20" t="s">
        <v>3189</v>
      </c>
      <c r="V4112" s="21">
        <v>30</v>
      </c>
      <c r="W4112" s="21">
        <v>1</v>
      </c>
      <c r="X4112" s="22"/>
    </row>
    <row r="4113" spans="1:24" s="1" customFormat="1" ht="17.100000000000001" customHeight="1" x14ac:dyDescent="0.3">
      <c r="A4113" s="23" t="s">
        <v>3183</v>
      </c>
      <c r="B4113" s="23" t="s">
        <v>4299</v>
      </c>
      <c r="C4113" s="12" t="s">
        <v>4318</v>
      </c>
      <c r="D4113" s="84"/>
      <c r="E4113" s="69" t="str">
        <f t="shared" si="200"/>
        <v>Еще фото</v>
      </c>
      <c r="F4113" s="13"/>
      <c r="G4113" s="23" t="s">
        <v>1224</v>
      </c>
      <c r="H4113" s="23" t="s">
        <v>151</v>
      </c>
      <c r="I4113" s="23" t="s">
        <v>546</v>
      </c>
      <c r="J4113" s="14" t="s">
        <v>138</v>
      </c>
      <c r="K4113" s="15" t="s">
        <v>30</v>
      </c>
      <c r="L4113" s="87"/>
      <c r="M4113" s="14"/>
      <c r="N4113" s="14" t="s">
        <v>70</v>
      </c>
      <c r="O4113" s="14"/>
      <c r="P4113" s="15" t="s">
        <v>4302</v>
      </c>
      <c r="Q4113" s="16">
        <v>8190</v>
      </c>
      <c r="R4113" s="17">
        <v>53.51</v>
      </c>
      <c r="S4113" s="18">
        <v>4378.9354999999996</v>
      </c>
      <c r="T4113" s="19" t="s">
        <v>328</v>
      </c>
      <c r="U4113" s="20" t="s">
        <v>3190</v>
      </c>
      <c r="V4113" s="21">
        <v>31</v>
      </c>
      <c r="W4113" s="21">
        <v>3</v>
      </c>
      <c r="X4113" s="22"/>
    </row>
    <row r="4114" spans="1:24" s="1" customFormat="1" ht="17.100000000000001" customHeight="1" x14ac:dyDescent="0.3">
      <c r="A4114" s="23" t="s">
        <v>3183</v>
      </c>
      <c r="B4114" s="23" t="s">
        <v>4299</v>
      </c>
      <c r="C4114" s="12" t="s">
        <v>4318</v>
      </c>
      <c r="D4114" s="84"/>
      <c r="E4114" s="69" t="str">
        <f t="shared" si="200"/>
        <v>Еще фото</v>
      </c>
      <c r="F4114" s="13"/>
      <c r="G4114" s="23" t="s">
        <v>1224</v>
      </c>
      <c r="H4114" s="23" t="s">
        <v>151</v>
      </c>
      <c r="I4114" s="23" t="s">
        <v>546</v>
      </c>
      <c r="J4114" s="14" t="s">
        <v>138</v>
      </c>
      <c r="K4114" s="15" t="s">
        <v>30</v>
      </c>
      <c r="L4114" s="87"/>
      <c r="M4114" s="14"/>
      <c r="N4114" s="14" t="s">
        <v>70</v>
      </c>
      <c r="O4114" s="14"/>
      <c r="P4114" s="15" t="s">
        <v>4302</v>
      </c>
      <c r="Q4114" s="16">
        <v>8190</v>
      </c>
      <c r="R4114" s="17">
        <v>53.51</v>
      </c>
      <c r="S4114" s="18">
        <v>4378.9354999999996</v>
      </c>
      <c r="T4114" s="19" t="s">
        <v>328</v>
      </c>
      <c r="U4114" s="20" t="s">
        <v>552</v>
      </c>
      <c r="V4114" s="21">
        <v>32</v>
      </c>
      <c r="W4114" s="21">
        <v>2</v>
      </c>
      <c r="X4114" s="22"/>
    </row>
    <row r="4115" spans="1:24" s="1" customFormat="1" ht="17.100000000000001" customHeight="1" x14ac:dyDescent="0.3">
      <c r="A4115" s="23" t="s">
        <v>3183</v>
      </c>
      <c r="B4115" s="23" t="s">
        <v>4299</v>
      </c>
      <c r="C4115" s="12" t="s">
        <v>4318</v>
      </c>
      <c r="D4115" s="84"/>
      <c r="E4115" s="69" t="str">
        <f t="shared" si="200"/>
        <v>Еще фото</v>
      </c>
      <c r="F4115" s="13"/>
      <c r="G4115" s="23" t="s">
        <v>1224</v>
      </c>
      <c r="H4115" s="23" t="s">
        <v>151</v>
      </c>
      <c r="I4115" s="23" t="s">
        <v>546</v>
      </c>
      <c r="J4115" s="14" t="s">
        <v>138</v>
      </c>
      <c r="K4115" s="15" t="s">
        <v>30</v>
      </c>
      <c r="L4115" s="87"/>
      <c r="M4115" s="14"/>
      <c r="N4115" s="14" t="s">
        <v>70</v>
      </c>
      <c r="O4115" s="14"/>
      <c r="P4115" s="15" t="s">
        <v>4302</v>
      </c>
      <c r="Q4115" s="16">
        <v>8190</v>
      </c>
      <c r="R4115" s="17">
        <v>53.51</v>
      </c>
      <c r="S4115" s="18">
        <v>4378.9354999999996</v>
      </c>
      <c r="T4115" s="19" t="s">
        <v>328</v>
      </c>
      <c r="U4115" s="20" t="s">
        <v>553</v>
      </c>
      <c r="V4115" s="21">
        <v>33</v>
      </c>
      <c r="W4115" s="21">
        <v>2</v>
      </c>
      <c r="X4115" s="22"/>
    </row>
    <row r="4116" spans="1:24" s="1" customFormat="1" ht="17.100000000000001" customHeight="1" x14ac:dyDescent="0.3">
      <c r="A4116" s="23" t="s">
        <v>3183</v>
      </c>
      <c r="B4116" s="23" t="s">
        <v>4299</v>
      </c>
      <c r="C4116" s="12" t="s">
        <v>4318</v>
      </c>
      <c r="D4116" s="84"/>
      <c r="E4116" s="69" t="str">
        <f t="shared" si="200"/>
        <v>Еще фото</v>
      </c>
      <c r="F4116" s="13"/>
      <c r="G4116" s="23" t="s">
        <v>1224</v>
      </c>
      <c r="H4116" s="23" t="s">
        <v>151</v>
      </c>
      <c r="I4116" s="23" t="s">
        <v>546</v>
      </c>
      <c r="J4116" s="14" t="s">
        <v>138</v>
      </c>
      <c r="K4116" s="15" t="s">
        <v>30</v>
      </c>
      <c r="L4116" s="87"/>
      <c r="M4116" s="14"/>
      <c r="N4116" s="14" t="s">
        <v>70</v>
      </c>
      <c r="O4116" s="14"/>
      <c r="P4116" s="15" t="s">
        <v>4302</v>
      </c>
      <c r="Q4116" s="16">
        <v>8190</v>
      </c>
      <c r="R4116" s="17">
        <v>53.51</v>
      </c>
      <c r="S4116" s="18">
        <v>4378.9354999999996</v>
      </c>
      <c r="T4116" s="19" t="s">
        <v>328</v>
      </c>
      <c r="U4116" s="20" t="s">
        <v>554</v>
      </c>
      <c r="V4116" s="21">
        <v>34</v>
      </c>
      <c r="W4116" s="21">
        <v>2</v>
      </c>
      <c r="X4116" s="22"/>
    </row>
    <row r="4117" spans="1:24" s="1" customFormat="1" ht="21.95" customHeight="1" x14ac:dyDescent="0.3">
      <c r="A4117" s="23" t="s">
        <v>3183</v>
      </c>
      <c r="B4117" s="23" t="s">
        <v>4299</v>
      </c>
      <c r="C4117" s="12" t="s">
        <v>4318</v>
      </c>
      <c r="D4117" s="85"/>
      <c r="E4117" s="69" t="str">
        <f t="shared" si="200"/>
        <v>Еще фото</v>
      </c>
      <c r="F4117" s="13"/>
      <c r="G4117" s="23" t="s">
        <v>1224</v>
      </c>
      <c r="H4117" s="23" t="s">
        <v>151</v>
      </c>
      <c r="I4117" s="23" t="s">
        <v>546</v>
      </c>
      <c r="J4117" s="14" t="s">
        <v>138</v>
      </c>
      <c r="K4117" s="15" t="s">
        <v>30</v>
      </c>
      <c r="L4117" s="88"/>
      <c r="M4117" s="14"/>
      <c r="N4117" s="14" t="s">
        <v>70</v>
      </c>
      <c r="O4117" s="14"/>
      <c r="P4117" s="15" t="s">
        <v>4302</v>
      </c>
      <c r="Q4117" s="16">
        <v>8190</v>
      </c>
      <c r="R4117" s="17">
        <v>53.51</v>
      </c>
      <c r="S4117" s="18">
        <v>4378.9354999999996</v>
      </c>
      <c r="T4117" s="19" t="s">
        <v>328</v>
      </c>
      <c r="U4117" s="20" t="s">
        <v>1503</v>
      </c>
      <c r="V4117" s="21">
        <v>36</v>
      </c>
      <c r="W4117" s="21">
        <v>1</v>
      </c>
      <c r="X4117" s="22"/>
    </row>
    <row r="4118" spans="1:24" s="1" customFormat="1" ht="35.1" customHeight="1" x14ac:dyDescent="0.3">
      <c r="A4118" s="11" t="s">
        <v>3183</v>
      </c>
      <c r="B4118" s="11" t="s">
        <v>4319</v>
      </c>
      <c r="C4118" s="12" t="s">
        <v>4320</v>
      </c>
      <c r="D4118" s="83"/>
      <c r="E4118" s="69" t="str">
        <f>HYPERLINK("https://www.google.ru/search?q=D65RXB0TUMAC1S2L&amp;newwindow=1&amp;tbm=isch","Еще фото")</f>
        <v>Еще фото</v>
      </c>
      <c r="F4118" s="13"/>
      <c r="G4118" s="11" t="s">
        <v>1224</v>
      </c>
      <c r="H4118" s="11" t="s">
        <v>151</v>
      </c>
      <c r="I4118" s="14" t="s">
        <v>546</v>
      </c>
      <c r="J4118" s="14" t="s">
        <v>138</v>
      </c>
      <c r="K4118" s="15" t="s">
        <v>47</v>
      </c>
      <c r="L4118" s="86" t="s">
        <v>4321</v>
      </c>
      <c r="M4118" s="14"/>
      <c r="N4118" s="14" t="s">
        <v>326</v>
      </c>
      <c r="O4118" s="14"/>
      <c r="P4118" s="15" t="s">
        <v>4322</v>
      </c>
      <c r="Q4118" s="16">
        <v>17990</v>
      </c>
      <c r="R4118" s="17">
        <v>53.49</v>
      </c>
      <c r="S4118" s="18">
        <v>9622.9354999999996</v>
      </c>
      <c r="T4118" s="19" t="s">
        <v>328</v>
      </c>
      <c r="U4118" s="20" t="s">
        <v>409</v>
      </c>
      <c r="V4118" s="21">
        <v>37</v>
      </c>
      <c r="W4118" s="21">
        <v>1</v>
      </c>
      <c r="X4118" s="22"/>
    </row>
    <row r="4119" spans="1:24" s="1" customFormat="1" ht="35.1" customHeight="1" x14ac:dyDescent="0.3">
      <c r="A4119" s="23" t="s">
        <v>3183</v>
      </c>
      <c r="B4119" s="23" t="s">
        <v>4319</v>
      </c>
      <c r="C4119" s="12" t="s">
        <v>4320</v>
      </c>
      <c r="D4119" s="84"/>
      <c r="E4119" s="69" t="str">
        <f>HYPERLINK("https://www.google.ru/search?q=D65RXB0TUMAC1S2L&amp;newwindow=1&amp;tbm=isch","Еще фото")</f>
        <v>Еще фото</v>
      </c>
      <c r="F4119" s="13"/>
      <c r="G4119" s="23" t="s">
        <v>1224</v>
      </c>
      <c r="H4119" s="23" t="s">
        <v>151</v>
      </c>
      <c r="I4119" s="23" t="s">
        <v>546</v>
      </c>
      <c r="J4119" s="14" t="s">
        <v>138</v>
      </c>
      <c r="K4119" s="15" t="s">
        <v>47</v>
      </c>
      <c r="L4119" s="87"/>
      <c r="M4119" s="14"/>
      <c r="N4119" s="14" t="s">
        <v>326</v>
      </c>
      <c r="O4119" s="14"/>
      <c r="P4119" s="15" t="s">
        <v>4322</v>
      </c>
      <c r="Q4119" s="16">
        <v>17990</v>
      </c>
      <c r="R4119" s="17">
        <v>53.49</v>
      </c>
      <c r="S4119" s="18">
        <v>9622.9354999999996</v>
      </c>
      <c r="T4119" s="19" t="s">
        <v>328</v>
      </c>
      <c r="U4119" s="20" t="s">
        <v>413</v>
      </c>
      <c r="V4119" s="21">
        <v>39</v>
      </c>
      <c r="W4119" s="21">
        <v>2</v>
      </c>
      <c r="X4119" s="22"/>
    </row>
    <row r="4120" spans="1:24" s="1" customFormat="1" ht="36.950000000000003" customHeight="1" x14ac:dyDescent="0.3">
      <c r="A4120" s="23" t="s">
        <v>3183</v>
      </c>
      <c r="B4120" s="23" t="s">
        <v>4319</v>
      </c>
      <c r="C4120" s="12" t="s">
        <v>4320</v>
      </c>
      <c r="D4120" s="85"/>
      <c r="E4120" s="69" t="str">
        <f>HYPERLINK("https://www.google.ru/search?q=D65RXB0TUMAC1S2L&amp;newwindow=1&amp;tbm=isch","Еще фото")</f>
        <v>Еще фото</v>
      </c>
      <c r="F4120" s="13"/>
      <c r="G4120" s="23" t="s">
        <v>1224</v>
      </c>
      <c r="H4120" s="23" t="s">
        <v>151</v>
      </c>
      <c r="I4120" s="23" t="s">
        <v>546</v>
      </c>
      <c r="J4120" s="14" t="s">
        <v>138</v>
      </c>
      <c r="K4120" s="15" t="s">
        <v>47</v>
      </c>
      <c r="L4120" s="88"/>
      <c r="M4120" s="14"/>
      <c r="N4120" s="14" t="s">
        <v>326</v>
      </c>
      <c r="O4120" s="14"/>
      <c r="P4120" s="15" t="s">
        <v>4322</v>
      </c>
      <c r="Q4120" s="16">
        <v>17990</v>
      </c>
      <c r="R4120" s="17">
        <v>53.49</v>
      </c>
      <c r="S4120" s="18">
        <v>9622.9354999999996</v>
      </c>
      <c r="T4120" s="19" t="s">
        <v>328</v>
      </c>
      <c r="U4120" s="20" t="s">
        <v>399</v>
      </c>
      <c r="V4120" s="21">
        <v>40</v>
      </c>
      <c r="W4120" s="21">
        <v>4</v>
      </c>
      <c r="X4120" s="22"/>
    </row>
    <row r="4121" spans="1:24" s="1" customFormat="1" ht="21" customHeight="1" x14ac:dyDescent="0.3">
      <c r="A4121" s="11" t="s">
        <v>3183</v>
      </c>
      <c r="B4121" s="11" t="s">
        <v>4323</v>
      </c>
      <c r="C4121" s="27" t="s">
        <v>4324</v>
      </c>
      <c r="D4121" s="83"/>
      <c r="E4121" s="69" t="str">
        <f>HYPERLINK("https://www.google.ru/search?q=D656JC000TUC1122&amp;newwindow=1&amp;tbm=isch","Еще фото")</f>
        <v>Еще фото</v>
      </c>
      <c r="F4121" s="13"/>
      <c r="G4121" s="11" t="s">
        <v>1224</v>
      </c>
      <c r="H4121" s="11" t="s">
        <v>151</v>
      </c>
      <c r="I4121" s="14" t="s">
        <v>546</v>
      </c>
      <c r="J4121" s="14" t="s">
        <v>138</v>
      </c>
      <c r="K4121" s="15" t="s">
        <v>47</v>
      </c>
      <c r="L4121" s="86" t="s">
        <v>4325</v>
      </c>
      <c r="M4121" s="14"/>
      <c r="N4121" s="14" t="s">
        <v>326</v>
      </c>
      <c r="O4121" s="14"/>
      <c r="P4121" s="15" t="s">
        <v>4326</v>
      </c>
      <c r="Q4121" s="16">
        <v>19490</v>
      </c>
      <c r="R4121" s="17">
        <v>53.47</v>
      </c>
      <c r="S4121" s="18">
        <v>10427.9355</v>
      </c>
      <c r="T4121" s="19" t="s">
        <v>328</v>
      </c>
      <c r="U4121" s="20" t="s">
        <v>409</v>
      </c>
      <c r="V4121" s="21">
        <v>37</v>
      </c>
      <c r="W4121" s="21">
        <v>5</v>
      </c>
      <c r="X4121" s="22"/>
    </row>
    <row r="4122" spans="1:24" s="1" customFormat="1" ht="21" customHeight="1" x14ac:dyDescent="0.3">
      <c r="A4122" s="23" t="s">
        <v>3183</v>
      </c>
      <c r="B4122" s="23" t="s">
        <v>4323</v>
      </c>
      <c r="C4122" s="28" t="s">
        <v>4324</v>
      </c>
      <c r="D4122" s="84"/>
      <c r="E4122" s="69" t="str">
        <f>HYPERLINK("https://www.google.ru/search?q=D656JC000TUC1122&amp;newwindow=1&amp;tbm=isch","Еще фото")</f>
        <v>Еще фото</v>
      </c>
      <c r="F4122" s="13"/>
      <c r="G4122" s="23" t="s">
        <v>1224</v>
      </c>
      <c r="H4122" s="23" t="s">
        <v>151</v>
      </c>
      <c r="I4122" s="23" t="s">
        <v>546</v>
      </c>
      <c r="J4122" s="14" t="s">
        <v>138</v>
      </c>
      <c r="K4122" s="15" t="s">
        <v>47</v>
      </c>
      <c r="L4122" s="87"/>
      <c r="M4122" s="14"/>
      <c r="N4122" s="14" t="s">
        <v>326</v>
      </c>
      <c r="O4122" s="14"/>
      <c r="P4122" s="15" t="s">
        <v>4326</v>
      </c>
      <c r="Q4122" s="16">
        <v>19490</v>
      </c>
      <c r="R4122" s="17">
        <v>53.47</v>
      </c>
      <c r="S4122" s="18">
        <v>10427.9355</v>
      </c>
      <c r="T4122" s="19" t="s">
        <v>328</v>
      </c>
      <c r="U4122" s="20" t="s">
        <v>426</v>
      </c>
      <c r="V4122" s="21">
        <v>38</v>
      </c>
      <c r="W4122" s="21">
        <v>11</v>
      </c>
      <c r="X4122" s="22"/>
    </row>
    <row r="4123" spans="1:24" s="1" customFormat="1" ht="21" customHeight="1" x14ac:dyDescent="0.3">
      <c r="A4123" s="23" t="s">
        <v>3183</v>
      </c>
      <c r="B4123" s="23" t="s">
        <v>4323</v>
      </c>
      <c r="C4123" s="28" t="s">
        <v>4324</v>
      </c>
      <c r="D4123" s="84"/>
      <c r="E4123" s="69" t="str">
        <f>HYPERLINK("https://www.google.ru/search?q=D656JC000TUC1122&amp;newwindow=1&amp;tbm=isch","Еще фото")</f>
        <v>Еще фото</v>
      </c>
      <c r="F4123" s="13"/>
      <c r="G4123" s="23" t="s">
        <v>1224</v>
      </c>
      <c r="H4123" s="23" t="s">
        <v>151</v>
      </c>
      <c r="I4123" s="23" t="s">
        <v>546</v>
      </c>
      <c r="J4123" s="14" t="s">
        <v>138</v>
      </c>
      <c r="K4123" s="15" t="s">
        <v>47</v>
      </c>
      <c r="L4123" s="87"/>
      <c r="M4123" s="14"/>
      <c r="N4123" s="14" t="s">
        <v>326</v>
      </c>
      <c r="O4123" s="14"/>
      <c r="P4123" s="15" t="s">
        <v>4326</v>
      </c>
      <c r="Q4123" s="16">
        <v>19490</v>
      </c>
      <c r="R4123" s="17">
        <v>53.47</v>
      </c>
      <c r="S4123" s="18">
        <v>10427.9355</v>
      </c>
      <c r="T4123" s="19" t="s">
        <v>328</v>
      </c>
      <c r="U4123" s="20" t="s">
        <v>413</v>
      </c>
      <c r="V4123" s="21">
        <v>39</v>
      </c>
      <c r="W4123" s="21">
        <v>14</v>
      </c>
      <c r="X4123" s="22"/>
    </row>
    <row r="4124" spans="1:24" s="1" customFormat="1" ht="21" customHeight="1" x14ac:dyDescent="0.3">
      <c r="A4124" s="23" t="s">
        <v>3183</v>
      </c>
      <c r="B4124" s="23" t="s">
        <v>4323</v>
      </c>
      <c r="C4124" s="28" t="s">
        <v>4324</v>
      </c>
      <c r="D4124" s="84"/>
      <c r="E4124" s="69" t="str">
        <f>HYPERLINK("https://www.google.ru/search?q=D656JC000TUC1122&amp;newwindow=1&amp;tbm=isch","Еще фото")</f>
        <v>Еще фото</v>
      </c>
      <c r="F4124" s="13"/>
      <c r="G4124" s="23" t="s">
        <v>1224</v>
      </c>
      <c r="H4124" s="23" t="s">
        <v>151</v>
      </c>
      <c r="I4124" s="23" t="s">
        <v>546</v>
      </c>
      <c r="J4124" s="14" t="s">
        <v>138</v>
      </c>
      <c r="K4124" s="15" t="s">
        <v>47</v>
      </c>
      <c r="L4124" s="87"/>
      <c r="M4124" s="14"/>
      <c r="N4124" s="14" t="s">
        <v>326</v>
      </c>
      <c r="O4124" s="14"/>
      <c r="P4124" s="15" t="s">
        <v>4326</v>
      </c>
      <c r="Q4124" s="16">
        <v>19490</v>
      </c>
      <c r="R4124" s="17">
        <v>53.47</v>
      </c>
      <c r="S4124" s="18">
        <v>10427.9355</v>
      </c>
      <c r="T4124" s="19" t="s">
        <v>328</v>
      </c>
      <c r="U4124" s="20" t="s">
        <v>399</v>
      </c>
      <c r="V4124" s="21">
        <v>40</v>
      </c>
      <c r="W4124" s="21">
        <v>10</v>
      </c>
      <c r="X4124" s="22"/>
    </row>
    <row r="4125" spans="1:24" s="1" customFormat="1" ht="32.1" customHeight="1" x14ac:dyDescent="0.3">
      <c r="A4125" s="23" t="s">
        <v>3183</v>
      </c>
      <c r="B4125" s="23" t="s">
        <v>4323</v>
      </c>
      <c r="C4125" s="28" t="s">
        <v>4324</v>
      </c>
      <c r="D4125" s="85"/>
      <c r="E4125" s="69" t="str">
        <f>HYPERLINK("https://www.google.ru/search?q=D656JC000TUC1122&amp;newwindow=1&amp;tbm=isch","Еще фото")</f>
        <v>Еще фото</v>
      </c>
      <c r="F4125" s="13"/>
      <c r="G4125" s="23" t="s">
        <v>1224</v>
      </c>
      <c r="H4125" s="23" t="s">
        <v>151</v>
      </c>
      <c r="I4125" s="23" t="s">
        <v>546</v>
      </c>
      <c r="J4125" s="14" t="s">
        <v>138</v>
      </c>
      <c r="K4125" s="15" t="s">
        <v>47</v>
      </c>
      <c r="L4125" s="88"/>
      <c r="M4125" s="14"/>
      <c r="N4125" s="14" t="s">
        <v>326</v>
      </c>
      <c r="O4125" s="14"/>
      <c r="P4125" s="15" t="s">
        <v>4326</v>
      </c>
      <c r="Q4125" s="16">
        <v>19490</v>
      </c>
      <c r="R4125" s="17">
        <v>53.47</v>
      </c>
      <c r="S4125" s="18">
        <v>10427.9355</v>
      </c>
      <c r="T4125" s="19" t="s">
        <v>328</v>
      </c>
      <c r="U4125" s="20" t="s">
        <v>400</v>
      </c>
      <c r="V4125" s="21">
        <v>41</v>
      </c>
      <c r="W4125" s="21">
        <v>5</v>
      </c>
      <c r="X4125" s="22"/>
    </row>
    <row r="4126" spans="1:24" s="1" customFormat="1" ht="26.1" customHeight="1" x14ac:dyDescent="0.3">
      <c r="A4126" s="11" t="s">
        <v>3183</v>
      </c>
      <c r="B4126" s="11" t="s">
        <v>4323</v>
      </c>
      <c r="C4126" s="12" t="s">
        <v>4327</v>
      </c>
      <c r="D4126" s="83"/>
      <c r="E4126" s="69" t="str">
        <f>HYPERLINK("https://www.google.ru/search?q=D656JC000TUC5000&amp;newwindow=1&amp;tbm=isch","Еще фото")</f>
        <v>Еще фото</v>
      </c>
      <c r="F4126" s="13"/>
      <c r="G4126" s="11" t="s">
        <v>1224</v>
      </c>
      <c r="H4126" s="11" t="s">
        <v>151</v>
      </c>
      <c r="I4126" s="14" t="s">
        <v>546</v>
      </c>
      <c r="J4126" s="14" t="s">
        <v>138</v>
      </c>
      <c r="K4126" s="15" t="s">
        <v>47</v>
      </c>
      <c r="L4126" s="86" t="s">
        <v>4325</v>
      </c>
      <c r="M4126" s="14"/>
      <c r="N4126" s="14" t="s">
        <v>326</v>
      </c>
      <c r="O4126" s="14"/>
      <c r="P4126" s="15" t="s">
        <v>4326</v>
      </c>
      <c r="Q4126" s="16">
        <v>19490</v>
      </c>
      <c r="R4126" s="17">
        <v>53.47</v>
      </c>
      <c r="S4126" s="18">
        <v>10427.9355</v>
      </c>
      <c r="T4126" s="19" t="s">
        <v>328</v>
      </c>
      <c r="U4126" s="20" t="s">
        <v>409</v>
      </c>
      <c r="V4126" s="21">
        <v>37</v>
      </c>
      <c r="W4126" s="21">
        <v>1</v>
      </c>
      <c r="X4126" s="22"/>
    </row>
    <row r="4127" spans="1:24" s="1" customFormat="1" ht="26.1" customHeight="1" x14ac:dyDescent="0.3">
      <c r="A4127" s="23" t="s">
        <v>3183</v>
      </c>
      <c r="B4127" s="23" t="s">
        <v>4323</v>
      </c>
      <c r="C4127" s="12" t="s">
        <v>4327</v>
      </c>
      <c r="D4127" s="84"/>
      <c r="E4127" s="69" t="str">
        <f>HYPERLINK("https://www.google.ru/search?q=D656JC000TUC5000&amp;newwindow=1&amp;tbm=isch","Еще фото")</f>
        <v>Еще фото</v>
      </c>
      <c r="F4127" s="13"/>
      <c r="G4127" s="23" t="s">
        <v>1224</v>
      </c>
      <c r="H4127" s="23" t="s">
        <v>151</v>
      </c>
      <c r="I4127" s="23" t="s">
        <v>546</v>
      </c>
      <c r="J4127" s="14" t="s">
        <v>138</v>
      </c>
      <c r="K4127" s="15" t="s">
        <v>47</v>
      </c>
      <c r="L4127" s="87"/>
      <c r="M4127" s="14"/>
      <c r="N4127" s="14" t="s">
        <v>326</v>
      </c>
      <c r="O4127" s="14"/>
      <c r="P4127" s="15" t="s">
        <v>4326</v>
      </c>
      <c r="Q4127" s="16">
        <v>19490</v>
      </c>
      <c r="R4127" s="17">
        <v>53.47</v>
      </c>
      <c r="S4127" s="18">
        <v>10427.9355</v>
      </c>
      <c r="T4127" s="19" t="s">
        <v>328</v>
      </c>
      <c r="U4127" s="20" t="s">
        <v>426</v>
      </c>
      <c r="V4127" s="21">
        <v>38</v>
      </c>
      <c r="W4127" s="21">
        <v>1</v>
      </c>
      <c r="X4127" s="22"/>
    </row>
    <row r="4128" spans="1:24" s="1" customFormat="1" ht="26.1" customHeight="1" x14ac:dyDescent="0.3">
      <c r="A4128" s="23" t="s">
        <v>3183</v>
      </c>
      <c r="B4128" s="23" t="s">
        <v>4323</v>
      </c>
      <c r="C4128" s="12" t="s">
        <v>4327</v>
      </c>
      <c r="D4128" s="84"/>
      <c r="E4128" s="69" t="str">
        <f>HYPERLINK("https://www.google.ru/search?q=D656JC000TUC5000&amp;newwindow=1&amp;tbm=isch","Еще фото")</f>
        <v>Еще фото</v>
      </c>
      <c r="F4128" s="13"/>
      <c r="G4128" s="23" t="s">
        <v>1224</v>
      </c>
      <c r="H4128" s="23" t="s">
        <v>151</v>
      </c>
      <c r="I4128" s="23" t="s">
        <v>546</v>
      </c>
      <c r="J4128" s="14" t="s">
        <v>138</v>
      </c>
      <c r="K4128" s="15" t="s">
        <v>47</v>
      </c>
      <c r="L4128" s="87"/>
      <c r="M4128" s="14"/>
      <c r="N4128" s="14" t="s">
        <v>326</v>
      </c>
      <c r="O4128" s="14"/>
      <c r="P4128" s="15" t="s">
        <v>4326</v>
      </c>
      <c r="Q4128" s="16">
        <v>19490</v>
      </c>
      <c r="R4128" s="17">
        <v>53.47</v>
      </c>
      <c r="S4128" s="18">
        <v>10427.9355</v>
      </c>
      <c r="T4128" s="19" t="s">
        <v>328</v>
      </c>
      <c r="U4128" s="20" t="s">
        <v>413</v>
      </c>
      <c r="V4128" s="21">
        <v>39</v>
      </c>
      <c r="W4128" s="21">
        <v>7</v>
      </c>
      <c r="X4128" s="22"/>
    </row>
    <row r="4129" spans="1:24" s="1" customFormat="1" ht="26.1" customHeight="1" x14ac:dyDescent="0.3">
      <c r="A4129" s="23" t="s">
        <v>3183</v>
      </c>
      <c r="B4129" s="23" t="s">
        <v>4323</v>
      </c>
      <c r="C4129" s="12" t="s">
        <v>4327</v>
      </c>
      <c r="D4129" s="85"/>
      <c r="E4129" s="69" t="str">
        <f>HYPERLINK("https://www.google.ru/search?q=D656JC000TUC5000&amp;newwindow=1&amp;tbm=isch","Еще фото")</f>
        <v>Еще фото</v>
      </c>
      <c r="F4129" s="13"/>
      <c r="G4129" s="23" t="s">
        <v>1224</v>
      </c>
      <c r="H4129" s="23" t="s">
        <v>151</v>
      </c>
      <c r="I4129" s="23" t="s">
        <v>546</v>
      </c>
      <c r="J4129" s="14" t="s">
        <v>138</v>
      </c>
      <c r="K4129" s="15" t="s">
        <v>47</v>
      </c>
      <c r="L4129" s="88"/>
      <c r="M4129" s="14"/>
      <c r="N4129" s="14" t="s">
        <v>326</v>
      </c>
      <c r="O4129" s="14"/>
      <c r="P4129" s="15" t="s">
        <v>4326</v>
      </c>
      <c r="Q4129" s="16">
        <v>19490</v>
      </c>
      <c r="R4129" s="17">
        <v>53.47</v>
      </c>
      <c r="S4129" s="18">
        <v>10427.9355</v>
      </c>
      <c r="T4129" s="19" t="s">
        <v>328</v>
      </c>
      <c r="U4129" s="20" t="s">
        <v>399</v>
      </c>
      <c r="V4129" s="21">
        <v>40</v>
      </c>
      <c r="W4129" s="21">
        <v>6</v>
      </c>
      <c r="X4129" s="22"/>
    </row>
    <row r="4130" spans="1:24" s="1" customFormat="1" ht="108" customHeight="1" x14ac:dyDescent="0.3">
      <c r="A4130" s="11" t="s">
        <v>3183</v>
      </c>
      <c r="B4130" s="11" t="s">
        <v>4319</v>
      </c>
      <c r="C4130" s="12" t="s">
        <v>4328</v>
      </c>
      <c r="D4130" s="24"/>
      <c r="E4130" s="69" t="str">
        <f>HYPERLINK("https://www.google.ru/search?q=D65RXB021MAC4147&amp;newwindow=1&amp;tbm=isch","Еще фото")</f>
        <v>Еще фото</v>
      </c>
      <c r="F4130" s="13"/>
      <c r="G4130" s="11" t="s">
        <v>1224</v>
      </c>
      <c r="H4130" s="11" t="s">
        <v>151</v>
      </c>
      <c r="I4130" s="14" t="s">
        <v>546</v>
      </c>
      <c r="J4130" s="14" t="s">
        <v>138</v>
      </c>
      <c r="K4130" s="15" t="s">
        <v>47</v>
      </c>
      <c r="L4130" s="14" t="s">
        <v>4321</v>
      </c>
      <c r="M4130" s="14"/>
      <c r="N4130" s="14" t="s">
        <v>70</v>
      </c>
      <c r="O4130" s="14"/>
      <c r="P4130" s="15" t="s">
        <v>4322</v>
      </c>
      <c r="Q4130" s="16">
        <v>17990</v>
      </c>
      <c r="R4130" s="17">
        <v>50.53</v>
      </c>
      <c r="S4130" s="18">
        <v>10234.988499999999</v>
      </c>
      <c r="T4130" s="19" t="s">
        <v>328</v>
      </c>
      <c r="U4130" s="20" t="s">
        <v>399</v>
      </c>
      <c r="V4130" s="21">
        <v>40</v>
      </c>
      <c r="W4130" s="21">
        <v>4</v>
      </c>
      <c r="X4130" s="22"/>
    </row>
    <row r="4131" spans="1:24" s="1" customFormat="1" ht="108" customHeight="1" x14ac:dyDescent="0.3">
      <c r="A4131" s="11" t="s">
        <v>3183</v>
      </c>
      <c r="B4131" s="11" t="s">
        <v>4329</v>
      </c>
      <c r="C4131" s="12" t="s">
        <v>4330</v>
      </c>
      <c r="D4131" s="24"/>
      <c r="E4131" s="69" t="str">
        <f>HYPERLINK("https://www.google.ru/search?q=D65YZB0KYTUC2235&amp;newwindow=1&amp;tbm=isch","Еще фото")</f>
        <v>Еще фото</v>
      </c>
      <c r="F4131" s="13"/>
      <c r="G4131" s="11" t="s">
        <v>1224</v>
      </c>
      <c r="H4131" s="11" t="s">
        <v>151</v>
      </c>
      <c r="I4131" s="14" t="s">
        <v>546</v>
      </c>
      <c r="J4131" s="14" t="s">
        <v>138</v>
      </c>
      <c r="K4131" s="15" t="s">
        <v>47</v>
      </c>
      <c r="L4131" s="14" t="s">
        <v>4331</v>
      </c>
      <c r="M4131" s="14"/>
      <c r="N4131" s="14" t="s">
        <v>2018</v>
      </c>
      <c r="O4131" s="14"/>
      <c r="P4131" s="15" t="s">
        <v>4332</v>
      </c>
      <c r="Q4131" s="16">
        <v>19490</v>
      </c>
      <c r="R4131" s="17">
        <v>50.23</v>
      </c>
      <c r="S4131" s="18">
        <v>11154.988499999999</v>
      </c>
      <c r="T4131" s="19" t="s">
        <v>328</v>
      </c>
      <c r="U4131" s="20" t="s">
        <v>400</v>
      </c>
      <c r="V4131" s="21">
        <v>41</v>
      </c>
      <c r="W4131" s="21">
        <v>1</v>
      </c>
      <c r="X4131" s="22"/>
    </row>
    <row r="4132" spans="1:24" s="1" customFormat="1" ht="108" customHeight="1" x14ac:dyDescent="0.3">
      <c r="A4132" s="11" t="s">
        <v>3183</v>
      </c>
      <c r="B4132" s="11" t="s">
        <v>4329</v>
      </c>
      <c r="C4132" s="12" t="s">
        <v>4333</v>
      </c>
      <c r="D4132" s="24"/>
      <c r="E4132" s="69" t="str">
        <f>HYPERLINK("https://www.google.ru/search?q=D65YZC000TUC1122&amp;newwindow=1&amp;tbm=isch","Еще фото")</f>
        <v>Еще фото</v>
      </c>
      <c r="F4132" s="13"/>
      <c r="G4132" s="11" t="s">
        <v>1224</v>
      </c>
      <c r="H4132" s="11" t="s">
        <v>151</v>
      </c>
      <c r="I4132" s="14" t="s">
        <v>546</v>
      </c>
      <c r="J4132" s="14" t="s">
        <v>138</v>
      </c>
      <c r="K4132" s="15" t="s">
        <v>47</v>
      </c>
      <c r="L4132" s="14" t="s">
        <v>4331</v>
      </c>
      <c r="M4132" s="14"/>
      <c r="N4132" s="14" t="s">
        <v>326</v>
      </c>
      <c r="O4132" s="14"/>
      <c r="P4132" s="15" t="s">
        <v>4334</v>
      </c>
      <c r="Q4132" s="16">
        <v>20490</v>
      </c>
      <c r="R4132" s="17">
        <v>50.22</v>
      </c>
      <c r="S4132" s="18">
        <v>11729.988499999999</v>
      </c>
      <c r="T4132" s="19" t="s">
        <v>328</v>
      </c>
      <c r="U4132" s="20" t="s">
        <v>399</v>
      </c>
      <c r="V4132" s="21">
        <v>40</v>
      </c>
      <c r="W4132" s="21">
        <v>3</v>
      </c>
      <c r="X4132" s="22"/>
    </row>
    <row r="4133" spans="1:24" s="1" customFormat="1" ht="51.95" customHeight="1" x14ac:dyDescent="0.3">
      <c r="A4133" s="11" t="s">
        <v>3183</v>
      </c>
      <c r="B4133" s="11" t="s">
        <v>4335</v>
      </c>
      <c r="C4133" s="12" t="s">
        <v>4336</v>
      </c>
      <c r="D4133" s="89"/>
      <c r="E4133" s="69" t="str">
        <f>HYPERLINK("https://www.google.ru/search?q=D35LSK00032C6009&amp;newwindow=1&amp;tbm=isch","Еще фото")</f>
        <v>Еще фото</v>
      </c>
      <c r="F4133" s="13"/>
      <c r="G4133" s="11" t="s">
        <v>1224</v>
      </c>
      <c r="H4133" s="11" t="s">
        <v>151</v>
      </c>
      <c r="I4133" s="14" t="s">
        <v>546</v>
      </c>
      <c r="J4133" s="14" t="s">
        <v>138</v>
      </c>
      <c r="K4133" s="15" t="s">
        <v>47</v>
      </c>
      <c r="L4133" s="86" t="s">
        <v>4337</v>
      </c>
      <c r="M4133" s="14"/>
      <c r="N4133" s="14" t="s">
        <v>154</v>
      </c>
      <c r="O4133" s="14"/>
      <c r="P4133" s="15" t="s">
        <v>4338</v>
      </c>
      <c r="Q4133" s="16">
        <v>11190</v>
      </c>
      <c r="R4133" s="17">
        <v>50</v>
      </c>
      <c r="S4133" s="18">
        <v>6434.2499999999991</v>
      </c>
      <c r="T4133" s="19" t="s">
        <v>328</v>
      </c>
      <c r="U4133" s="20" t="s">
        <v>409</v>
      </c>
      <c r="V4133" s="21">
        <v>37</v>
      </c>
      <c r="W4133" s="21">
        <v>1</v>
      </c>
      <c r="X4133" s="22"/>
    </row>
    <row r="4134" spans="1:24" s="1" customFormat="1" ht="60.95" customHeight="1" x14ac:dyDescent="0.3">
      <c r="A4134" s="23" t="s">
        <v>3183</v>
      </c>
      <c r="B4134" s="23" t="s">
        <v>4335</v>
      </c>
      <c r="C4134" s="12" t="s">
        <v>4336</v>
      </c>
      <c r="D4134" s="90"/>
      <c r="E4134" s="69" t="str">
        <f>HYPERLINK("https://www.google.ru/search?q=D35LSK00032C6009&amp;newwindow=1&amp;tbm=isch","Еще фото")</f>
        <v>Еще фото</v>
      </c>
      <c r="F4134" s="13"/>
      <c r="G4134" s="23" t="s">
        <v>1224</v>
      </c>
      <c r="H4134" s="23" t="s">
        <v>151</v>
      </c>
      <c r="I4134" s="23" t="s">
        <v>546</v>
      </c>
      <c r="J4134" s="14" t="s">
        <v>138</v>
      </c>
      <c r="K4134" s="15" t="s">
        <v>47</v>
      </c>
      <c r="L4134" s="88"/>
      <c r="M4134" s="14"/>
      <c r="N4134" s="14" t="s">
        <v>154</v>
      </c>
      <c r="O4134" s="14"/>
      <c r="P4134" s="15" t="s">
        <v>4338</v>
      </c>
      <c r="Q4134" s="16">
        <v>11190</v>
      </c>
      <c r="R4134" s="17">
        <v>50</v>
      </c>
      <c r="S4134" s="18">
        <v>6434.2499999999991</v>
      </c>
      <c r="T4134" s="19" t="s">
        <v>328</v>
      </c>
      <c r="U4134" s="20" t="s">
        <v>426</v>
      </c>
      <c r="V4134" s="21">
        <v>38</v>
      </c>
      <c r="W4134" s="21">
        <v>1</v>
      </c>
      <c r="X4134" s="22"/>
    </row>
    <row r="4135" spans="1:24" s="1" customFormat="1" ht="26.1" customHeight="1" x14ac:dyDescent="0.3">
      <c r="A4135" s="11" t="s">
        <v>3183</v>
      </c>
      <c r="B4135" s="11" t="s">
        <v>4339</v>
      </c>
      <c r="C4135" s="12" t="s">
        <v>4340</v>
      </c>
      <c r="D4135" s="83"/>
      <c r="E4135" s="69" t="str">
        <f>HYPERLINK("https://www.google.ru/search?q=D550EA000BCC9999&amp;newwindow=1&amp;tbm=isch","Еще фото")</f>
        <v>Еще фото</v>
      </c>
      <c r="F4135" s="13"/>
      <c r="G4135" s="11" t="s">
        <v>1224</v>
      </c>
      <c r="H4135" s="11" t="s">
        <v>151</v>
      </c>
      <c r="I4135" s="14" t="s">
        <v>546</v>
      </c>
      <c r="J4135" s="14" t="s">
        <v>138</v>
      </c>
      <c r="K4135" s="15" t="s">
        <v>47</v>
      </c>
      <c r="L4135" s="86" t="s">
        <v>4341</v>
      </c>
      <c r="M4135" s="14"/>
      <c r="N4135" s="14" t="s">
        <v>49</v>
      </c>
      <c r="O4135" s="14"/>
      <c r="P4135" s="15" t="s">
        <v>4342</v>
      </c>
      <c r="Q4135" s="16">
        <v>13999</v>
      </c>
      <c r="R4135" s="17">
        <v>50</v>
      </c>
      <c r="S4135" s="18">
        <v>8049.4249999999993</v>
      </c>
      <c r="T4135" s="19" t="s">
        <v>328</v>
      </c>
      <c r="U4135" s="20" t="s">
        <v>409</v>
      </c>
      <c r="V4135" s="21">
        <v>37</v>
      </c>
      <c r="W4135" s="21">
        <v>2</v>
      </c>
      <c r="X4135" s="22"/>
    </row>
    <row r="4136" spans="1:24" s="1" customFormat="1" ht="26.1" customHeight="1" x14ac:dyDescent="0.3">
      <c r="A4136" s="23" t="s">
        <v>3183</v>
      </c>
      <c r="B4136" s="23" t="s">
        <v>4339</v>
      </c>
      <c r="C4136" s="12" t="s">
        <v>4340</v>
      </c>
      <c r="D4136" s="84"/>
      <c r="E4136" s="69" t="str">
        <f>HYPERLINK("https://www.google.ru/search?q=D550EA000BCC9999&amp;newwindow=1&amp;tbm=isch","Еще фото")</f>
        <v>Еще фото</v>
      </c>
      <c r="F4136" s="13"/>
      <c r="G4136" s="23" t="s">
        <v>1224</v>
      </c>
      <c r="H4136" s="23" t="s">
        <v>151</v>
      </c>
      <c r="I4136" s="23" t="s">
        <v>546</v>
      </c>
      <c r="J4136" s="14" t="s">
        <v>138</v>
      </c>
      <c r="K4136" s="15" t="s">
        <v>47</v>
      </c>
      <c r="L4136" s="87"/>
      <c r="M4136" s="14"/>
      <c r="N4136" s="14" t="s">
        <v>49</v>
      </c>
      <c r="O4136" s="14"/>
      <c r="P4136" s="15" t="s">
        <v>4342</v>
      </c>
      <c r="Q4136" s="16">
        <v>13999</v>
      </c>
      <c r="R4136" s="17">
        <v>50</v>
      </c>
      <c r="S4136" s="18">
        <v>8049.4249999999993</v>
      </c>
      <c r="T4136" s="19" t="s">
        <v>328</v>
      </c>
      <c r="U4136" s="20" t="s">
        <v>426</v>
      </c>
      <c r="V4136" s="21">
        <v>38</v>
      </c>
      <c r="W4136" s="21">
        <v>1</v>
      </c>
      <c r="X4136" s="22"/>
    </row>
    <row r="4137" spans="1:24" s="1" customFormat="1" ht="26.1" customHeight="1" x14ac:dyDescent="0.3">
      <c r="A4137" s="23" t="s">
        <v>3183</v>
      </c>
      <c r="B4137" s="23" t="s">
        <v>4339</v>
      </c>
      <c r="C4137" s="12" t="s">
        <v>4340</v>
      </c>
      <c r="D4137" s="84"/>
      <c r="E4137" s="69" t="str">
        <f>HYPERLINK("https://www.google.ru/search?q=D550EA000BCC9999&amp;newwindow=1&amp;tbm=isch","Еще фото")</f>
        <v>Еще фото</v>
      </c>
      <c r="F4137" s="13"/>
      <c r="G4137" s="23" t="s">
        <v>1224</v>
      </c>
      <c r="H4137" s="23" t="s">
        <v>151</v>
      </c>
      <c r="I4137" s="23" t="s">
        <v>546</v>
      </c>
      <c r="J4137" s="14" t="s">
        <v>138</v>
      </c>
      <c r="K4137" s="15" t="s">
        <v>47</v>
      </c>
      <c r="L4137" s="87"/>
      <c r="M4137" s="14"/>
      <c r="N4137" s="14" t="s">
        <v>49</v>
      </c>
      <c r="O4137" s="14"/>
      <c r="P4137" s="15" t="s">
        <v>4342</v>
      </c>
      <c r="Q4137" s="16">
        <v>13999</v>
      </c>
      <c r="R4137" s="17">
        <v>50</v>
      </c>
      <c r="S4137" s="18">
        <v>8049.4249999999993</v>
      </c>
      <c r="T4137" s="19" t="s">
        <v>328</v>
      </c>
      <c r="U4137" s="20" t="s">
        <v>413</v>
      </c>
      <c r="V4137" s="21">
        <v>39</v>
      </c>
      <c r="W4137" s="21">
        <v>6</v>
      </c>
      <c r="X4137" s="22"/>
    </row>
    <row r="4138" spans="1:24" s="1" customFormat="1" ht="26.1" customHeight="1" x14ac:dyDescent="0.3">
      <c r="A4138" s="23" t="s">
        <v>3183</v>
      </c>
      <c r="B4138" s="23" t="s">
        <v>4339</v>
      </c>
      <c r="C4138" s="12" t="s">
        <v>4340</v>
      </c>
      <c r="D4138" s="85"/>
      <c r="E4138" s="69" t="str">
        <f>HYPERLINK("https://www.google.ru/search?q=D550EA000BCC9999&amp;newwindow=1&amp;tbm=isch","Еще фото")</f>
        <v>Еще фото</v>
      </c>
      <c r="F4138" s="13"/>
      <c r="G4138" s="23" t="s">
        <v>1224</v>
      </c>
      <c r="H4138" s="23" t="s">
        <v>151</v>
      </c>
      <c r="I4138" s="23" t="s">
        <v>546</v>
      </c>
      <c r="J4138" s="14" t="s">
        <v>138</v>
      </c>
      <c r="K4138" s="15" t="s">
        <v>47</v>
      </c>
      <c r="L4138" s="88"/>
      <c r="M4138" s="14"/>
      <c r="N4138" s="14" t="s">
        <v>49</v>
      </c>
      <c r="O4138" s="14"/>
      <c r="P4138" s="15" t="s">
        <v>4342</v>
      </c>
      <c r="Q4138" s="16">
        <v>13999</v>
      </c>
      <c r="R4138" s="17">
        <v>50</v>
      </c>
      <c r="S4138" s="18">
        <v>8049.4249999999993</v>
      </c>
      <c r="T4138" s="19" t="s">
        <v>328</v>
      </c>
      <c r="U4138" s="20" t="s">
        <v>399</v>
      </c>
      <c r="V4138" s="21">
        <v>40</v>
      </c>
      <c r="W4138" s="21">
        <v>2</v>
      </c>
      <c r="X4138" s="22"/>
    </row>
    <row r="4139" spans="1:24" s="1" customFormat="1" ht="51.95" customHeight="1" x14ac:dyDescent="0.3">
      <c r="A4139" s="11" t="s">
        <v>3183</v>
      </c>
      <c r="B4139" s="11" t="s">
        <v>4339</v>
      </c>
      <c r="C4139" s="12" t="s">
        <v>4343</v>
      </c>
      <c r="D4139" s="89"/>
      <c r="E4139" s="69" t="str">
        <f>HYPERLINK("https://www.google.ru/search?q=D550EA000NFC2012&amp;newwindow=1&amp;tbm=isch","Еще фото")</f>
        <v>Еще фото</v>
      </c>
      <c r="F4139" s="13"/>
      <c r="G4139" s="11" t="s">
        <v>1224</v>
      </c>
      <c r="H4139" s="11" t="s">
        <v>151</v>
      </c>
      <c r="I4139" s="14" t="s">
        <v>546</v>
      </c>
      <c r="J4139" s="14" t="s">
        <v>138</v>
      </c>
      <c r="K4139" s="15" t="s">
        <v>47</v>
      </c>
      <c r="L4139" s="86" t="s">
        <v>4341</v>
      </c>
      <c r="M4139" s="14"/>
      <c r="N4139" s="14" t="s">
        <v>2018</v>
      </c>
      <c r="O4139" s="14"/>
      <c r="P4139" s="15" t="s">
        <v>4342</v>
      </c>
      <c r="Q4139" s="16">
        <v>13999</v>
      </c>
      <c r="R4139" s="17">
        <v>50</v>
      </c>
      <c r="S4139" s="18">
        <v>8049.4249999999993</v>
      </c>
      <c r="T4139" s="19" t="s">
        <v>328</v>
      </c>
      <c r="U4139" s="20" t="s">
        <v>413</v>
      </c>
      <c r="V4139" s="21">
        <v>39</v>
      </c>
      <c r="W4139" s="21">
        <v>3</v>
      </c>
      <c r="X4139" s="22"/>
    </row>
    <row r="4140" spans="1:24" s="1" customFormat="1" ht="60.95" customHeight="1" x14ac:dyDescent="0.3">
      <c r="A4140" s="23" t="s">
        <v>3183</v>
      </c>
      <c r="B4140" s="23" t="s">
        <v>4339</v>
      </c>
      <c r="C4140" s="12" t="s">
        <v>4343</v>
      </c>
      <c r="D4140" s="90"/>
      <c r="E4140" s="69" t="str">
        <f>HYPERLINK("https://www.google.ru/search?q=D550EA000NFC2012&amp;newwindow=1&amp;tbm=isch","Еще фото")</f>
        <v>Еще фото</v>
      </c>
      <c r="F4140" s="13"/>
      <c r="G4140" s="23" t="s">
        <v>1224</v>
      </c>
      <c r="H4140" s="23" t="s">
        <v>151</v>
      </c>
      <c r="I4140" s="23" t="s">
        <v>546</v>
      </c>
      <c r="J4140" s="14" t="s">
        <v>138</v>
      </c>
      <c r="K4140" s="15" t="s">
        <v>47</v>
      </c>
      <c r="L4140" s="88"/>
      <c r="M4140" s="14"/>
      <c r="N4140" s="14" t="s">
        <v>2018</v>
      </c>
      <c r="O4140" s="14"/>
      <c r="P4140" s="15" t="s">
        <v>4342</v>
      </c>
      <c r="Q4140" s="16">
        <v>13999</v>
      </c>
      <c r="R4140" s="17">
        <v>50</v>
      </c>
      <c r="S4140" s="18">
        <v>8049.4249999999993</v>
      </c>
      <c r="T4140" s="19" t="s">
        <v>328</v>
      </c>
      <c r="U4140" s="20" t="s">
        <v>399</v>
      </c>
      <c r="V4140" s="21">
        <v>40</v>
      </c>
      <c r="W4140" s="21">
        <v>3</v>
      </c>
      <c r="X4140" s="22"/>
    </row>
    <row r="4141" spans="1:24" s="1" customFormat="1" ht="35.1" customHeight="1" x14ac:dyDescent="0.3">
      <c r="A4141" s="11" t="s">
        <v>3183</v>
      </c>
      <c r="B4141" s="11" t="s">
        <v>4344</v>
      </c>
      <c r="C4141" s="12" t="s">
        <v>4345</v>
      </c>
      <c r="D4141" s="83"/>
      <c r="E4141" s="69" t="str">
        <f>HYPERLINK("https://www.google.ru/search?q=D550NA0NFBCC1223&amp;newwindow=1&amp;tbm=isch","Еще фото")</f>
        <v>Еще фото</v>
      </c>
      <c r="F4141" s="13"/>
      <c r="G4141" s="11" t="s">
        <v>1224</v>
      </c>
      <c r="H4141" s="11" t="s">
        <v>151</v>
      </c>
      <c r="I4141" s="14" t="s">
        <v>546</v>
      </c>
      <c r="J4141" s="14" t="s">
        <v>138</v>
      </c>
      <c r="K4141" s="15" t="s">
        <v>47</v>
      </c>
      <c r="L4141" s="86" t="s">
        <v>4346</v>
      </c>
      <c r="M4141" s="14"/>
      <c r="N4141" s="14" t="s">
        <v>49</v>
      </c>
      <c r="O4141" s="14"/>
      <c r="P4141" s="15" t="s">
        <v>4347</v>
      </c>
      <c r="Q4141" s="16">
        <v>13990</v>
      </c>
      <c r="R4141" s="17">
        <v>50</v>
      </c>
      <c r="S4141" s="18">
        <v>8044.2499999999991</v>
      </c>
      <c r="T4141" s="19" t="s">
        <v>328</v>
      </c>
      <c r="U4141" s="20" t="s">
        <v>1503</v>
      </c>
      <c r="V4141" s="21">
        <v>36</v>
      </c>
      <c r="W4141" s="21">
        <v>3</v>
      </c>
      <c r="X4141" s="22"/>
    </row>
    <row r="4142" spans="1:24" s="1" customFormat="1" ht="35.1" customHeight="1" x14ac:dyDescent="0.3">
      <c r="A4142" s="23" t="s">
        <v>3183</v>
      </c>
      <c r="B4142" s="23" t="s">
        <v>4344</v>
      </c>
      <c r="C4142" s="12" t="s">
        <v>4345</v>
      </c>
      <c r="D4142" s="84"/>
      <c r="E4142" s="69" t="str">
        <f>HYPERLINK("https://www.google.ru/search?q=D550NA0NFBCC1223&amp;newwindow=1&amp;tbm=isch","Еще фото")</f>
        <v>Еще фото</v>
      </c>
      <c r="F4142" s="13"/>
      <c r="G4142" s="23" t="s">
        <v>1224</v>
      </c>
      <c r="H4142" s="23" t="s">
        <v>151</v>
      </c>
      <c r="I4142" s="23" t="s">
        <v>546</v>
      </c>
      <c r="J4142" s="14" t="s">
        <v>138</v>
      </c>
      <c r="K4142" s="15" t="s">
        <v>47</v>
      </c>
      <c r="L4142" s="87"/>
      <c r="M4142" s="14"/>
      <c r="N4142" s="14" t="s">
        <v>49</v>
      </c>
      <c r="O4142" s="14"/>
      <c r="P4142" s="15" t="s">
        <v>4347</v>
      </c>
      <c r="Q4142" s="16">
        <v>13990</v>
      </c>
      <c r="R4142" s="17">
        <v>50</v>
      </c>
      <c r="S4142" s="18">
        <v>8044.2499999999991</v>
      </c>
      <c r="T4142" s="19" t="s">
        <v>328</v>
      </c>
      <c r="U4142" s="20" t="s">
        <v>409</v>
      </c>
      <c r="V4142" s="21">
        <v>37</v>
      </c>
      <c r="W4142" s="21">
        <v>5</v>
      </c>
      <c r="X4142" s="22"/>
    </row>
    <row r="4143" spans="1:24" s="1" customFormat="1" ht="36.950000000000003" customHeight="1" x14ac:dyDescent="0.3">
      <c r="A4143" s="23" t="s">
        <v>3183</v>
      </c>
      <c r="B4143" s="23" t="s">
        <v>4344</v>
      </c>
      <c r="C4143" s="12" t="s">
        <v>4345</v>
      </c>
      <c r="D4143" s="85"/>
      <c r="E4143" s="69" t="str">
        <f>HYPERLINK("https://www.google.ru/search?q=D550NA0NFBCC1223&amp;newwindow=1&amp;tbm=isch","Еще фото")</f>
        <v>Еще фото</v>
      </c>
      <c r="F4143" s="13"/>
      <c r="G4143" s="23" t="s">
        <v>1224</v>
      </c>
      <c r="H4143" s="23" t="s">
        <v>151</v>
      </c>
      <c r="I4143" s="23" t="s">
        <v>546</v>
      </c>
      <c r="J4143" s="14" t="s">
        <v>138</v>
      </c>
      <c r="K4143" s="15" t="s">
        <v>47</v>
      </c>
      <c r="L4143" s="88"/>
      <c r="M4143" s="14"/>
      <c r="N4143" s="14" t="s">
        <v>49</v>
      </c>
      <c r="O4143" s="14"/>
      <c r="P4143" s="15" t="s">
        <v>4347</v>
      </c>
      <c r="Q4143" s="16">
        <v>13990</v>
      </c>
      <c r="R4143" s="17">
        <v>50</v>
      </c>
      <c r="S4143" s="18">
        <v>8044.2499999999991</v>
      </c>
      <c r="T4143" s="19" t="s">
        <v>328</v>
      </c>
      <c r="U4143" s="20" t="s">
        <v>426</v>
      </c>
      <c r="V4143" s="21">
        <v>38</v>
      </c>
      <c r="W4143" s="21">
        <v>8</v>
      </c>
      <c r="X4143" s="22"/>
    </row>
    <row r="4144" spans="1:24" s="1" customFormat="1" ht="35.1" customHeight="1" x14ac:dyDescent="0.3">
      <c r="A4144" s="11" t="s">
        <v>3183</v>
      </c>
      <c r="B4144" s="11" t="s">
        <v>4344</v>
      </c>
      <c r="C4144" s="12" t="s">
        <v>4348</v>
      </c>
      <c r="D4144" s="83"/>
      <c r="E4144" s="69" t="str">
        <f>HYPERLINK("https://www.google.ru/search?q=D550NA0NFBCC2235&amp;newwindow=1&amp;tbm=isch","Еще фото")</f>
        <v>Еще фото</v>
      </c>
      <c r="F4144" s="13"/>
      <c r="G4144" s="11" t="s">
        <v>1224</v>
      </c>
      <c r="H4144" s="11" t="s">
        <v>151</v>
      </c>
      <c r="I4144" s="14" t="s">
        <v>546</v>
      </c>
      <c r="J4144" s="14" t="s">
        <v>138</v>
      </c>
      <c r="K4144" s="15" t="s">
        <v>47</v>
      </c>
      <c r="L4144" s="86"/>
      <c r="M4144" s="14"/>
      <c r="N4144" s="14" t="s">
        <v>2018</v>
      </c>
      <c r="O4144" s="14"/>
      <c r="P4144" s="15" t="s">
        <v>4347</v>
      </c>
      <c r="Q4144" s="16">
        <v>13490</v>
      </c>
      <c r="R4144" s="17">
        <v>50</v>
      </c>
      <c r="S4144" s="18">
        <v>7756.7499999999991</v>
      </c>
      <c r="T4144" s="19" t="s">
        <v>328</v>
      </c>
      <c r="U4144" s="20" t="s">
        <v>426</v>
      </c>
      <c r="V4144" s="21">
        <v>38</v>
      </c>
      <c r="W4144" s="21">
        <v>2</v>
      </c>
      <c r="X4144" s="22"/>
    </row>
    <row r="4145" spans="1:24" s="1" customFormat="1" ht="35.1" customHeight="1" x14ac:dyDescent="0.3">
      <c r="A4145" s="23" t="s">
        <v>3183</v>
      </c>
      <c r="B4145" s="23" t="s">
        <v>4344</v>
      </c>
      <c r="C4145" s="12" t="s">
        <v>4348</v>
      </c>
      <c r="D4145" s="84"/>
      <c r="E4145" s="69" t="str">
        <f>HYPERLINK("https://www.google.ru/search?q=D550NA0NFBCC2235&amp;newwindow=1&amp;tbm=isch","Еще фото")</f>
        <v>Еще фото</v>
      </c>
      <c r="F4145" s="13"/>
      <c r="G4145" s="23" t="s">
        <v>1224</v>
      </c>
      <c r="H4145" s="23" t="s">
        <v>151</v>
      </c>
      <c r="I4145" s="23" t="s">
        <v>546</v>
      </c>
      <c r="J4145" s="14" t="s">
        <v>138</v>
      </c>
      <c r="K4145" s="15" t="s">
        <v>47</v>
      </c>
      <c r="L4145" s="87"/>
      <c r="M4145" s="14"/>
      <c r="N4145" s="14" t="s">
        <v>2018</v>
      </c>
      <c r="O4145" s="14"/>
      <c r="P4145" s="15" t="s">
        <v>4347</v>
      </c>
      <c r="Q4145" s="16">
        <v>13490</v>
      </c>
      <c r="R4145" s="17">
        <v>50</v>
      </c>
      <c r="S4145" s="18">
        <v>7756.7499999999991</v>
      </c>
      <c r="T4145" s="19" t="s">
        <v>328</v>
      </c>
      <c r="U4145" s="20" t="s">
        <v>413</v>
      </c>
      <c r="V4145" s="21">
        <v>39</v>
      </c>
      <c r="W4145" s="21">
        <v>1</v>
      </c>
      <c r="X4145" s="22"/>
    </row>
    <row r="4146" spans="1:24" s="1" customFormat="1" ht="36.950000000000003" customHeight="1" x14ac:dyDescent="0.3">
      <c r="A4146" s="23" t="s">
        <v>3183</v>
      </c>
      <c r="B4146" s="23" t="s">
        <v>4344</v>
      </c>
      <c r="C4146" s="12" t="s">
        <v>4348</v>
      </c>
      <c r="D4146" s="85"/>
      <c r="E4146" s="69" t="str">
        <f>HYPERLINK("https://www.google.ru/search?q=D550NA0NFBCC2235&amp;newwindow=1&amp;tbm=isch","Еще фото")</f>
        <v>Еще фото</v>
      </c>
      <c r="F4146" s="13"/>
      <c r="G4146" s="23" t="s">
        <v>1224</v>
      </c>
      <c r="H4146" s="23" t="s">
        <v>151</v>
      </c>
      <c r="I4146" s="23" t="s">
        <v>546</v>
      </c>
      <c r="J4146" s="14" t="s">
        <v>138</v>
      </c>
      <c r="K4146" s="15" t="s">
        <v>47</v>
      </c>
      <c r="L4146" s="88"/>
      <c r="M4146" s="14"/>
      <c r="N4146" s="14" t="s">
        <v>2018</v>
      </c>
      <c r="O4146" s="14"/>
      <c r="P4146" s="15" t="s">
        <v>4347</v>
      </c>
      <c r="Q4146" s="16">
        <v>13490</v>
      </c>
      <c r="R4146" s="17">
        <v>50</v>
      </c>
      <c r="S4146" s="18">
        <v>7756.7499999999991</v>
      </c>
      <c r="T4146" s="19" t="s">
        <v>328</v>
      </c>
      <c r="U4146" s="20" t="s">
        <v>400</v>
      </c>
      <c r="V4146" s="21">
        <v>41</v>
      </c>
      <c r="W4146" s="21">
        <v>1</v>
      </c>
      <c r="X4146" s="22"/>
    </row>
    <row r="4147" spans="1:24" s="1" customFormat="1" ht="21" customHeight="1" x14ac:dyDescent="0.3">
      <c r="A4147" s="11" t="s">
        <v>3183</v>
      </c>
      <c r="B4147" s="11" t="s">
        <v>4349</v>
      </c>
      <c r="C4147" s="27" t="s">
        <v>4350</v>
      </c>
      <c r="D4147" s="83"/>
      <c r="E4147" s="69" t="str">
        <f>HYPERLINK("https://www.google.ru/search?q=D55NNB05443C5F2L&amp;newwindow=1&amp;tbm=isch","Еще фото")</f>
        <v>Еще фото</v>
      </c>
      <c r="F4147" s="13"/>
      <c r="G4147" s="11" t="s">
        <v>1224</v>
      </c>
      <c r="H4147" s="11" t="s">
        <v>151</v>
      </c>
      <c r="I4147" s="14" t="s">
        <v>546</v>
      </c>
      <c r="J4147" s="14" t="s">
        <v>138</v>
      </c>
      <c r="K4147" s="15" t="s">
        <v>47</v>
      </c>
      <c r="L4147" s="86"/>
      <c r="M4147" s="14"/>
      <c r="N4147" s="14" t="s">
        <v>154</v>
      </c>
      <c r="O4147" s="14"/>
      <c r="P4147" s="15" t="s">
        <v>4351</v>
      </c>
      <c r="Q4147" s="16">
        <v>13490</v>
      </c>
      <c r="R4147" s="17">
        <v>50</v>
      </c>
      <c r="S4147" s="18">
        <v>7756.7499999999991</v>
      </c>
      <c r="T4147" s="19" t="s">
        <v>328</v>
      </c>
      <c r="U4147" s="20" t="s">
        <v>409</v>
      </c>
      <c r="V4147" s="21">
        <v>37</v>
      </c>
      <c r="W4147" s="21">
        <v>4</v>
      </c>
      <c r="X4147" s="22"/>
    </row>
    <row r="4148" spans="1:24" s="1" customFormat="1" ht="21" customHeight="1" x14ac:dyDescent="0.3">
      <c r="A4148" s="23" t="s">
        <v>3183</v>
      </c>
      <c r="B4148" s="23" t="s">
        <v>4349</v>
      </c>
      <c r="C4148" s="28" t="s">
        <v>4350</v>
      </c>
      <c r="D4148" s="84"/>
      <c r="E4148" s="69" t="str">
        <f>HYPERLINK("https://www.google.ru/search?q=D55NNB05443C5F2L&amp;newwindow=1&amp;tbm=isch","Еще фото")</f>
        <v>Еще фото</v>
      </c>
      <c r="F4148" s="13"/>
      <c r="G4148" s="23" t="s">
        <v>1224</v>
      </c>
      <c r="H4148" s="23" t="s">
        <v>151</v>
      </c>
      <c r="I4148" s="23" t="s">
        <v>546</v>
      </c>
      <c r="J4148" s="14" t="s">
        <v>138</v>
      </c>
      <c r="K4148" s="15" t="s">
        <v>47</v>
      </c>
      <c r="L4148" s="87"/>
      <c r="M4148" s="14"/>
      <c r="N4148" s="14" t="s">
        <v>154</v>
      </c>
      <c r="O4148" s="14"/>
      <c r="P4148" s="15" t="s">
        <v>4351</v>
      </c>
      <c r="Q4148" s="16">
        <v>13490</v>
      </c>
      <c r="R4148" s="17">
        <v>50</v>
      </c>
      <c r="S4148" s="18">
        <v>7756.7499999999991</v>
      </c>
      <c r="T4148" s="19" t="s">
        <v>328</v>
      </c>
      <c r="U4148" s="20" t="s">
        <v>426</v>
      </c>
      <c r="V4148" s="21">
        <v>38</v>
      </c>
      <c r="W4148" s="21">
        <v>3</v>
      </c>
      <c r="X4148" s="22"/>
    </row>
    <row r="4149" spans="1:24" s="1" customFormat="1" ht="21" customHeight="1" x14ac:dyDescent="0.3">
      <c r="A4149" s="23" t="s">
        <v>3183</v>
      </c>
      <c r="B4149" s="23" t="s">
        <v>4349</v>
      </c>
      <c r="C4149" s="28" t="s">
        <v>4350</v>
      </c>
      <c r="D4149" s="84"/>
      <c r="E4149" s="69" t="str">
        <f>HYPERLINK("https://www.google.ru/search?q=D55NNB05443C5F2L&amp;newwindow=1&amp;tbm=isch","Еще фото")</f>
        <v>Еще фото</v>
      </c>
      <c r="F4149" s="13"/>
      <c r="G4149" s="23" t="s">
        <v>1224</v>
      </c>
      <c r="H4149" s="23" t="s">
        <v>151</v>
      </c>
      <c r="I4149" s="23" t="s">
        <v>546</v>
      </c>
      <c r="J4149" s="14" t="s">
        <v>138</v>
      </c>
      <c r="K4149" s="15" t="s">
        <v>47</v>
      </c>
      <c r="L4149" s="87"/>
      <c r="M4149" s="14"/>
      <c r="N4149" s="14" t="s">
        <v>154</v>
      </c>
      <c r="O4149" s="14"/>
      <c r="P4149" s="15" t="s">
        <v>4351</v>
      </c>
      <c r="Q4149" s="16">
        <v>13490</v>
      </c>
      <c r="R4149" s="17">
        <v>50</v>
      </c>
      <c r="S4149" s="18">
        <v>7756.7499999999991</v>
      </c>
      <c r="T4149" s="19" t="s">
        <v>328</v>
      </c>
      <c r="U4149" s="20" t="s">
        <v>413</v>
      </c>
      <c r="V4149" s="21">
        <v>39</v>
      </c>
      <c r="W4149" s="21">
        <v>6</v>
      </c>
      <c r="X4149" s="22"/>
    </row>
    <row r="4150" spans="1:24" s="1" customFormat="1" ht="21" customHeight="1" x14ac:dyDescent="0.3">
      <c r="A4150" s="23" t="s">
        <v>3183</v>
      </c>
      <c r="B4150" s="23" t="s">
        <v>4349</v>
      </c>
      <c r="C4150" s="28" t="s">
        <v>4350</v>
      </c>
      <c r="D4150" s="84"/>
      <c r="E4150" s="69" t="str">
        <f>HYPERLINK("https://www.google.ru/search?q=D55NNB05443C5F2L&amp;newwindow=1&amp;tbm=isch","Еще фото")</f>
        <v>Еще фото</v>
      </c>
      <c r="F4150" s="13"/>
      <c r="G4150" s="23" t="s">
        <v>1224</v>
      </c>
      <c r="H4150" s="23" t="s">
        <v>151</v>
      </c>
      <c r="I4150" s="23" t="s">
        <v>546</v>
      </c>
      <c r="J4150" s="14" t="s">
        <v>138</v>
      </c>
      <c r="K4150" s="15" t="s">
        <v>47</v>
      </c>
      <c r="L4150" s="87"/>
      <c r="M4150" s="14"/>
      <c r="N4150" s="14" t="s">
        <v>154</v>
      </c>
      <c r="O4150" s="14"/>
      <c r="P4150" s="15" t="s">
        <v>4351</v>
      </c>
      <c r="Q4150" s="16">
        <v>13490</v>
      </c>
      <c r="R4150" s="17">
        <v>50</v>
      </c>
      <c r="S4150" s="18">
        <v>7756.7499999999991</v>
      </c>
      <c r="T4150" s="19" t="s">
        <v>328</v>
      </c>
      <c r="U4150" s="20" t="s">
        <v>399</v>
      </c>
      <c r="V4150" s="21">
        <v>40</v>
      </c>
      <c r="W4150" s="21">
        <v>6</v>
      </c>
      <c r="X4150" s="22"/>
    </row>
    <row r="4151" spans="1:24" s="1" customFormat="1" ht="32.1" customHeight="1" x14ac:dyDescent="0.3">
      <c r="A4151" s="23" t="s">
        <v>3183</v>
      </c>
      <c r="B4151" s="23" t="s">
        <v>4349</v>
      </c>
      <c r="C4151" s="28" t="s">
        <v>4350</v>
      </c>
      <c r="D4151" s="85"/>
      <c r="E4151" s="69" t="str">
        <f>HYPERLINK("https://www.google.ru/search?q=D55NNB05443C5F2L&amp;newwindow=1&amp;tbm=isch","Еще фото")</f>
        <v>Еще фото</v>
      </c>
      <c r="F4151" s="13"/>
      <c r="G4151" s="23" t="s">
        <v>1224</v>
      </c>
      <c r="H4151" s="23" t="s">
        <v>151</v>
      </c>
      <c r="I4151" s="23" t="s">
        <v>546</v>
      </c>
      <c r="J4151" s="14" t="s">
        <v>138</v>
      </c>
      <c r="K4151" s="15" t="s">
        <v>47</v>
      </c>
      <c r="L4151" s="88"/>
      <c r="M4151" s="14"/>
      <c r="N4151" s="14" t="s">
        <v>154</v>
      </c>
      <c r="O4151" s="14"/>
      <c r="P4151" s="15" t="s">
        <v>4351</v>
      </c>
      <c r="Q4151" s="16">
        <v>13490</v>
      </c>
      <c r="R4151" s="17">
        <v>50</v>
      </c>
      <c r="S4151" s="18">
        <v>7756.7499999999991</v>
      </c>
      <c r="T4151" s="19" t="s">
        <v>328</v>
      </c>
      <c r="U4151" s="20" t="s">
        <v>400</v>
      </c>
      <c r="V4151" s="21">
        <v>41</v>
      </c>
      <c r="W4151" s="21">
        <v>3</v>
      </c>
      <c r="X4151" s="22"/>
    </row>
    <row r="4152" spans="1:24" s="1" customFormat="1" ht="108" customHeight="1" x14ac:dyDescent="0.3">
      <c r="A4152" s="11" t="s">
        <v>3183</v>
      </c>
      <c r="B4152" s="11" t="s">
        <v>4352</v>
      </c>
      <c r="C4152" s="12" t="s">
        <v>4353</v>
      </c>
      <c r="D4152" s="24"/>
      <c r="E4152" s="69" t="str">
        <f>HYPERLINK("https://www.google.ru/search?q=D65YFC0KFKYC5F2L&amp;newwindow=1&amp;tbm=isch","Еще фото")</f>
        <v>Еще фото</v>
      </c>
      <c r="F4152" s="13"/>
      <c r="G4152" s="11" t="s">
        <v>1224</v>
      </c>
      <c r="H4152" s="11" t="s">
        <v>151</v>
      </c>
      <c r="I4152" s="14" t="s">
        <v>546</v>
      </c>
      <c r="J4152" s="14" t="s">
        <v>138</v>
      </c>
      <c r="K4152" s="15" t="s">
        <v>47</v>
      </c>
      <c r="L4152" s="14" t="s">
        <v>4354</v>
      </c>
      <c r="M4152" s="14"/>
      <c r="N4152" s="14" t="s">
        <v>154</v>
      </c>
      <c r="O4152" s="14"/>
      <c r="P4152" s="15" t="s">
        <v>4355</v>
      </c>
      <c r="Q4152" s="16">
        <v>13990</v>
      </c>
      <c r="R4152" s="17">
        <v>50</v>
      </c>
      <c r="S4152" s="18">
        <v>8044.2499999999991</v>
      </c>
      <c r="T4152" s="19" t="s">
        <v>328</v>
      </c>
      <c r="U4152" s="20" t="s">
        <v>413</v>
      </c>
      <c r="V4152" s="21">
        <v>39</v>
      </c>
      <c r="W4152" s="21">
        <v>1</v>
      </c>
      <c r="X4152" s="22"/>
    </row>
    <row r="4153" spans="1:24" s="1" customFormat="1" ht="21" customHeight="1" x14ac:dyDescent="0.3">
      <c r="A4153" s="11" t="s">
        <v>3183</v>
      </c>
      <c r="B4153" s="11" t="s">
        <v>4329</v>
      </c>
      <c r="C4153" s="27" t="s">
        <v>4356</v>
      </c>
      <c r="D4153" s="83"/>
      <c r="E4153" s="69" t="str">
        <f>HYPERLINK("https://www.google.ru/search?q=D65YZB00021C7008&amp;newwindow=1&amp;tbm=isch","Еще фото")</f>
        <v>Еще фото</v>
      </c>
      <c r="F4153" s="13"/>
      <c r="G4153" s="11" t="s">
        <v>1224</v>
      </c>
      <c r="H4153" s="11" t="s">
        <v>151</v>
      </c>
      <c r="I4153" s="14" t="s">
        <v>546</v>
      </c>
      <c r="J4153" s="14" t="s">
        <v>138</v>
      </c>
      <c r="K4153" s="15" t="s">
        <v>47</v>
      </c>
      <c r="L4153" s="86"/>
      <c r="M4153" s="14"/>
      <c r="N4153" s="14" t="s">
        <v>275</v>
      </c>
      <c r="O4153" s="14"/>
      <c r="P4153" s="15" t="s">
        <v>4357</v>
      </c>
      <c r="Q4153" s="16">
        <v>19490</v>
      </c>
      <c r="R4153" s="17">
        <v>50</v>
      </c>
      <c r="S4153" s="18">
        <v>11206.75</v>
      </c>
      <c r="T4153" s="19" t="s">
        <v>328</v>
      </c>
      <c r="U4153" s="20" t="s">
        <v>409</v>
      </c>
      <c r="V4153" s="21">
        <v>37</v>
      </c>
      <c r="W4153" s="21">
        <v>2</v>
      </c>
      <c r="X4153" s="22"/>
    </row>
    <row r="4154" spans="1:24" s="1" customFormat="1" ht="21" customHeight="1" x14ac:dyDescent="0.3">
      <c r="A4154" s="23" t="s">
        <v>3183</v>
      </c>
      <c r="B4154" s="23" t="s">
        <v>4329</v>
      </c>
      <c r="C4154" s="28" t="s">
        <v>4356</v>
      </c>
      <c r="D4154" s="84"/>
      <c r="E4154" s="69" t="str">
        <f>HYPERLINK("https://www.google.ru/search?q=D65YZB00021C7008&amp;newwindow=1&amp;tbm=isch","Еще фото")</f>
        <v>Еще фото</v>
      </c>
      <c r="F4154" s="13"/>
      <c r="G4154" s="23" t="s">
        <v>1224</v>
      </c>
      <c r="H4154" s="23" t="s">
        <v>151</v>
      </c>
      <c r="I4154" s="23" t="s">
        <v>546</v>
      </c>
      <c r="J4154" s="14" t="s">
        <v>138</v>
      </c>
      <c r="K4154" s="15" t="s">
        <v>47</v>
      </c>
      <c r="L4154" s="87"/>
      <c r="M4154" s="14"/>
      <c r="N4154" s="14" t="s">
        <v>275</v>
      </c>
      <c r="O4154" s="14"/>
      <c r="P4154" s="15" t="s">
        <v>4357</v>
      </c>
      <c r="Q4154" s="16">
        <v>19490</v>
      </c>
      <c r="R4154" s="17">
        <v>50</v>
      </c>
      <c r="S4154" s="18">
        <v>11206.75</v>
      </c>
      <c r="T4154" s="19" t="s">
        <v>328</v>
      </c>
      <c r="U4154" s="20" t="s">
        <v>426</v>
      </c>
      <c r="V4154" s="21">
        <v>38</v>
      </c>
      <c r="W4154" s="21">
        <v>2</v>
      </c>
      <c r="X4154" s="22"/>
    </row>
    <row r="4155" spans="1:24" s="1" customFormat="1" ht="21" customHeight="1" x14ac:dyDescent="0.3">
      <c r="A4155" s="23" t="s">
        <v>3183</v>
      </c>
      <c r="B4155" s="23" t="s">
        <v>4329</v>
      </c>
      <c r="C4155" s="28" t="s">
        <v>4356</v>
      </c>
      <c r="D4155" s="84"/>
      <c r="E4155" s="69" t="str">
        <f>HYPERLINK("https://www.google.ru/search?q=D65YZB00021C7008&amp;newwindow=1&amp;tbm=isch","Еще фото")</f>
        <v>Еще фото</v>
      </c>
      <c r="F4155" s="13"/>
      <c r="G4155" s="23" t="s">
        <v>1224</v>
      </c>
      <c r="H4155" s="23" t="s">
        <v>151</v>
      </c>
      <c r="I4155" s="23" t="s">
        <v>546</v>
      </c>
      <c r="J4155" s="14" t="s">
        <v>138</v>
      </c>
      <c r="K4155" s="15" t="s">
        <v>47</v>
      </c>
      <c r="L4155" s="87"/>
      <c r="M4155" s="14"/>
      <c r="N4155" s="14" t="s">
        <v>275</v>
      </c>
      <c r="O4155" s="14"/>
      <c r="P4155" s="15" t="s">
        <v>4357</v>
      </c>
      <c r="Q4155" s="16">
        <v>19490</v>
      </c>
      <c r="R4155" s="17">
        <v>50</v>
      </c>
      <c r="S4155" s="18">
        <v>11206.75</v>
      </c>
      <c r="T4155" s="19" t="s">
        <v>328</v>
      </c>
      <c r="U4155" s="20" t="s">
        <v>413</v>
      </c>
      <c r="V4155" s="21">
        <v>39</v>
      </c>
      <c r="W4155" s="21">
        <v>3</v>
      </c>
      <c r="X4155" s="22"/>
    </row>
    <row r="4156" spans="1:24" s="1" customFormat="1" ht="21" customHeight="1" x14ac:dyDescent="0.3">
      <c r="A4156" s="23" t="s">
        <v>3183</v>
      </c>
      <c r="B4156" s="23" t="s">
        <v>4329</v>
      </c>
      <c r="C4156" s="28" t="s">
        <v>4356</v>
      </c>
      <c r="D4156" s="84"/>
      <c r="E4156" s="69" t="str">
        <f>HYPERLINK("https://www.google.ru/search?q=D65YZB00021C7008&amp;newwindow=1&amp;tbm=isch","Еще фото")</f>
        <v>Еще фото</v>
      </c>
      <c r="F4156" s="13"/>
      <c r="G4156" s="23" t="s">
        <v>1224</v>
      </c>
      <c r="H4156" s="23" t="s">
        <v>151</v>
      </c>
      <c r="I4156" s="23" t="s">
        <v>546</v>
      </c>
      <c r="J4156" s="14" t="s">
        <v>138</v>
      </c>
      <c r="K4156" s="15" t="s">
        <v>47</v>
      </c>
      <c r="L4156" s="87"/>
      <c r="M4156" s="14"/>
      <c r="N4156" s="14" t="s">
        <v>275</v>
      </c>
      <c r="O4156" s="14"/>
      <c r="P4156" s="15" t="s">
        <v>4357</v>
      </c>
      <c r="Q4156" s="16">
        <v>19490</v>
      </c>
      <c r="R4156" s="17">
        <v>50</v>
      </c>
      <c r="S4156" s="18">
        <v>11206.75</v>
      </c>
      <c r="T4156" s="19" t="s">
        <v>328</v>
      </c>
      <c r="U4156" s="20" t="s">
        <v>399</v>
      </c>
      <c r="V4156" s="21">
        <v>40</v>
      </c>
      <c r="W4156" s="21">
        <v>6</v>
      </c>
      <c r="X4156" s="22"/>
    </row>
    <row r="4157" spans="1:24" s="1" customFormat="1" ht="32.1" customHeight="1" x14ac:dyDescent="0.3">
      <c r="A4157" s="23" t="s">
        <v>3183</v>
      </c>
      <c r="B4157" s="23" t="s">
        <v>4329</v>
      </c>
      <c r="C4157" s="28" t="s">
        <v>4356</v>
      </c>
      <c r="D4157" s="85"/>
      <c r="E4157" s="69" t="str">
        <f>HYPERLINK("https://www.google.ru/search?q=D65YZB00021C7008&amp;newwindow=1&amp;tbm=isch","Еще фото")</f>
        <v>Еще фото</v>
      </c>
      <c r="F4157" s="13"/>
      <c r="G4157" s="23" t="s">
        <v>1224</v>
      </c>
      <c r="H4157" s="23" t="s">
        <v>151</v>
      </c>
      <c r="I4157" s="23" t="s">
        <v>546</v>
      </c>
      <c r="J4157" s="14" t="s">
        <v>138</v>
      </c>
      <c r="K4157" s="15" t="s">
        <v>47</v>
      </c>
      <c r="L4157" s="88"/>
      <c r="M4157" s="14"/>
      <c r="N4157" s="14" t="s">
        <v>275</v>
      </c>
      <c r="O4157" s="14"/>
      <c r="P4157" s="15" t="s">
        <v>4357</v>
      </c>
      <c r="Q4157" s="16">
        <v>19490</v>
      </c>
      <c r="R4157" s="17">
        <v>50</v>
      </c>
      <c r="S4157" s="18">
        <v>11206.75</v>
      </c>
      <c r="T4157" s="19" t="s">
        <v>328</v>
      </c>
      <c r="U4157" s="20" t="s">
        <v>400</v>
      </c>
      <c r="V4157" s="21">
        <v>41</v>
      </c>
      <c r="W4157" s="21">
        <v>1</v>
      </c>
      <c r="X4157" s="22"/>
    </row>
    <row r="4158" spans="1:24" s="1" customFormat="1" ht="108" customHeight="1" x14ac:dyDescent="0.3">
      <c r="A4158" s="11" t="s">
        <v>3183</v>
      </c>
      <c r="B4158" s="11" t="s">
        <v>4307</v>
      </c>
      <c r="C4158" s="12" t="s">
        <v>4358</v>
      </c>
      <c r="D4158" s="24"/>
      <c r="E4158" s="69" t="str">
        <f>HYPERLINK("https://www.google.ru/search?q=J028LB00054C0735&amp;newwindow=1&amp;tbm=isch","Еще фото")</f>
        <v>Еще фото</v>
      </c>
      <c r="F4158" s="13"/>
      <c r="G4158" s="11" t="s">
        <v>1224</v>
      </c>
      <c r="H4158" s="11" t="s">
        <v>151</v>
      </c>
      <c r="I4158" s="14" t="s">
        <v>546</v>
      </c>
      <c r="J4158" s="14" t="s">
        <v>138</v>
      </c>
      <c r="K4158" s="15" t="s">
        <v>30</v>
      </c>
      <c r="L4158" s="14" t="s">
        <v>4309</v>
      </c>
      <c r="M4158" s="14"/>
      <c r="N4158" s="14" t="s">
        <v>70</v>
      </c>
      <c r="O4158" s="14"/>
      <c r="P4158" s="15" t="s">
        <v>4359</v>
      </c>
      <c r="Q4158" s="16">
        <v>7290</v>
      </c>
      <c r="R4158" s="17">
        <v>50</v>
      </c>
      <c r="S4158" s="18">
        <v>4191.75</v>
      </c>
      <c r="T4158" s="19" t="s">
        <v>328</v>
      </c>
      <c r="U4158" s="20" t="s">
        <v>3190</v>
      </c>
      <c r="V4158" s="21">
        <v>31</v>
      </c>
      <c r="W4158" s="21">
        <v>3</v>
      </c>
      <c r="X4158" s="22"/>
    </row>
    <row r="4159" spans="1:24" s="1" customFormat="1" ht="26.1" customHeight="1" x14ac:dyDescent="0.3">
      <c r="A4159" s="11" t="s">
        <v>3183</v>
      </c>
      <c r="B4159" s="11" t="s">
        <v>4307</v>
      </c>
      <c r="C4159" s="12" t="s">
        <v>4360</v>
      </c>
      <c r="D4159" s="83"/>
      <c r="E4159" s="69" t="str">
        <f>HYPERLINK("https://www.google.ru/search?q=J028LB000BCC4380&amp;newwindow=1&amp;tbm=isch","Еще фото")</f>
        <v>Еще фото</v>
      </c>
      <c r="F4159" s="13"/>
      <c r="G4159" s="11" t="s">
        <v>1224</v>
      </c>
      <c r="H4159" s="11" t="s">
        <v>151</v>
      </c>
      <c r="I4159" s="14" t="s">
        <v>546</v>
      </c>
      <c r="J4159" s="14" t="s">
        <v>138</v>
      </c>
      <c r="K4159" s="15" t="s">
        <v>30</v>
      </c>
      <c r="L4159" s="86" t="s">
        <v>4309</v>
      </c>
      <c r="M4159" s="14"/>
      <c r="N4159" s="14" t="s">
        <v>70</v>
      </c>
      <c r="O4159" s="14"/>
      <c r="P4159" s="15" t="s">
        <v>4312</v>
      </c>
      <c r="Q4159" s="16">
        <v>7290</v>
      </c>
      <c r="R4159" s="17">
        <v>50</v>
      </c>
      <c r="S4159" s="18">
        <v>4191.75</v>
      </c>
      <c r="T4159" s="19" t="s">
        <v>328</v>
      </c>
      <c r="U4159" s="20" t="s">
        <v>3190</v>
      </c>
      <c r="V4159" s="21">
        <v>31</v>
      </c>
      <c r="W4159" s="21">
        <v>1</v>
      </c>
      <c r="X4159" s="22"/>
    </row>
    <row r="4160" spans="1:24" s="1" customFormat="1" ht="26.1" customHeight="1" x14ac:dyDescent="0.3">
      <c r="A4160" s="23" t="s">
        <v>3183</v>
      </c>
      <c r="B4160" s="23" t="s">
        <v>4307</v>
      </c>
      <c r="C4160" s="12" t="s">
        <v>4360</v>
      </c>
      <c r="D4160" s="84"/>
      <c r="E4160" s="69" t="str">
        <f>HYPERLINK("https://www.google.ru/search?q=J028LB000BCC4380&amp;newwindow=1&amp;tbm=isch","Еще фото")</f>
        <v>Еще фото</v>
      </c>
      <c r="F4160" s="13"/>
      <c r="G4160" s="23" t="s">
        <v>1224</v>
      </c>
      <c r="H4160" s="23" t="s">
        <v>151</v>
      </c>
      <c r="I4160" s="23" t="s">
        <v>546</v>
      </c>
      <c r="J4160" s="14" t="s">
        <v>138</v>
      </c>
      <c r="K4160" s="15" t="s">
        <v>30</v>
      </c>
      <c r="L4160" s="87"/>
      <c r="M4160" s="14"/>
      <c r="N4160" s="14" t="s">
        <v>70</v>
      </c>
      <c r="O4160" s="14"/>
      <c r="P4160" s="15" t="s">
        <v>4312</v>
      </c>
      <c r="Q4160" s="16">
        <v>7290</v>
      </c>
      <c r="R4160" s="17">
        <v>50</v>
      </c>
      <c r="S4160" s="18">
        <v>4191.75</v>
      </c>
      <c r="T4160" s="19" t="s">
        <v>328</v>
      </c>
      <c r="U4160" s="20" t="s">
        <v>552</v>
      </c>
      <c r="V4160" s="21">
        <v>32</v>
      </c>
      <c r="W4160" s="21">
        <v>4</v>
      </c>
      <c r="X4160" s="22"/>
    </row>
    <row r="4161" spans="1:24" s="1" customFormat="1" ht="26.1" customHeight="1" x14ac:dyDescent="0.3">
      <c r="A4161" s="23" t="s">
        <v>3183</v>
      </c>
      <c r="B4161" s="23" t="s">
        <v>4307</v>
      </c>
      <c r="C4161" s="12" t="s">
        <v>4360</v>
      </c>
      <c r="D4161" s="84"/>
      <c r="E4161" s="69" t="str">
        <f>HYPERLINK("https://www.google.ru/search?q=J028LB000BCC4380&amp;newwindow=1&amp;tbm=isch","Еще фото")</f>
        <v>Еще фото</v>
      </c>
      <c r="F4161" s="13"/>
      <c r="G4161" s="23" t="s">
        <v>1224</v>
      </c>
      <c r="H4161" s="23" t="s">
        <v>151</v>
      </c>
      <c r="I4161" s="23" t="s">
        <v>546</v>
      </c>
      <c r="J4161" s="14" t="s">
        <v>138</v>
      </c>
      <c r="K4161" s="15" t="s">
        <v>30</v>
      </c>
      <c r="L4161" s="87"/>
      <c r="M4161" s="14"/>
      <c r="N4161" s="14" t="s">
        <v>70</v>
      </c>
      <c r="O4161" s="14"/>
      <c r="P4161" s="15" t="s">
        <v>4312</v>
      </c>
      <c r="Q4161" s="16">
        <v>7290</v>
      </c>
      <c r="R4161" s="17">
        <v>50</v>
      </c>
      <c r="S4161" s="18">
        <v>4191.75</v>
      </c>
      <c r="T4161" s="19" t="s">
        <v>328</v>
      </c>
      <c r="U4161" s="20" t="s">
        <v>553</v>
      </c>
      <c r="V4161" s="21">
        <v>33</v>
      </c>
      <c r="W4161" s="21">
        <v>3</v>
      </c>
      <c r="X4161" s="22"/>
    </row>
    <row r="4162" spans="1:24" s="1" customFormat="1" ht="26.1" customHeight="1" x14ac:dyDescent="0.3">
      <c r="A4162" s="23" t="s">
        <v>3183</v>
      </c>
      <c r="B4162" s="23" t="s">
        <v>4307</v>
      </c>
      <c r="C4162" s="12" t="s">
        <v>4360</v>
      </c>
      <c r="D4162" s="85"/>
      <c r="E4162" s="69" t="str">
        <f>HYPERLINK("https://www.google.ru/search?q=J028LB000BCC4380&amp;newwindow=1&amp;tbm=isch","Еще фото")</f>
        <v>Еще фото</v>
      </c>
      <c r="F4162" s="13"/>
      <c r="G4162" s="23" t="s">
        <v>1224</v>
      </c>
      <c r="H4162" s="23" t="s">
        <v>151</v>
      </c>
      <c r="I4162" s="23" t="s">
        <v>546</v>
      </c>
      <c r="J4162" s="14" t="s">
        <v>138</v>
      </c>
      <c r="K4162" s="15" t="s">
        <v>30</v>
      </c>
      <c r="L4162" s="88"/>
      <c r="M4162" s="14"/>
      <c r="N4162" s="14" t="s">
        <v>70</v>
      </c>
      <c r="O4162" s="14"/>
      <c r="P4162" s="15" t="s">
        <v>4312</v>
      </c>
      <c r="Q4162" s="16">
        <v>7290</v>
      </c>
      <c r="R4162" s="17">
        <v>50</v>
      </c>
      <c r="S4162" s="18">
        <v>4191.75</v>
      </c>
      <c r="T4162" s="19" t="s">
        <v>328</v>
      </c>
      <c r="U4162" s="20" t="s">
        <v>554</v>
      </c>
      <c r="V4162" s="21">
        <v>34</v>
      </c>
      <c r="W4162" s="21">
        <v>5</v>
      </c>
      <c r="X4162" s="22"/>
    </row>
    <row r="4163" spans="1:24" s="1" customFormat="1" ht="108" customHeight="1" x14ac:dyDescent="0.3">
      <c r="A4163" s="11" t="s">
        <v>3183</v>
      </c>
      <c r="B4163" s="11" t="s">
        <v>4307</v>
      </c>
      <c r="C4163" s="12" t="s">
        <v>4361</v>
      </c>
      <c r="D4163" s="24"/>
      <c r="E4163" s="69" t="str">
        <f>HYPERLINK("https://www.google.ru/search?q=J028LB000EKC0735&amp;newwindow=1&amp;tbm=isch","Еще фото")</f>
        <v>Еще фото</v>
      </c>
      <c r="F4163" s="13"/>
      <c r="G4163" s="11" t="s">
        <v>1224</v>
      </c>
      <c r="H4163" s="11" t="s">
        <v>151</v>
      </c>
      <c r="I4163" s="14" t="s">
        <v>546</v>
      </c>
      <c r="J4163" s="14" t="s">
        <v>138</v>
      </c>
      <c r="K4163" s="15" t="s">
        <v>30</v>
      </c>
      <c r="L4163" s="14" t="s">
        <v>4309</v>
      </c>
      <c r="M4163" s="14"/>
      <c r="N4163" s="14" t="s">
        <v>70</v>
      </c>
      <c r="O4163" s="14"/>
      <c r="P4163" s="15" t="s">
        <v>4362</v>
      </c>
      <c r="Q4163" s="16">
        <v>7290</v>
      </c>
      <c r="R4163" s="17">
        <v>50</v>
      </c>
      <c r="S4163" s="18">
        <v>4191.75</v>
      </c>
      <c r="T4163" s="19" t="s">
        <v>328</v>
      </c>
      <c r="U4163" s="20" t="s">
        <v>553</v>
      </c>
      <c r="V4163" s="21">
        <v>33</v>
      </c>
      <c r="W4163" s="21">
        <v>2</v>
      </c>
      <c r="X4163" s="22"/>
    </row>
    <row r="4164" spans="1:24" s="1" customFormat="1" ht="26.1" customHeight="1" x14ac:dyDescent="0.3">
      <c r="A4164" s="11" t="s">
        <v>3183</v>
      </c>
      <c r="B4164" s="11" t="s">
        <v>4363</v>
      </c>
      <c r="C4164" s="12" t="s">
        <v>4364</v>
      </c>
      <c r="D4164" s="83"/>
      <c r="E4164" s="69" t="str">
        <f>HYPERLINK("https://www.google.ru/search?q=J256EB0NFEWC1007&amp;newwindow=1&amp;tbm=isch","Еще фото")</f>
        <v>Еще фото</v>
      </c>
      <c r="F4164" s="13"/>
      <c r="G4164" s="11" t="s">
        <v>1224</v>
      </c>
      <c r="H4164" s="11" t="s">
        <v>151</v>
      </c>
      <c r="I4164" s="14" t="s">
        <v>546</v>
      </c>
      <c r="J4164" s="14" t="s">
        <v>138</v>
      </c>
      <c r="K4164" s="15" t="s">
        <v>30</v>
      </c>
      <c r="L4164" s="86" t="s">
        <v>4365</v>
      </c>
      <c r="M4164" s="14"/>
      <c r="N4164" s="14" t="s">
        <v>371</v>
      </c>
      <c r="O4164" s="14"/>
      <c r="P4164" s="15" t="s">
        <v>4366</v>
      </c>
      <c r="Q4164" s="16">
        <v>8190</v>
      </c>
      <c r="R4164" s="17">
        <v>50</v>
      </c>
      <c r="S4164" s="18">
        <v>4709.25</v>
      </c>
      <c r="T4164" s="19" t="s">
        <v>328</v>
      </c>
      <c r="U4164" s="20" t="s">
        <v>3190</v>
      </c>
      <c r="V4164" s="21">
        <v>31</v>
      </c>
      <c r="W4164" s="21">
        <v>2</v>
      </c>
      <c r="X4164" s="22"/>
    </row>
    <row r="4165" spans="1:24" s="1" customFormat="1" ht="26.1" customHeight="1" x14ac:dyDescent="0.3">
      <c r="A4165" s="23" t="s">
        <v>3183</v>
      </c>
      <c r="B4165" s="23" t="s">
        <v>4363</v>
      </c>
      <c r="C4165" s="12" t="s">
        <v>4364</v>
      </c>
      <c r="D4165" s="84"/>
      <c r="E4165" s="69" t="str">
        <f>HYPERLINK("https://www.google.ru/search?q=J256EB0NFEWC1007&amp;newwindow=1&amp;tbm=isch","Еще фото")</f>
        <v>Еще фото</v>
      </c>
      <c r="F4165" s="13"/>
      <c r="G4165" s="23" t="s">
        <v>1224</v>
      </c>
      <c r="H4165" s="23" t="s">
        <v>151</v>
      </c>
      <c r="I4165" s="23" t="s">
        <v>546</v>
      </c>
      <c r="J4165" s="14" t="s">
        <v>138</v>
      </c>
      <c r="K4165" s="15" t="s">
        <v>30</v>
      </c>
      <c r="L4165" s="87"/>
      <c r="M4165" s="14"/>
      <c r="N4165" s="14" t="s">
        <v>371</v>
      </c>
      <c r="O4165" s="14"/>
      <c r="P4165" s="15" t="s">
        <v>4366</v>
      </c>
      <c r="Q4165" s="16">
        <v>8190</v>
      </c>
      <c r="R4165" s="17">
        <v>50</v>
      </c>
      <c r="S4165" s="18">
        <v>4709.25</v>
      </c>
      <c r="T4165" s="19" t="s">
        <v>328</v>
      </c>
      <c r="U4165" s="20" t="s">
        <v>552</v>
      </c>
      <c r="V4165" s="21">
        <v>32</v>
      </c>
      <c r="W4165" s="21">
        <v>9</v>
      </c>
      <c r="X4165" s="22"/>
    </row>
    <row r="4166" spans="1:24" s="1" customFormat="1" ht="26.1" customHeight="1" x14ac:dyDescent="0.3">
      <c r="A4166" s="23" t="s">
        <v>3183</v>
      </c>
      <c r="B4166" s="23" t="s">
        <v>4363</v>
      </c>
      <c r="C4166" s="12" t="s">
        <v>4364</v>
      </c>
      <c r="D4166" s="84"/>
      <c r="E4166" s="69" t="str">
        <f>HYPERLINK("https://www.google.ru/search?q=J256EB0NFEWC1007&amp;newwindow=1&amp;tbm=isch","Еще фото")</f>
        <v>Еще фото</v>
      </c>
      <c r="F4166" s="13"/>
      <c r="G4166" s="23" t="s">
        <v>1224</v>
      </c>
      <c r="H4166" s="23" t="s">
        <v>151</v>
      </c>
      <c r="I4166" s="23" t="s">
        <v>546</v>
      </c>
      <c r="J4166" s="14" t="s">
        <v>138</v>
      </c>
      <c r="K4166" s="15" t="s">
        <v>30</v>
      </c>
      <c r="L4166" s="87"/>
      <c r="M4166" s="14"/>
      <c r="N4166" s="14" t="s">
        <v>371</v>
      </c>
      <c r="O4166" s="14"/>
      <c r="P4166" s="15" t="s">
        <v>4366</v>
      </c>
      <c r="Q4166" s="16">
        <v>8190</v>
      </c>
      <c r="R4166" s="17">
        <v>50</v>
      </c>
      <c r="S4166" s="18">
        <v>4709.25</v>
      </c>
      <c r="T4166" s="19" t="s">
        <v>328</v>
      </c>
      <c r="U4166" s="20" t="s">
        <v>553</v>
      </c>
      <c r="V4166" s="21">
        <v>33</v>
      </c>
      <c r="W4166" s="21">
        <v>8</v>
      </c>
      <c r="X4166" s="22"/>
    </row>
    <row r="4167" spans="1:24" s="1" customFormat="1" ht="26.1" customHeight="1" x14ac:dyDescent="0.3">
      <c r="A4167" s="23" t="s">
        <v>3183</v>
      </c>
      <c r="B4167" s="23" t="s">
        <v>4363</v>
      </c>
      <c r="C4167" s="12" t="s">
        <v>4364</v>
      </c>
      <c r="D4167" s="85"/>
      <c r="E4167" s="69" t="str">
        <f>HYPERLINK("https://www.google.ru/search?q=J256EB0NFEWC1007&amp;newwindow=1&amp;tbm=isch","Еще фото")</f>
        <v>Еще фото</v>
      </c>
      <c r="F4167" s="13"/>
      <c r="G4167" s="23" t="s">
        <v>1224</v>
      </c>
      <c r="H4167" s="23" t="s">
        <v>151</v>
      </c>
      <c r="I4167" s="23" t="s">
        <v>546</v>
      </c>
      <c r="J4167" s="14" t="s">
        <v>138</v>
      </c>
      <c r="K4167" s="15" t="s">
        <v>30</v>
      </c>
      <c r="L4167" s="88"/>
      <c r="M4167" s="14"/>
      <c r="N4167" s="14" t="s">
        <v>371</v>
      </c>
      <c r="O4167" s="14"/>
      <c r="P4167" s="15" t="s">
        <v>4366</v>
      </c>
      <c r="Q4167" s="16">
        <v>8190</v>
      </c>
      <c r="R4167" s="17">
        <v>50</v>
      </c>
      <c r="S4167" s="18">
        <v>4709.25</v>
      </c>
      <c r="T4167" s="19" t="s">
        <v>328</v>
      </c>
      <c r="U4167" s="20" t="s">
        <v>554</v>
      </c>
      <c r="V4167" s="21">
        <v>34</v>
      </c>
      <c r="W4167" s="21">
        <v>1</v>
      </c>
      <c r="X4167" s="22"/>
    </row>
    <row r="4168" spans="1:24" s="1" customFormat="1" ht="108" customHeight="1" x14ac:dyDescent="0.3">
      <c r="A4168" s="11" t="s">
        <v>3183</v>
      </c>
      <c r="B4168" s="11" t="s">
        <v>4367</v>
      </c>
      <c r="C4168" s="12" t="s">
        <v>4368</v>
      </c>
      <c r="D4168" s="24"/>
      <c r="E4168" s="69" t="str">
        <f>HYPERLINK("https://www.google.ru/search?q=J35HMA000BCC0659&amp;newwindow=1&amp;tbm=isch","Еще фото")</f>
        <v>Еще фото</v>
      </c>
      <c r="F4168" s="13"/>
      <c r="G4168" s="11" t="s">
        <v>1224</v>
      </c>
      <c r="H4168" s="11" t="s">
        <v>151</v>
      </c>
      <c r="I4168" s="14" t="s">
        <v>546</v>
      </c>
      <c r="J4168" s="14" t="s">
        <v>138</v>
      </c>
      <c r="K4168" s="15" t="s">
        <v>30</v>
      </c>
      <c r="L4168" s="14" t="s">
        <v>4369</v>
      </c>
      <c r="M4168" s="14"/>
      <c r="N4168" s="14" t="s">
        <v>70</v>
      </c>
      <c r="O4168" s="14"/>
      <c r="P4168" s="15" t="s">
        <v>4370</v>
      </c>
      <c r="Q4168" s="16">
        <v>7990</v>
      </c>
      <c r="R4168" s="17">
        <v>50</v>
      </c>
      <c r="S4168" s="18">
        <v>4594.25</v>
      </c>
      <c r="T4168" s="19" t="s">
        <v>328</v>
      </c>
      <c r="U4168" s="20" t="s">
        <v>3190</v>
      </c>
      <c r="V4168" s="21">
        <v>31</v>
      </c>
      <c r="W4168" s="21">
        <v>3</v>
      </c>
      <c r="X4168" s="22"/>
    </row>
    <row r="4169" spans="1:24" s="1" customFormat="1" ht="108" customHeight="1" x14ac:dyDescent="0.3">
      <c r="A4169" s="11" t="s">
        <v>3183</v>
      </c>
      <c r="B4169" s="11" t="s">
        <v>4371</v>
      </c>
      <c r="C4169" s="12" t="s">
        <v>4372</v>
      </c>
      <c r="D4169" s="24"/>
      <c r="E4169" s="69" t="str">
        <f>HYPERLINK("https://www.google.ru/search?q=J458ZD000NFC0459&amp;newwindow=1&amp;tbm=isch","Еще фото")</f>
        <v>Еще фото</v>
      </c>
      <c r="F4169" s="13"/>
      <c r="G4169" s="11" t="s">
        <v>1224</v>
      </c>
      <c r="H4169" s="11" t="s">
        <v>151</v>
      </c>
      <c r="I4169" s="14" t="s">
        <v>546</v>
      </c>
      <c r="J4169" s="14" t="s">
        <v>138</v>
      </c>
      <c r="K4169" s="15" t="s">
        <v>30</v>
      </c>
      <c r="L4169" s="14"/>
      <c r="M4169" s="14"/>
      <c r="N4169" s="14" t="s">
        <v>89</v>
      </c>
      <c r="O4169" s="14"/>
      <c r="P4169" s="15" t="s">
        <v>4373</v>
      </c>
      <c r="Q4169" s="16">
        <v>6490</v>
      </c>
      <c r="R4169" s="17">
        <v>50</v>
      </c>
      <c r="S4169" s="18">
        <v>3731.7499999999995</v>
      </c>
      <c r="T4169" s="19" t="s">
        <v>328</v>
      </c>
      <c r="U4169" s="20" t="s">
        <v>554</v>
      </c>
      <c r="V4169" s="21">
        <v>34</v>
      </c>
      <c r="W4169" s="21">
        <v>1</v>
      </c>
      <c r="X4169" s="22"/>
    </row>
    <row r="4170" spans="1:24" s="1" customFormat="1" ht="51.95" customHeight="1" x14ac:dyDescent="0.3">
      <c r="A4170" s="11" t="s">
        <v>3183</v>
      </c>
      <c r="B4170" s="11" t="s">
        <v>4313</v>
      </c>
      <c r="C4170" s="12" t="s">
        <v>4374</v>
      </c>
      <c r="D4170" s="89"/>
      <c r="E4170" s="69" t="str">
        <f>HYPERLINK("https://www.google.ru/search?q=J45GQE00050C4002&amp;newwindow=1&amp;tbm=isch","Еще фото")</f>
        <v>Еще фото</v>
      </c>
      <c r="F4170" s="13"/>
      <c r="G4170" s="11" t="s">
        <v>1224</v>
      </c>
      <c r="H4170" s="11" t="s">
        <v>151</v>
      </c>
      <c r="I4170" s="14" t="s">
        <v>546</v>
      </c>
      <c r="J4170" s="14" t="s">
        <v>138</v>
      </c>
      <c r="K4170" s="15" t="s">
        <v>30</v>
      </c>
      <c r="L4170" s="86" t="s">
        <v>4315</v>
      </c>
      <c r="M4170" s="14"/>
      <c r="N4170" s="14" t="s">
        <v>70</v>
      </c>
      <c r="O4170" s="14"/>
      <c r="P4170" s="15" t="s">
        <v>4317</v>
      </c>
      <c r="Q4170" s="16">
        <v>4590</v>
      </c>
      <c r="R4170" s="17">
        <v>50</v>
      </c>
      <c r="S4170" s="18">
        <v>2639.25</v>
      </c>
      <c r="T4170" s="19" t="s">
        <v>328</v>
      </c>
      <c r="U4170" s="20" t="s">
        <v>142</v>
      </c>
      <c r="V4170" s="21">
        <v>28</v>
      </c>
      <c r="W4170" s="21">
        <v>1</v>
      </c>
      <c r="X4170" s="22"/>
    </row>
    <row r="4171" spans="1:24" s="1" customFormat="1" ht="60.95" customHeight="1" x14ac:dyDescent="0.3">
      <c r="A4171" s="23" t="s">
        <v>3183</v>
      </c>
      <c r="B4171" s="23" t="s">
        <v>4313</v>
      </c>
      <c r="C4171" s="12" t="s">
        <v>4374</v>
      </c>
      <c r="D4171" s="90"/>
      <c r="E4171" s="69" t="str">
        <f>HYPERLINK("https://www.google.ru/search?q=J45GQE00050C4002&amp;newwindow=1&amp;tbm=isch","Еще фото")</f>
        <v>Еще фото</v>
      </c>
      <c r="F4171" s="13"/>
      <c r="G4171" s="23" t="s">
        <v>1224</v>
      </c>
      <c r="H4171" s="23" t="s">
        <v>151</v>
      </c>
      <c r="I4171" s="23" t="s">
        <v>546</v>
      </c>
      <c r="J4171" s="14" t="s">
        <v>138</v>
      </c>
      <c r="K4171" s="15" t="s">
        <v>30</v>
      </c>
      <c r="L4171" s="88"/>
      <c r="M4171" s="14"/>
      <c r="N4171" s="14" t="s">
        <v>70</v>
      </c>
      <c r="O4171" s="14"/>
      <c r="P4171" s="15" t="s">
        <v>4317</v>
      </c>
      <c r="Q4171" s="16">
        <v>4590</v>
      </c>
      <c r="R4171" s="17">
        <v>50</v>
      </c>
      <c r="S4171" s="18">
        <v>2639.25</v>
      </c>
      <c r="T4171" s="19" t="s">
        <v>328</v>
      </c>
      <c r="U4171" s="20" t="s">
        <v>550</v>
      </c>
      <c r="V4171" s="21">
        <v>29</v>
      </c>
      <c r="W4171" s="21">
        <v>1</v>
      </c>
      <c r="X4171" s="22"/>
    </row>
    <row r="4172" spans="1:24" s="1" customFormat="1" ht="51.95" customHeight="1" x14ac:dyDescent="0.3">
      <c r="A4172" s="11" t="s">
        <v>3183</v>
      </c>
      <c r="B4172" s="11" t="s">
        <v>4303</v>
      </c>
      <c r="C4172" s="12" t="s">
        <v>4375</v>
      </c>
      <c r="D4172" s="89"/>
      <c r="E4172" s="69" t="str">
        <f>HYPERLINK("https://www.google.ru/search?q=J5235D000BCC0761&amp;newwindow=1&amp;tbm=isch","Еще фото")</f>
        <v>Еще фото</v>
      </c>
      <c r="F4172" s="13"/>
      <c r="G4172" s="11" t="s">
        <v>1224</v>
      </c>
      <c r="H4172" s="11" t="s">
        <v>151</v>
      </c>
      <c r="I4172" s="14" t="s">
        <v>546</v>
      </c>
      <c r="J4172" s="14" t="s">
        <v>138</v>
      </c>
      <c r="K4172" s="15" t="s">
        <v>30</v>
      </c>
      <c r="L4172" s="86" t="s">
        <v>4305</v>
      </c>
      <c r="M4172" s="14"/>
      <c r="N4172" s="14" t="s">
        <v>89</v>
      </c>
      <c r="O4172" s="14"/>
      <c r="P4172" s="15" t="s">
        <v>4376</v>
      </c>
      <c r="Q4172" s="16">
        <v>7290</v>
      </c>
      <c r="R4172" s="17">
        <v>50</v>
      </c>
      <c r="S4172" s="18">
        <v>4191.75</v>
      </c>
      <c r="T4172" s="19" t="s">
        <v>328</v>
      </c>
      <c r="U4172" s="20" t="s">
        <v>552</v>
      </c>
      <c r="V4172" s="21">
        <v>32</v>
      </c>
      <c r="W4172" s="21">
        <v>6</v>
      </c>
      <c r="X4172" s="22"/>
    </row>
    <row r="4173" spans="1:24" s="1" customFormat="1" ht="60.95" customHeight="1" x14ac:dyDescent="0.3">
      <c r="A4173" s="23" t="s">
        <v>3183</v>
      </c>
      <c r="B4173" s="23" t="s">
        <v>4303</v>
      </c>
      <c r="C4173" s="12" t="s">
        <v>4375</v>
      </c>
      <c r="D4173" s="90"/>
      <c r="E4173" s="69" t="str">
        <f>HYPERLINK("https://www.google.ru/search?q=J5235D000BCC0761&amp;newwindow=1&amp;tbm=isch","Еще фото")</f>
        <v>Еще фото</v>
      </c>
      <c r="F4173" s="13"/>
      <c r="G4173" s="23" t="s">
        <v>1224</v>
      </c>
      <c r="H4173" s="23" t="s">
        <v>151</v>
      </c>
      <c r="I4173" s="23" t="s">
        <v>546</v>
      </c>
      <c r="J4173" s="14" t="s">
        <v>138</v>
      </c>
      <c r="K4173" s="15" t="s">
        <v>30</v>
      </c>
      <c r="L4173" s="88"/>
      <c r="M4173" s="14"/>
      <c r="N4173" s="14" t="s">
        <v>89</v>
      </c>
      <c r="O4173" s="14"/>
      <c r="P4173" s="15" t="s">
        <v>4376</v>
      </c>
      <c r="Q4173" s="16">
        <v>7290</v>
      </c>
      <c r="R4173" s="17">
        <v>50</v>
      </c>
      <c r="S4173" s="18">
        <v>4191.75</v>
      </c>
      <c r="T4173" s="19" t="s">
        <v>328</v>
      </c>
      <c r="U4173" s="20" t="s">
        <v>553</v>
      </c>
      <c r="V4173" s="21">
        <v>33</v>
      </c>
      <c r="W4173" s="21">
        <v>10</v>
      </c>
      <c r="X4173" s="22"/>
    </row>
    <row r="4174" spans="1:24" s="1" customFormat="1" ht="51.95" customHeight="1" x14ac:dyDescent="0.3">
      <c r="A4174" s="11" t="s">
        <v>3183</v>
      </c>
      <c r="B4174" s="11" t="s">
        <v>4377</v>
      </c>
      <c r="C4174" s="12" t="s">
        <v>4378</v>
      </c>
      <c r="D4174" s="89"/>
      <c r="E4174" s="69" t="str">
        <f>HYPERLINK("https://www.google.ru/search?q=J5235D000NFC8002&amp;newwindow=1&amp;tbm=isch","Еще фото")</f>
        <v>Еще фото</v>
      </c>
      <c r="F4174" s="13"/>
      <c r="G4174" s="11" t="s">
        <v>1224</v>
      </c>
      <c r="H4174" s="11" t="s">
        <v>151</v>
      </c>
      <c r="I4174" s="14" t="s">
        <v>546</v>
      </c>
      <c r="J4174" s="14" t="s">
        <v>138</v>
      </c>
      <c r="K4174" s="15" t="s">
        <v>30</v>
      </c>
      <c r="L4174" s="86" t="s">
        <v>4379</v>
      </c>
      <c r="M4174" s="14"/>
      <c r="N4174" s="14" t="s">
        <v>275</v>
      </c>
      <c r="O4174" s="14"/>
      <c r="P4174" s="15" t="s">
        <v>4380</v>
      </c>
      <c r="Q4174" s="16">
        <v>7290</v>
      </c>
      <c r="R4174" s="17">
        <v>50</v>
      </c>
      <c r="S4174" s="18">
        <v>4191.75</v>
      </c>
      <c r="T4174" s="19" t="s">
        <v>328</v>
      </c>
      <c r="U4174" s="20" t="s">
        <v>552</v>
      </c>
      <c r="V4174" s="21">
        <v>32</v>
      </c>
      <c r="W4174" s="21">
        <v>2</v>
      </c>
      <c r="X4174" s="22"/>
    </row>
    <row r="4175" spans="1:24" s="1" customFormat="1" ht="60.95" customHeight="1" x14ac:dyDescent="0.3">
      <c r="A4175" s="23" t="s">
        <v>3183</v>
      </c>
      <c r="B4175" s="23" t="s">
        <v>4377</v>
      </c>
      <c r="C4175" s="12" t="s">
        <v>4378</v>
      </c>
      <c r="D4175" s="90"/>
      <c r="E4175" s="69" t="str">
        <f>HYPERLINK("https://www.google.ru/search?q=J5235D000NFC8002&amp;newwindow=1&amp;tbm=isch","Еще фото")</f>
        <v>Еще фото</v>
      </c>
      <c r="F4175" s="13"/>
      <c r="G4175" s="23" t="s">
        <v>1224</v>
      </c>
      <c r="H4175" s="23" t="s">
        <v>151</v>
      </c>
      <c r="I4175" s="23" t="s">
        <v>546</v>
      </c>
      <c r="J4175" s="14" t="s">
        <v>138</v>
      </c>
      <c r="K4175" s="15" t="s">
        <v>30</v>
      </c>
      <c r="L4175" s="88"/>
      <c r="M4175" s="14"/>
      <c r="N4175" s="14" t="s">
        <v>275</v>
      </c>
      <c r="O4175" s="14"/>
      <c r="P4175" s="15" t="s">
        <v>4380</v>
      </c>
      <c r="Q4175" s="16">
        <v>7290</v>
      </c>
      <c r="R4175" s="17">
        <v>50</v>
      </c>
      <c r="S4175" s="18">
        <v>4191.75</v>
      </c>
      <c r="T4175" s="19" t="s">
        <v>328</v>
      </c>
      <c r="U4175" s="20" t="s">
        <v>553</v>
      </c>
      <c r="V4175" s="21">
        <v>33</v>
      </c>
      <c r="W4175" s="21">
        <v>4</v>
      </c>
      <c r="X4175" s="22"/>
    </row>
    <row r="4176" spans="1:24" s="1" customFormat="1" ht="35.1" customHeight="1" x14ac:dyDescent="0.3">
      <c r="A4176" s="11" t="s">
        <v>3183</v>
      </c>
      <c r="B4176" s="11" t="s">
        <v>4381</v>
      </c>
      <c r="C4176" s="12" t="s">
        <v>4382</v>
      </c>
      <c r="D4176" s="83"/>
      <c r="E4176" s="69" t="str">
        <f>HYPERLINK("https://www.google.ru/search?q=J556EA0BCEWC0262&amp;newwindow=1&amp;tbm=isch","Еще фото")</f>
        <v>Еще фото</v>
      </c>
      <c r="F4176" s="13"/>
      <c r="G4176" s="11" t="s">
        <v>1224</v>
      </c>
      <c r="H4176" s="11" t="s">
        <v>151</v>
      </c>
      <c r="I4176" s="14" t="s">
        <v>546</v>
      </c>
      <c r="J4176" s="14" t="s">
        <v>138</v>
      </c>
      <c r="K4176" s="15" t="s">
        <v>30</v>
      </c>
      <c r="L4176" s="86" t="s">
        <v>4383</v>
      </c>
      <c r="M4176" s="14"/>
      <c r="N4176" s="14" t="s">
        <v>326</v>
      </c>
      <c r="O4176" s="14"/>
      <c r="P4176" s="15" t="s">
        <v>1474</v>
      </c>
      <c r="Q4176" s="16">
        <v>8190</v>
      </c>
      <c r="R4176" s="17">
        <v>50</v>
      </c>
      <c r="S4176" s="18">
        <v>4709.25</v>
      </c>
      <c r="T4176" s="19" t="s">
        <v>328</v>
      </c>
      <c r="U4176" s="20" t="s">
        <v>3190</v>
      </c>
      <c r="V4176" s="21">
        <v>31</v>
      </c>
      <c r="W4176" s="21">
        <v>2</v>
      </c>
      <c r="X4176" s="22"/>
    </row>
    <row r="4177" spans="1:24" s="1" customFormat="1" ht="35.1" customHeight="1" x14ac:dyDescent="0.3">
      <c r="A4177" s="23" t="s">
        <v>3183</v>
      </c>
      <c r="B4177" s="23" t="s">
        <v>4381</v>
      </c>
      <c r="C4177" s="12" t="s">
        <v>4382</v>
      </c>
      <c r="D4177" s="84"/>
      <c r="E4177" s="69" t="str">
        <f>HYPERLINK("https://www.google.ru/search?q=J556EA0BCEWC0262&amp;newwindow=1&amp;tbm=isch","Еще фото")</f>
        <v>Еще фото</v>
      </c>
      <c r="F4177" s="13"/>
      <c r="G4177" s="23" t="s">
        <v>1224</v>
      </c>
      <c r="H4177" s="23" t="s">
        <v>151</v>
      </c>
      <c r="I4177" s="23" t="s">
        <v>546</v>
      </c>
      <c r="J4177" s="14" t="s">
        <v>138</v>
      </c>
      <c r="K4177" s="15" t="s">
        <v>30</v>
      </c>
      <c r="L4177" s="87"/>
      <c r="M4177" s="14"/>
      <c r="N4177" s="14" t="s">
        <v>326</v>
      </c>
      <c r="O4177" s="14"/>
      <c r="P4177" s="15" t="s">
        <v>1474</v>
      </c>
      <c r="Q4177" s="16">
        <v>8190</v>
      </c>
      <c r="R4177" s="17">
        <v>50</v>
      </c>
      <c r="S4177" s="18">
        <v>4709.25</v>
      </c>
      <c r="T4177" s="19" t="s">
        <v>328</v>
      </c>
      <c r="U4177" s="20" t="s">
        <v>553</v>
      </c>
      <c r="V4177" s="21">
        <v>33</v>
      </c>
      <c r="W4177" s="21">
        <v>3</v>
      </c>
      <c r="X4177" s="22"/>
    </row>
    <row r="4178" spans="1:24" s="1" customFormat="1" ht="36.950000000000003" customHeight="1" x14ac:dyDescent="0.3">
      <c r="A4178" s="23" t="s">
        <v>3183</v>
      </c>
      <c r="B4178" s="23" t="s">
        <v>4381</v>
      </c>
      <c r="C4178" s="12" t="s">
        <v>4382</v>
      </c>
      <c r="D4178" s="85"/>
      <c r="E4178" s="69" t="str">
        <f>HYPERLINK("https://www.google.ru/search?q=J556EA0BCEWC0262&amp;newwindow=1&amp;tbm=isch","Еще фото")</f>
        <v>Еще фото</v>
      </c>
      <c r="F4178" s="13"/>
      <c r="G4178" s="23" t="s">
        <v>1224</v>
      </c>
      <c r="H4178" s="23" t="s">
        <v>151</v>
      </c>
      <c r="I4178" s="23" t="s">
        <v>546</v>
      </c>
      <c r="J4178" s="14" t="s">
        <v>138</v>
      </c>
      <c r="K4178" s="15" t="s">
        <v>30</v>
      </c>
      <c r="L4178" s="88"/>
      <c r="M4178" s="14"/>
      <c r="N4178" s="14" t="s">
        <v>326</v>
      </c>
      <c r="O4178" s="14"/>
      <c r="P4178" s="15" t="s">
        <v>1474</v>
      </c>
      <c r="Q4178" s="16">
        <v>8190</v>
      </c>
      <c r="R4178" s="17">
        <v>50</v>
      </c>
      <c r="S4178" s="18">
        <v>4709.25</v>
      </c>
      <c r="T4178" s="19" t="s">
        <v>328</v>
      </c>
      <c r="U4178" s="20" t="s">
        <v>554</v>
      </c>
      <c r="V4178" s="21">
        <v>34</v>
      </c>
      <c r="W4178" s="21">
        <v>2</v>
      </c>
      <c r="X4178" s="22"/>
    </row>
    <row r="4179" spans="1:24" s="1" customFormat="1" ht="26.1" customHeight="1" x14ac:dyDescent="0.3">
      <c r="A4179" s="11" t="s">
        <v>3183</v>
      </c>
      <c r="B4179" s="11" t="s">
        <v>4384</v>
      </c>
      <c r="C4179" s="12" t="s">
        <v>4385</v>
      </c>
      <c r="D4179" s="83"/>
      <c r="E4179" s="69" t="str">
        <f>HYPERLINK("https://www.google.ru/search?q=J55F1G015MEC0700&amp;newwindow=1&amp;tbm=isch","Еще фото")</f>
        <v>Еще фото</v>
      </c>
      <c r="F4179" s="13"/>
      <c r="G4179" s="11" t="s">
        <v>1224</v>
      </c>
      <c r="H4179" s="11" t="s">
        <v>151</v>
      </c>
      <c r="I4179" s="14" t="s">
        <v>546</v>
      </c>
      <c r="J4179" s="14" t="s">
        <v>138</v>
      </c>
      <c r="K4179" s="15" t="s">
        <v>30</v>
      </c>
      <c r="L4179" s="86" t="s">
        <v>4386</v>
      </c>
      <c r="M4179" s="14"/>
      <c r="N4179" s="14" t="s">
        <v>3869</v>
      </c>
      <c r="O4179" s="14"/>
      <c r="P4179" s="15" t="s">
        <v>4387</v>
      </c>
      <c r="Q4179" s="16">
        <v>7499</v>
      </c>
      <c r="R4179" s="17">
        <v>50</v>
      </c>
      <c r="S4179" s="18">
        <v>4311.9249999999993</v>
      </c>
      <c r="T4179" s="19" t="s">
        <v>328</v>
      </c>
      <c r="U4179" s="20" t="s">
        <v>3190</v>
      </c>
      <c r="V4179" s="21">
        <v>31</v>
      </c>
      <c r="W4179" s="21">
        <v>1</v>
      </c>
      <c r="X4179" s="22"/>
    </row>
    <row r="4180" spans="1:24" s="1" customFormat="1" ht="26.1" customHeight="1" x14ac:dyDescent="0.3">
      <c r="A4180" s="23" t="s">
        <v>3183</v>
      </c>
      <c r="B4180" s="23" t="s">
        <v>4384</v>
      </c>
      <c r="C4180" s="12" t="s">
        <v>4385</v>
      </c>
      <c r="D4180" s="84"/>
      <c r="E4180" s="69" t="str">
        <f>HYPERLINK("https://www.google.ru/search?q=J55F1G015MEC0700&amp;newwindow=1&amp;tbm=isch","Еще фото")</f>
        <v>Еще фото</v>
      </c>
      <c r="F4180" s="13"/>
      <c r="G4180" s="23" t="s">
        <v>1224</v>
      </c>
      <c r="H4180" s="23" t="s">
        <v>151</v>
      </c>
      <c r="I4180" s="23" t="s">
        <v>546</v>
      </c>
      <c r="J4180" s="14" t="s">
        <v>138</v>
      </c>
      <c r="K4180" s="15" t="s">
        <v>30</v>
      </c>
      <c r="L4180" s="87"/>
      <c r="M4180" s="14"/>
      <c r="N4180" s="14" t="s">
        <v>3869</v>
      </c>
      <c r="O4180" s="14"/>
      <c r="P4180" s="15" t="s">
        <v>4387</v>
      </c>
      <c r="Q4180" s="16">
        <v>7499</v>
      </c>
      <c r="R4180" s="17">
        <v>50</v>
      </c>
      <c r="S4180" s="18">
        <v>4311.9249999999993</v>
      </c>
      <c r="T4180" s="19" t="s">
        <v>328</v>
      </c>
      <c r="U4180" s="20" t="s">
        <v>552</v>
      </c>
      <c r="V4180" s="21">
        <v>32</v>
      </c>
      <c r="W4180" s="21">
        <v>3</v>
      </c>
      <c r="X4180" s="22"/>
    </row>
    <row r="4181" spans="1:24" s="1" customFormat="1" ht="26.1" customHeight="1" x14ac:dyDescent="0.3">
      <c r="A4181" s="23" t="s">
        <v>3183</v>
      </c>
      <c r="B4181" s="23" t="s">
        <v>4384</v>
      </c>
      <c r="C4181" s="12" t="s">
        <v>4385</v>
      </c>
      <c r="D4181" s="84"/>
      <c r="E4181" s="69" t="str">
        <f>HYPERLINK("https://www.google.ru/search?q=J55F1G015MEC0700&amp;newwindow=1&amp;tbm=isch","Еще фото")</f>
        <v>Еще фото</v>
      </c>
      <c r="F4181" s="13"/>
      <c r="G4181" s="23" t="s">
        <v>1224</v>
      </c>
      <c r="H4181" s="23" t="s">
        <v>151</v>
      </c>
      <c r="I4181" s="23" t="s">
        <v>546</v>
      </c>
      <c r="J4181" s="14" t="s">
        <v>138</v>
      </c>
      <c r="K4181" s="15" t="s">
        <v>30</v>
      </c>
      <c r="L4181" s="87"/>
      <c r="M4181" s="14"/>
      <c r="N4181" s="14" t="s">
        <v>3869</v>
      </c>
      <c r="O4181" s="14"/>
      <c r="P4181" s="15" t="s">
        <v>4387</v>
      </c>
      <c r="Q4181" s="16">
        <v>7499</v>
      </c>
      <c r="R4181" s="17">
        <v>50</v>
      </c>
      <c r="S4181" s="18">
        <v>4311.9249999999993</v>
      </c>
      <c r="T4181" s="19" t="s">
        <v>328</v>
      </c>
      <c r="U4181" s="20" t="s">
        <v>553</v>
      </c>
      <c r="V4181" s="21">
        <v>33</v>
      </c>
      <c r="W4181" s="21">
        <v>3</v>
      </c>
      <c r="X4181" s="22"/>
    </row>
    <row r="4182" spans="1:24" s="1" customFormat="1" ht="26.1" customHeight="1" x14ac:dyDescent="0.3">
      <c r="A4182" s="23" t="s">
        <v>3183</v>
      </c>
      <c r="B4182" s="23" t="s">
        <v>4384</v>
      </c>
      <c r="C4182" s="12" t="s">
        <v>4385</v>
      </c>
      <c r="D4182" s="85"/>
      <c r="E4182" s="69" t="str">
        <f>HYPERLINK("https://www.google.ru/search?q=J55F1G015MEC0700&amp;newwindow=1&amp;tbm=isch","Еще фото")</f>
        <v>Еще фото</v>
      </c>
      <c r="F4182" s="13"/>
      <c r="G4182" s="23" t="s">
        <v>1224</v>
      </c>
      <c r="H4182" s="23" t="s">
        <v>151</v>
      </c>
      <c r="I4182" s="23" t="s">
        <v>546</v>
      </c>
      <c r="J4182" s="14" t="s">
        <v>138</v>
      </c>
      <c r="K4182" s="15" t="s">
        <v>30</v>
      </c>
      <c r="L4182" s="88"/>
      <c r="M4182" s="14"/>
      <c r="N4182" s="14" t="s">
        <v>3869</v>
      </c>
      <c r="O4182" s="14"/>
      <c r="P4182" s="15" t="s">
        <v>4387</v>
      </c>
      <c r="Q4182" s="16">
        <v>7499</v>
      </c>
      <c r="R4182" s="17">
        <v>50</v>
      </c>
      <c r="S4182" s="18">
        <v>4311.9249999999993</v>
      </c>
      <c r="T4182" s="19" t="s">
        <v>328</v>
      </c>
      <c r="U4182" s="20" t="s">
        <v>554</v>
      </c>
      <c r="V4182" s="21">
        <v>34</v>
      </c>
      <c r="W4182" s="21">
        <v>1</v>
      </c>
      <c r="X4182" s="22"/>
    </row>
    <row r="4183" spans="1:24" s="1" customFormat="1" ht="26.1" customHeight="1" x14ac:dyDescent="0.3">
      <c r="A4183" s="11" t="s">
        <v>3183</v>
      </c>
      <c r="B4183" s="11" t="s">
        <v>4388</v>
      </c>
      <c r="C4183" s="12" t="s">
        <v>4389</v>
      </c>
      <c r="D4183" s="83"/>
      <c r="E4183" s="69" t="str">
        <f>HYPERLINK("https://www.google.ru/search?q=U159VB00032C4002&amp;newwindow=1&amp;tbm=isch","Еще фото")</f>
        <v>Еще фото</v>
      </c>
      <c r="F4183" s="13"/>
      <c r="G4183" s="11" t="s">
        <v>1224</v>
      </c>
      <c r="H4183" s="11" t="s">
        <v>151</v>
      </c>
      <c r="I4183" s="14" t="s">
        <v>546</v>
      </c>
      <c r="J4183" s="14" t="s">
        <v>29</v>
      </c>
      <c r="K4183" s="15" t="s">
        <v>55</v>
      </c>
      <c r="L4183" s="86" t="s">
        <v>4390</v>
      </c>
      <c r="M4183" s="14"/>
      <c r="N4183" s="14" t="s">
        <v>70</v>
      </c>
      <c r="O4183" s="14"/>
      <c r="P4183" s="15" t="s">
        <v>4391</v>
      </c>
      <c r="Q4183" s="16">
        <v>12590</v>
      </c>
      <c r="R4183" s="17">
        <v>50</v>
      </c>
      <c r="S4183" s="18">
        <v>7239.2499999999991</v>
      </c>
      <c r="T4183" s="19" t="s">
        <v>328</v>
      </c>
      <c r="U4183" s="20" t="s">
        <v>399</v>
      </c>
      <c r="V4183" s="21">
        <v>40</v>
      </c>
      <c r="W4183" s="21">
        <v>3</v>
      </c>
      <c r="X4183" s="22"/>
    </row>
    <row r="4184" spans="1:24" s="1" customFormat="1" ht="26.1" customHeight="1" x14ac:dyDescent="0.3">
      <c r="A4184" s="23" t="s">
        <v>3183</v>
      </c>
      <c r="B4184" s="23" t="s">
        <v>4388</v>
      </c>
      <c r="C4184" s="12" t="s">
        <v>4389</v>
      </c>
      <c r="D4184" s="84"/>
      <c r="E4184" s="69" t="str">
        <f>HYPERLINK("https://www.google.ru/search?q=U159VB00032C4002&amp;newwindow=1&amp;tbm=isch","Еще фото")</f>
        <v>Еще фото</v>
      </c>
      <c r="F4184" s="13"/>
      <c r="G4184" s="23" t="s">
        <v>1224</v>
      </c>
      <c r="H4184" s="23" t="s">
        <v>151</v>
      </c>
      <c r="I4184" s="23" t="s">
        <v>546</v>
      </c>
      <c r="J4184" s="14" t="s">
        <v>29</v>
      </c>
      <c r="K4184" s="15" t="s">
        <v>55</v>
      </c>
      <c r="L4184" s="87"/>
      <c r="M4184" s="14"/>
      <c r="N4184" s="14" t="s">
        <v>70</v>
      </c>
      <c r="O4184" s="14"/>
      <c r="P4184" s="15" t="s">
        <v>4391</v>
      </c>
      <c r="Q4184" s="16">
        <v>12590</v>
      </c>
      <c r="R4184" s="17">
        <v>50</v>
      </c>
      <c r="S4184" s="18">
        <v>7239.2499999999991</v>
      </c>
      <c r="T4184" s="19" t="s">
        <v>328</v>
      </c>
      <c r="U4184" s="20" t="s">
        <v>400</v>
      </c>
      <c r="V4184" s="21">
        <v>41</v>
      </c>
      <c r="W4184" s="21">
        <v>2</v>
      </c>
      <c r="X4184" s="22"/>
    </row>
    <row r="4185" spans="1:24" s="1" customFormat="1" ht="26.1" customHeight="1" x14ac:dyDescent="0.3">
      <c r="A4185" s="23" t="s">
        <v>3183</v>
      </c>
      <c r="B4185" s="23" t="s">
        <v>4388</v>
      </c>
      <c r="C4185" s="12" t="s">
        <v>4389</v>
      </c>
      <c r="D4185" s="84"/>
      <c r="E4185" s="69" t="str">
        <f>HYPERLINK("https://www.google.ru/search?q=U159VB00032C4002&amp;newwindow=1&amp;tbm=isch","Еще фото")</f>
        <v>Еще фото</v>
      </c>
      <c r="F4185" s="13"/>
      <c r="G4185" s="23" t="s">
        <v>1224</v>
      </c>
      <c r="H4185" s="23" t="s">
        <v>151</v>
      </c>
      <c r="I4185" s="23" t="s">
        <v>546</v>
      </c>
      <c r="J4185" s="14" t="s">
        <v>29</v>
      </c>
      <c r="K4185" s="15" t="s">
        <v>55</v>
      </c>
      <c r="L4185" s="87"/>
      <c r="M4185" s="14"/>
      <c r="N4185" s="14" t="s">
        <v>70</v>
      </c>
      <c r="O4185" s="14"/>
      <c r="P4185" s="15" t="s">
        <v>4391</v>
      </c>
      <c r="Q4185" s="16">
        <v>12590</v>
      </c>
      <c r="R4185" s="17">
        <v>50</v>
      </c>
      <c r="S4185" s="18">
        <v>7239.2499999999991</v>
      </c>
      <c r="T4185" s="19" t="s">
        <v>328</v>
      </c>
      <c r="U4185" s="20" t="s">
        <v>401</v>
      </c>
      <c r="V4185" s="21">
        <v>43</v>
      </c>
      <c r="W4185" s="21">
        <v>3</v>
      </c>
      <c r="X4185" s="22"/>
    </row>
    <row r="4186" spans="1:24" s="1" customFormat="1" ht="26.1" customHeight="1" x14ac:dyDescent="0.3">
      <c r="A4186" s="23" t="s">
        <v>3183</v>
      </c>
      <c r="B4186" s="23" t="s">
        <v>4388</v>
      </c>
      <c r="C4186" s="12" t="s">
        <v>4389</v>
      </c>
      <c r="D4186" s="85"/>
      <c r="E4186" s="69" t="str">
        <f>HYPERLINK("https://www.google.ru/search?q=U159VB00032C4002&amp;newwindow=1&amp;tbm=isch","Еще фото")</f>
        <v>Еще фото</v>
      </c>
      <c r="F4186" s="13"/>
      <c r="G4186" s="23" t="s">
        <v>1224</v>
      </c>
      <c r="H4186" s="23" t="s">
        <v>151</v>
      </c>
      <c r="I4186" s="23" t="s">
        <v>546</v>
      </c>
      <c r="J4186" s="14" t="s">
        <v>29</v>
      </c>
      <c r="K4186" s="15" t="s">
        <v>55</v>
      </c>
      <c r="L4186" s="88"/>
      <c r="M4186" s="14"/>
      <c r="N4186" s="14" t="s">
        <v>70</v>
      </c>
      <c r="O4186" s="14"/>
      <c r="P4186" s="15" t="s">
        <v>4391</v>
      </c>
      <c r="Q4186" s="16">
        <v>12590</v>
      </c>
      <c r="R4186" s="17">
        <v>50</v>
      </c>
      <c r="S4186" s="18">
        <v>7239.2499999999991</v>
      </c>
      <c r="T4186" s="19" t="s">
        <v>328</v>
      </c>
      <c r="U4186" s="20" t="s">
        <v>403</v>
      </c>
      <c r="V4186" s="21">
        <v>45</v>
      </c>
      <c r="W4186" s="21">
        <v>3</v>
      </c>
      <c r="X4186" s="22"/>
    </row>
    <row r="4187" spans="1:24" s="1" customFormat="1" ht="26.1" customHeight="1" x14ac:dyDescent="0.3">
      <c r="A4187" s="11" t="s">
        <v>3183</v>
      </c>
      <c r="B4187" s="11" t="s">
        <v>4392</v>
      </c>
      <c r="C4187" s="12" t="s">
        <v>4393</v>
      </c>
      <c r="D4187" s="83"/>
      <c r="E4187" s="69" t="str">
        <f>HYPERLINK("https://www.google.ru/search?q=U36GUB00043C6009&amp;newwindow=1&amp;tbm=isch","Еще фото")</f>
        <v>Еще фото</v>
      </c>
      <c r="F4187" s="13"/>
      <c r="G4187" s="11" t="s">
        <v>1224</v>
      </c>
      <c r="H4187" s="11" t="s">
        <v>151</v>
      </c>
      <c r="I4187" s="14" t="s">
        <v>546</v>
      </c>
      <c r="J4187" s="14" t="s">
        <v>138</v>
      </c>
      <c r="K4187" s="15" t="s">
        <v>55</v>
      </c>
      <c r="L4187" s="86"/>
      <c r="M4187" s="14"/>
      <c r="N4187" s="14" t="s">
        <v>154</v>
      </c>
      <c r="O4187" s="14"/>
      <c r="P4187" s="15" t="s">
        <v>4394</v>
      </c>
      <c r="Q4187" s="16">
        <v>10990</v>
      </c>
      <c r="R4187" s="17">
        <v>50</v>
      </c>
      <c r="S4187" s="18">
        <v>6319.2499999999991</v>
      </c>
      <c r="T4187" s="19" t="s">
        <v>328</v>
      </c>
      <c r="U4187" s="20" t="s">
        <v>399</v>
      </c>
      <c r="V4187" s="21">
        <v>40</v>
      </c>
      <c r="W4187" s="21">
        <v>1</v>
      </c>
      <c r="X4187" s="22"/>
    </row>
    <row r="4188" spans="1:24" s="1" customFormat="1" ht="26.1" customHeight="1" x14ac:dyDescent="0.3">
      <c r="A4188" s="23" t="s">
        <v>3183</v>
      </c>
      <c r="B4188" s="23" t="s">
        <v>4392</v>
      </c>
      <c r="C4188" s="12" t="s">
        <v>4393</v>
      </c>
      <c r="D4188" s="84"/>
      <c r="E4188" s="69" t="str">
        <f>HYPERLINK("https://www.google.ru/search?q=U36GUB00043C6009&amp;newwindow=1&amp;tbm=isch","Еще фото")</f>
        <v>Еще фото</v>
      </c>
      <c r="F4188" s="13"/>
      <c r="G4188" s="23" t="s">
        <v>1224</v>
      </c>
      <c r="H4188" s="23" t="s">
        <v>151</v>
      </c>
      <c r="I4188" s="23" t="s">
        <v>546</v>
      </c>
      <c r="J4188" s="14" t="s">
        <v>138</v>
      </c>
      <c r="K4188" s="15" t="s">
        <v>55</v>
      </c>
      <c r="L4188" s="87"/>
      <c r="M4188" s="14"/>
      <c r="N4188" s="14" t="s">
        <v>154</v>
      </c>
      <c r="O4188" s="14"/>
      <c r="P4188" s="15" t="s">
        <v>4394</v>
      </c>
      <c r="Q4188" s="16">
        <v>10990</v>
      </c>
      <c r="R4188" s="17">
        <v>50</v>
      </c>
      <c r="S4188" s="18">
        <v>6319.2499999999991</v>
      </c>
      <c r="T4188" s="19" t="s">
        <v>328</v>
      </c>
      <c r="U4188" s="20" t="s">
        <v>401</v>
      </c>
      <c r="V4188" s="21">
        <v>43</v>
      </c>
      <c r="W4188" s="21">
        <v>3</v>
      </c>
      <c r="X4188" s="22"/>
    </row>
    <row r="4189" spans="1:24" s="1" customFormat="1" ht="26.1" customHeight="1" x14ac:dyDescent="0.3">
      <c r="A4189" s="23" t="s">
        <v>3183</v>
      </c>
      <c r="B4189" s="23" t="s">
        <v>4392</v>
      </c>
      <c r="C4189" s="12" t="s">
        <v>4393</v>
      </c>
      <c r="D4189" s="84"/>
      <c r="E4189" s="69" t="str">
        <f>HYPERLINK("https://www.google.ru/search?q=U36GUB00043C6009&amp;newwindow=1&amp;tbm=isch","Еще фото")</f>
        <v>Еще фото</v>
      </c>
      <c r="F4189" s="13"/>
      <c r="G4189" s="23" t="s">
        <v>1224</v>
      </c>
      <c r="H4189" s="23" t="s">
        <v>151</v>
      </c>
      <c r="I4189" s="23" t="s">
        <v>546</v>
      </c>
      <c r="J4189" s="14" t="s">
        <v>138</v>
      </c>
      <c r="K4189" s="15" t="s">
        <v>55</v>
      </c>
      <c r="L4189" s="87"/>
      <c r="M4189" s="14"/>
      <c r="N4189" s="14" t="s">
        <v>154</v>
      </c>
      <c r="O4189" s="14"/>
      <c r="P4189" s="15" t="s">
        <v>4394</v>
      </c>
      <c r="Q4189" s="16">
        <v>10990</v>
      </c>
      <c r="R4189" s="17">
        <v>50</v>
      </c>
      <c r="S4189" s="18">
        <v>6319.2499999999991</v>
      </c>
      <c r="T4189" s="19" t="s">
        <v>328</v>
      </c>
      <c r="U4189" s="20" t="s">
        <v>402</v>
      </c>
      <c r="V4189" s="21">
        <v>44</v>
      </c>
      <c r="W4189" s="21">
        <v>3</v>
      </c>
      <c r="X4189" s="22"/>
    </row>
    <row r="4190" spans="1:24" s="1" customFormat="1" ht="26.1" customHeight="1" x14ac:dyDescent="0.3">
      <c r="A4190" s="23" t="s">
        <v>3183</v>
      </c>
      <c r="B4190" s="23" t="s">
        <v>4392</v>
      </c>
      <c r="C4190" s="12" t="s">
        <v>4393</v>
      </c>
      <c r="D4190" s="85"/>
      <c r="E4190" s="69" t="str">
        <f>HYPERLINK("https://www.google.ru/search?q=U36GUB00043C6009&amp;newwindow=1&amp;tbm=isch","Еще фото")</f>
        <v>Еще фото</v>
      </c>
      <c r="F4190" s="13"/>
      <c r="G4190" s="23" t="s">
        <v>1224</v>
      </c>
      <c r="H4190" s="23" t="s">
        <v>151</v>
      </c>
      <c r="I4190" s="23" t="s">
        <v>546</v>
      </c>
      <c r="J4190" s="14" t="s">
        <v>138</v>
      </c>
      <c r="K4190" s="15" t="s">
        <v>55</v>
      </c>
      <c r="L4190" s="88"/>
      <c r="M4190" s="14"/>
      <c r="N4190" s="14" t="s">
        <v>154</v>
      </c>
      <c r="O4190" s="14"/>
      <c r="P4190" s="15" t="s">
        <v>4394</v>
      </c>
      <c r="Q4190" s="16">
        <v>10990</v>
      </c>
      <c r="R4190" s="17">
        <v>50</v>
      </c>
      <c r="S4190" s="18">
        <v>6319.2499999999991</v>
      </c>
      <c r="T4190" s="19" t="s">
        <v>328</v>
      </c>
      <c r="U4190" s="20" t="s">
        <v>403</v>
      </c>
      <c r="V4190" s="21">
        <v>45</v>
      </c>
      <c r="W4190" s="21">
        <v>2</v>
      </c>
      <c r="X4190" s="22"/>
    </row>
    <row r="4191" spans="1:24" s="1" customFormat="1" ht="17.100000000000001" customHeight="1" x14ac:dyDescent="0.3">
      <c r="A4191" s="11" t="s">
        <v>3183</v>
      </c>
      <c r="B4191" s="11" t="s">
        <v>4392</v>
      </c>
      <c r="C4191" s="12" t="s">
        <v>4395</v>
      </c>
      <c r="D4191" s="83"/>
      <c r="E4191" s="69" t="str">
        <f t="shared" ref="E4191:E4196" si="201">HYPERLINK("https://www.google.ru/search?q=U36GUB00043C9999&amp;newwindow=1&amp;tbm=isch","Еще фото")</f>
        <v>Еще фото</v>
      </c>
      <c r="F4191" s="13"/>
      <c r="G4191" s="11" t="s">
        <v>1224</v>
      </c>
      <c r="H4191" s="11" t="s">
        <v>151</v>
      </c>
      <c r="I4191" s="14" t="s">
        <v>546</v>
      </c>
      <c r="J4191" s="14" t="s">
        <v>138</v>
      </c>
      <c r="K4191" s="15" t="s">
        <v>55</v>
      </c>
      <c r="L4191" s="86"/>
      <c r="M4191" s="14"/>
      <c r="N4191" s="14" t="s">
        <v>49</v>
      </c>
      <c r="O4191" s="14"/>
      <c r="P4191" s="15" t="s">
        <v>4394</v>
      </c>
      <c r="Q4191" s="16">
        <v>10990</v>
      </c>
      <c r="R4191" s="17">
        <v>50</v>
      </c>
      <c r="S4191" s="18">
        <v>6319.2499999999991</v>
      </c>
      <c r="T4191" s="19" t="s">
        <v>328</v>
      </c>
      <c r="U4191" s="20" t="s">
        <v>399</v>
      </c>
      <c r="V4191" s="21">
        <v>40</v>
      </c>
      <c r="W4191" s="21">
        <v>1</v>
      </c>
      <c r="X4191" s="22"/>
    </row>
    <row r="4192" spans="1:24" s="1" customFormat="1" ht="17.100000000000001" customHeight="1" x14ac:dyDescent="0.3">
      <c r="A4192" s="23" t="s">
        <v>3183</v>
      </c>
      <c r="B4192" s="23" t="s">
        <v>4392</v>
      </c>
      <c r="C4192" s="12" t="s">
        <v>4395</v>
      </c>
      <c r="D4192" s="84"/>
      <c r="E4192" s="69" t="str">
        <f t="shared" si="201"/>
        <v>Еще фото</v>
      </c>
      <c r="F4192" s="13"/>
      <c r="G4192" s="23" t="s">
        <v>1224</v>
      </c>
      <c r="H4192" s="23" t="s">
        <v>151</v>
      </c>
      <c r="I4192" s="23" t="s">
        <v>546</v>
      </c>
      <c r="J4192" s="14" t="s">
        <v>138</v>
      </c>
      <c r="K4192" s="15" t="s">
        <v>55</v>
      </c>
      <c r="L4192" s="87"/>
      <c r="M4192" s="14"/>
      <c r="N4192" s="14" t="s">
        <v>49</v>
      </c>
      <c r="O4192" s="14"/>
      <c r="P4192" s="15" t="s">
        <v>4394</v>
      </c>
      <c r="Q4192" s="16">
        <v>10990</v>
      </c>
      <c r="R4192" s="17">
        <v>50</v>
      </c>
      <c r="S4192" s="18">
        <v>6319.2499999999991</v>
      </c>
      <c r="T4192" s="19" t="s">
        <v>328</v>
      </c>
      <c r="U4192" s="20" t="s">
        <v>400</v>
      </c>
      <c r="V4192" s="21">
        <v>41</v>
      </c>
      <c r="W4192" s="21">
        <v>2</v>
      </c>
      <c r="X4192" s="22"/>
    </row>
    <row r="4193" spans="1:24" s="1" customFormat="1" ht="17.100000000000001" customHeight="1" x14ac:dyDescent="0.3">
      <c r="A4193" s="23" t="s">
        <v>3183</v>
      </c>
      <c r="B4193" s="23" t="s">
        <v>4392</v>
      </c>
      <c r="C4193" s="12" t="s">
        <v>4395</v>
      </c>
      <c r="D4193" s="84"/>
      <c r="E4193" s="69" t="str">
        <f t="shared" si="201"/>
        <v>Еще фото</v>
      </c>
      <c r="F4193" s="13"/>
      <c r="G4193" s="23" t="s">
        <v>1224</v>
      </c>
      <c r="H4193" s="23" t="s">
        <v>151</v>
      </c>
      <c r="I4193" s="23" t="s">
        <v>546</v>
      </c>
      <c r="J4193" s="14" t="s">
        <v>138</v>
      </c>
      <c r="K4193" s="15" t="s">
        <v>55</v>
      </c>
      <c r="L4193" s="87"/>
      <c r="M4193" s="14"/>
      <c r="N4193" s="14" t="s">
        <v>49</v>
      </c>
      <c r="O4193" s="14"/>
      <c r="P4193" s="15" t="s">
        <v>4394</v>
      </c>
      <c r="Q4193" s="16">
        <v>10990</v>
      </c>
      <c r="R4193" s="17">
        <v>50</v>
      </c>
      <c r="S4193" s="18">
        <v>6319.2499999999991</v>
      </c>
      <c r="T4193" s="19" t="s">
        <v>328</v>
      </c>
      <c r="U4193" s="20" t="s">
        <v>457</v>
      </c>
      <c r="V4193" s="21">
        <v>42</v>
      </c>
      <c r="W4193" s="21">
        <v>2</v>
      </c>
      <c r="X4193" s="22"/>
    </row>
    <row r="4194" spans="1:24" s="1" customFormat="1" ht="17.100000000000001" customHeight="1" x14ac:dyDescent="0.3">
      <c r="A4194" s="23" t="s">
        <v>3183</v>
      </c>
      <c r="B4194" s="23" t="s">
        <v>4392</v>
      </c>
      <c r="C4194" s="12" t="s">
        <v>4395</v>
      </c>
      <c r="D4194" s="84"/>
      <c r="E4194" s="69" t="str">
        <f t="shared" si="201"/>
        <v>Еще фото</v>
      </c>
      <c r="F4194" s="13"/>
      <c r="G4194" s="23" t="s">
        <v>1224</v>
      </c>
      <c r="H4194" s="23" t="s">
        <v>151</v>
      </c>
      <c r="I4194" s="23" t="s">
        <v>546</v>
      </c>
      <c r="J4194" s="14" t="s">
        <v>138</v>
      </c>
      <c r="K4194" s="15" t="s">
        <v>55</v>
      </c>
      <c r="L4194" s="87"/>
      <c r="M4194" s="14"/>
      <c r="N4194" s="14" t="s">
        <v>49</v>
      </c>
      <c r="O4194" s="14"/>
      <c r="P4194" s="15" t="s">
        <v>4394</v>
      </c>
      <c r="Q4194" s="16">
        <v>10990</v>
      </c>
      <c r="R4194" s="17">
        <v>50</v>
      </c>
      <c r="S4194" s="18">
        <v>6319.2499999999991</v>
      </c>
      <c r="T4194" s="19" t="s">
        <v>328</v>
      </c>
      <c r="U4194" s="20" t="s">
        <v>401</v>
      </c>
      <c r="V4194" s="21">
        <v>43</v>
      </c>
      <c r="W4194" s="21">
        <v>3</v>
      </c>
      <c r="X4194" s="22"/>
    </row>
    <row r="4195" spans="1:24" s="1" customFormat="1" ht="17.100000000000001" customHeight="1" x14ac:dyDescent="0.3">
      <c r="A4195" s="23" t="s">
        <v>3183</v>
      </c>
      <c r="B4195" s="23" t="s">
        <v>4392</v>
      </c>
      <c r="C4195" s="12" t="s">
        <v>4395</v>
      </c>
      <c r="D4195" s="84"/>
      <c r="E4195" s="69" t="str">
        <f t="shared" si="201"/>
        <v>Еще фото</v>
      </c>
      <c r="F4195" s="13"/>
      <c r="G4195" s="23" t="s">
        <v>1224</v>
      </c>
      <c r="H4195" s="23" t="s">
        <v>151</v>
      </c>
      <c r="I4195" s="23" t="s">
        <v>546</v>
      </c>
      <c r="J4195" s="14" t="s">
        <v>138</v>
      </c>
      <c r="K4195" s="15" t="s">
        <v>55</v>
      </c>
      <c r="L4195" s="87"/>
      <c r="M4195" s="14"/>
      <c r="N4195" s="14" t="s">
        <v>49</v>
      </c>
      <c r="O4195" s="14"/>
      <c r="P4195" s="15" t="s">
        <v>4394</v>
      </c>
      <c r="Q4195" s="16">
        <v>10990</v>
      </c>
      <c r="R4195" s="17">
        <v>50</v>
      </c>
      <c r="S4195" s="18">
        <v>6319.2499999999991</v>
      </c>
      <c r="T4195" s="19" t="s">
        <v>328</v>
      </c>
      <c r="U4195" s="20" t="s">
        <v>402</v>
      </c>
      <c r="V4195" s="21">
        <v>44</v>
      </c>
      <c r="W4195" s="21">
        <v>1</v>
      </c>
      <c r="X4195" s="22"/>
    </row>
    <row r="4196" spans="1:24" s="1" customFormat="1" ht="21.95" customHeight="1" x14ac:dyDescent="0.3">
      <c r="A4196" s="23" t="s">
        <v>3183</v>
      </c>
      <c r="B4196" s="23" t="s">
        <v>4392</v>
      </c>
      <c r="C4196" s="12" t="s">
        <v>4395</v>
      </c>
      <c r="D4196" s="85"/>
      <c r="E4196" s="69" t="str">
        <f t="shared" si="201"/>
        <v>Еще фото</v>
      </c>
      <c r="F4196" s="13"/>
      <c r="G4196" s="23" t="s">
        <v>1224</v>
      </c>
      <c r="H4196" s="23" t="s">
        <v>151</v>
      </c>
      <c r="I4196" s="23" t="s">
        <v>546</v>
      </c>
      <c r="J4196" s="14" t="s">
        <v>138</v>
      </c>
      <c r="K4196" s="15" t="s">
        <v>55</v>
      </c>
      <c r="L4196" s="88"/>
      <c r="M4196" s="14"/>
      <c r="N4196" s="14" t="s">
        <v>49</v>
      </c>
      <c r="O4196" s="14"/>
      <c r="P4196" s="15" t="s">
        <v>4394</v>
      </c>
      <c r="Q4196" s="16">
        <v>10990</v>
      </c>
      <c r="R4196" s="17">
        <v>50</v>
      </c>
      <c r="S4196" s="18">
        <v>6319.2499999999991</v>
      </c>
      <c r="T4196" s="19" t="s">
        <v>328</v>
      </c>
      <c r="U4196" s="20" t="s">
        <v>403</v>
      </c>
      <c r="V4196" s="21">
        <v>45</v>
      </c>
      <c r="W4196" s="21">
        <v>1</v>
      </c>
      <c r="X4196" s="22"/>
    </row>
    <row r="4197" spans="1:24" s="1" customFormat="1" ht="26.1" customHeight="1" x14ac:dyDescent="0.3">
      <c r="A4197" s="11" t="s">
        <v>3183</v>
      </c>
      <c r="B4197" s="11" t="s">
        <v>4396</v>
      </c>
      <c r="C4197" s="12" t="s">
        <v>4397</v>
      </c>
      <c r="D4197" s="83"/>
      <c r="E4197" s="69" t="str">
        <f>HYPERLINK("https://www.google.ru/search?q=U4524B000MEC9999&amp;newwindow=1&amp;tbm=isch","Еще фото")</f>
        <v>Еще фото</v>
      </c>
      <c r="F4197" s="13"/>
      <c r="G4197" s="11" t="s">
        <v>1224</v>
      </c>
      <c r="H4197" s="11" t="s">
        <v>151</v>
      </c>
      <c r="I4197" s="14" t="s">
        <v>546</v>
      </c>
      <c r="J4197" s="14" t="s">
        <v>138</v>
      </c>
      <c r="K4197" s="15" t="s">
        <v>55</v>
      </c>
      <c r="L4197" s="86" t="s">
        <v>4398</v>
      </c>
      <c r="M4197" s="14"/>
      <c r="N4197" s="14" t="s">
        <v>49</v>
      </c>
      <c r="O4197" s="14"/>
      <c r="P4197" s="15" t="s">
        <v>4399</v>
      </c>
      <c r="Q4197" s="16">
        <v>12590</v>
      </c>
      <c r="R4197" s="17">
        <v>50</v>
      </c>
      <c r="S4197" s="18">
        <v>7239.2499999999991</v>
      </c>
      <c r="T4197" s="19" t="s">
        <v>328</v>
      </c>
      <c r="U4197" s="20" t="s">
        <v>457</v>
      </c>
      <c r="V4197" s="21">
        <v>42</v>
      </c>
      <c r="W4197" s="21">
        <v>2</v>
      </c>
      <c r="X4197" s="22"/>
    </row>
    <row r="4198" spans="1:24" s="1" customFormat="1" ht="26.1" customHeight="1" x14ac:dyDescent="0.3">
      <c r="A4198" s="23" t="s">
        <v>3183</v>
      </c>
      <c r="B4198" s="23" t="s">
        <v>4396</v>
      </c>
      <c r="C4198" s="12" t="s">
        <v>4397</v>
      </c>
      <c r="D4198" s="84"/>
      <c r="E4198" s="69" t="str">
        <f>HYPERLINK("https://www.google.ru/search?q=U4524B000MEC9999&amp;newwindow=1&amp;tbm=isch","Еще фото")</f>
        <v>Еще фото</v>
      </c>
      <c r="F4198" s="13"/>
      <c r="G4198" s="23" t="s">
        <v>1224</v>
      </c>
      <c r="H4198" s="23" t="s">
        <v>151</v>
      </c>
      <c r="I4198" s="23" t="s">
        <v>546</v>
      </c>
      <c r="J4198" s="14" t="s">
        <v>138</v>
      </c>
      <c r="K4198" s="15" t="s">
        <v>55</v>
      </c>
      <c r="L4198" s="87"/>
      <c r="M4198" s="14"/>
      <c r="N4198" s="14" t="s">
        <v>49</v>
      </c>
      <c r="O4198" s="14"/>
      <c r="P4198" s="15" t="s">
        <v>4399</v>
      </c>
      <c r="Q4198" s="16">
        <v>12590</v>
      </c>
      <c r="R4198" s="17">
        <v>50</v>
      </c>
      <c r="S4198" s="18">
        <v>7239.2499999999991</v>
      </c>
      <c r="T4198" s="19" t="s">
        <v>328</v>
      </c>
      <c r="U4198" s="20" t="s">
        <v>401</v>
      </c>
      <c r="V4198" s="21">
        <v>43</v>
      </c>
      <c r="W4198" s="21">
        <v>2</v>
      </c>
      <c r="X4198" s="22"/>
    </row>
    <row r="4199" spans="1:24" s="1" customFormat="1" ht="26.1" customHeight="1" x14ac:dyDescent="0.3">
      <c r="A4199" s="23" t="s">
        <v>3183</v>
      </c>
      <c r="B4199" s="23" t="s">
        <v>4396</v>
      </c>
      <c r="C4199" s="12" t="s">
        <v>4397</v>
      </c>
      <c r="D4199" s="84"/>
      <c r="E4199" s="69" t="str">
        <f>HYPERLINK("https://www.google.ru/search?q=U4524B000MEC9999&amp;newwindow=1&amp;tbm=isch","Еще фото")</f>
        <v>Еще фото</v>
      </c>
      <c r="F4199" s="13"/>
      <c r="G4199" s="23" t="s">
        <v>1224</v>
      </c>
      <c r="H4199" s="23" t="s">
        <v>151</v>
      </c>
      <c r="I4199" s="23" t="s">
        <v>546</v>
      </c>
      <c r="J4199" s="14" t="s">
        <v>138</v>
      </c>
      <c r="K4199" s="15" t="s">
        <v>55</v>
      </c>
      <c r="L4199" s="87"/>
      <c r="M4199" s="14"/>
      <c r="N4199" s="14" t="s">
        <v>49</v>
      </c>
      <c r="O4199" s="14"/>
      <c r="P4199" s="15" t="s">
        <v>4399</v>
      </c>
      <c r="Q4199" s="16">
        <v>12590</v>
      </c>
      <c r="R4199" s="17">
        <v>50</v>
      </c>
      <c r="S4199" s="18">
        <v>7239.2499999999991</v>
      </c>
      <c r="T4199" s="19" t="s">
        <v>328</v>
      </c>
      <c r="U4199" s="20" t="s">
        <v>402</v>
      </c>
      <c r="V4199" s="21">
        <v>44</v>
      </c>
      <c r="W4199" s="21">
        <v>6</v>
      </c>
      <c r="X4199" s="22"/>
    </row>
    <row r="4200" spans="1:24" s="1" customFormat="1" ht="26.1" customHeight="1" x14ac:dyDescent="0.3">
      <c r="A4200" s="23" t="s">
        <v>3183</v>
      </c>
      <c r="B4200" s="23" t="s">
        <v>4396</v>
      </c>
      <c r="C4200" s="12" t="s">
        <v>4397</v>
      </c>
      <c r="D4200" s="85"/>
      <c r="E4200" s="69" t="str">
        <f>HYPERLINK("https://www.google.ru/search?q=U4524B000MEC9999&amp;newwindow=1&amp;tbm=isch","Еще фото")</f>
        <v>Еще фото</v>
      </c>
      <c r="F4200" s="13"/>
      <c r="G4200" s="23" t="s">
        <v>1224</v>
      </c>
      <c r="H4200" s="23" t="s">
        <v>151</v>
      </c>
      <c r="I4200" s="23" t="s">
        <v>546</v>
      </c>
      <c r="J4200" s="14" t="s">
        <v>138</v>
      </c>
      <c r="K4200" s="15" t="s">
        <v>55</v>
      </c>
      <c r="L4200" s="88"/>
      <c r="M4200" s="14"/>
      <c r="N4200" s="14" t="s">
        <v>49</v>
      </c>
      <c r="O4200" s="14"/>
      <c r="P4200" s="15" t="s">
        <v>4399</v>
      </c>
      <c r="Q4200" s="16">
        <v>12590</v>
      </c>
      <c r="R4200" s="17">
        <v>50</v>
      </c>
      <c r="S4200" s="18">
        <v>7239.2499999999991</v>
      </c>
      <c r="T4200" s="19" t="s">
        <v>328</v>
      </c>
      <c r="U4200" s="20" t="s">
        <v>403</v>
      </c>
      <c r="V4200" s="21">
        <v>45</v>
      </c>
      <c r="W4200" s="21">
        <v>3</v>
      </c>
      <c r="X4200" s="22"/>
    </row>
    <row r="4201" spans="1:24" s="1" customFormat="1" ht="51.95" customHeight="1" x14ac:dyDescent="0.3">
      <c r="A4201" s="11" t="s">
        <v>3183</v>
      </c>
      <c r="B4201" s="11" t="s">
        <v>4400</v>
      </c>
      <c r="C4201" s="12" t="s">
        <v>4401</v>
      </c>
      <c r="D4201" s="89"/>
      <c r="E4201" s="69" t="str">
        <f>HYPERLINK("https://www.google.ru/search?q=U8224D050AUC0705&amp;newwindow=1&amp;tbm=isch","Еще фото")</f>
        <v>Еще фото</v>
      </c>
      <c r="F4201" s="13"/>
      <c r="G4201" s="11" t="s">
        <v>1224</v>
      </c>
      <c r="H4201" s="11" t="s">
        <v>151</v>
      </c>
      <c r="I4201" s="14" t="s">
        <v>546</v>
      </c>
      <c r="J4201" s="14" t="s">
        <v>138</v>
      </c>
      <c r="K4201" s="15" t="s">
        <v>55</v>
      </c>
      <c r="L4201" s="86" t="s">
        <v>4402</v>
      </c>
      <c r="M4201" s="14"/>
      <c r="N4201" s="14" t="s">
        <v>154</v>
      </c>
      <c r="O4201" s="14"/>
      <c r="P4201" s="15" t="s">
        <v>4403</v>
      </c>
      <c r="Q4201" s="16">
        <v>12590</v>
      </c>
      <c r="R4201" s="17">
        <v>50</v>
      </c>
      <c r="S4201" s="18">
        <v>7239.2499999999991</v>
      </c>
      <c r="T4201" s="19" t="s">
        <v>328</v>
      </c>
      <c r="U4201" s="20" t="s">
        <v>401</v>
      </c>
      <c r="V4201" s="21">
        <v>43</v>
      </c>
      <c r="W4201" s="21">
        <v>2</v>
      </c>
      <c r="X4201" s="22"/>
    </row>
    <row r="4202" spans="1:24" s="1" customFormat="1" ht="60.95" customHeight="1" x14ac:dyDescent="0.3">
      <c r="A4202" s="23" t="s">
        <v>3183</v>
      </c>
      <c r="B4202" s="23" t="s">
        <v>4400</v>
      </c>
      <c r="C4202" s="12" t="s">
        <v>4401</v>
      </c>
      <c r="D4202" s="90"/>
      <c r="E4202" s="69" t="str">
        <f>HYPERLINK("https://www.google.ru/search?q=U8224D050AUC0705&amp;newwindow=1&amp;tbm=isch","Еще фото")</f>
        <v>Еще фото</v>
      </c>
      <c r="F4202" s="13"/>
      <c r="G4202" s="23" t="s">
        <v>1224</v>
      </c>
      <c r="H4202" s="23" t="s">
        <v>151</v>
      </c>
      <c r="I4202" s="23" t="s">
        <v>546</v>
      </c>
      <c r="J4202" s="14" t="s">
        <v>138</v>
      </c>
      <c r="K4202" s="15" t="s">
        <v>55</v>
      </c>
      <c r="L4202" s="88"/>
      <c r="M4202" s="14"/>
      <c r="N4202" s="14" t="s">
        <v>154</v>
      </c>
      <c r="O4202" s="14"/>
      <c r="P4202" s="15" t="s">
        <v>4403</v>
      </c>
      <c r="Q4202" s="16">
        <v>12590</v>
      </c>
      <c r="R4202" s="17">
        <v>50</v>
      </c>
      <c r="S4202" s="18">
        <v>7239.2499999999991</v>
      </c>
      <c r="T4202" s="19" t="s">
        <v>328</v>
      </c>
      <c r="U4202" s="20" t="s">
        <v>402</v>
      </c>
      <c r="V4202" s="21">
        <v>44</v>
      </c>
      <c r="W4202" s="21">
        <v>2</v>
      </c>
      <c r="X4202" s="22"/>
    </row>
    <row r="4203" spans="1:24" s="1" customFormat="1" ht="108" customHeight="1" x14ac:dyDescent="0.3">
      <c r="A4203" s="11" t="s">
        <v>3183</v>
      </c>
      <c r="B4203" s="11" t="s">
        <v>4404</v>
      </c>
      <c r="C4203" s="12" t="s">
        <v>4405</v>
      </c>
      <c r="D4203" s="24"/>
      <c r="E4203" s="69" t="str">
        <f>HYPERLINK("https://www.google.ru/search?q=D55DQF02JN0C2E2L&amp;newwindow=1&amp;tbm=isch","Еще фото")</f>
        <v>Еще фото</v>
      </c>
      <c r="F4203" s="13"/>
      <c r="G4203" s="11" t="s">
        <v>1224</v>
      </c>
      <c r="H4203" s="11" t="s">
        <v>151</v>
      </c>
      <c r="I4203" s="14" t="s">
        <v>546</v>
      </c>
      <c r="J4203" s="14" t="s">
        <v>138</v>
      </c>
      <c r="K4203" s="15" t="s">
        <v>47</v>
      </c>
      <c r="L4203" s="14" t="s">
        <v>4406</v>
      </c>
      <c r="M4203" s="14"/>
      <c r="N4203" s="14" t="s">
        <v>2018</v>
      </c>
      <c r="O4203" s="14"/>
      <c r="P4203" s="15" t="s">
        <v>4407</v>
      </c>
      <c r="Q4203" s="16">
        <v>13999</v>
      </c>
      <c r="R4203" s="17">
        <v>50</v>
      </c>
      <c r="S4203" s="18">
        <v>8049.9884999999995</v>
      </c>
      <c r="T4203" s="19" t="s">
        <v>328</v>
      </c>
      <c r="U4203" s="20" t="s">
        <v>1503</v>
      </c>
      <c r="V4203" s="21">
        <v>36</v>
      </c>
      <c r="W4203" s="21">
        <v>1</v>
      </c>
      <c r="X4203" s="22"/>
    </row>
    <row r="4204" spans="1:24" s="1" customFormat="1" ht="17.100000000000001" customHeight="1" x14ac:dyDescent="0.3">
      <c r="A4204" s="11" t="s">
        <v>3014</v>
      </c>
      <c r="B4204" s="11" t="s">
        <v>4408</v>
      </c>
      <c r="C4204" s="12" t="s">
        <v>4409</v>
      </c>
      <c r="D4204" s="83"/>
      <c r="E4204" s="69" t="str">
        <f t="shared" ref="E4204:E4209" si="202">HYPERLINK("https://www.google.ru/search?q=71404401-0100&amp;newwindow=1&amp;tbm=isch","Еще фото")</f>
        <v>Еще фото</v>
      </c>
      <c r="F4204" s="13"/>
      <c r="G4204" s="11" t="s">
        <v>1224</v>
      </c>
      <c r="H4204" s="11" t="s">
        <v>151</v>
      </c>
      <c r="I4204" s="14" t="s">
        <v>546</v>
      </c>
      <c r="J4204" s="14" t="s">
        <v>29</v>
      </c>
      <c r="K4204" s="15" t="s">
        <v>30</v>
      </c>
      <c r="L4204" s="86" t="s">
        <v>4410</v>
      </c>
      <c r="M4204" s="14"/>
      <c r="N4204" s="14" t="s">
        <v>89</v>
      </c>
      <c r="O4204" s="14"/>
      <c r="P4204" s="15" t="s">
        <v>4263</v>
      </c>
      <c r="Q4204" s="16">
        <v>4499</v>
      </c>
      <c r="R4204" s="17">
        <v>45</v>
      </c>
      <c r="S4204" s="18">
        <v>2845.6174999999994</v>
      </c>
      <c r="T4204" s="19" t="s">
        <v>117</v>
      </c>
      <c r="U4204" s="20" t="s">
        <v>3514</v>
      </c>
      <c r="V4204" s="21">
        <v>23</v>
      </c>
      <c r="W4204" s="21">
        <v>1</v>
      </c>
      <c r="X4204" s="22"/>
    </row>
    <row r="4205" spans="1:24" s="1" customFormat="1" ht="17.100000000000001" customHeight="1" x14ac:dyDescent="0.3">
      <c r="A4205" s="23" t="s">
        <v>3014</v>
      </c>
      <c r="B4205" s="23" t="s">
        <v>4408</v>
      </c>
      <c r="C4205" s="12" t="s">
        <v>4409</v>
      </c>
      <c r="D4205" s="84"/>
      <c r="E4205" s="69" t="str">
        <f t="shared" si="202"/>
        <v>Еще фото</v>
      </c>
      <c r="F4205" s="13"/>
      <c r="G4205" s="23" t="s">
        <v>1224</v>
      </c>
      <c r="H4205" s="23" t="s">
        <v>151</v>
      </c>
      <c r="I4205" s="23" t="s">
        <v>546</v>
      </c>
      <c r="J4205" s="14" t="s">
        <v>29</v>
      </c>
      <c r="K4205" s="15" t="s">
        <v>30</v>
      </c>
      <c r="L4205" s="87"/>
      <c r="M4205" s="14"/>
      <c r="N4205" s="14" t="s">
        <v>89</v>
      </c>
      <c r="O4205" s="14"/>
      <c r="P4205" s="15" t="s">
        <v>4263</v>
      </c>
      <c r="Q4205" s="16">
        <v>4499</v>
      </c>
      <c r="R4205" s="17">
        <v>45</v>
      </c>
      <c r="S4205" s="18">
        <v>2845.6174999999994</v>
      </c>
      <c r="T4205" s="19" t="s">
        <v>117</v>
      </c>
      <c r="U4205" s="20" t="s">
        <v>4222</v>
      </c>
      <c r="V4205" s="21">
        <v>24</v>
      </c>
      <c r="W4205" s="21">
        <v>2</v>
      </c>
      <c r="X4205" s="22"/>
    </row>
    <row r="4206" spans="1:24" s="1" customFormat="1" ht="17.100000000000001" customHeight="1" x14ac:dyDescent="0.3">
      <c r="A4206" s="23" t="s">
        <v>3014</v>
      </c>
      <c r="B4206" s="23" t="s">
        <v>4408</v>
      </c>
      <c r="C4206" s="12" t="s">
        <v>4409</v>
      </c>
      <c r="D4206" s="84"/>
      <c r="E4206" s="69" t="str">
        <f t="shared" si="202"/>
        <v>Еще фото</v>
      </c>
      <c r="F4206" s="13"/>
      <c r="G4206" s="23" t="s">
        <v>1224</v>
      </c>
      <c r="H4206" s="23" t="s">
        <v>151</v>
      </c>
      <c r="I4206" s="23" t="s">
        <v>546</v>
      </c>
      <c r="J4206" s="14" t="s">
        <v>29</v>
      </c>
      <c r="K4206" s="15" t="s">
        <v>30</v>
      </c>
      <c r="L4206" s="87"/>
      <c r="M4206" s="14"/>
      <c r="N4206" s="14" t="s">
        <v>89</v>
      </c>
      <c r="O4206" s="14"/>
      <c r="P4206" s="15" t="s">
        <v>4263</v>
      </c>
      <c r="Q4206" s="16">
        <v>4499</v>
      </c>
      <c r="R4206" s="17">
        <v>45</v>
      </c>
      <c r="S4206" s="18">
        <v>2845.6174999999994</v>
      </c>
      <c r="T4206" s="19" t="s">
        <v>117</v>
      </c>
      <c r="U4206" s="20" t="s">
        <v>3515</v>
      </c>
      <c r="V4206" s="21">
        <v>25</v>
      </c>
      <c r="W4206" s="21">
        <v>1</v>
      </c>
      <c r="X4206" s="22"/>
    </row>
    <row r="4207" spans="1:24" s="1" customFormat="1" ht="17.100000000000001" customHeight="1" x14ac:dyDescent="0.3">
      <c r="A4207" s="23" t="s">
        <v>3014</v>
      </c>
      <c r="B4207" s="23" t="s">
        <v>4408</v>
      </c>
      <c r="C4207" s="12" t="s">
        <v>4409</v>
      </c>
      <c r="D4207" s="84"/>
      <c r="E4207" s="69" t="str">
        <f t="shared" si="202"/>
        <v>Еще фото</v>
      </c>
      <c r="F4207" s="13"/>
      <c r="G4207" s="23" t="s">
        <v>1224</v>
      </c>
      <c r="H4207" s="23" t="s">
        <v>151</v>
      </c>
      <c r="I4207" s="23" t="s">
        <v>546</v>
      </c>
      <c r="J4207" s="14" t="s">
        <v>29</v>
      </c>
      <c r="K4207" s="15" t="s">
        <v>30</v>
      </c>
      <c r="L4207" s="87"/>
      <c r="M4207" s="14"/>
      <c r="N4207" s="14" t="s">
        <v>89</v>
      </c>
      <c r="O4207" s="14"/>
      <c r="P4207" s="15" t="s">
        <v>4263</v>
      </c>
      <c r="Q4207" s="16">
        <v>4499</v>
      </c>
      <c r="R4207" s="17">
        <v>45</v>
      </c>
      <c r="S4207" s="18">
        <v>2845.6174999999994</v>
      </c>
      <c r="T4207" s="19" t="s">
        <v>117</v>
      </c>
      <c r="U4207" s="20" t="s">
        <v>4226</v>
      </c>
      <c r="V4207" s="21">
        <v>26</v>
      </c>
      <c r="W4207" s="21">
        <v>2</v>
      </c>
      <c r="X4207" s="22"/>
    </row>
    <row r="4208" spans="1:24" s="1" customFormat="1" ht="17.100000000000001" customHeight="1" x14ac:dyDescent="0.3">
      <c r="A4208" s="23" t="s">
        <v>3014</v>
      </c>
      <c r="B4208" s="23" t="s">
        <v>4408</v>
      </c>
      <c r="C4208" s="12" t="s">
        <v>4409</v>
      </c>
      <c r="D4208" s="84"/>
      <c r="E4208" s="69" t="str">
        <f t="shared" si="202"/>
        <v>Еще фото</v>
      </c>
      <c r="F4208" s="13"/>
      <c r="G4208" s="23" t="s">
        <v>1224</v>
      </c>
      <c r="H4208" s="23" t="s">
        <v>151</v>
      </c>
      <c r="I4208" s="23" t="s">
        <v>546</v>
      </c>
      <c r="J4208" s="14" t="s">
        <v>29</v>
      </c>
      <c r="K4208" s="15" t="s">
        <v>30</v>
      </c>
      <c r="L4208" s="87"/>
      <c r="M4208" s="14"/>
      <c r="N4208" s="14" t="s">
        <v>89</v>
      </c>
      <c r="O4208" s="14"/>
      <c r="P4208" s="15" t="s">
        <v>4263</v>
      </c>
      <c r="Q4208" s="16">
        <v>4499</v>
      </c>
      <c r="R4208" s="17">
        <v>45</v>
      </c>
      <c r="S4208" s="18">
        <v>2845.6174999999994</v>
      </c>
      <c r="T4208" s="19" t="s">
        <v>117</v>
      </c>
      <c r="U4208" s="20" t="s">
        <v>4411</v>
      </c>
      <c r="V4208" s="21">
        <v>27</v>
      </c>
      <c r="W4208" s="21">
        <v>1</v>
      </c>
      <c r="X4208" s="22"/>
    </row>
    <row r="4209" spans="1:24" s="1" customFormat="1" ht="21.95" customHeight="1" x14ac:dyDescent="0.3">
      <c r="A4209" s="23" t="s">
        <v>3014</v>
      </c>
      <c r="B4209" s="23" t="s">
        <v>4408</v>
      </c>
      <c r="C4209" s="12" t="s">
        <v>4409</v>
      </c>
      <c r="D4209" s="85"/>
      <c r="E4209" s="69" t="str">
        <f t="shared" si="202"/>
        <v>Еще фото</v>
      </c>
      <c r="F4209" s="13"/>
      <c r="G4209" s="23" t="s">
        <v>1224</v>
      </c>
      <c r="H4209" s="23" t="s">
        <v>151</v>
      </c>
      <c r="I4209" s="23" t="s">
        <v>546</v>
      </c>
      <c r="J4209" s="14" t="s">
        <v>29</v>
      </c>
      <c r="K4209" s="15" t="s">
        <v>30</v>
      </c>
      <c r="L4209" s="88"/>
      <c r="M4209" s="14"/>
      <c r="N4209" s="14" t="s">
        <v>89</v>
      </c>
      <c r="O4209" s="14"/>
      <c r="P4209" s="15" t="s">
        <v>4263</v>
      </c>
      <c r="Q4209" s="16">
        <v>4499</v>
      </c>
      <c r="R4209" s="17">
        <v>45</v>
      </c>
      <c r="S4209" s="18">
        <v>2845.6174999999994</v>
      </c>
      <c r="T4209" s="19" t="s">
        <v>117</v>
      </c>
      <c r="U4209" s="20" t="s">
        <v>3246</v>
      </c>
      <c r="V4209" s="21">
        <v>28</v>
      </c>
      <c r="W4209" s="21">
        <v>2</v>
      </c>
      <c r="X4209" s="22"/>
    </row>
    <row r="4210" spans="1:24" s="1" customFormat="1" ht="17.100000000000001" customHeight="1" x14ac:dyDescent="0.3">
      <c r="A4210" s="11" t="s">
        <v>3014</v>
      </c>
      <c r="B4210" s="11" t="s">
        <v>4408</v>
      </c>
      <c r="C4210" s="12" t="s">
        <v>4412</v>
      </c>
      <c r="D4210" s="83"/>
      <c r="E4210" s="69" t="str">
        <f t="shared" ref="E4210:E4215" si="203">HYPERLINK("https://www.google.ru/search?q=71406401-0100&amp;newwindow=1&amp;tbm=isch","Еще фото")</f>
        <v>Еще фото</v>
      </c>
      <c r="F4210" s="13"/>
      <c r="G4210" s="11" t="s">
        <v>1224</v>
      </c>
      <c r="H4210" s="11" t="s">
        <v>151</v>
      </c>
      <c r="I4210" s="14" t="s">
        <v>546</v>
      </c>
      <c r="J4210" s="14" t="s">
        <v>29</v>
      </c>
      <c r="K4210" s="15" t="s">
        <v>30</v>
      </c>
      <c r="L4210" s="86"/>
      <c r="M4210" s="14"/>
      <c r="N4210" s="14" t="s">
        <v>89</v>
      </c>
      <c r="O4210" s="14"/>
      <c r="P4210" s="15" t="s">
        <v>4225</v>
      </c>
      <c r="Q4210" s="16">
        <v>5499</v>
      </c>
      <c r="R4210" s="17">
        <v>45</v>
      </c>
      <c r="S4210" s="18">
        <v>3478.1174999999994</v>
      </c>
      <c r="T4210" s="19" t="s">
        <v>117</v>
      </c>
      <c r="U4210" s="20" t="s">
        <v>3514</v>
      </c>
      <c r="V4210" s="21">
        <v>23</v>
      </c>
      <c r="W4210" s="21">
        <v>4</v>
      </c>
      <c r="X4210" s="22"/>
    </row>
    <row r="4211" spans="1:24" s="1" customFormat="1" ht="17.100000000000001" customHeight="1" x14ac:dyDescent="0.3">
      <c r="A4211" s="23" t="s">
        <v>3014</v>
      </c>
      <c r="B4211" s="23" t="s">
        <v>4408</v>
      </c>
      <c r="C4211" s="12" t="s">
        <v>4412</v>
      </c>
      <c r="D4211" s="84"/>
      <c r="E4211" s="69" t="str">
        <f t="shared" si="203"/>
        <v>Еще фото</v>
      </c>
      <c r="F4211" s="13"/>
      <c r="G4211" s="23" t="s">
        <v>1224</v>
      </c>
      <c r="H4211" s="23" t="s">
        <v>151</v>
      </c>
      <c r="I4211" s="23" t="s">
        <v>546</v>
      </c>
      <c r="J4211" s="14" t="s">
        <v>29</v>
      </c>
      <c r="K4211" s="15" t="s">
        <v>30</v>
      </c>
      <c r="L4211" s="87"/>
      <c r="M4211" s="14"/>
      <c r="N4211" s="14" t="s">
        <v>89</v>
      </c>
      <c r="O4211" s="14"/>
      <c r="P4211" s="15" t="s">
        <v>4225</v>
      </c>
      <c r="Q4211" s="16">
        <v>5499</v>
      </c>
      <c r="R4211" s="17">
        <v>45</v>
      </c>
      <c r="S4211" s="18">
        <v>3478.1174999999994</v>
      </c>
      <c r="T4211" s="19" t="s">
        <v>117</v>
      </c>
      <c r="U4211" s="20" t="s">
        <v>4222</v>
      </c>
      <c r="V4211" s="21">
        <v>24</v>
      </c>
      <c r="W4211" s="21">
        <v>4</v>
      </c>
      <c r="X4211" s="22"/>
    </row>
    <row r="4212" spans="1:24" s="1" customFormat="1" ht="17.100000000000001" customHeight="1" x14ac:dyDescent="0.3">
      <c r="A4212" s="23" t="s">
        <v>3014</v>
      </c>
      <c r="B4212" s="23" t="s">
        <v>4408</v>
      </c>
      <c r="C4212" s="12" t="s">
        <v>4412</v>
      </c>
      <c r="D4212" s="84"/>
      <c r="E4212" s="69" t="str">
        <f t="shared" si="203"/>
        <v>Еще фото</v>
      </c>
      <c r="F4212" s="13"/>
      <c r="G4212" s="23" t="s">
        <v>1224</v>
      </c>
      <c r="H4212" s="23" t="s">
        <v>151</v>
      </c>
      <c r="I4212" s="23" t="s">
        <v>546</v>
      </c>
      <c r="J4212" s="14" t="s">
        <v>29</v>
      </c>
      <c r="K4212" s="15" t="s">
        <v>30</v>
      </c>
      <c r="L4212" s="87"/>
      <c r="M4212" s="14"/>
      <c r="N4212" s="14" t="s">
        <v>89</v>
      </c>
      <c r="O4212" s="14"/>
      <c r="P4212" s="15" t="s">
        <v>4225</v>
      </c>
      <c r="Q4212" s="16">
        <v>5499</v>
      </c>
      <c r="R4212" s="17">
        <v>45</v>
      </c>
      <c r="S4212" s="18">
        <v>3478.1174999999994</v>
      </c>
      <c r="T4212" s="19" t="s">
        <v>117</v>
      </c>
      <c r="U4212" s="20" t="s">
        <v>3515</v>
      </c>
      <c r="V4212" s="21">
        <v>25</v>
      </c>
      <c r="W4212" s="21">
        <v>4</v>
      </c>
      <c r="X4212" s="22"/>
    </row>
    <row r="4213" spans="1:24" s="1" customFormat="1" ht="17.100000000000001" customHeight="1" x14ac:dyDescent="0.3">
      <c r="A4213" s="23" t="s">
        <v>3014</v>
      </c>
      <c r="B4213" s="23" t="s">
        <v>4408</v>
      </c>
      <c r="C4213" s="12" t="s">
        <v>4412</v>
      </c>
      <c r="D4213" s="84"/>
      <c r="E4213" s="69" t="str">
        <f t="shared" si="203"/>
        <v>Еще фото</v>
      </c>
      <c r="F4213" s="13"/>
      <c r="G4213" s="23" t="s">
        <v>1224</v>
      </c>
      <c r="H4213" s="23" t="s">
        <v>151</v>
      </c>
      <c r="I4213" s="23" t="s">
        <v>546</v>
      </c>
      <c r="J4213" s="14" t="s">
        <v>29</v>
      </c>
      <c r="K4213" s="15" t="s">
        <v>30</v>
      </c>
      <c r="L4213" s="87"/>
      <c r="M4213" s="14"/>
      <c r="N4213" s="14" t="s">
        <v>89</v>
      </c>
      <c r="O4213" s="14"/>
      <c r="P4213" s="15" t="s">
        <v>4225</v>
      </c>
      <c r="Q4213" s="16">
        <v>5499</v>
      </c>
      <c r="R4213" s="17">
        <v>45</v>
      </c>
      <c r="S4213" s="18">
        <v>3478.1174999999994</v>
      </c>
      <c r="T4213" s="19" t="s">
        <v>117</v>
      </c>
      <c r="U4213" s="20" t="s">
        <v>4226</v>
      </c>
      <c r="V4213" s="21">
        <v>26</v>
      </c>
      <c r="W4213" s="21">
        <v>4</v>
      </c>
      <c r="X4213" s="22"/>
    </row>
    <row r="4214" spans="1:24" s="1" customFormat="1" ht="17.100000000000001" customHeight="1" x14ac:dyDescent="0.3">
      <c r="A4214" s="23" t="s">
        <v>3014</v>
      </c>
      <c r="B4214" s="23" t="s">
        <v>4408</v>
      </c>
      <c r="C4214" s="12" t="s">
        <v>4412</v>
      </c>
      <c r="D4214" s="84"/>
      <c r="E4214" s="69" t="str">
        <f t="shared" si="203"/>
        <v>Еще фото</v>
      </c>
      <c r="F4214" s="13"/>
      <c r="G4214" s="23" t="s">
        <v>1224</v>
      </c>
      <c r="H4214" s="23" t="s">
        <v>151</v>
      </c>
      <c r="I4214" s="23" t="s">
        <v>546</v>
      </c>
      <c r="J4214" s="14" t="s">
        <v>29</v>
      </c>
      <c r="K4214" s="15" t="s">
        <v>30</v>
      </c>
      <c r="L4214" s="87"/>
      <c r="M4214" s="14"/>
      <c r="N4214" s="14" t="s">
        <v>89</v>
      </c>
      <c r="O4214" s="14"/>
      <c r="P4214" s="15" t="s">
        <v>4225</v>
      </c>
      <c r="Q4214" s="16">
        <v>5499</v>
      </c>
      <c r="R4214" s="17">
        <v>45</v>
      </c>
      <c r="S4214" s="18">
        <v>3478.1174999999994</v>
      </c>
      <c r="T4214" s="19" t="s">
        <v>117</v>
      </c>
      <c r="U4214" s="20" t="s">
        <v>4411</v>
      </c>
      <c r="V4214" s="21">
        <v>27</v>
      </c>
      <c r="W4214" s="21">
        <v>4</v>
      </c>
      <c r="X4214" s="22"/>
    </row>
    <row r="4215" spans="1:24" s="1" customFormat="1" ht="21.95" customHeight="1" x14ac:dyDescent="0.3">
      <c r="A4215" s="23" t="s">
        <v>3014</v>
      </c>
      <c r="B4215" s="23" t="s">
        <v>4408</v>
      </c>
      <c r="C4215" s="12" t="s">
        <v>4412</v>
      </c>
      <c r="D4215" s="85"/>
      <c r="E4215" s="69" t="str">
        <f t="shared" si="203"/>
        <v>Еще фото</v>
      </c>
      <c r="F4215" s="13"/>
      <c r="G4215" s="23" t="s">
        <v>1224</v>
      </c>
      <c r="H4215" s="23" t="s">
        <v>151</v>
      </c>
      <c r="I4215" s="23" t="s">
        <v>546</v>
      </c>
      <c r="J4215" s="14" t="s">
        <v>29</v>
      </c>
      <c r="K4215" s="15" t="s">
        <v>30</v>
      </c>
      <c r="L4215" s="88"/>
      <c r="M4215" s="14"/>
      <c r="N4215" s="14" t="s">
        <v>89</v>
      </c>
      <c r="O4215" s="14"/>
      <c r="P4215" s="15" t="s">
        <v>4225</v>
      </c>
      <c r="Q4215" s="16">
        <v>5499</v>
      </c>
      <c r="R4215" s="17">
        <v>45</v>
      </c>
      <c r="S4215" s="18">
        <v>3478.1174999999994</v>
      </c>
      <c r="T4215" s="19" t="s">
        <v>117</v>
      </c>
      <c r="U4215" s="20" t="s">
        <v>3246</v>
      </c>
      <c r="V4215" s="21">
        <v>28</v>
      </c>
      <c r="W4215" s="21">
        <v>2</v>
      </c>
      <c r="X4215" s="22"/>
    </row>
    <row r="4216" spans="1:24" s="1" customFormat="1" ht="14.1" customHeight="1" x14ac:dyDescent="0.3">
      <c r="A4216" s="11" t="s">
        <v>3014</v>
      </c>
      <c r="B4216" s="11" t="s">
        <v>4408</v>
      </c>
      <c r="C4216" s="12" t="s">
        <v>4413</v>
      </c>
      <c r="D4216" s="83"/>
      <c r="E4216" s="69" t="str">
        <f t="shared" ref="E4216:E4222" si="204">HYPERLINK("https://www.google.ru/search?q=71406401-6960&amp;newwindow=1&amp;tbm=isch","Еще фото")</f>
        <v>Еще фото</v>
      </c>
      <c r="F4216" s="13"/>
      <c r="G4216" s="11" t="s">
        <v>1224</v>
      </c>
      <c r="H4216" s="11" t="s">
        <v>151</v>
      </c>
      <c r="I4216" s="14" t="s">
        <v>546</v>
      </c>
      <c r="J4216" s="14" t="s">
        <v>29</v>
      </c>
      <c r="K4216" s="15" t="s">
        <v>30</v>
      </c>
      <c r="L4216" s="86"/>
      <c r="M4216" s="14"/>
      <c r="N4216" s="14" t="s">
        <v>70</v>
      </c>
      <c r="O4216" s="14"/>
      <c r="P4216" s="15" t="s">
        <v>4225</v>
      </c>
      <c r="Q4216" s="16">
        <v>5499</v>
      </c>
      <c r="R4216" s="17">
        <v>45</v>
      </c>
      <c r="S4216" s="18">
        <v>3478.1174999999994</v>
      </c>
      <c r="T4216" s="19" t="s">
        <v>117</v>
      </c>
      <c r="U4216" s="20" t="s">
        <v>3505</v>
      </c>
      <c r="V4216" s="21">
        <v>22</v>
      </c>
      <c r="W4216" s="21">
        <v>2</v>
      </c>
      <c r="X4216" s="22"/>
    </row>
    <row r="4217" spans="1:24" s="1" customFormat="1" ht="14.1" customHeight="1" x14ac:dyDescent="0.3">
      <c r="A4217" s="23" t="s">
        <v>3014</v>
      </c>
      <c r="B4217" s="23" t="s">
        <v>4408</v>
      </c>
      <c r="C4217" s="12" t="s">
        <v>4413</v>
      </c>
      <c r="D4217" s="84"/>
      <c r="E4217" s="69" t="str">
        <f t="shared" si="204"/>
        <v>Еще фото</v>
      </c>
      <c r="F4217" s="13"/>
      <c r="G4217" s="23" t="s">
        <v>1224</v>
      </c>
      <c r="H4217" s="23" t="s">
        <v>151</v>
      </c>
      <c r="I4217" s="23" t="s">
        <v>546</v>
      </c>
      <c r="J4217" s="14" t="s">
        <v>29</v>
      </c>
      <c r="K4217" s="15" t="s">
        <v>30</v>
      </c>
      <c r="L4217" s="87"/>
      <c r="M4217" s="14"/>
      <c r="N4217" s="14" t="s">
        <v>70</v>
      </c>
      <c r="O4217" s="14"/>
      <c r="P4217" s="15" t="s">
        <v>4225</v>
      </c>
      <c r="Q4217" s="16">
        <v>5499</v>
      </c>
      <c r="R4217" s="17">
        <v>45</v>
      </c>
      <c r="S4217" s="18">
        <v>3478.1174999999994</v>
      </c>
      <c r="T4217" s="19" t="s">
        <v>117</v>
      </c>
      <c r="U4217" s="20" t="s">
        <v>3514</v>
      </c>
      <c r="V4217" s="21">
        <v>23</v>
      </c>
      <c r="W4217" s="21">
        <v>4</v>
      </c>
      <c r="X4217" s="22"/>
    </row>
    <row r="4218" spans="1:24" s="1" customFormat="1" ht="14.1" customHeight="1" x14ac:dyDescent="0.3">
      <c r="A4218" s="23" t="s">
        <v>3014</v>
      </c>
      <c r="B4218" s="23" t="s">
        <v>4408</v>
      </c>
      <c r="C4218" s="12" t="s">
        <v>4413</v>
      </c>
      <c r="D4218" s="84"/>
      <c r="E4218" s="69" t="str">
        <f t="shared" si="204"/>
        <v>Еще фото</v>
      </c>
      <c r="F4218" s="13"/>
      <c r="G4218" s="23" t="s">
        <v>1224</v>
      </c>
      <c r="H4218" s="23" t="s">
        <v>151</v>
      </c>
      <c r="I4218" s="23" t="s">
        <v>546</v>
      </c>
      <c r="J4218" s="14" t="s">
        <v>29</v>
      </c>
      <c r="K4218" s="15" t="s">
        <v>30</v>
      </c>
      <c r="L4218" s="87"/>
      <c r="M4218" s="14"/>
      <c r="N4218" s="14" t="s">
        <v>70</v>
      </c>
      <c r="O4218" s="14"/>
      <c r="P4218" s="15" t="s">
        <v>4225</v>
      </c>
      <c r="Q4218" s="16">
        <v>5499</v>
      </c>
      <c r="R4218" s="17">
        <v>45</v>
      </c>
      <c r="S4218" s="18">
        <v>3478.1174999999994</v>
      </c>
      <c r="T4218" s="19" t="s">
        <v>117</v>
      </c>
      <c r="U4218" s="20" t="s">
        <v>4222</v>
      </c>
      <c r="V4218" s="21">
        <v>24</v>
      </c>
      <c r="W4218" s="21">
        <v>4</v>
      </c>
      <c r="X4218" s="22"/>
    </row>
    <row r="4219" spans="1:24" s="1" customFormat="1" ht="14.1" customHeight="1" x14ac:dyDescent="0.3">
      <c r="A4219" s="23" t="s">
        <v>3014</v>
      </c>
      <c r="B4219" s="23" t="s">
        <v>4408</v>
      </c>
      <c r="C4219" s="12" t="s">
        <v>4413</v>
      </c>
      <c r="D4219" s="84"/>
      <c r="E4219" s="69" t="str">
        <f t="shared" si="204"/>
        <v>Еще фото</v>
      </c>
      <c r="F4219" s="13"/>
      <c r="G4219" s="23" t="s">
        <v>1224</v>
      </c>
      <c r="H4219" s="23" t="s">
        <v>151</v>
      </c>
      <c r="I4219" s="23" t="s">
        <v>546</v>
      </c>
      <c r="J4219" s="14" t="s">
        <v>29</v>
      </c>
      <c r="K4219" s="15" t="s">
        <v>30</v>
      </c>
      <c r="L4219" s="87"/>
      <c r="M4219" s="14"/>
      <c r="N4219" s="14" t="s">
        <v>70</v>
      </c>
      <c r="O4219" s="14"/>
      <c r="P4219" s="15" t="s">
        <v>4225</v>
      </c>
      <c r="Q4219" s="16">
        <v>5499</v>
      </c>
      <c r="R4219" s="17">
        <v>45</v>
      </c>
      <c r="S4219" s="18">
        <v>3478.1174999999994</v>
      </c>
      <c r="T4219" s="19" t="s">
        <v>117</v>
      </c>
      <c r="U4219" s="20" t="s">
        <v>3515</v>
      </c>
      <c r="V4219" s="21">
        <v>25</v>
      </c>
      <c r="W4219" s="21">
        <v>4</v>
      </c>
      <c r="X4219" s="22"/>
    </row>
    <row r="4220" spans="1:24" s="1" customFormat="1" ht="14.1" customHeight="1" x14ac:dyDescent="0.3">
      <c r="A4220" s="23" t="s">
        <v>3014</v>
      </c>
      <c r="B4220" s="23" t="s">
        <v>4408</v>
      </c>
      <c r="C4220" s="12" t="s">
        <v>4413</v>
      </c>
      <c r="D4220" s="84"/>
      <c r="E4220" s="69" t="str">
        <f t="shared" si="204"/>
        <v>Еще фото</v>
      </c>
      <c r="F4220" s="13"/>
      <c r="G4220" s="23" t="s">
        <v>1224</v>
      </c>
      <c r="H4220" s="23" t="s">
        <v>151</v>
      </c>
      <c r="I4220" s="23" t="s">
        <v>546</v>
      </c>
      <c r="J4220" s="14" t="s">
        <v>29</v>
      </c>
      <c r="K4220" s="15" t="s">
        <v>30</v>
      </c>
      <c r="L4220" s="87"/>
      <c r="M4220" s="14"/>
      <c r="N4220" s="14" t="s">
        <v>70</v>
      </c>
      <c r="O4220" s="14"/>
      <c r="P4220" s="15" t="s">
        <v>4225</v>
      </c>
      <c r="Q4220" s="16">
        <v>5499</v>
      </c>
      <c r="R4220" s="17">
        <v>45</v>
      </c>
      <c r="S4220" s="18">
        <v>3478.1174999999994</v>
      </c>
      <c r="T4220" s="19" t="s">
        <v>117</v>
      </c>
      <c r="U4220" s="20" t="s">
        <v>4226</v>
      </c>
      <c r="V4220" s="21">
        <v>26</v>
      </c>
      <c r="W4220" s="21">
        <v>4</v>
      </c>
      <c r="X4220" s="22"/>
    </row>
    <row r="4221" spans="1:24" s="1" customFormat="1" ht="14.1" customHeight="1" x14ac:dyDescent="0.3">
      <c r="A4221" s="23" t="s">
        <v>3014</v>
      </c>
      <c r="B4221" s="23" t="s">
        <v>4408</v>
      </c>
      <c r="C4221" s="12" t="s">
        <v>4413</v>
      </c>
      <c r="D4221" s="84"/>
      <c r="E4221" s="69" t="str">
        <f t="shared" si="204"/>
        <v>Еще фото</v>
      </c>
      <c r="F4221" s="13"/>
      <c r="G4221" s="23" t="s">
        <v>1224</v>
      </c>
      <c r="H4221" s="23" t="s">
        <v>151</v>
      </c>
      <c r="I4221" s="23" t="s">
        <v>546</v>
      </c>
      <c r="J4221" s="14" t="s">
        <v>29</v>
      </c>
      <c r="K4221" s="15" t="s">
        <v>30</v>
      </c>
      <c r="L4221" s="87"/>
      <c r="M4221" s="14"/>
      <c r="N4221" s="14" t="s">
        <v>70</v>
      </c>
      <c r="O4221" s="14"/>
      <c r="P4221" s="15" t="s">
        <v>4225</v>
      </c>
      <c r="Q4221" s="16">
        <v>5499</v>
      </c>
      <c r="R4221" s="17">
        <v>45</v>
      </c>
      <c r="S4221" s="18">
        <v>3478.1174999999994</v>
      </c>
      <c r="T4221" s="19" t="s">
        <v>117</v>
      </c>
      <c r="U4221" s="20" t="s">
        <v>4411</v>
      </c>
      <c r="V4221" s="21">
        <v>27</v>
      </c>
      <c r="W4221" s="21">
        <v>2</v>
      </c>
      <c r="X4221" s="22"/>
    </row>
    <row r="4222" spans="1:24" s="1" customFormat="1" ht="17.100000000000001" customHeight="1" x14ac:dyDescent="0.3">
      <c r="A4222" s="23" t="s">
        <v>3014</v>
      </c>
      <c r="B4222" s="23" t="s">
        <v>4408</v>
      </c>
      <c r="C4222" s="12" t="s">
        <v>4413</v>
      </c>
      <c r="D4222" s="85"/>
      <c r="E4222" s="69" t="str">
        <f t="shared" si="204"/>
        <v>Еще фото</v>
      </c>
      <c r="F4222" s="13"/>
      <c r="G4222" s="23" t="s">
        <v>1224</v>
      </c>
      <c r="H4222" s="23" t="s">
        <v>151</v>
      </c>
      <c r="I4222" s="23" t="s">
        <v>546</v>
      </c>
      <c r="J4222" s="14" t="s">
        <v>29</v>
      </c>
      <c r="K4222" s="15" t="s">
        <v>30</v>
      </c>
      <c r="L4222" s="88"/>
      <c r="M4222" s="14"/>
      <c r="N4222" s="14" t="s">
        <v>70</v>
      </c>
      <c r="O4222" s="14"/>
      <c r="P4222" s="15" t="s">
        <v>4225</v>
      </c>
      <c r="Q4222" s="16">
        <v>5499</v>
      </c>
      <c r="R4222" s="17">
        <v>45</v>
      </c>
      <c r="S4222" s="18">
        <v>3478.1174999999994</v>
      </c>
      <c r="T4222" s="19" t="s">
        <v>117</v>
      </c>
      <c r="U4222" s="20" t="s">
        <v>3246</v>
      </c>
      <c r="V4222" s="21">
        <v>28</v>
      </c>
      <c r="W4222" s="21">
        <v>2</v>
      </c>
      <c r="X4222" s="22"/>
    </row>
    <row r="4223" spans="1:24" s="1" customFormat="1" ht="35.1" customHeight="1" x14ac:dyDescent="0.3">
      <c r="A4223" s="11" t="s">
        <v>3014</v>
      </c>
      <c r="B4223" s="11" t="s">
        <v>4414</v>
      </c>
      <c r="C4223" s="12" t="s">
        <v>4415</v>
      </c>
      <c r="D4223" s="83"/>
      <c r="E4223" s="69" t="str">
        <f>HYPERLINK("https://www.google.ru/search?q=72404402-9990&amp;newwindow=1&amp;tbm=isch","Еще фото")</f>
        <v>Еще фото</v>
      </c>
      <c r="F4223" s="13"/>
      <c r="G4223" s="11" t="s">
        <v>4416</v>
      </c>
      <c r="H4223" s="11" t="s">
        <v>151</v>
      </c>
      <c r="I4223" s="14" t="s">
        <v>546</v>
      </c>
      <c r="J4223" s="14" t="s">
        <v>29</v>
      </c>
      <c r="K4223" s="15" t="s">
        <v>30</v>
      </c>
      <c r="L4223" s="86" t="s">
        <v>4417</v>
      </c>
      <c r="M4223" s="14"/>
      <c r="N4223" s="14" t="s">
        <v>49</v>
      </c>
      <c r="O4223" s="14"/>
      <c r="P4223" s="15" t="s">
        <v>193</v>
      </c>
      <c r="Q4223" s="16">
        <v>2199</v>
      </c>
      <c r="R4223" s="17">
        <v>45</v>
      </c>
      <c r="S4223" s="18">
        <v>1390.8674999999998</v>
      </c>
      <c r="T4223" s="19" t="s">
        <v>117</v>
      </c>
      <c r="U4223" s="20" t="s">
        <v>3515</v>
      </c>
      <c r="V4223" s="21">
        <v>25</v>
      </c>
      <c r="W4223" s="21">
        <v>2</v>
      </c>
      <c r="X4223" s="22"/>
    </row>
    <row r="4224" spans="1:24" s="1" customFormat="1" ht="35.1" customHeight="1" x14ac:dyDescent="0.3">
      <c r="A4224" s="23" t="s">
        <v>3014</v>
      </c>
      <c r="B4224" s="23" t="s">
        <v>4414</v>
      </c>
      <c r="C4224" s="12" t="s">
        <v>4415</v>
      </c>
      <c r="D4224" s="84"/>
      <c r="E4224" s="69" t="str">
        <f>HYPERLINK("https://www.google.ru/search?q=72404402-9990&amp;newwindow=1&amp;tbm=isch","Еще фото")</f>
        <v>Еще фото</v>
      </c>
      <c r="F4224" s="13"/>
      <c r="G4224" s="23" t="s">
        <v>4416</v>
      </c>
      <c r="H4224" s="23" t="s">
        <v>151</v>
      </c>
      <c r="I4224" s="23" t="s">
        <v>546</v>
      </c>
      <c r="J4224" s="14" t="s">
        <v>29</v>
      </c>
      <c r="K4224" s="15" t="s">
        <v>30</v>
      </c>
      <c r="L4224" s="87"/>
      <c r="M4224" s="14"/>
      <c r="N4224" s="14" t="s">
        <v>49</v>
      </c>
      <c r="O4224" s="14"/>
      <c r="P4224" s="15" t="s">
        <v>193</v>
      </c>
      <c r="Q4224" s="16">
        <v>2199</v>
      </c>
      <c r="R4224" s="17">
        <v>45</v>
      </c>
      <c r="S4224" s="18">
        <v>1390.8674999999998</v>
      </c>
      <c r="T4224" s="19" t="s">
        <v>117</v>
      </c>
      <c r="U4224" s="20" t="s">
        <v>3237</v>
      </c>
      <c r="V4224" s="21">
        <v>29</v>
      </c>
      <c r="W4224" s="21">
        <v>1</v>
      </c>
      <c r="X4224" s="22"/>
    </row>
    <row r="4225" spans="1:24" s="1" customFormat="1" ht="36.950000000000003" customHeight="1" x14ac:dyDescent="0.3">
      <c r="A4225" s="23" t="s">
        <v>3014</v>
      </c>
      <c r="B4225" s="23" t="s">
        <v>4414</v>
      </c>
      <c r="C4225" s="12" t="s">
        <v>4415</v>
      </c>
      <c r="D4225" s="85"/>
      <c r="E4225" s="69" t="str">
        <f>HYPERLINK("https://www.google.ru/search?q=72404402-9990&amp;newwindow=1&amp;tbm=isch","Еще фото")</f>
        <v>Еще фото</v>
      </c>
      <c r="F4225" s="13"/>
      <c r="G4225" s="23" t="s">
        <v>4416</v>
      </c>
      <c r="H4225" s="23" t="s">
        <v>151</v>
      </c>
      <c r="I4225" s="23" t="s">
        <v>546</v>
      </c>
      <c r="J4225" s="14" t="s">
        <v>29</v>
      </c>
      <c r="K4225" s="15" t="s">
        <v>30</v>
      </c>
      <c r="L4225" s="88"/>
      <c r="M4225" s="14"/>
      <c r="N4225" s="14" t="s">
        <v>49</v>
      </c>
      <c r="O4225" s="14"/>
      <c r="P4225" s="15" t="s">
        <v>193</v>
      </c>
      <c r="Q4225" s="16">
        <v>2199</v>
      </c>
      <c r="R4225" s="17">
        <v>45</v>
      </c>
      <c r="S4225" s="18">
        <v>1390.8674999999998</v>
      </c>
      <c r="T4225" s="19" t="s">
        <v>117</v>
      </c>
      <c r="U4225" s="20" t="s">
        <v>3239</v>
      </c>
      <c r="V4225" s="21">
        <v>31</v>
      </c>
      <c r="W4225" s="21">
        <v>1</v>
      </c>
      <c r="X4225" s="22"/>
    </row>
    <row r="4226" spans="1:24" s="1" customFormat="1" ht="51.95" customHeight="1" x14ac:dyDescent="0.3">
      <c r="A4226" s="11" t="s">
        <v>3014</v>
      </c>
      <c r="B4226" s="11" t="s">
        <v>4414</v>
      </c>
      <c r="C4226" s="12" t="s">
        <v>4418</v>
      </c>
      <c r="D4226" s="89"/>
      <c r="E4226" s="69" t="str">
        <f>HYPERLINK("https://www.google.ru/search?q=72404402-9991&amp;newwindow=1&amp;tbm=isch","Еще фото")</f>
        <v>Еще фото</v>
      </c>
      <c r="F4226" s="13"/>
      <c r="G4226" s="11" t="s">
        <v>4416</v>
      </c>
      <c r="H4226" s="11" t="s">
        <v>151</v>
      </c>
      <c r="I4226" s="14" t="s">
        <v>546</v>
      </c>
      <c r="J4226" s="14" t="s">
        <v>29</v>
      </c>
      <c r="K4226" s="15" t="s">
        <v>30</v>
      </c>
      <c r="L4226" s="86" t="s">
        <v>4417</v>
      </c>
      <c r="M4226" s="14"/>
      <c r="N4226" s="14" t="s">
        <v>49</v>
      </c>
      <c r="O4226" s="14"/>
      <c r="P4226" s="15" t="s">
        <v>193</v>
      </c>
      <c r="Q4226" s="16">
        <v>2199</v>
      </c>
      <c r="R4226" s="17">
        <v>45</v>
      </c>
      <c r="S4226" s="18">
        <v>1390.8674999999998</v>
      </c>
      <c r="T4226" s="19" t="s">
        <v>117</v>
      </c>
      <c r="U4226" s="20" t="s">
        <v>3246</v>
      </c>
      <c r="V4226" s="21">
        <v>28</v>
      </c>
      <c r="W4226" s="21">
        <v>1</v>
      </c>
      <c r="X4226" s="22"/>
    </row>
    <row r="4227" spans="1:24" s="1" customFormat="1" ht="60.95" customHeight="1" x14ac:dyDescent="0.3">
      <c r="A4227" s="23" t="s">
        <v>3014</v>
      </c>
      <c r="B4227" s="23" t="s">
        <v>4414</v>
      </c>
      <c r="C4227" s="12" t="s">
        <v>4418</v>
      </c>
      <c r="D4227" s="90"/>
      <c r="E4227" s="69" t="str">
        <f>HYPERLINK("https://www.google.ru/search?q=72404402-9991&amp;newwindow=1&amp;tbm=isch","Еще фото")</f>
        <v>Еще фото</v>
      </c>
      <c r="F4227" s="13"/>
      <c r="G4227" s="23" t="s">
        <v>4416</v>
      </c>
      <c r="H4227" s="23" t="s">
        <v>151</v>
      </c>
      <c r="I4227" s="23" t="s">
        <v>546</v>
      </c>
      <c r="J4227" s="14" t="s">
        <v>29</v>
      </c>
      <c r="K4227" s="15" t="s">
        <v>30</v>
      </c>
      <c r="L4227" s="88"/>
      <c r="M4227" s="14"/>
      <c r="N4227" s="14" t="s">
        <v>49</v>
      </c>
      <c r="O4227" s="14"/>
      <c r="P4227" s="15" t="s">
        <v>193</v>
      </c>
      <c r="Q4227" s="16">
        <v>2199</v>
      </c>
      <c r="R4227" s="17">
        <v>45</v>
      </c>
      <c r="S4227" s="18">
        <v>1390.8674999999998</v>
      </c>
      <c r="T4227" s="19" t="s">
        <v>117</v>
      </c>
      <c r="U4227" s="20" t="s">
        <v>3237</v>
      </c>
      <c r="V4227" s="21">
        <v>29</v>
      </c>
      <c r="W4227" s="21">
        <v>2</v>
      </c>
      <c r="X4227" s="22"/>
    </row>
    <row r="4228" spans="1:24" s="1" customFormat="1" ht="14.1" customHeight="1" x14ac:dyDescent="0.3">
      <c r="A4228" s="11" t="s">
        <v>3014</v>
      </c>
      <c r="B4228" s="11" t="s">
        <v>4419</v>
      </c>
      <c r="C4228" s="12" t="s">
        <v>4420</v>
      </c>
      <c r="D4228" s="83"/>
      <c r="E4228" s="69" t="str">
        <f t="shared" ref="E4228:E4234" si="205">HYPERLINK("https://www.google.ru/search?q=72404405-0670&amp;newwindow=1&amp;tbm=isch","Еще фото")</f>
        <v>Еще фото</v>
      </c>
      <c r="F4228" s="13"/>
      <c r="G4228" s="11" t="s">
        <v>1224</v>
      </c>
      <c r="H4228" s="11" t="s">
        <v>151</v>
      </c>
      <c r="I4228" s="14" t="s">
        <v>546</v>
      </c>
      <c r="J4228" s="14" t="s">
        <v>29</v>
      </c>
      <c r="K4228" s="15" t="s">
        <v>30</v>
      </c>
      <c r="L4228" s="86" t="s">
        <v>4421</v>
      </c>
      <c r="M4228" s="14"/>
      <c r="N4228" s="14" t="s">
        <v>326</v>
      </c>
      <c r="O4228" s="14"/>
      <c r="P4228" s="15" t="s">
        <v>4219</v>
      </c>
      <c r="Q4228" s="16">
        <v>5999</v>
      </c>
      <c r="R4228" s="17">
        <v>45</v>
      </c>
      <c r="S4228" s="18">
        <v>3794.3674999999994</v>
      </c>
      <c r="T4228" s="19" t="s">
        <v>117</v>
      </c>
      <c r="U4228" s="20" t="s">
        <v>3238</v>
      </c>
      <c r="V4228" s="21">
        <v>30</v>
      </c>
      <c r="W4228" s="21">
        <v>2</v>
      </c>
      <c r="X4228" s="22"/>
    </row>
    <row r="4229" spans="1:24" s="1" customFormat="1" ht="14.1" customHeight="1" x14ac:dyDescent="0.3">
      <c r="A4229" s="23" t="s">
        <v>3014</v>
      </c>
      <c r="B4229" s="23" t="s">
        <v>4419</v>
      </c>
      <c r="C4229" s="12" t="s">
        <v>4420</v>
      </c>
      <c r="D4229" s="84"/>
      <c r="E4229" s="69" t="str">
        <f t="shared" si="205"/>
        <v>Еще фото</v>
      </c>
      <c r="F4229" s="13"/>
      <c r="G4229" s="23" t="s">
        <v>1224</v>
      </c>
      <c r="H4229" s="23" t="s">
        <v>151</v>
      </c>
      <c r="I4229" s="23" t="s">
        <v>546</v>
      </c>
      <c r="J4229" s="14" t="s">
        <v>29</v>
      </c>
      <c r="K4229" s="15" t="s">
        <v>30</v>
      </c>
      <c r="L4229" s="87"/>
      <c r="M4229" s="14"/>
      <c r="N4229" s="14" t="s">
        <v>326</v>
      </c>
      <c r="O4229" s="14"/>
      <c r="P4229" s="15" t="s">
        <v>4219</v>
      </c>
      <c r="Q4229" s="16">
        <v>5999</v>
      </c>
      <c r="R4229" s="17">
        <v>45</v>
      </c>
      <c r="S4229" s="18">
        <v>3794.3674999999994</v>
      </c>
      <c r="T4229" s="19" t="s">
        <v>117</v>
      </c>
      <c r="U4229" s="20" t="s">
        <v>3239</v>
      </c>
      <c r="V4229" s="21">
        <v>31</v>
      </c>
      <c r="W4229" s="21">
        <v>3</v>
      </c>
      <c r="X4229" s="22"/>
    </row>
    <row r="4230" spans="1:24" s="1" customFormat="1" ht="14.1" customHeight="1" x14ac:dyDescent="0.3">
      <c r="A4230" s="23" t="s">
        <v>3014</v>
      </c>
      <c r="B4230" s="23" t="s">
        <v>4419</v>
      </c>
      <c r="C4230" s="12" t="s">
        <v>4420</v>
      </c>
      <c r="D4230" s="84"/>
      <c r="E4230" s="69" t="str">
        <f t="shared" si="205"/>
        <v>Еще фото</v>
      </c>
      <c r="F4230" s="13"/>
      <c r="G4230" s="23" t="s">
        <v>1224</v>
      </c>
      <c r="H4230" s="23" t="s">
        <v>151</v>
      </c>
      <c r="I4230" s="23" t="s">
        <v>546</v>
      </c>
      <c r="J4230" s="14" t="s">
        <v>29</v>
      </c>
      <c r="K4230" s="15" t="s">
        <v>30</v>
      </c>
      <c r="L4230" s="87"/>
      <c r="M4230" s="14"/>
      <c r="N4230" s="14" t="s">
        <v>326</v>
      </c>
      <c r="O4230" s="14"/>
      <c r="P4230" s="15" t="s">
        <v>4219</v>
      </c>
      <c r="Q4230" s="16">
        <v>5999</v>
      </c>
      <c r="R4230" s="17">
        <v>45</v>
      </c>
      <c r="S4230" s="18">
        <v>3794.3674999999994</v>
      </c>
      <c r="T4230" s="19" t="s">
        <v>117</v>
      </c>
      <c r="U4230" s="20" t="s">
        <v>3240</v>
      </c>
      <c r="V4230" s="21">
        <v>32</v>
      </c>
      <c r="W4230" s="21">
        <v>6</v>
      </c>
      <c r="X4230" s="22"/>
    </row>
    <row r="4231" spans="1:24" s="1" customFormat="1" ht="14.1" customHeight="1" x14ac:dyDescent="0.3">
      <c r="A4231" s="23" t="s">
        <v>3014</v>
      </c>
      <c r="B4231" s="23" t="s">
        <v>4419</v>
      </c>
      <c r="C4231" s="12" t="s">
        <v>4420</v>
      </c>
      <c r="D4231" s="84"/>
      <c r="E4231" s="69" t="str">
        <f t="shared" si="205"/>
        <v>Еще фото</v>
      </c>
      <c r="F4231" s="13"/>
      <c r="G4231" s="23" t="s">
        <v>1224</v>
      </c>
      <c r="H4231" s="23" t="s">
        <v>151</v>
      </c>
      <c r="I4231" s="23" t="s">
        <v>546</v>
      </c>
      <c r="J4231" s="14" t="s">
        <v>29</v>
      </c>
      <c r="K4231" s="15" t="s">
        <v>30</v>
      </c>
      <c r="L4231" s="87"/>
      <c r="M4231" s="14"/>
      <c r="N4231" s="14" t="s">
        <v>326</v>
      </c>
      <c r="O4231" s="14"/>
      <c r="P4231" s="15" t="s">
        <v>4219</v>
      </c>
      <c r="Q4231" s="16">
        <v>5999</v>
      </c>
      <c r="R4231" s="17">
        <v>45</v>
      </c>
      <c r="S4231" s="18">
        <v>3794.3674999999994</v>
      </c>
      <c r="T4231" s="19" t="s">
        <v>117</v>
      </c>
      <c r="U4231" s="20" t="s">
        <v>4242</v>
      </c>
      <c r="V4231" s="21">
        <v>33</v>
      </c>
      <c r="W4231" s="21">
        <v>3</v>
      </c>
      <c r="X4231" s="22"/>
    </row>
    <row r="4232" spans="1:24" s="1" customFormat="1" ht="14.1" customHeight="1" x14ac:dyDescent="0.3">
      <c r="A4232" s="23" t="s">
        <v>3014</v>
      </c>
      <c r="B4232" s="23" t="s">
        <v>4419</v>
      </c>
      <c r="C4232" s="12" t="s">
        <v>4420</v>
      </c>
      <c r="D4232" s="84"/>
      <c r="E4232" s="69" t="str">
        <f t="shared" si="205"/>
        <v>Еще фото</v>
      </c>
      <c r="F4232" s="13"/>
      <c r="G4232" s="23" t="s">
        <v>1224</v>
      </c>
      <c r="H4232" s="23" t="s">
        <v>151</v>
      </c>
      <c r="I4232" s="23" t="s">
        <v>546</v>
      </c>
      <c r="J4232" s="14" t="s">
        <v>29</v>
      </c>
      <c r="K4232" s="15" t="s">
        <v>30</v>
      </c>
      <c r="L4232" s="87"/>
      <c r="M4232" s="14"/>
      <c r="N4232" s="14" t="s">
        <v>326</v>
      </c>
      <c r="O4232" s="14"/>
      <c r="P4232" s="15" t="s">
        <v>4219</v>
      </c>
      <c r="Q4232" s="16">
        <v>5999</v>
      </c>
      <c r="R4232" s="17">
        <v>45</v>
      </c>
      <c r="S4232" s="18">
        <v>3794.3674999999994</v>
      </c>
      <c r="T4232" s="19" t="s">
        <v>117</v>
      </c>
      <c r="U4232" s="20" t="s">
        <v>3522</v>
      </c>
      <c r="V4232" s="21">
        <v>34</v>
      </c>
      <c r="W4232" s="21">
        <v>4</v>
      </c>
      <c r="X4232" s="22"/>
    </row>
    <row r="4233" spans="1:24" s="1" customFormat="1" ht="14.1" customHeight="1" x14ac:dyDescent="0.3">
      <c r="A4233" s="23" t="s">
        <v>3014</v>
      </c>
      <c r="B4233" s="23" t="s">
        <v>4419</v>
      </c>
      <c r="C4233" s="12" t="s">
        <v>4420</v>
      </c>
      <c r="D4233" s="84"/>
      <c r="E4233" s="69" t="str">
        <f t="shared" si="205"/>
        <v>Еще фото</v>
      </c>
      <c r="F4233" s="13"/>
      <c r="G4233" s="23" t="s">
        <v>1224</v>
      </c>
      <c r="H4233" s="23" t="s">
        <v>151</v>
      </c>
      <c r="I4233" s="23" t="s">
        <v>546</v>
      </c>
      <c r="J4233" s="14" t="s">
        <v>29</v>
      </c>
      <c r="K4233" s="15" t="s">
        <v>30</v>
      </c>
      <c r="L4233" s="87"/>
      <c r="M4233" s="14"/>
      <c r="N4233" s="14" t="s">
        <v>326</v>
      </c>
      <c r="O4233" s="14"/>
      <c r="P4233" s="15" t="s">
        <v>4219</v>
      </c>
      <c r="Q4233" s="16">
        <v>5999</v>
      </c>
      <c r="R4233" s="17">
        <v>45</v>
      </c>
      <c r="S4233" s="18">
        <v>3794.3674999999994</v>
      </c>
      <c r="T4233" s="19" t="s">
        <v>117</v>
      </c>
      <c r="U4233" s="20" t="s">
        <v>725</v>
      </c>
      <c r="V4233" s="21">
        <v>35</v>
      </c>
      <c r="W4233" s="21">
        <v>4</v>
      </c>
      <c r="X4233" s="22"/>
    </row>
    <row r="4234" spans="1:24" s="1" customFormat="1" ht="17.100000000000001" customHeight="1" x14ac:dyDescent="0.3">
      <c r="A4234" s="23" t="s">
        <v>3014</v>
      </c>
      <c r="B4234" s="23" t="s">
        <v>4419</v>
      </c>
      <c r="C4234" s="12" t="s">
        <v>4420</v>
      </c>
      <c r="D4234" s="85"/>
      <c r="E4234" s="69" t="str">
        <f t="shared" si="205"/>
        <v>Еще фото</v>
      </c>
      <c r="F4234" s="13"/>
      <c r="G4234" s="23" t="s">
        <v>1224</v>
      </c>
      <c r="H4234" s="23" t="s">
        <v>151</v>
      </c>
      <c r="I4234" s="23" t="s">
        <v>546</v>
      </c>
      <c r="J4234" s="14" t="s">
        <v>29</v>
      </c>
      <c r="K4234" s="15" t="s">
        <v>30</v>
      </c>
      <c r="L4234" s="88"/>
      <c r="M4234" s="14"/>
      <c r="N4234" s="14" t="s">
        <v>326</v>
      </c>
      <c r="O4234" s="14"/>
      <c r="P4234" s="15" t="s">
        <v>4219</v>
      </c>
      <c r="Q4234" s="16">
        <v>5999</v>
      </c>
      <c r="R4234" s="17">
        <v>45</v>
      </c>
      <c r="S4234" s="18">
        <v>3794.3674999999994</v>
      </c>
      <c r="T4234" s="19" t="s">
        <v>117</v>
      </c>
      <c r="U4234" s="20" t="s">
        <v>3516</v>
      </c>
      <c r="V4234" s="21">
        <v>37</v>
      </c>
      <c r="W4234" s="21">
        <v>2</v>
      </c>
      <c r="X4234" s="22"/>
    </row>
    <row r="4235" spans="1:24" s="1" customFormat="1" ht="108" customHeight="1" x14ac:dyDescent="0.3">
      <c r="A4235" s="11" t="s">
        <v>3014</v>
      </c>
      <c r="B4235" s="11" t="s">
        <v>4419</v>
      </c>
      <c r="C4235" s="12" t="s">
        <v>4422</v>
      </c>
      <c r="D4235" s="24"/>
      <c r="E4235" s="69" t="str">
        <f>HYPERLINK("https://www.google.ru/search?q=72404405-9370&amp;newwindow=1&amp;tbm=isch","Еще фото")</f>
        <v>Еще фото</v>
      </c>
      <c r="F4235" s="13"/>
      <c r="G4235" s="11" t="s">
        <v>1224</v>
      </c>
      <c r="H4235" s="11" t="s">
        <v>151</v>
      </c>
      <c r="I4235" s="14" t="s">
        <v>546</v>
      </c>
      <c r="J4235" s="14" t="s">
        <v>29</v>
      </c>
      <c r="K4235" s="15" t="s">
        <v>30</v>
      </c>
      <c r="L4235" s="14" t="s">
        <v>4421</v>
      </c>
      <c r="M4235" s="14"/>
      <c r="N4235" s="14" t="s">
        <v>41</v>
      </c>
      <c r="O4235" s="14"/>
      <c r="P4235" s="15" t="s">
        <v>4219</v>
      </c>
      <c r="Q4235" s="16">
        <v>5999</v>
      </c>
      <c r="R4235" s="17">
        <v>45</v>
      </c>
      <c r="S4235" s="18">
        <v>3794.3674999999994</v>
      </c>
      <c r="T4235" s="19" t="s">
        <v>117</v>
      </c>
      <c r="U4235" s="20" t="s">
        <v>4246</v>
      </c>
      <c r="V4235" s="21">
        <v>36</v>
      </c>
      <c r="W4235" s="21">
        <v>1</v>
      </c>
      <c r="X4235" s="22"/>
    </row>
    <row r="4236" spans="1:24" s="1" customFormat="1" ht="14.1" customHeight="1" x14ac:dyDescent="0.3">
      <c r="A4236" s="11" t="s">
        <v>3014</v>
      </c>
      <c r="B4236" s="11" t="s">
        <v>4423</v>
      </c>
      <c r="C4236" s="12" t="s">
        <v>4424</v>
      </c>
      <c r="D4236" s="83"/>
      <c r="E4236" s="69" t="str">
        <f t="shared" ref="E4236:E4242" si="206">HYPERLINK("https://www.google.ru/search?q=72404406-4650&amp;newwindow=1&amp;tbm=isch","Еще фото")</f>
        <v>Еще фото</v>
      </c>
      <c r="F4236" s="13"/>
      <c r="G4236" s="11" t="s">
        <v>1224</v>
      </c>
      <c r="H4236" s="11" t="s">
        <v>151</v>
      </c>
      <c r="I4236" s="14" t="s">
        <v>546</v>
      </c>
      <c r="J4236" s="14" t="s">
        <v>29</v>
      </c>
      <c r="K4236" s="15" t="s">
        <v>30</v>
      </c>
      <c r="L4236" s="86"/>
      <c r="M4236" s="14"/>
      <c r="N4236" s="14" t="s">
        <v>275</v>
      </c>
      <c r="O4236" s="14"/>
      <c r="P4236" s="15" t="s">
        <v>4425</v>
      </c>
      <c r="Q4236" s="16">
        <v>3499</v>
      </c>
      <c r="R4236" s="17">
        <v>45</v>
      </c>
      <c r="S4236" s="18">
        <v>2213.1174999999998</v>
      </c>
      <c r="T4236" s="19" t="s">
        <v>117</v>
      </c>
      <c r="U4236" s="20" t="s">
        <v>3238</v>
      </c>
      <c r="V4236" s="21">
        <v>30</v>
      </c>
      <c r="W4236" s="21">
        <v>2</v>
      </c>
      <c r="X4236" s="22"/>
    </row>
    <row r="4237" spans="1:24" s="1" customFormat="1" ht="14.1" customHeight="1" x14ac:dyDescent="0.3">
      <c r="A4237" s="23" t="s">
        <v>3014</v>
      </c>
      <c r="B4237" s="23" t="s">
        <v>4423</v>
      </c>
      <c r="C4237" s="12" t="s">
        <v>4424</v>
      </c>
      <c r="D4237" s="84"/>
      <c r="E4237" s="69" t="str">
        <f t="shared" si="206"/>
        <v>Еще фото</v>
      </c>
      <c r="F4237" s="13"/>
      <c r="G4237" s="23" t="s">
        <v>1224</v>
      </c>
      <c r="H4237" s="23" t="s">
        <v>151</v>
      </c>
      <c r="I4237" s="23" t="s">
        <v>546</v>
      </c>
      <c r="J4237" s="14" t="s">
        <v>29</v>
      </c>
      <c r="K4237" s="15" t="s">
        <v>30</v>
      </c>
      <c r="L4237" s="87"/>
      <c r="M4237" s="14"/>
      <c r="N4237" s="14" t="s">
        <v>275</v>
      </c>
      <c r="O4237" s="14"/>
      <c r="P4237" s="15" t="s">
        <v>4425</v>
      </c>
      <c r="Q4237" s="16">
        <v>3499</v>
      </c>
      <c r="R4237" s="17">
        <v>45</v>
      </c>
      <c r="S4237" s="18">
        <v>2213.1174999999998</v>
      </c>
      <c r="T4237" s="19" t="s">
        <v>117</v>
      </c>
      <c r="U4237" s="20" t="s">
        <v>3239</v>
      </c>
      <c r="V4237" s="21">
        <v>31</v>
      </c>
      <c r="W4237" s="21">
        <v>1</v>
      </c>
      <c r="X4237" s="22"/>
    </row>
    <row r="4238" spans="1:24" s="1" customFormat="1" ht="14.1" customHeight="1" x14ac:dyDescent="0.3">
      <c r="A4238" s="23" t="s">
        <v>3014</v>
      </c>
      <c r="B4238" s="23" t="s">
        <v>4423</v>
      </c>
      <c r="C4238" s="12" t="s">
        <v>4424</v>
      </c>
      <c r="D4238" s="84"/>
      <c r="E4238" s="69" t="str">
        <f t="shared" si="206"/>
        <v>Еще фото</v>
      </c>
      <c r="F4238" s="13"/>
      <c r="G4238" s="23" t="s">
        <v>1224</v>
      </c>
      <c r="H4238" s="23" t="s">
        <v>151</v>
      </c>
      <c r="I4238" s="23" t="s">
        <v>546</v>
      </c>
      <c r="J4238" s="14" t="s">
        <v>29</v>
      </c>
      <c r="K4238" s="15" t="s">
        <v>30</v>
      </c>
      <c r="L4238" s="87"/>
      <c r="M4238" s="14"/>
      <c r="N4238" s="14" t="s">
        <v>275</v>
      </c>
      <c r="O4238" s="14"/>
      <c r="P4238" s="15" t="s">
        <v>4425</v>
      </c>
      <c r="Q4238" s="16">
        <v>3499</v>
      </c>
      <c r="R4238" s="17">
        <v>45</v>
      </c>
      <c r="S4238" s="18">
        <v>2213.1174999999998</v>
      </c>
      <c r="T4238" s="19" t="s">
        <v>117</v>
      </c>
      <c r="U4238" s="20" t="s">
        <v>3240</v>
      </c>
      <c r="V4238" s="21">
        <v>32</v>
      </c>
      <c r="W4238" s="21">
        <v>3</v>
      </c>
      <c r="X4238" s="22"/>
    </row>
    <row r="4239" spans="1:24" s="1" customFormat="1" ht="14.1" customHeight="1" x14ac:dyDescent="0.3">
      <c r="A4239" s="23" t="s">
        <v>3014</v>
      </c>
      <c r="B4239" s="23" t="s">
        <v>4423</v>
      </c>
      <c r="C4239" s="12" t="s">
        <v>4424</v>
      </c>
      <c r="D4239" s="84"/>
      <c r="E4239" s="69" t="str">
        <f t="shared" si="206"/>
        <v>Еще фото</v>
      </c>
      <c r="F4239" s="13"/>
      <c r="G4239" s="23" t="s">
        <v>1224</v>
      </c>
      <c r="H4239" s="23" t="s">
        <v>151</v>
      </c>
      <c r="I4239" s="23" t="s">
        <v>546</v>
      </c>
      <c r="J4239" s="14" t="s">
        <v>29</v>
      </c>
      <c r="K4239" s="15" t="s">
        <v>30</v>
      </c>
      <c r="L4239" s="87"/>
      <c r="M4239" s="14"/>
      <c r="N4239" s="14" t="s">
        <v>275</v>
      </c>
      <c r="O4239" s="14"/>
      <c r="P4239" s="15" t="s">
        <v>4425</v>
      </c>
      <c r="Q4239" s="16">
        <v>3499</v>
      </c>
      <c r="R4239" s="17">
        <v>45</v>
      </c>
      <c r="S4239" s="18">
        <v>2213.1174999999998</v>
      </c>
      <c r="T4239" s="19" t="s">
        <v>117</v>
      </c>
      <c r="U4239" s="20" t="s">
        <v>4242</v>
      </c>
      <c r="V4239" s="21">
        <v>33</v>
      </c>
      <c r="W4239" s="21">
        <v>2</v>
      </c>
      <c r="X4239" s="22"/>
    </row>
    <row r="4240" spans="1:24" s="1" customFormat="1" ht="14.1" customHeight="1" x14ac:dyDescent="0.3">
      <c r="A4240" s="23" t="s">
        <v>3014</v>
      </c>
      <c r="B4240" s="23" t="s">
        <v>4423</v>
      </c>
      <c r="C4240" s="12" t="s">
        <v>4424</v>
      </c>
      <c r="D4240" s="84"/>
      <c r="E4240" s="69" t="str">
        <f t="shared" si="206"/>
        <v>Еще фото</v>
      </c>
      <c r="F4240" s="13"/>
      <c r="G4240" s="23" t="s">
        <v>1224</v>
      </c>
      <c r="H4240" s="23" t="s">
        <v>151</v>
      </c>
      <c r="I4240" s="23" t="s">
        <v>546</v>
      </c>
      <c r="J4240" s="14" t="s">
        <v>29</v>
      </c>
      <c r="K4240" s="15" t="s">
        <v>30</v>
      </c>
      <c r="L4240" s="87"/>
      <c r="M4240" s="14"/>
      <c r="N4240" s="14" t="s">
        <v>275</v>
      </c>
      <c r="O4240" s="14"/>
      <c r="P4240" s="15" t="s">
        <v>4425</v>
      </c>
      <c r="Q4240" s="16">
        <v>3499</v>
      </c>
      <c r="R4240" s="17">
        <v>45</v>
      </c>
      <c r="S4240" s="18">
        <v>2213.1174999999998</v>
      </c>
      <c r="T4240" s="19" t="s">
        <v>117</v>
      </c>
      <c r="U4240" s="20" t="s">
        <v>3522</v>
      </c>
      <c r="V4240" s="21">
        <v>34</v>
      </c>
      <c r="W4240" s="21">
        <v>1</v>
      </c>
      <c r="X4240" s="22"/>
    </row>
    <row r="4241" spans="1:24" s="1" customFormat="1" ht="14.1" customHeight="1" x14ac:dyDescent="0.3">
      <c r="A4241" s="23" t="s">
        <v>3014</v>
      </c>
      <c r="B4241" s="23" t="s">
        <v>4423</v>
      </c>
      <c r="C4241" s="12" t="s">
        <v>4424</v>
      </c>
      <c r="D4241" s="84"/>
      <c r="E4241" s="69" t="str">
        <f t="shared" si="206"/>
        <v>Еще фото</v>
      </c>
      <c r="F4241" s="13"/>
      <c r="G4241" s="23" t="s">
        <v>1224</v>
      </c>
      <c r="H4241" s="23" t="s">
        <v>151</v>
      </c>
      <c r="I4241" s="23" t="s">
        <v>546</v>
      </c>
      <c r="J4241" s="14" t="s">
        <v>29</v>
      </c>
      <c r="K4241" s="15" t="s">
        <v>30</v>
      </c>
      <c r="L4241" s="87"/>
      <c r="M4241" s="14"/>
      <c r="N4241" s="14" t="s">
        <v>275</v>
      </c>
      <c r="O4241" s="14"/>
      <c r="P4241" s="15" t="s">
        <v>4425</v>
      </c>
      <c r="Q4241" s="16">
        <v>3499</v>
      </c>
      <c r="R4241" s="17">
        <v>45</v>
      </c>
      <c r="S4241" s="18">
        <v>2213.1174999999998</v>
      </c>
      <c r="T4241" s="19" t="s">
        <v>117</v>
      </c>
      <c r="U4241" s="20" t="s">
        <v>725</v>
      </c>
      <c r="V4241" s="21">
        <v>35</v>
      </c>
      <c r="W4241" s="21">
        <v>4</v>
      </c>
      <c r="X4241" s="22"/>
    </row>
    <row r="4242" spans="1:24" s="1" customFormat="1" ht="17.100000000000001" customHeight="1" x14ac:dyDescent="0.3">
      <c r="A4242" s="23" t="s">
        <v>3014</v>
      </c>
      <c r="B4242" s="23" t="s">
        <v>4423</v>
      </c>
      <c r="C4242" s="12" t="s">
        <v>4424</v>
      </c>
      <c r="D4242" s="85"/>
      <c r="E4242" s="69" t="str">
        <f t="shared" si="206"/>
        <v>Еще фото</v>
      </c>
      <c r="F4242" s="13"/>
      <c r="G4242" s="23" t="s">
        <v>1224</v>
      </c>
      <c r="H4242" s="23" t="s">
        <v>151</v>
      </c>
      <c r="I4242" s="23" t="s">
        <v>546</v>
      </c>
      <c r="J4242" s="14" t="s">
        <v>29</v>
      </c>
      <c r="K4242" s="15" t="s">
        <v>30</v>
      </c>
      <c r="L4242" s="88"/>
      <c r="M4242" s="14"/>
      <c r="N4242" s="14" t="s">
        <v>275</v>
      </c>
      <c r="O4242" s="14"/>
      <c r="P4242" s="15" t="s">
        <v>4425</v>
      </c>
      <c r="Q4242" s="16">
        <v>3499</v>
      </c>
      <c r="R4242" s="17">
        <v>45</v>
      </c>
      <c r="S4242" s="18">
        <v>2213.1174999999998</v>
      </c>
      <c r="T4242" s="19" t="s">
        <v>117</v>
      </c>
      <c r="U4242" s="20" t="s">
        <v>3516</v>
      </c>
      <c r="V4242" s="21">
        <v>37</v>
      </c>
      <c r="W4242" s="21">
        <v>1</v>
      </c>
      <c r="X4242" s="22"/>
    </row>
    <row r="4243" spans="1:24" s="1" customFormat="1" ht="14.1" customHeight="1" x14ac:dyDescent="0.3">
      <c r="A4243" s="11" t="s">
        <v>3014</v>
      </c>
      <c r="B4243" s="11" t="s">
        <v>4423</v>
      </c>
      <c r="C4243" s="12" t="s">
        <v>4426</v>
      </c>
      <c r="D4243" s="83"/>
      <c r="E4243" s="69" t="str">
        <f t="shared" ref="E4243:E4249" si="207">HYPERLINK("https://www.google.ru/search?q=72404406-6030&amp;newwindow=1&amp;tbm=isch","Еще фото")</f>
        <v>Еще фото</v>
      </c>
      <c r="F4243" s="13"/>
      <c r="G4243" s="11" t="s">
        <v>1224</v>
      </c>
      <c r="H4243" s="11" t="s">
        <v>151</v>
      </c>
      <c r="I4243" s="14" t="s">
        <v>546</v>
      </c>
      <c r="J4243" s="14" t="s">
        <v>29</v>
      </c>
      <c r="K4243" s="15" t="s">
        <v>30</v>
      </c>
      <c r="L4243" s="86"/>
      <c r="M4243" s="14"/>
      <c r="N4243" s="14" t="s">
        <v>70</v>
      </c>
      <c r="O4243" s="14"/>
      <c r="P4243" s="15" t="s">
        <v>4425</v>
      </c>
      <c r="Q4243" s="16">
        <v>3499</v>
      </c>
      <c r="R4243" s="17">
        <v>45</v>
      </c>
      <c r="S4243" s="18">
        <v>2213.1174999999998</v>
      </c>
      <c r="T4243" s="19" t="s">
        <v>117</v>
      </c>
      <c r="U4243" s="20" t="s">
        <v>3238</v>
      </c>
      <c r="V4243" s="21">
        <v>30</v>
      </c>
      <c r="W4243" s="21">
        <v>1</v>
      </c>
      <c r="X4243" s="22"/>
    </row>
    <row r="4244" spans="1:24" s="1" customFormat="1" ht="14.1" customHeight="1" x14ac:dyDescent="0.3">
      <c r="A4244" s="23" t="s">
        <v>3014</v>
      </c>
      <c r="B4244" s="23" t="s">
        <v>4423</v>
      </c>
      <c r="C4244" s="12" t="s">
        <v>4426</v>
      </c>
      <c r="D4244" s="84"/>
      <c r="E4244" s="69" t="str">
        <f t="shared" si="207"/>
        <v>Еще фото</v>
      </c>
      <c r="F4244" s="13"/>
      <c r="G4244" s="23" t="s">
        <v>1224</v>
      </c>
      <c r="H4244" s="23" t="s">
        <v>151</v>
      </c>
      <c r="I4244" s="23" t="s">
        <v>546</v>
      </c>
      <c r="J4244" s="14" t="s">
        <v>29</v>
      </c>
      <c r="K4244" s="15" t="s">
        <v>30</v>
      </c>
      <c r="L4244" s="87"/>
      <c r="M4244" s="14"/>
      <c r="N4244" s="14" t="s">
        <v>70</v>
      </c>
      <c r="O4244" s="14"/>
      <c r="P4244" s="15" t="s">
        <v>4425</v>
      </c>
      <c r="Q4244" s="16">
        <v>3499</v>
      </c>
      <c r="R4244" s="17">
        <v>45</v>
      </c>
      <c r="S4244" s="18">
        <v>2213.1174999999998</v>
      </c>
      <c r="T4244" s="19" t="s">
        <v>117</v>
      </c>
      <c r="U4244" s="20" t="s">
        <v>3240</v>
      </c>
      <c r="V4244" s="21">
        <v>32</v>
      </c>
      <c r="W4244" s="21">
        <v>1</v>
      </c>
      <c r="X4244" s="22"/>
    </row>
    <row r="4245" spans="1:24" s="1" customFormat="1" ht="14.1" customHeight="1" x14ac:dyDescent="0.3">
      <c r="A4245" s="23" t="s">
        <v>3014</v>
      </c>
      <c r="B4245" s="23" t="s">
        <v>4423</v>
      </c>
      <c r="C4245" s="12" t="s">
        <v>4426</v>
      </c>
      <c r="D4245" s="84"/>
      <c r="E4245" s="69" t="str">
        <f t="shared" si="207"/>
        <v>Еще фото</v>
      </c>
      <c r="F4245" s="13"/>
      <c r="G4245" s="23" t="s">
        <v>1224</v>
      </c>
      <c r="H4245" s="23" t="s">
        <v>151</v>
      </c>
      <c r="I4245" s="23" t="s">
        <v>546</v>
      </c>
      <c r="J4245" s="14" t="s">
        <v>29</v>
      </c>
      <c r="K4245" s="15" t="s">
        <v>30</v>
      </c>
      <c r="L4245" s="87"/>
      <c r="M4245" s="14"/>
      <c r="N4245" s="14" t="s">
        <v>70</v>
      </c>
      <c r="O4245" s="14"/>
      <c r="P4245" s="15" t="s">
        <v>4425</v>
      </c>
      <c r="Q4245" s="16">
        <v>3499</v>
      </c>
      <c r="R4245" s="17">
        <v>45</v>
      </c>
      <c r="S4245" s="18">
        <v>2213.1174999999998</v>
      </c>
      <c r="T4245" s="19" t="s">
        <v>117</v>
      </c>
      <c r="U4245" s="20" t="s">
        <v>4242</v>
      </c>
      <c r="V4245" s="21">
        <v>33</v>
      </c>
      <c r="W4245" s="21">
        <v>3</v>
      </c>
      <c r="X4245" s="22"/>
    </row>
    <row r="4246" spans="1:24" s="1" customFormat="1" ht="14.1" customHeight="1" x14ac:dyDescent="0.3">
      <c r="A4246" s="23" t="s">
        <v>3014</v>
      </c>
      <c r="B4246" s="23" t="s">
        <v>4423</v>
      </c>
      <c r="C4246" s="12" t="s">
        <v>4426</v>
      </c>
      <c r="D4246" s="84"/>
      <c r="E4246" s="69" t="str">
        <f t="shared" si="207"/>
        <v>Еще фото</v>
      </c>
      <c r="F4246" s="13"/>
      <c r="G4246" s="23" t="s">
        <v>1224</v>
      </c>
      <c r="H4246" s="23" t="s">
        <v>151</v>
      </c>
      <c r="I4246" s="23" t="s">
        <v>546</v>
      </c>
      <c r="J4246" s="14" t="s">
        <v>29</v>
      </c>
      <c r="K4246" s="15" t="s">
        <v>30</v>
      </c>
      <c r="L4246" s="87"/>
      <c r="M4246" s="14"/>
      <c r="N4246" s="14" t="s">
        <v>70</v>
      </c>
      <c r="O4246" s="14"/>
      <c r="P4246" s="15" t="s">
        <v>4425</v>
      </c>
      <c r="Q4246" s="16">
        <v>3499</v>
      </c>
      <c r="R4246" s="17">
        <v>45</v>
      </c>
      <c r="S4246" s="18">
        <v>2213.1174999999998</v>
      </c>
      <c r="T4246" s="19" t="s">
        <v>117</v>
      </c>
      <c r="U4246" s="20" t="s">
        <v>3522</v>
      </c>
      <c r="V4246" s="21">
        <v>34</v>
      </c>
      <c r="W4246" s="21">
        <v>3</v>
      </c>
      <c r="X4246" s="22"/>
    </row>
    <row r="4247" spans="1:24" s="1" customFormat="1" ht="14.1" customHeight="1" x14ac:dyDescent="0.3">
      <c r="A4247" s="23" t="s">
        <v>3014</v>
      </c>
      <c r="B4247" s="23" t="s">
        <v>4423</v>
      </c>
      <c r="C4247" s="12" t="s">
        <v>4426</v>
      </c>
      <c r="D4247" s="84"/>
      <c r="E4247" s="69" t="str">
        <f t="shared" si="207"/>
        <v>Еще фото</v>
      </c>
      <c r="F4247" s="13"/>
      <c r="G4247" s="23" t="s">
        <v>1224</v>
      </c>
      <c r="H4247" s="23" t="s">
        <v>151</v>
      </c>
      <c r="I4247" s="23" t="s">
        <v>546</v>
      </c>
      <c r="J4247" s="14" t="s">
        <v>29</v>
      </c>
      <c r="K4247" s="15" t="s">
        <v>30</v>
      </c>
      <c r="L4247" s="87"/>
      <c r="M4247" s="14"/>
      <c r="N4247" s="14" t="s">
        <v>70</v>
      </c>
      <c r="O4247" s="14"/>
      <c r="P4247" s="15" t="s">
        <v>4425</v>
      </c>
      <c r="Q4247" s="16">
        <v>3499</v>
      </c>
      <c r="R4247" s="17">
        <v>45</v>
      </c>
      <c r="S4247" s="18">
        <v>2213.1174999999998</v>
      </c>
      <c r="T4247" s="19" t="s">
        <v>117</v>
      </c>
      <c r="U4247" s="20" t="s">
        <v>725</v>
      </c>
      <c r="V4247" s="21">
        <v>35</v>
      </c>
      <c r="W4247" s="21">
        <v>3</v>
      </c>
      <c r="X4247" s="22"/>
    </row>
    <row r="4248" spans="1:24" s="1" customFormat="1" ht="14.1" customHeight="1" x14ac:dyDescent="0.3">
      <c r="A4248" s="23" t="s">
        <v>3014</v>
      </c>
      <c r="B4248" s="23" t="s">
        <v>4423</v>
      </c>
      <c r="C4248" s="12" t="s">
        <v>4426</v>
      </c>
      <c r="D4248" s="84"/>
      <c r="E4248" s="69" t="str">
        <f t="shared" si="207"/>
        <v>Еще фото</v>
      </c>
      <c r="F4248" s="13"/>
      <c r="G4248" s="23" t="s">
        <v>1224</v>
      </c>
      <c r="H4248" s="23" t="s">
        <v>151</v>
      </c>
      <c r="I4248" s="23" t="s">
        <v>546</v>
      </c>
      <c r="J4248" s="14" t="s">
        <v>29</v>
      </c>
      <c r="K4248" s="15" t="s">
        <v>30</v>
      </c>
      <c r="L4248" s="87"/>
      <c r="M4248" s="14"/>
      <c r="N4248" s="14" t="s">
        <v>70</v>
      </c>
      <c r="O4248" s="14"/>
      <c r="P4248" s="15" t="s">
        <v>4425</v>
      </c>
      <c r="Q4248" s="16">
        <v>3499</v>
      </c>
      <c r="R4248" s="17">
        <v>45</v>
      </c>
      <c r="S4248" s="18">
        <v>2213.1174999999998</v>
      </c>
      <c r="T4248" s="19" t="s">
        <v>117</v>
      </c>
      <c r="U4248" s="20" t="s">
        <v>4246</v>
      </c>
      <c r="V4248" s="21">
        <v>36</v>
      </c>
      <c r="W4248" s="21">
        <v>3</v>
      </c>
      <c r="X4248" s="22"/>
    </row>
    <row r="4249" spans="1:24" s="1" customFormat="1" ht="17.100000000000001" customHeight="1" x14ac:dyDescent="0.3">
      <c r="A4249" s="23" t="s">
        <v>3014</v>
      </c>
      <c r="B4249" s="23" t="s">
        <v>4423</v>
      </c>
      <c r="C4249" s="12" t="s">
        <v>4426</v>
      </c>
      <c r="D4249" s="85"/>
      <c r="E4249" s="69" t="str">
        <f t="shared" si="207"/>
        <v>Еще фото</v>
      </c>
      <c r="F4249" s="13"/>
      <c r="G4249" s="23" t="s">
        <v>1224</v>
      </c>
      <c r="H4249" s="23" t="s">
        <v>151</v>
      </c>
      <c r="I4249" s="23" t="s">
        <v>546</v>
      </c>
      <c r="J4249" s="14" t="s">
        <v>29</v>
      </c>
      <c r="K4249" s="15" t="s">
        <v>30</v>
      </c>
      <c r="L4249" s="88"/>
      <c r="M4249" s="14"/>
      <c r="N4249" s="14" t="s">
        <v>70</v>
      </c>
      <c r="O4249" s="14"/>
      <c r="P4249" s="15" t="s">
        <v>4425</v>
      </c>
      <c r="Q4249" s="16">
        <v>3499</v>
      </c>
      <c r="R4249" s="17">
        <v>45</v>
      </c>
      <c r="S4249" s="18">
        <v>2213.1174999999998</v>
      </c>
      <c r="T4249" s="19" t="s">
        <v>117</v>
      </c>
      <c r="U4249" s="20" t="s">
        <v>3516</v>
      </c>
      <c r="V4249" s="21">
        <v>37</v>
      </c>
      <c r="W4249" s="21">
        <v>2</v>
      </c>
      <c r="X4249" s="22"/>
    </row>
    <row r="4250" spans="1:24" s="1" customFormat="1" ht="108" customHeight="1" x14ac:dyDescent="0.3">
      <c r="A4250" s="11" t="s">
        <v>3014</v>
      </c>
      <c r="B4250" s="11" t="s">
        <v>4423</v>
      </c>
      <c r="C4250" s="12" t="s">
        <v>4427</v>
      </c>
      <c r="D4250" s="24"/>
      <c r="E4250" s="69" t="str">
        <f>HYPERLINK("https://www.google.ru/search?q=72404406-9990&amp;newwindow=1&amp;tbm=isch","Еще фото")</f>
        <v>Еще фото</v>
      </c>
      <c r="F4250" s="13"/>
      <c r="G4250" s="11" t="s">
        <v>1224</v>
      </c>
      <c r="H4250" s="11" t="s">
        <v>151</v>
      </c>
      <c r="I4250" s="14" t="s">
        <v>546</v>
      </c>
      <c r="J4250" s="14" t="s">
        <v>29</v>
      </c>
      <c r="K4250" s="15" t="s">
        <v>30</v>
      </c>
      <c r="L4250" s="14"/>
      <c r="M4250" s="14"/>
      <c r="N4250" s="14" t="s">
        <v>49</v>
      </c>
      <c r="O4250" s="14"/>
      <c r="P4250" s="15" t="s">
        <v>4425</v>
      </c>
      <c r="Q4250" s="16">
        <v>3499</v>
      </c>
      <c r="R4250" s="17">
        <v>45</v>
      </c>
      <c r="S4250" s="18">
        <v>2213.1174999999998</v>
      </c>
      <c r="T4250" s="19" t="s">
        <v>117</v>
      </c>
      <c r="U4250" s="20" t="s">
        <v>4242</v>
      </c>
      <c r="V4250" s="21">
        <v>33</v>
      </c>
      <c r="W4250" s="21">
        <v>4</v>
      </c>
      <c r="X4250" s="22"/>
    </row>
    <row r="4251" spans="1:24" s="1" customFormat="1" ht="26.1" customHeight="1" x14ac:dyDescent="0.3">
      <c r="A4251" s="11" t="s">
        <v>3014</v>
      </c>
      <c r="B4251" s="11" t="s">
        <v>4428</v>
      </c>
      <c r="C4251" s="12" t="s">
        <v>4429</v>
      </c>
      <c r="D4251" s="83"/>
      <c r="E4251" s="69" t="str">
        <f>HYPERLINK("https://www.google.ru/search?q=72406407-0100&amp;newwindow=1&amp;tbm=isch","Еще фото")</f>
        <v>Еще фото</v>
      </c>
      <c r="F4251" s="13"/>
      <c r="G4251" s="11" t="s">
        <v>1224</v>
      </c>
      <c r="H4251" s="11" t="s">
        <v>151</v>
      </c>
      <c r="I4251" s="14" t="s">
        <v>546</v>
      </c>
      <c r="J4251" s="14" t="s">
        <v>29</v>
      </c>
      <c r="K4251" s="15" t="s">
        <v>30</v>
      </c>
      <c r="L4251" s="86"/>
      <c r="M4251" s="14"/>
      <c r="N4251" s="14" t="s">
        <v>89</v>
      </c>
      <c r="O4251" s="14"/>
      <c r="P4251" s="15" t="s">
        <v>4425</v>
      </c>
      <c r="Q4251" s="16">
        <v>4999</v>
      </c>
      <c r="R4251" s="17">
        <v>45</v>
      </c>
      <c r="S4251" s="18">
        <v>3161.8674999999994</v>
      </c>
      <c r="T4251" s="19" t="s">
        <v>117</v>
      </c>
      <c r="U4251" s="20" t="s">
        <v>3239</v>
      </c>
      <c r="V4251" s="21">
        <v>31</v>
      </c>
      <c r="W4251" s="21">
        <v>1</v>
      </c>
      <c r="X4251" s="22"/>
    </row>
    <row r="4252" spans="1:24" s="1" customFormat="1" ht="26.1" customHeight="1" x14ac:dyDescent="0.3">
      <c r="A4252" s="23" t="s">
        <v>3014</v>
      </c>
      <c r="B4252" s="23" t="s">
        <v>4428</v>
      </c>
      <c r="C4252" s="12" t="s">
        <v>4429</v>
      </c>
      <c r="D4252" s="84"/>
      <c r="E4252" s="69" t="str">
        <f>HYPERLINK("https://www.google.ru/search?q=72406407-0100&amp;newwindow=1&amp;tbm=isch","Еще фото")</f>
        <v>Еще фото</v>
      </c>
      <c r="F4252" s="13"/>
      <c r="G4252" s="23" t="s">
        <v>1224</v>
      </c>
      <c r="H4252" s="23" t="s">
        <v>151</v>
      </c>
      <c r="I4252" s="23" t="s">
        <v>546</v>
      </c>
      <c r="J4252" s="14" t="s">
        <v>29</v>
      </c>
      <c r="K4252" s="15" t="s">
        <v>30</v>
      </c>
      <c r="L4252" s="87"/>
      <c r="M4252" s="14"/>
      <c r="N4252" s="14" t="s">
        <v>89</v>
      </c>
      <c r="O4252" s="14"/>
      <c r="P4252" s="15" t="s">
        <v>4425</v>
      </c>
      <c r="Q4252" s="16">
        <v>4999</v>
      </c>
      <c r="R4252" s="17">
        <v>45</v>
      </c>
      <c r="S4252" s="18">
        <v>3161.8674999999994</v>
      </c>
      <c r="T4252" s="19" t="s">
        <v>117</v>
      </c>
      <c r="U4252" s="20" t="s">
        <v>3240</v>
      </c>
      <c r="V4252" s="21">
        <v>32</v>
      </c>
      <c r="W4252" s="21">
        <v>2</v>
      </c>
      <c r="X4252" s="22"/>
    </row>
    <row r="4253" spans="1:24" s="1" customFormat="1" ht="26.1" customHeight="1" x14ac:dyDescent="0.3">
      <c r="A4253" s="23" t="s">
        <v>3014</v>
      </c>
      <c r="B4253" s="23" t="s">
        <v>4428</v>
      </c>
      <c r="C4253" s="12" t="s">
        <v>4429</v>
      </c>
      <c r="D4253" s="84"/>
      <c r="E4253" s="69" t="str">
        <f>HYPERLINK("https://www.google.ru/search?q=72406407-0100&amp;newwindow=1&amp;tbm=isch","Еще фото")</f>
        <v>Еще фото</v>
      </c>
      <c r="F4253" s="13"/>
      <c r="G4253" s="23" t="s">
        <v>1224</v>
      </c>
      <c r="H4253" s="23" t="s">
        <v>151</v>
      </c>
      <c r="I4253" s="23" t="s">
        <v>546</v>
      </c>
      <c r="J4253" s="14" t="s">
        <v>29</v>
      </c>
      <c r="K4253" s="15" t="s">
        <v>30</v>
      </c>
      <c r="L4253" s="87"/>
      <c r="M4253" s="14"/>
      <c r="N4253" s="14" t="s">
        <v>89</v>
      </c>
      <c r="O4253" s="14"/>
      <c r="P4253" s="15" t="s">
        <v>4425</v>
      </c>
      <c r="Q4253" s="16">
        <v>4999</v>
      </c>
      <c r="R4253" s="17">
        <v>45</v>
      </c>
      <c r="S4253" s="18">
        <v>3161.8674999999994</v>
      </c>
      <c r="T4253" s="19" t="s">
        <v>117</v>
      </c>
      <c r="U4253" s="20" t="s">
        <v>4242</v>
      </c>
      <c r="V4253" s="21">
        <v>33</v>
      </c>
      <c r="W4253" s="21">
        <v>3</v>
      </c>
      <c r="X4253" s="22"/>
    </row>
    <row r="4254" spans="1:24" s="1" customFormat="1" ht="26.1" customHeight="1" x14ac:dyDescent="0.3">
      <c r="A4254" s="23" t="s">
        <v>3014</v>
      </c>
      <c r="B4254" s="23" t="s">
        <v>4428</v>
      </c>
      <c r="C4254" s="12" t="s">
        <v>4429</v>
      </c>
      <c r="D4254" s="85"/>
      <c r="E4254" s="69" t="str">
        <f>HYPERLINK("https://www.google.ru/search?q=72406407-0100&amp;newwindow=1&amp;tbm=isch","Еще фото")</f>
        <v>Еще фото</v>
      </c>
      <c r="F4254" s="13"/>
      <c r="G4254" s="23" t="s">
        <v>1224</v>
      </c>
      <c r="H4254" s="23" t="s">
        <v>151</v>
      </c>
      <c r="I4254" s="23" t="s">
        <v>546</v>
      </c>
      <c r="J4254" s="14" t="s">
        <v>29</v>
      </c>
      <c r="K4254" s="15" t="s">
        <v>30</v>
      </c>
      <c r="L4254" s="88"/>
      <c r="M4254" s="14"/>
      <c r="N4254" s="14" t="s">
        <v>89</v>
      </c>
      <c r="O4254" s="14"/>
      <c r="P4254" s="15" t="s">
        <v>4425</v>
      </c>
      <c r="Q4254" s="16">
        <v>4999</v>
      </c>
      <c r="R4254" s="17">
        <v>45</v>
      </c>
      <c r="S4254" s="18">
        <v>3161.8674999999994</v>
      </c>
      <c r="T4254" s="19" t="s">
        <v>117</v>
      </c>
      <c r="U4254" s="20" t="s">
        <v>3522</v>
      </c>
      <c r="V4254" s="21">
        <v>34</v>
      </c>
      <c r="W4254" s="21">
        <v>1</v>
      </c>
      <c r="X4254" s="22"/>
    </row>
    <row r="4255" spans="1:24" s="1" customFormat="1" ht="21" customHeight="1" x14ac:dyDescent="0.3">
      <c r="A4255" s="11" t="s">
        <v>3014</v>
      </c>
      <c r="B4255" s="11" t="s">
        <v>4430</v>
      </c>
      <c r="C4255" s="27" t="s">
        <v>4431</v>
      </c>
      <c r="D4255" s="83"/>
      <c r="E4255" s="69" t="str">
        <f>HYPERLINK("https://www.google.ru/search?q=73404401-4650&amp;newwindow=1&amp;tbm=isch","Еще фото")</f>
        <v>Еще фото</v>
      </c>
      <c r="F4255" s="13"/>
      <c r="G4255" s="11" t="s">
        <v>1224</v>
      </c>
      <c r="H4255" s="11" t="s">
        <v>151</v>
      </c>
      <c r="I4255" s="14" t="s">
        <v>546</v>
      </c>
      <c r="J4255" s="14" t="s">
        <v>29</v>
      </c>
      <c r="K4255" s="15" t="s">
        <v>30</v>
      </c>
      <c r="L4255" s="86" t="s">
        <v>4432</v>
      </c>
      <c r="M4255" s="14"/>
      <c r="N4255" s="14" t="s">
        <v>275</v>
      </c>
      <c r="O4255" s="14"/>
      <c r="P4255" s="15" t="s">
        <v>4263</v>
      </c>
      <c r="Q4255" s="16">
        <v>3999</v>
      </c>
      <c r="R4255" s="17">
        <v>45</v>
      </c>
      <c r="S4255" s="18">
        <v>2529.3674999999994</v>
      </c>
      <c r="T4255" s="19" t="s">
        <v>117</v>
      </c>
      <c r="U4255" s="20" t="s">
        <v>3237</v>
      </c>
      <c r="V4255" s="21">
        <v>29</v>
      </c>
      <c r="W4255" s="21">
        <v>1</v>
      </c>
      <c r="X4255" s="22"/>
    </row>
    <row r="4256" spans="1:24" s="1" customFormat="1" ht="21" customHeight="1" x14ac:dyDescent="0.3">
      <c r="A4256" s="23" t="s">
        <v>3014</v>
      </c>
      <c r="B4256" s="23" t="s">
        <v>4430</v>
      </c>
      <c r="C4256" s="28" t="s">
        <v>4431</v>
      </c>
      <c r="D4256" s="84"/>
      <c r="E4256" s="69" t="str">
        <f>HYPERLINK("https://www.google.ru/search?q=73404401-4650&amp;newwindow=1&amp;tbm=isch","Еще фото")</f>
        <v>Еще фото</v>
      </c>
      <c r="F4256" s="13"/>
      <c r="G4256" s="23" t="s">
        <v>1224</v>
      </c>
      <c r="H4256" s="23" t="s">
        <v>151</v>
      </c>
      <c r="I4256" s="23" t="s">
        <v>546</v>
      </c>
      <c r="J4256" s="14" t="s">
        <v>29</v>
      </c>
      <c r="K4256" s="15" t="s">
        <v>30</v>
      </c>
      <c r="L4256" s="87"/>
      <c r="M4256" s="14"/>
      <c r="N4256" s="14" t="s">
        <v>275</v>
      </c>
      <c r="O4256" s="14"/>
      <c r="P4256" s="15" t="s">
        <v>4263</v>
      </c>
      <c r="Q4256" s="16">
        <v>3999</v>
      </c>
      <c r="R4256" s="17">
        <v>45</v>
      </c>
      <c r="S4256" s="18">
        <v>2529.3674999999994</v>
      </c>
      <c r="T4256" s="19" t="s">
        <v>117</v>
      </c>
      <c r="U4256" s="20" t="s">
        <v>3240</v>
      </c>
      <c r="V4256" s="21">
        <v>32</v>
      </c>
      <c r="W4256" s="21">
        <v>3</v>
      </c>
      <c r="X4256" s="22"/>
    </row>
    <row r="4257" spans="1:24" s="1" customFormat="1" ht="21" customHeight="1" x14ac:dyDescent="0.3">
      <c r="A4257" s="23" t="s">
        <v>3014</v>
      </c>
      <c r="B4257" s="23" t="s">
        <v>4430</v>
      </c>
      <c r="C4257" s="28" t="s">
        <v>4431</v>
      </c>
      <c r="D4257" s="84"/>
      <c r="E4257" s="69" t="str">
        <f>HYPERLINK("https://www.google.ru/search?q=73404401-4650&amp;newwindow=1&amp;tbm=isch","Еще фото")</f>
        <v>Еще фото</v>
      </c>
      <c r="F4257" s="13"/>
      <c r="G4257" s="23" t="s">
        <v>1224</v>
      </c>
      <c r="H4257" s="23" t="s">
        <v>151</v>
      </c>
      <c r="I4257" s="23" t="s">
        <v>546</v>
      </c>
      <c r="J4257" s="14" t="s">
        <v>29</v>
      </c>
      <c r="K4257" s="15" t="s">
        <v>30</v>
      </c>
      <c r="L4257" s="87"/>
      <c r="M4257" s="14"/>
      <c r="N4257" s="14" t="s">
        <v>275</v>
      </c>
      <c r="O4257" s="14"/>
      <c r="P4257" s="15" t="s">
        <v>4263</v>
      </c>
      <c r="Q4257" s="16">
        <v>3999</v>
      </c>
      <c r="R4257" s="17">
        <v>45</v>
      </c>
      <c r="S4257" s="18">
        <v>2529.3674999999994</v>
      </c>
      <c r="T4257" s="19" t="s">
        <v>117</v>
      </c>
      <c r="U4257" s="20" t="s">
        <v>4242</v>
      </c>
      <c r="V4257" s="21">
        <v>33</v>
      </c>
      <c r="W4257" s="21">
        <v>1</v>
      </c>
      <c r="X4257" s="22"/>
    </row>
    <row r="4258" spans="1:24" s="1" customFormat="1" ht="21" customHeight="1" x14ac:dyDescent="0.3">
      <c r="A4258" s="23" t="s">
        <v>3014</v>
      </c>
      <c r="B4258" s="23" t="s">
        <v>4430</v>
      </c>
      <c r="C4258" s="28" t="s">
        <v>4431</v>
      </c>
      <c r="D4258" s="84"/>
      <c r="E4258" s="69" t="str">
        <f>HYPERLINK("https://www.google.ru/search?q=73404401-4650&amp;newwindow=1&amp;tbm=isch","Еще фото")</f>
        <v>Еще фото</v>
      </c>
      <c r="F4258" s="13"/>
      <c r="G4258" s="23" t="s">
        <v>1224</v>
      </c>
      <c r="H4258" s="23" t="s">
        <v>151</v>
      </c>
      <c r="I4258" s="23" t="s">
        <v>546</v>
      </c>
      <c r="J4258" s="14" t="s">
        <v>29</v>
      </c>
      <c r="K4258" s="15" t="s">
        <v>30</v>
      </c>
      <c r="L4258" s="87"/>
      <c r="M4258" s="14"/>
      <c r="N4258" s="14" t="s">
        <v>275</v>
      </c>
      <c r="O4258" s="14"/>
      <c r="P4258" s="15" t="s">
        <v>4263</v>
      </c>
      <c r="Q4258" s="16">
        <v>3999</v>
      </c>
      <c r="R4258" s="17">
        <v>45</v>
      </c>
      <c r="S4258" s="18">
        <v>2529.3674999999994</v>
      </c>
      <c r="T4258" s="19" t="s">
        <v>117</v>
      </c>
      <c r="U4258" s="20" t="s">
        <v>725</v>
      </c>
      <c r="V4258" s="21">
        <v>35</v>
      </c>
      <c r="W4258" s="21">
        <v>1</v>
      </c>
      <c r="X4258" s="22"/>
    </row>
    <row r="4259" spans="1:24" s="1" customFormat="1" ht="32.1" customHeight="1" x14ac:dyDescent="0.3">
      <c r="A4259" s="23" t="s">
        <v>3014</v>
      </c>
      <c r="B4259" s="23" t="s">
        <v>4430</v>
      </c>
      <c r="C4259" s="28" t="s">
        <v>4431</v>
      </c>
      <c r="D4259" s="85"/>
      <c r="E4259" s="69" t="str">
        <f>HYPERLINK("https://www.google.ru/search?q=73404401-4650&amp;newwindow=1&amp;tbm=isch","Еще фото")</f>
        <v>Еще фото</v>
      </c>
      <c r="F4259" s="13"/>
      <c r="G4259" s="23" t="s">
        <v>1224</v>
      </c>
      <c r="H4259" s="23" t="s">
        <v>151</v>
      </c>
      <c r="I4259" s="23" t="s">
        <v>546</v>
      </c>
      <c r="J4259" s="14" t="s">
        <v>29</v>
      </c>
      <c r="K4259" s="15" t="s">
        <v>30</v>
      </c>
      <c r="L4259" s="88"/>
      <c r="M4259" s="14"/>
      <c r="N4259" s="14" t="s">
        <v>275</v>
      </c>
      <c r="O4259" s="14"/>
      <c r="P4259" s="15" t="s">
        <v>4263</v>
      </c>
      <c r="Q4259" s="16">
        <v>3999</v>
      </c>
      <c r="R4259" s="17">
        <v>45</v>
      </c>
      <c r="S4259" s="18">
        <v>2529.3674999999994</v>
      </c>
      <c r="T4259" s="19" t="s">
        <v>117</v>
      </c>
      <c r="U4259" s="20" t="s">
        <v>4246</v>
      </c>
      <c r="V4259" s="21">
        <v>36</v>
      </c>
      <c r="W4259" s="21">
        <v>1</v>
      </c>
      <c r="X4259" s="22"/>
    </row>
    <row r="4260" spans="1:24" s="1" customFormat="1" ht="26.1" customHeight="1" x14ac:dyDescent="0.3">
      <c r="A4260" s="11" t="s">
        <v>3014</v>
      </c>
      <c r="B4260" s="11" t="s">
        <v>4433</v>
      </c>
      <c r="C4260" s="12" t="s">
        <v>4434</v>
      </c>
      <c r="D4260" s="83"/>
      <c r="E4260" s="69" t="str">
        <f>HYPERLINK("https://www.google.ru/search?q=73404407-4650&amp;newwindow=1&amp;tbm=isch","Еще фото")</f>
        <v>Еще фото</v>
      </c>
      <c r="F4260" s="13"/>
      <c r="G4260" s="11" t="s">
        <v>1224</v>
      </c>
      <c r="H4260" s="11" t="s">
        <v>151</v>
      </c>
      <c r="I4260" s="14" t="s">
        <v>546</v>
      </c>
      <c r="J4260" s="14" t="s">
        <v>29</v>
      </c>
      <c r="K4260" s="15" t="s">
        <v>30</v>
      </c>
      <c r="L4260" s="86" t="s">
        <v>4435</v>
      </c>
      <c r="M4260" s="14"/>
      <c r="N4260" s="14" t="s">
        <v>275</v>
      </c>
      <c r="O4260" s="14"/>
      <c r="P4260" s="15" t="s">
        <v>4219</v>
      </c>
      <c r="Q4260" s="16">
        <v>4499</v>
      </c>
      <c r="R4260" s="17">
        <v>45</v>
      </c>
      <c r="S4260" s="18">
        <v>2845.6174999999994</v>
      </c>
      <c r="T4260" s="19" t="s">
        <v>117</v>
      </c>
      <c r="U4260" s="20" t="s">
        <v>3246</v>
      </c>
      <c r="V4260" s="21">
        <v>28</v>
      </c>
      <c r="W4260" s="21">
        <v>3</v>
      </c>
      <c r="X4260" s="22"/>
    </row>
    <row r="4261" spans="1:24" s="1" customFormat="1" ht="26.1" customHeight="1" x14ac:dyDescent="0.3">
      <c r="A4261" s="23" t="s">
        <v>3014</v>
      </c>
      <c r="B4261" s="23" t="s">
        <v>4433</v>
      </c>
      <c r="C4261" s="12" t="s">
        <v>4434</v>
      </c>
      <c r="D4261" s="84"/>
      <c r="E4261" s="69" t="str">
        <f>HYPERLINK("https://www.google.ru/search?q=73404407-4650&amp;newwindow=1&amp;tbm=isch","Еще фото")</f>
        <v>Еще фото</v>
      </c>
      <c r="F4261" s="13"/>
      <c r="G4261" s="23" t="s">
        <v>1224</v>
      </c>
      <c r="H4261" s="23" t="s">
        <v>151</v>
      </c>
      <c r="I4261" s="23" t="s">
        <v>546</v>
      </c>
      <c r="J4261" s="14" t="s">
        <v>29</v>
      </c>
      <c r="K4261" s="15" t="s">
        <v>30</v>
      </c>
      <c r="L4261" s="87"/>
      <c r="M4261" s="14"/>
      <c r="N4261" s="14" t="s">
        <v>275</v>
      </c>
      <c r="O4261" s="14"/>
      <c r="P4261" s="15" t="s">
        <v>4219</v>
      </c>
      <c r="Q4261" s="16">
        <v>4499</v>
      </c>
      <c r="R4261" s="17">
        <v>45</v>
      </c>
      <c r="S4261" s="18">
        <v>2845.6174999999994</v>
      </c>
      <c r="T4261" s="19" t="s">
        <v>117</v>
      </c>
      <c r="U4261" s="20" t="s">
        <v>3237</v>
      </c>
      <c r="V4261" s="21">
        <v>29</v>
      </c>
      <c r="W4261" s="21">
        <v>3</v>
      </c>
      <c r="X4261" s="22"/>
    </row>
    <row r="4262" spans="1:24" s="1" customFormat="1" ht="26.1" customHeight="1" x14ac:dyDescent="0.3">
      <c r="A4262" s="23" t="s">
        <v>3014</v>
      </c>
      <c r="B4262" s="23" t="s">
        <v>4433</v>
      </c>
      <c r="C4262" s="12" t="s">
        <v>4434</v>
      </c>
      <c r="D4262" s="84"/>
      <c r="E4262" s="69" t="str">
        <f>HYPERLINK("https://www.google.ru/search?q=73404407-4650&amp;newwindow=1&amp;tbm=isch","Еще фото")</f>
        <v>Еще фото</v>
      </c>
      <c r="F4262" s="13"/>
      <c r="G4262" s="23" t="s">
        <v>1224</v>
      </c>
      <c r="H4262" s="23" t="s">
        <v>151</v>
      </c>
      <c r="I4262" s="23" t="s">
        <v>546</v>
      </c>
      <c r="J4262" s="14" t="s">
        <v>29</v>
      </c>
      <c r="K4262" s="15" t="s">
        <v>30</v>
      </c>
      <c r="L4262" s="87"/>
      <c r="M4262" s="14"/>
      <c r="N4262" s="14" t="s">
        <v>275</v>
      </c>
      <c r="O4262" s="14"/>
      <c r="P4262" s="15" t="s">
        <v>4219</v>
      </c>
      <c r="Q4262" s="16">
        <v>4499</v>
      </c>
      <c r="R4262" s="17">
        <v>45</v>
      </c>
      <c r="S4262" s="18">
        <v>2845.6174999999994</v>
      </c>
      <c r="T4262" s="19" t="s">
        <v>117</v>
      </c>
      <c r="U4262" s="20" t="s">
        <v>3239</v>
      </c>
      <c r="V4262" s="21">
        <v>31</v>
      </c>
      <c r="W4262" s="21">
        <v>1</v>
      </c>
      <c r="X4262" s="22"/>
    </row>
    <row r="4263" spans="1:24" s="1" customFormat="1" ht="26.1" customHeight="1" x14ac:dyDescent="0.3">
      <c r="A4263" s="23" t="s">
        <v>3014</v>
      </c>
      <c r="B4263" s="23" t="s">
        <v>4433</v>
      </c>
      <c r="C4263" s="12" t="s">
        <v>4434</v>
      </c>
      <c r="D4263" s="85"/>
      <c r="E4263" s="69" t="str">
        <f>HYPERLINK("https://www.google.ru/search?q=73404407-4650&amp;newwindow=1&amp;tbm=isch","Еще фото")</f>
        <v>Еще фото</v>
      </c>
      <c r="F4263" s="13"/>
      <c r="G4263" s="23" t="s">
        <v>1224</v>
      </c>
      <c r="H4263" s="23" t="s">
        <v>151</v>
      </c>
      <c r="I4263" s="23" t="s">
        <v>546</v>
      </c>
      <c r="J4263" s="14" t="s">
        <v>29</v>
      </c>
      <c r="K4263" s="15" t="s">
        <v>30</v>
      </c>
      <c r="L4263" s="88"/>
      <c r="M4263" s="14"/>
      <c r="N4263" s="14" t="s">
        <v>275</v>
      </c>
      <c r="O4263" s="14"/>
      <c r="P4263" s="15" t="s">
        <v>4219</v>
      </c>
      <c r="Q4263" s="16">
        <v>4499</v>
      </c>
      <c r="R4263" s="17">
        <v>45</v>
      </c>
      <c r="S4263" s="18">
        <v>2845.6174999999994</v>
      </c>
      <c r="T4263" s="19" t="s">
        <v>117</v>
      </c>
      <c r="U4263" s="20" t="s">
        <v>3516</v>
      </c>
      <c r="V4263" s="21">
        <v>37</v>
      </c>
      <c r="W4263" s="21">
        <v>4</v>
      </c>
      <c r="X4263" s="22"/>
    </row>
    <row r="4264" spans="1:24" s="1" customFormat="1" ht="11.1" customHeight="1" x14ac:dyDescent="0.3">
      <c r="A4264" s="11" t="s">
        <v>3014</v>
      </c>
      <c r="B4264" s="11" t="s">
        <v>4436</v>
      </c>
      <c r="C4264" s="12" t="s">
        <v>4437</v>
      </c>
      <c r="D4264" s="83"/>
      <c r="E4264" s="69" t="str">
        <f t="shared" ref="E4264:E4272" si="208">HYPERLINK("https://www.google.ru/search?q=73406402-4680&amp;newwindow=1&amp;tbm=isch","Еще фото")</f>
        <v>Еще фото</v>
      </c>
      <c r="F4264" s="13"/>
      <c r="G4264" s="11" t="s">
        <v>1224</v>
      </c>
      <c r="H4264" s="11" t="s">
        <v>151</v>
      </c>
      <c r="I4264" s="14" t="s">
        <v>546</v>
      </c>
      <c r="J4264" s="14" t="s">
        <v>29</v>
      </c>
      <c r="K4264" s="15" t="s">
        <v>30</v>
      </c>
      <c r="L4264" s="86"/>
      <c r="M4264" s="14"/>
      <c r="N4264" s="14" t="s">
        <v>275</v>
      </c>
      <c r="O4264" s="14"/>
      <c r="P4264" s="15" t="s">
        <v>4438</v>
      </c>
      <c r="Q4264" s="16">
        <v>5499</v>
      </c>
      <c r="R4264" s="17">
        <v>45</v>
      </c>
      <c r="S4264" s="18">
        <v>3478.1174999999994</v>
      </c>
      <c r="T4264" s="19" t="s">
        <v>117</v>
      </c>
      <c r="U4264" s="20" t="s">
        <v>3238</v>
      </c>
      <c r="V4264" s="21">
        <v>30</v>
      </c>
      <c r="W4264" s="21">
        <v>2</v>
      </c>
      <c r="X4264" s="22"/>
    </row>
    <row r="4265" spans="1:24" s="1" customFormat="1" ht="11.1" customHeight="1" x14ac:dyDescent="0.3">
      <c r="A4265" s="23" t="s">
        <v>3014</v>
      </c>
      <c r="B4265" s="23" t="s">
        <v>4436</v>
      </c>
      <c r="C4265" s="12" t="s">
        <v>4437</v>
      </c>
      <c r="D4265" s="84"/>
      <c r="E4265" s="69" t="str">
        <f t="shared" si="208"/>
        <v>Еще фото</v>
      </c>
      <c r="F4265" s="13"/>
      <c r="G4265" s="23" t="s">
        <v>1224</v>
      </c>
      <c r="H4265" s="23" t="s">
        <v>151</v>
      </c>
      <c r="I4265" s="23" t="s">
        <v>546</v>
      </c>
      <c r="J4265" s="14" t="s">
        <v>29</v>
      </c>
      <c r="K4265" s="15" t="s">
        <v>30</v>
      </c>
      <c r="L4265" s="87"/>
      <c r="M4265" s="14"/>
      <c r="N4265" s="14" t="s">
        <v>275</v>
      </c>
      <c r="O4265" s="14"/>
      <c r="P4265" s="15" t="s">
        <v>4438</v>
      </c>
      <c r="Q4265" s="16">
        <v>5499</v>
      </c>
      <c r="R4265" s="17">
        <v>45</v>
      </c>
      <c r="S4265" s="18">
        <v>3478.1174999999994</v>
      </c>
      <c r="T4265" s="19" t="s">
        <v>117</v>
      </c>
      <c r="U4265" s="20" t="s">
        <v>3239</v>
      </c>
      <c r="V4265" s="21">
        <v>31</v>
      </c>
      <c r="W4265" s="21">
        <v>2</v>
      </c>
      <c r="X4265" s="22"/>
    </row>
    <row r="4266" spans="1:24" s="1" customFormat="1" ht="11.1" customHeight="1" x14ac:dyDescent="0.3">
      <c r="A4266" s="23" t="s">
        <v>3014</v>
      </c>
      <c r="B4266" s="23" t="s">
        <v>4436</v>
      </c>
      <c r="C4266" s="12" t="s">
        <v>4437</v>
      </c>
      <c r="D4266" s="84"/>
      <c r="E4266" s="69" t="str">
        <f t="shared" si="208"/>
        <v>Еще фото</v>
      </c>
      <c r="F4266" s="13"/>
      <c r="G4266" s="23" t="s">
        <v>1224</v>
      </c>
      <c r="H4266" s="23" t="s">
        <v>151</v>
      </c>
      <c r="I4266" s="23" t="s">
        <v>546</v>
      </c>
      <c r="J4266" s="14" t="s">
        <v>29</v>
      </c>
      <c r="K4266" s="15" t="s">
        <v>30</v>
      </c>
      <c r="L4266" s="87"/>
      <c r="M4266" s="14"/>
      <c r="N4266" s="14" t="s">
        <v>275</v>
      </c>
      <c r="O4266" s="14"/>
      <c r="P4266" s="15" t="s">
        <v>4438</v>
      </c>
      <c r="Q4266" s="16">
        <v>5499</v>
      </c>
      <c r="R4266" s="17">
        <v>45</v>
      </c>
      <c r="S4266" s="18">
        <v>3478.1174999999994</v>
      </c>
      <c r="T4266" s="19" t="s">
        <v>117</v>
      </c>
      <c r="U4266" s="20" t="s">
        <v>3240</v>
      </c>
      <c r="V4266" s="21">
        <v>32</v>
      </c>
      <c r="W4266" s="21">
        <v>2</v>
      </c>
      <c r="X4266" s="22"/>
    </row>
    <row r="4267" spans="1:24" s="1" customFormat="1" ht="11.1" customHeight="1" x14ac:dyDescent="0.3">
      <c r="A4267" s="23" t="s">
        <v>3014</v>
      </c>
      <c r="B4267" s="23" t="s">
        <v>4436</v>
      </c>
      <c r="C4267" s="12" t="s">
        <v>4437</v>
      </c>
      <c r="D4267" s="84"/>
      <c r="E4267" s="69" t="str">
        <f t="shared" si="208"/>
        <v>Еще фото</v>
      </c>
      <c r="F4267" s="13"/>
      <c r="G4267" s="23" t="s">
        <v>1224</v>
      </c>
      <c r="H4267" s="23" t="s">
        <v>151</v>
      </c>
      <c r="I4267" s="23" t="s">
        <v>546</v>
      </c>
      <c r="J4267" s="14" t="s">
        <v>29</v>
      </c>
      <c r="K4267" s="15" t="s">
        <v>30</v>
      </c>
      <c r="L4267" s="87"/>
      <c r="M4267" s="14"/>
      <c r="N4267" s="14" t="s">
        <v>275</v>
      </c>
      <c r="O4267" s="14"/>
      <c r="P4267" s="15" t="s">
        <v>4438</v>
      </c>
      <c r="Q4267" s="16">
        <v>5499</v>
      </c>
      <c r="R4267" s="17">
        <v>45</v>
      </c>
      <c r="S4267" s="18">
        <v>3478.1174999999994</v>
      </c>
      <c r="T4267" s="19" t="s">
        <v>117</v>
      </c>
      <c r="U4267" s="20" t="s">
        <v>4242</v>
      </c>
      <c r="V4267" s="21">
        <v>33</v>
      </c>
      <c r="W4267" s="21">
        <v>2</v>
      </c>
      <c r="X4267" s="22"/>
    </row>
    <row r="4268" spans="1:24" s="1" customFormat="1" ht="11.1" customHeight="1" x14ac:dyDescent="0.3">
      <c r="A4268" s="23" t="s">
        <v>3014</v>
      </c>
      <c r="B4268" s="23" t="s">
        <v>4436</v>
      </c>
      <c r="C4268" s="12" t="s">
        <v>4437</v>
      </c>
      <c r="D4268" s="84"/>
      <c r="E4268" s="69" t="str">
        <f t="shared" si="208"/>
        <v>Еще фото</v>
      </c>
      <c r="F4268" s="13"/>
      <c r="G4268" s="23" t="s">
        <v>1224</v>
      </c>
      <c r="H4268" s="23" t="s">
        <v>151</v>
      </c>
      <c r="I4268" s="23" t="s">
        <v>546</v>
      </c>
      <c r="J4268" s="14" t="s">
        <v>29</v>
      </c>
      <c r="K4268" s="15" t="s">
        <v>30</v>
      </c>
      <c r="L4268" s="87"/>
      <c r="M4268" s="14"/>
      <c r="N4268" s="14" t="s">
        <v>275</v>
      </c>
      <c r="O4268" s="14"/>
      <c r="P4268" s="15" t="s">
        <v>4438</v>
      </c>
      <c r="Q4268" s="16">
        <v>5499</v>
      </c>
      <c r="R4268" s="17">
        <v>45</v>
      </c>
      <c r="S4268" s="18">
        <v>3478.1174999999994</v>
      </c>
      <c r="T4268" s="19" t="s">
        <v>117</v>
      </c>
      <c r="U4268" s="20" t="s">
        <v>3522</v>
      </c>
      <c r="V4268" s="21">
        <v>34</v>
      </c>
      <c r="W4268" s="21">
        <v>3</v>
      </c>
      <c r="X4268" s="22"/>
    </row>
    <row r="4269" spans="1:24" s="1" customFormat="1" ht="11.1" customHeight="1" x14ac:dyDescent="0.3">
      <c r="A4269" s="23" t="s">
        <v>3014</v>
      </c>
      <c r="B4269" s="23" t="s">
        <v>4436</v>
      </c>
      <c r="C4269" s="12" t="s">
        <v>4437</v>
      </c>
      <c r="D4269" s="84"/>
      <c r="E4269" s="69" t="str">
        <f t="shared" si="208"/>
        <v>Еще фото</v>
      </c>
      <c r="F4269" s="13"/>
      <c r="G4269" s="23" t="s">
        <v>1224</v>
      </c>
      <c r="H4269" s="23" t="s">
        <v>151</v>
      </c>
      <c r="I4269" s="23" t="s">
        <v>546</v>
      </c>
      <c r="J4269" s="14" t="s">
        <v>29</v>
      </c>
      <c r="K4269" s="15" t="s">
        <v>30</v>
      </c>
      <c r="L4269" s="87"/>
      <c r="M4269" s="14"/>
      <c r="N4269" s="14" t="s">
        <v>275</v>
      </c>
      <c r="O4269" s="14"/>
      <c r="P4269" s="15" t="s">
        <v>4438</v>
      </c>
      <c r="Q4269" s="16">
        <v>5499</v>
      </c>
      <c r="R4269" s="17">
        <v>45</v>
      </c>
      <c r="S4269" s="18">
        <v>3478.1174999999994</v>
      </c>
      <c r="T4269" s="19" t="s">
        <v>117</v>
      </c>
      <c r="U4269" s="20" t="s">
        <v>725</v>
      </c>
      <c r="V4269" s="21">
        <v>35</v>
      </c>
      <c r="W4269" s="21">
        <v>3</v>
      </c>
      <c r="X4269" s="22"/>
    </row>
    <row r="4270" spans="1:24" s="1" customFormat="1" ht="11.1" customHeight="1" x14ac:dyDescent="0.3">
      <c r="A4270" s="23" t="s">
        <v>3014</v>
      </c>
      <c r="B4270" s="23" t="s">
        <v>4436</v>
      </c>
      <c r="C4270" s="12" t="s">
        <v>4437</v>
      </c>
      <c r="D4270" s="84"/>
      <c r="E4270" s="69" t="str">
        <f t="shared" si="208"/>
        <v>Еще фото</v>
      </c>
      <c r="F4270" s="13"/>
      <c r="G4270" s="23" t="s">
        <v>1224</v>
      </c>
      <c r="H4270" s="23" t="s">
        <v>151</v>
      </c>
      <c r="I4270" s="23" t="s">
        <v>546</v>
      </c>
      <c r="J4270" s="14" t="s">
        <v>29</v>
      </c>
      <c r="K4270" s="15" t="s">
        <v>30</v>
      </c>
      <c r="L4270" s="87"/>
      <c r="M4270" s="14"/>
      <c r="N4270" s="14" t="s">
        <v>275</v>
      </c>
      <c r="O4270" s="14"/>
      <c r="P4270" s="15" t="s">
        <v>4438</v>
      </c>
      <c r="Q4270" s="16">
        <v>5499</v>
      </c>
      <c r="R4270" s="17">
        <v>45</v>
      </c>
      <c r="S4270" s="18">
        <v>3478.1174999999994</v>
      </c>
      <c r="T4270" s="19" t="s">
        <v>117</v>
      </c>
      <c r="U4270" s="20" t="s">
        <v>4246</v>
      </c>
      <c r="V4270" s="21">
        <v>36</v>
      </c>
      <c r="W4270" s="21">
        <v>3</v>
      </c>
      <c r="X4270" s="22"/>
    </row>
    <row r="4271" spans="1:24" s="1" customFormat="1" ht="11.1" customHeight="1" x14ac:dyDescent="0.3">
      <c r="A4271" s="23" t="s">
        <v>3014</v>
      </c>
      <c r="B4271" s="23" t="s">
        <v>4436</v>
      </c>
      <c r="C4271" s="12" t="s">
        <v>4437</v>
      </c>
      <c r="D4271" s="84"/>
      <c r="E4271" s="69" t="str">
        <f t="shared" si="208"/>
        <v>Еще фото</v>
      </c>
      <c r="F4271" s="13"/>
      <c r="G4271" s="23" t="s">
        <v>1224</v>
      </c>
      <c r="H4271" s="23" t="s">
        <v>151</v>
      </c>
      <c r="I4271" s="23" t="s">
        <v>546</v>
      </c>
      <c r="J4271" s="14" t="s">
        <v>29</v>
      </c>
      <c r="K4271" s="15" t="s">
        <v>30</v>
      </c>
      <c r="L4271" s="87"/>
      <c r="M4271" s="14"/>
      <c r="N4271" s="14" t="s">
        <v>275</v>
      </c>
      <c r="O4271" s="14"/>
      <c r="P4271" s="15" t="s">
        <v>4438</v>
      </c>
      <c r="Q4271" s="16">
        <v>5499</v>
      </c>
      <c r="R4271" s="17">
        <v>45</v>
      </c>
      <c r="S4271" s="18">
        <v>3478.1174999999994</v>
      </c>
      <c r="T4271" s="19" t="s">
        <v>117</v>
      </c>
      <c r="U4271" s="20" t="s">
        <v>3516</v>
      </c>
      <c r="V4271" s="21">
        <v>37</v>
      </c>
      <c r="W4271" s="21">
        <v>3</v>
      </c>
      <c r="X4271" s="22"/>
    </row>
    <row r="4272" spans="1:24" s="1" customFormat="1" ht="11.1" customHeight="1" x14ac:dyDescent="0.3">
      <c r="A4272" s="23" t="s">
        <v>3014</v>
      </c>
      <c r="B4272" s="23" t="s">
        <v>4436</v>
      </c>
      <c r="C4272" s="12" t="s">
        <v>4437</v>
      </c>
      <c r="D4272" s="85"/>
      <c r="E4272" s="69" t="str">
        <f t="shared" si="208"/>
        <v>Еще фото</v>
      </c>
      <c r="F4272" s="13"/>
      <c r="G4272" s="23" t="s">
        <v>1224</v>
      </c>
      <c r="H4272" s="23" t="s">
        <v>151</v>
      </c>
      <c r="I4272" s="23" t="s">
        <v>546</v>
      </c>
      <c r="J4272" s="14" t="s">
        <v>29</v>
      </c>
      <c r="K4272" s="15" t="s">
        <v>30</v>
      </c>
      <c r="L4272" s="88"/>
      <c r="M4272" s="14"/>
      <c r="N4272" s="14" t="s">
        <v>275</v>
      </c>
      <c r="O4272" s="14"/>
      <c r="P4272" s="15" t="s">
        <v>4438</v>
      </c>
      <c r="Q4272" s="16">
        <v>5499</v>
      </c>
      <c r="R4272" s="17">
        <v>45</v>
      </c>
      <c r="S4272" s="18">
        <v>3478.1174999999994</v>
      </c>
      <c r="T4272" s="19" t="s">
        <v>117</v>
      </c>
      <c r="U4272" s="20" t="s">
        <v>4247</v>
      </c>
      <c r="V4272" s="21">
        <v>38</v>
      </c>
      <c r="W4272" s="21">
        <v>2</v>
      </c>
      <c r="X4272" s="22"/>
    </row>
    <row r="4273" spans="1:24" s="1" customFormat="1" ht="26.1" customHeight="1" x14ac:dyDescent="0.3">
      <c r="A4273" s="11" t="s">
        <v>3014</v>
      </c>
      <c r="B4273" s="11" t="s">
        <v>4436</v>
      </c>
      <c r="C4273" s="12" t="s">
        <v>4439</v>
      </c>
      <c r="D4273" s="83"/>
      <c r="E4273" s="69" t="str">
        <f>HYPERLINK("https://www.google.ru/search?q=73406402-9470&amp;newwindow=1&amp;tbm=isch","Еще фото")</f>
        <v>Еще фото</v>
      </c>
      <c r="F4273" s="13"/>
      <c r="G4273" s="11" t="s">
        <v>1224</v>
      </c>
      <c r="H4273" s="11" t="s">
        <v>151</v>
      </c>
      <c r="I4273" s="14" t="s">
        <v>546</v>
      </c>
      <c r="J4273" s="14" t="s">
        <v>29</v>
      </c>
      <c r="K4273" s="15" t="s">
        <v>30</v>
      </c>
      <c r="L4273" s="86"/>
      <c r="M4273" s="14"/>
      <c r="N4273" s="14" t="s">
        <v>41</v>
      </c>
      <c r="O4273" s="14"/>
      <c r="P4273" s="15" t="s">
        <v>4438</v>
      </c>
      <c r="Q4273" s="16">
        <v>5499</v>
      </c>
      <c r="R4273" s="17">
        <v>45</v>
      </c>
      <c r="S4273" s="18">
        <v>3478.1174999999994</v>
      </c>
      <c r="T4273" s="19" t="s">
        <v>117</v>
      </c>
      <c r="U4273" s="20" t="s">
        <v>3238</v>
      </c>
      <c r="V4273" s="21">
        <v>30</v>
      </c>
      <c r="W4273" s="21">
        <v>1</v>
      </c>
      <c r="X4273" s="22"/>
    </row>
    <row r="4274" spans="1:24" s="1" customFormat="1" ht="26.1" customHeight="1" x14ac:dyDescent="0.3">
      <c r="A4274" s="23" t="s">
        <v>3014</v>
      </c>
      <c r="B4274" s="23" t="s">
        <v>4436</v>
      </c>
      <c r="C4274" s="12" t="s">
        <v>4439</v>
      </c>
      <c r="D4274" s="84"/>
      <c r="E4274" s="69" t="str">
        <f>HYPERLINK("https://www.google.ru/search?q=73406402-9470&amp;newwindow=1&amp;tbm=isch","Еще фото")</f>
        <v>Еще фото</v>
      </c>
      <c r="F4274" s="13"/>
      <c r="G4274" s="23" t="s">
        <v>1224</v>
      </c>
      <c r="H4274" s="23" t="s">
        <v>151</v>
      </c>
      <c r="I4274" s="23" t="s">
        <v>546</v>
      </c>
      <c r="J4274" s="14" t="s">
        <v>29</v>
      </c>
      <c r="K4274" s="15" t="s">
        <v>30</v>
      </c>
      <c r="L4274" s="87"/>
      <c r="M4274" s="14"/>
      <c r="N4274" s="14" t="s">
        <v>41</v>
      </c>
      <c r="O4274" s="14"/>
      <c r="P4274" s="15" t="s">
        <v>4438</v>
      </c>
      <c r="Q4274" s="16">
        <v>5499</v>
      </c>
      <c r="R4274" s="17">
        <v>45</v>
      </c>
      <c r="S4274" s="18">
        <v>3478.1174999999994</v>
      </c>
      <c r="T4274" s="19" t="s">
        <v>117</v>
      </c>
      <c r="U4274" s="20" t="s">
        <v>3239</v>
      </c>
      <c r="V4274" s="21">
        <v>31</v>
      </c>
      <c r="W4274" s="21">
        <v>1</v>
      </c>
      <c r="X4274" s="22"/>
    </row>
    <row r="4275" spans="1:24" s="1" customFormat="1" ht="26.1" customHeight="1" x14ac:dyDescent="0.3">
      <c r="A4275" s="23" t="s">
        <v>3014</v>
      </c>
      <c r="B4275" s="23" t="s">
        <v>4436</v>
      </c>
      <c r="C4275" s="12" t="s">
        <v>4439</v>
      </c>
      <c r="D4275" s="84"/>
      <c r="E4275" s="69" t="str">
        <f>HYPERLINK("https://www.google.ru/search?q=73406402-9470&amp;newwindow=1&amp;tbm=isch","Еще фото")</f>
        <v>Еще фото</v>
      </c>
      <c r="F4275" s="13"/>
      <c r="G4275" s="23" t="s">
        <v>1224</v>
      </c>
      <c r="H4275" s="23" t="s">
        <v>151</v>
      </c>
      <c r="I4275" s="23" t="s">
        <v>546</v>
      </c>
      <c r="J4275" s="14" t="s">
        <v>29</v>
      </c>
      <c r="K4275" s="15" t="s">
        <v>30</v>
      </c>
      <c r="L4275" s="87"/>
      <c r="M4275" s="14"/>
      <c r="N4275" s="14" t="s">
        <v>41</v>
      </c>
      <c r="O4275" s="14"/>
      <c r="P4275" s="15" t="s">
        <v>4438</v>
      </c>
      <c r="Q4275" s="16">
        <v>5499</v>
      </c>
      <c r="R4275" s="17">
        <v>45</v>
      </c>
      <c r="S4275" s="18">
        <v>3478.1174999999994</v>
      </c>
      <c r="T4275" s="19" t="s">
        <v>117</v>
      </c>
      <c r="U4275" s="20" t="s">
        <v>4242</v>
      </c>
      <c r="V4275" s="21">
        <v>33</v>
      </c>
      <c r="W4275" s="21">
        <v>1</v>
      </c>
      <c r="X4275" s="22"/>
    </row>
    <row r="4276" spans="1:24" s="1" customFormat="1" ht="26.1" customHeight="1" x14ac:dyDescent="0.3">
      <c r="A4276" s="23" t="s">
        <v>3014</v>
      </c>
      <c r="B4276" s="23" t="s">
        <v>4436</v>
      </c>
      <c r="C4276" s="12" t="s">
        <v>4439</v>
      </c>
      <c r="D4276" s="85"/>
      <c r="E4276" s="69" t="str">
        <f>HYPERLINK("https://www.google.ru/search?q=73406402-9470&amp;newwindow=1&amp;tbm=isch","Еще фото")</f>
        <v>Еще фото</v>
      </c>
      <c r="F4276" s="13"/>
      <c r="G4276" s="23" t="s">
        <v>1224</v>
      </c>
      <c r="H4276" s="23" t="s">
        <v>151</v>
      </c>
      <c r="I4276" s="23" t="s">
        <v>546</v>
      </c>
      <c r="J4276" s="14" t="s">
        <v>29</v>
      </c>
      <c r="K4276" s="15" t="s">
        <v>30</v>
      </c>
      <c r="L4276" s="88"/>
      <c r="M4276" s="14"/>
      <c r="N4276" s="14" t="s">
        <v>41</v>
      </c>
      <c r="O4276" s="14"/>
      <c r="P4276" s="15" t="s">
        <v>4438</v>
      </c>
      <c r="Q4276" s="16">
        <v>5499</v>
      </c>
      <c r="R4276" s="17">
        <v>45</v>
      </c>
      <c r="S4276" s="18">
        <v>3478.1174999999994</v>
      </c>
      <c r="T4276" s="19" t="s">
        <v>117</v>
      </c>
      <c r="U4276" s="20" t="s">
        <v>3522</v>
      </c>
      <c r="V4276" s="21">
        <v>34</v>
      </c>
      <c r="W4276" s="21">
        <v>1</v>
      </c>
      <c r="X4276" s="22"/>
    </row>
    <row r="4277" spans="1:24" s="1" customFormat="1" ht="35.1" customHeight="1" x14ac:dyDescent="0.3">
      <c r="A4277" s="11" t="s">
        <v>2936</v>
      </c>
      <c r="B4277" s="11" t="s">
        <v>4440</v>
      </c>
      <c r="C4277" s="12" t="s">
        <v>4441</v>
      </c>
      <c r="D4277" s="83"/>
      <c r="E4277" s="69" t="str">
        <f>HYPERLINK("https://www.google.ru/search?q=TB23ML01S0672-1-1091&amp;newwindow=1&amp;tbm=isch","Еще фото")</f>
        <v>Еще фото</v>
      </c>
      <c r="F4277" s="13"/>
      <c r="G4277" s="11" t="s">
        <v>4442</v>
      </c>
      <c r="H4277" s="11" t="s">
        <v>27</v>
      </c>
      <c r="I4277" s="14" t="s">
        <v>564</v>
      </c>
      <c r="J4277" s="14" t="s">
        <v>29</v>
      </c>
      <c r="K4277" s="15" t="s">
        <v>55</v>
      </c>
      <c r="L4277" s="86" t="s">
        <v>4443</v>
      </c>
      <c r="M4277" s="14"/>
      <c r="N4277" s="14" t="s">
        <v>49</v>
      </c>
      <c r="O4277" s="14"/>
      <c r="P4277" s="15" t="s">
        <v>4444</v>
      </c>
      <c r="Q4277" s="16">
        <v>7499</v>
      </c>
      <c r="R4277" s="17">
        <v>62.42</v>
      </c>
      <c r="S4277" s="18">
        <v>3240.4354999999996</v>
      </c>
      <c r="T4277" s="19" t="s">
        <v>328</v>
      </c>
      <c r="U4277" s="20" t="s">
        <v>66</v>
      </c>
      <c r="V4277" s="25" t="s">
        <v>53</v>
      </c>
      <c r="W4277" s="21">
        <v>9</v>
      </c>
      <c r="X4277" s="22"/>
    </row>
    <row r="4278" spans="1:24" s="1" customFormat="1" ht="35.1" customHeight="1" x14ac:dyDescent="0.3">
      <c r="A4278" s="23" t="s">
        <v>2936</v>
      </c>
      <c r="B4278" s="23" t="s">
        <v>4440</v>
      </c>
      <c r="C4278" s="12" t="s">
        <v>4441</v>
      </c>
      <c r="D4278" s="84"/>
      <c r="E4278" s="69" t="str">
        <f>HYPERLINK("https://www.google.ru/search?q=TB23ML01S0672-1-1091&amp;newwindow=1&amp;tbm=isch","Еще фото")</f>
        <v>Еще фото</v>
      </c>
      <c r="F4278" s="13"/>
      <c r="G4278" s="23" t="s">
        <v>4442</v>
      </c>
      <c r="H4278" s="23" t="s">
        <v>27</v>
      </c>
      <c r="I4278" s="23" t="s">
        <v>564</v>
      </c>
      <c r="J4278" s="14" t="s">
        <v>29</v>
      </c>
      <c r="K4278" s="15" t="s">
        <v>55</v>
      </c>
      <c r="L4278" s="87"/>
      <c r="M4278" s="14"/>
      <c r="N4278" s="14" t="s">
        <v>49</v>
      </c>
      <c r="O4278" s="14"/>
      <c r="P4278" s="15" t="s">
        <v>4444</v>
      </c>
      <c r="Q4278" s="16">
        <v>7499</v>
      </c>
      <c r="R4278" s="17">
        <v>62.42</v>
      </c>
      <c r="S4278" s="18">
        <v>3240.4354999999996</v>
      </c>
      <c r="T4278" s="19" t="s">
        <v>328</v>
      </c>
      <c r="U4278" s="20" t="s">
        <v>58</v>
      </c>
      <c r="V4278" s="25" t="s">
        <v>59</v>
      </c>
      <c r="W4278" s="21">
        <v>14</v>
      </c>
      <c r="X4278" s="22"/>
    </row>
    <row r="4279" spans="1:24" s="1" customFormat="1" ht="36.950000000000003" customHeight="1" x14ac:dyDescent="0.3">
      <c r="A4279" s="23" t="s">
        <v>2936</v>
      </c>
      <c r="B4279" s="23" t="s">
        <v>4440</v>
      </c>
      <c r="C4279" s="12" t="s">
        <v>4441</v>
      </c>
      <c r="D4279" s="85"/>
      <c r="E4279" s="69" t="str">
        <f>HYPERLINK("https://www.google.ru/search?q=TB23ML01S0672-1-1091&amp;newwindow=1&amp;tbm=isch","Еще фото")</f>
        <v>Еще фото</v>
      </c>
      <c r="F4279" s="13"/>
      <c r="G4279" s="23" t="s">
        <v>4442</v>
      </c>
      <c r="H4279" s="23" t="s">
        <v>27</v>
      </c>
      <c r="I4279" s="23" t="s">
        <v>564</v>
      </c>
      <c r="J4279" s="14" t="s">
        <v>29</v>
      </c>
      <c r="K4279" s="15" t="s">
        <v>55</v>
      </c>
      <c r="L4279" s="88"/>
      <c r="M4279" s="14"/>
      <c r="N4279" s="14" t="s">
        <v>49</v>
      </c>
      <c r="O4279" s="14"/>
      <c r="P4279" s="15" t="s">
        <v>4444</v>
      </c>
      <c r="Q4279" s="16">
        <v>7499</v>
      </c>
      <c r="R4279" s="17">
        <v>62.42</v>
      </c>
      <c r="S4279" s="18">
        <v>3240.4354999999996</v>
      </c>
      <c r="T4279" s="19" t="s">
        <v>328</v>
      </c>
      <c r="U4279" s="20" t="s">
        <v>52</v>
      </c>
      <c r="V4279" s="25" t="s">
        <v>60</v>
      </c>
      <c r="W4279" s="21">
        <v>6</v>
      </c>
      <c r="X4279" s="22"/>
    </row>
    <row r="4280" spans="1:24" s="1" customFormat="1" ht="51.95" customHeight="1" x14ac:dyDescent="0.3">
      <c r="A4280" s="11" t="s">
        <v>3014</v>
      </c>
      <c r="B4280" s="11" t="s">
        <v>4445</v>
      </c>
      <c r="C4280" s="12" t="s">
        <v>4446</v>
      </c>
      <c r="D4280" s="89"/>
      <c r="E4280" s="69" t="str">
        <f>HYPERLINK("https://www.google.ru/search?q=7100042A-4741&amp;newwindow=1&amp;tbm=isch","Еще фото")</f>
        <v>Еще фото</v>
      </c>
      <c r="F4280" s="13"/>
      <c r="G4280" s="11" t="s">
        <v>4447</v>
      </c>
      <c r="H4280" s="11" t="s">
        <v>27</v>
      </c>
      <c r="I4280" s="14" t="s">
        <v>564</v>
      </c>
      <c r="J4280" s="14" t="s">
        <v>29</v>
      </c>
      <c r="K4280" s="15" t="s">
        <v>30</v>
      </c>
      <c r="L4280" s="86" t="s">
        <v>3383</v>
      </c>
      <c r="M4280" s="14"/>
      <c r="N4280" s="14" t="s">
        <v>275</v>
      </c>
      <c r="O4280" s="14"/>
      <c r="P4280" s="15" t="s">
        <v>3018</v>
      </c>
      <c r="Q4280" s="16">
        <v>8399</v>
      </c>
      <c r="R4280" s="17">
        <v>48</v>
      </c>
      <c r="S4280" s="18">
        <v>5022.601999999999</v>
      </c>
      <c r="T4280" s="19" t="s">
        <v>117</v>
      </c>
      <c r="U4280" s="20" t="s">
        <v>2961</v>
      </c>
      <c r="V4280" s="21">
        <v>98</v>
      </c>
      <c r="W4280" s="21">
        <v>2</v>
      </c>
      <c r="X4280" s="22"/>
    </row>
    <row r="4281" spans="1:24" s="1" customFormat="1" ht="60.95" customHeight="1" x14ac:dyDescent="0.3">
      <c r="A4281" s="23" t="s">
        <v>3014</v>
      </c>
      <c r="B4281" s="23" t="s">
        <v>4445</v>
      </c>
      <c r="C4281" s="12" t="s">
        <v>4446</v>
      </c>
      <c r="D4281" s="90"/>
      <c r="E4281" s="69" t="str">
        <f>HYPERLINK("https://www.google.ru/search?q=7100042A-4741&amp;newwindow=1&amp;tbm=isch","Еще фото")</f>
        <v>Еще фото</v>
      </c>
      <c r="F4281" s="13"/>
      <c r="G4281" s="23" t="s">
        <v>4447</v>
      </c>
      <c r="H4281" s="23" t="s">
        <v>27</v>
      </c>
      <c r="I4281" s="23" t="s">
        <v>564</v>
      </c>
      <c r="J4281" s="14" t="s">
        <v>29</v>
      </c>
      <c r="K4281" s="15" t="s">
        <v>30</v>
      </c>
      <c r="L4281" s="88"/>
      <c r="M4281" s="14"/>
      <c r="N4281" s="14" t="s">
        <v>275</v>
      </c>
      <c r="O4281" s="14"/>
      <c r="P4281" s="15" t="s">
        <v>3018</v>
      </c>
      <c r="Q4281" s="16">
        <v>8399</v>
      </c>
      <c r="R4281" s="17">
        <v>48</v>
      </c>
      <c r="S4281" s="18">
        <v>5022.601999999999</v>
      </c>
      <c r="T4281" s="19" t="s">
        <v>117</v>
      </c>
      <c r="U4281" s="20" t="s">
        <v>35</v>
      </c>
      <c r="V4281" s="21">
        <v>116</v>
      </c>
      <c r="W4281" s="21">
        <v>1</v>
      </c>
      <c r="X4281" s="22"/>
    </row>
    <row r="4282" spans="1:24" s="1" customFormat="1" ht="21" customHeight="1" x14ac:dyDescent="0.3">
      <c r="A4282" s="11" t="s">
        <v>3014</v>
      </c>
      <c r="B4282" s="11" t="s">
        <v>4448</v>
      </c>
      <c r="C4282" s="27" t="s">
        <v>4449</v>
      </c>
      <c r="D4282" s="83"/>
      <c r="E4282" s="69" t="str">
        <f>HYPERLINK("https://www.google.ru/search?q=7200085A-0112&amp;newwindow=1&amp;tbm=isch","Еще фото")</f>
        <v>Еще фото</v>
      </c>
      <c r="F4282" s="13"/>
      <c r="G4282" s="11" t="s">
        <v>4447</v>
      </c>
      <c r="H4282" s="11" t="s">
        <v>27</v>
      </c>
      <c r="I4282" s="14" t="s">
        <v>564</v>
      </c>
      <c r="J4282" s="14" t="s">
        <v>29</v>
      </c>
      <c r="K4282" s="15" t="s">
        <v>30</v>
      </c>
      <c r="L4282" s="86" t="s">
        <v>4450</v>
      </c>
      <c r="M4282" s="14"/>
      <c r="N4282" s="14" t="s">
        <v>4451</v>
      </c>
      <c r="O4282" s="14"/>
      <c r="P4282" s="15" t="s">
        <v>76</v>
      </c>
      <c r="Q4282" s="16">
        <v>5299</v>
      </c>
      <c r="R4282" s="17">
        <v>48</v>
      </c>
      <c r="S4282" s="18">
        <v>3168.8019999999997</v>
      </c>
      <c r="T4282" s="19" t="s">
        <v>117</v>
      </c>
      <c r="U4282" s="20" t="s">
        <v>2961</v>
      </c>
      <c r="V4282" s="21">
        <v>98</v>
      </c>
      <c r="W4282" s="21">
        <v>4</v>
      </c>
      <c r="X4282" s="22"/>
    </row>
    <row r="4283" spans="1:24" s="1" customFormat="1" ht="21" customHeight="1" x14ac:dyDescent="0.3">
      <c r="A4283" s="23" t="s">
        <v>3014</v>
      </c>
      <c r="B4283" s="23" t="s">
        <v>4448</v>
      </c>
      <c r="C4283" s="28" t="s">
        <v>4449</v>
      </c>
      <c r="D4283" s="84"/>
      <c r="E4283" s="69" t="str">
        <f>HYPERLINK("https://www.google.ru/search?q=7200085A-0112&amp;newwindow=1&amp;tbm=isch","Еще фото")</f>
        <v>Еще фото</v>
      </c>
      <c r="F4283" s="13"/>
      <c r="G4283" s="23" t="s">
        <v>4447</v>
      </c>
      <c r="H4283" s="23" t="s">
        <v>27</v>
      </c>
      <c r="I4283" s="23" t="s">
        <v>564</v>
      </c>
      <c r="J4283" s="14" t="s">
        <v>29</v>
      </c>
      <c r="K4283" s="15" t="s">
        <v>30</v>
      </c>
      <c r="L4283" s="87"/>
      <c r="M4283" s="14"/>
      <c r="N4283" s="14" t="s">
        <v>4451</v>
      </c>
      <c r="O4283" s="14"/>
      <c r="P4283" s="15" t="s">
        <v>76</v>
      </c>
      <c r="Q4283" s="16">
        <v>5299</v>
      </c>
      <c r="R4283" s="17">
        <v>48</v>
      </c>
      <c r="S4283" s="18">
        <v>3168.8019999999997</v>
      </c>
      <c r="T4283" s="19" t="s">
        <v>117</v>
      </c>
      <c r="U4283" s="20" t="s">
        <v>94</v>
      </c>
      <c r="V4283" s="21">
        <v>104</v>
      </c>
      <c r="W4283" s="21">
        <v>4</v>
      </c>
      <c r="X4283" s="22"/>
    </row>
    <row r="4284" spans="1:24" s="1" customFormat="1" ht="21" customHeight="1" x14ac:dyDescent="0.3">
      <c r="A4284" s="23" t="s">
        <v>3014</v>
      </c>
      <c r="B4284" s="23" t="s">
        <v>4448</v>
      </c>
      <c r="C4284" s="28" t="s">
        <v>4449</v>
      </c>
      <c r="D4284" s="84"/>
      <c r="E4284" s="69" t="str">
        <f>HYPERLINK("https://www.google.ru/search?q=7200085A-0112&amp;newwindow=1&amp;tbm=isch","Еще фото")</f>
        <v>Еще фото</v>
      </c>
      <c r="F4284" s="13"/>
      <c r="G4284" s="23" t="s">
        <v>4447</v>
      </c>
      <c r="H4284" s="23" t="s">
        <v>27</v>
      </c>
      <c r="I4284" s="23" t="s">
        <v>564</v>
      </c>
      <c r="J4284" s="14" t="s">
        <v>29</v>
      </c>
      <c r="K4284" s="15" t="s">
        <v>30</v>
      </c>
      <c r="L4284" s="87"/>
      <c r="M4284" s="14"/>
      <c r="N4284" s="14" t="s">
        <v>4451</v>
      </c>
      <c r="O4284" s="14"/>
      <c r="P4284" s="15" t="s">
        <v>76</v>
      </c>
      <c r="Q4284" s="16">
        <v>5299</v>
      </c>
      <c r="R4284" s="17">
        <v>48</v>
      </c>
      <c r="S4284" s="18">
        <v>3168.8019999999997</v>
      </c>
      <c r="T4284" s="19" t="s">
        <v>117</v>
      </c>
      <c r="U4284" s="20" t="s">
        <v>43</v>
      </c>
      <c r="V4284" s="21">
        <v>110</v>
      </c>
      <c r="W4284" s="21">
        <v>4</v>
      </c>
      <c r="X4284" s="22"/>
    </row>
    <row r="4285" spans="1:24" s="1" customFormat="1" ht="21" customHeight="1" x14ac:dyDescent="0.3">
      <c r="A4285" s="23" t="s">
        <v>3014</v>
      </c>
      <c r="B4285" s="23" t="s">
        <v>4448</v>
      </c>
      <c r="C4285" s="28" t="s">
        <v>4449</v>
      </c>
      <c r="D4285" s="84"/>
      <c r="E4285" s="69" t="str">
        <f>HYPERLINK("https://www.google.ru/search?q=7200085A-0112&amp;newwindow=1&amp;tbm=isch","Еще фото")</f>
        <v>Еще фото</v>
      </c>
      <c r="F4285" s="13"/>
      <c r="G4285" s="23" t="s">
        <v>4447</v>
      </c>
      <c r="H4285" s="23" t="s">
        <v>27</v>
      </c>
      <c r="I4285" s="23" t="s">
        <v>564</v>
      </c>
      <c r="J4285" s="14" t="s">
        <v>29</v>
      </c>
      <c r="K4285" s="15" t="s">
        <v>30</v>
      </c>
      <c r="L4285" s="87"/>
      <c r="M4285" s="14"/>
      <c r="N4285" s="14" t="s">
        <v>4451</v>
      </c>
      <c r="O4285" s="14"/>
      <c r="P4285" s="15" t="s">
        <v>76</v>
      </c>
      <c r="Q4285" s="16">
        <v>5299</v>
      </c>
      <c r="R4285" s="17">
        <v>48</v>
      </c>
      <c r="S4285" s="18">
        <v>3168.8019999999997</v>
      </c>
      <c r="T4285" s="19" t="s">
        <v>117</v>
      </c>
      <c r="U4285" s="20" t="s">
        <v>35</v>
      </c>
      <c r="V4285" s="21">
        <v>116</v>
      </c>
      <c r="W4285" s="21">
        <v>4</v>
      </c>
      <c r="X4285" s="22"/>
    </row>
    <row r="4286" spans="1:24" s="1" customFormat="1" ht="32.1" customHeight="1" x14ac:dyDescent="0.3">
      <c r="A4286" s="23" t="s">
        <v>3014</v>
      </c>
      <c r="B4286" s="23" t="s">
        <v>4448</v>
      </c>
      <c r="C4286" s="28" t="s">
        <v>4449</v>
      </c>
      <c r="D4286" s="85"/>
      <c r="E4286" s="69" t="str">
        <f>HYPERLINK("https://www.google.ru/search?q=7200085A-0112&amp;newwindow=1&amp;tbm=isch","Еще фото")</f>
        <v>Еще фото</v>
      </c>
      <c r="F4286" s="13"/>
      <c r="G4286" s="23" t="s">
        <v>4447</v>
      </c>
      <c r="H4286" s="23" t="s">
        <v>27</v>
      </c>
      <c r="I4286" s="23" t="s">
        <v>564</v>
      </c>
      <c r="J4286" s="14" t="s">
        <v>29</v>
      </c>
      <c r="K4286" s="15" t="s">
        <v>30</v>
      </c>
      <c r="L4286" s="88"/>
      <c r="M4286" s="14"/>
      <c r="N4286" s="14" t="s">
        <v>4451</v>
      </c>
      <c r="O4286" s="14"/>
      <c r="P4286" s="15" t="s">
        <v>76</v>
      </c>
      <c r="Q4286" s="16">
        <v>5299</v>
      </c>
      <c r="R4286" s="17">
        <v>48</v>
      </c>
      <c r="S4286" s="18">
        <v>3168.8019999999997</v>
      </c>
      <c r="T4286" s="19" t="s">
        <v>117</v>
      </c>
      <c r="U4286" s="20" t="s">
        <v>36</v>
      </c>
      <c r="V4286" s="21">
        <v>122</v>
      </c>
      <c r="W4286" s="21">
        <v>4</v>
      </c>
      <c r="X4286" s="22"/>
    </row>
    <row r="4287" spans="1:24" s="1" customFormat="1" ht="12.95" customHeight="1" x14ac:dyDescent="0.3">
      <c r="A4287" s="11" t="s">
        <v>3014</v>
      </c>
      <c r="B4287" s="11" t="s">
        <v>4452</v>
      </c>
      <c r="C4287" s="12" t="s">
        <v>4453</v>
      </c>
      <c r="D4287" s="83"/>
      <c r="E4287" s="69" t="str">
        <f t="shared" ref="E4287:E4294" si="209">HYPERLINK("https://www.google.ru/search?q=7200087A-0112&amp;newwindow=1&amp;tbm=isch","Еще фото")</f>
        <v>Еще фото</v>
      </c>
      <c r="F4287" s="13"/>
      <c r="G4287" s="11" t="s">
        <v>4447</v>
      </c>
      <c r="H4287" s="11" t="s">
        <v>27</v>
      </c>
      <c r="I4287" s="14" t="s">
        <v>564</v>
      </c>
      <c r="J4287" s="14" t="s">
        <v>29</v>
      </c>
      <c r="K4287" s="15" t="s">
        <v>30</v>
      </c>
      <c r="L4287" s="86" t="s">
        <v>4454</v>
      </c>
      <c r="M4287" s="14"/>
      <c r="N4287" s="14" t="s">
        <v>4451</v>
      </c>
      <c r="O4287" s="14"/>
      <c r="P4287" s="15" t="s">
        <v>76</v>
      </c>
      <c r="Q4287" s="16">
        <v>5299</v>
      </c>
      <c r="R4287" s="17">
        <v>48</v>
      </c>
      <c r="S4287" s="18">
        <v>3168.8019999999997</v>
      </c>
      <c r="T4287" s="19" t="s">
        <v>117</v>
      </c>
      <c r="U4287" s="26" t="s">
        <v>2961</v>
      </c>
      <c r="V4287" s="21">
        <v>98</v>
      </c>
      <c r="W4287" s="21">
        <v>3</v>
      </c>
      <c r="X4287" s="22"/>
    </row>
    <row r="4288" spans="1:24" s="1" customFormat="1" ht="12.95" customHeight="1" x14ac:dyDescent="0.3">
      <c r="A4288" s="23" t="s">
        <v>3014</v>
      </c>
      <c r="B4288" s="23" t="s">
        <v>4452</v>
      </c>
      <c r="C4288" s="12" t="s">
        <v>4453</v>
      </c>
      <c r="D4288" s="84"/>
      <c r="E4288" s="69" t="str">
        <f t="shared" si="209"/>
        <v>Еще фото</v>
      </c>
      <c r="F4288" s="13"/>
      <c r="G4288" s="23" t="s">
        <v>4447</v>
      </c>
      <c r="H4288" s="23" t="s">
        <v>27</v>
      </c>
      <c r="I4288" s="23" t="s">
        <v>564</v>
      </c>
      <c r="J4288" s="14" t="s">
        <v>29</v>
      </c>
      <c r="K4288" s="15" t="s">
        <v>30</v>
      </c>
      <c r="L4288" s="87"/>
      <c r="M4288" s="14"/>
      <c r="N4288" s="14" t="s">
        <v>4451</v>
      </c>
      <c r="O4288" s="14"/>
      <c r="P4288" s="15" t="s">
        <v>76</v>
      </c>
      <c r="Q4288" s="16">
        <v>5299</v>
      </c>
      <c r="R4288" s="17">
        <v>48</v>
      </c>
      <c r="S4288" s="18">
        <v>3168.8019999999997</v>
      </c>
      <c r="T4288" s="19" t="s">
        <v>117</v>
      </c>
      <c r="U4288" s="20" t="s">
        <v>94</v>
      </c>
      <c r="V4288" s="21">
        <v>104</v>
      </c>
      <c r="W4288" s="21">
        <v>5</v>
      </c>
      <c r="X4288" s="22"/>
    </row>
    <row r="4289" spans="1:24" s="1" customFormat="1" ht="12.95" customHeight="1" x14ac:dyDescent="0.3">
      <c r="A4289" s="23" t="s">
        <v>3014</v>
      </c>
      <c r="B4289" s="23" t="s">
        <v>4452</v>
      </c>
      <c r="C4289" s="12" t="s">
        <v>4453</v>
      </c>
      <c r="D4289" s="84"/>
      <c r="E4289" s="69" t="str">
        <f t="shared" si="209"/>
        <v>Еще фото</v>
      </c>
      <c r="F4289" s="13"/>
      <c r="G4289" s="23" t="s">
        <v>4447</v>
      </c>
      <c r="H4289" s="23" t="s">
        <v>27</v>
      </c>
      <c r="I4289" s="23" t="s">
        <v>564</v>
      </c>
      <c r="J4289" s="14" t="s">
        <v>29</v>
      </c>
      <c r="K4289" s="15" t="s">
        <v>30</v>
      </c>
      <c r="L4289" s="87"/>
      <c r="M4289" s="14"/>
      <c r="N4289" s="14" t="s">
        <v>4451</v>
      </c>
      <c r="O4289" s="14"/>
      <c r="P4289" s="15" t="s">
        <v>76</v>
      </c>
      <c r="Q4289" s="16">
        <v>5299</v>
      </c>
      <c r="R4289" s="17">
        <v>48</v>
      </c>
      <c r="S4289" s="18">
        <v>3168.8019999999997</v>
      </c>
      <c r="T4289" s="19" t="s">
        <v>117</v>
      </c>
      <c r="U4289" s="20" t="s">
        <v>43</v>
      </c>
      <c r="V4289" s="21">
        <v>110</v>
      </c>
      <c r="W4289" s="21">
        <v>3</v>
      </c>
      <c r="X4289" s="22"/>
    </row>
    <row r="4290" spans="1:24" s="1" customFormat="1" ht="12.95" customHeight="1" x14ac:dyDescent="0.3">
      <c r="A4290" s="23" t="s">
        <v>3014</v>
      </c>
      <c r="B4290" s="23" t="s">
        <v>4452</v>
      </c>
      <c r="C4290" s="12" t="s">
        <v>4453</v>
      </c>
      <c r="D4290" s="84"/>
      <c r="E4290" s="69" t="str">
        <f t="shared" si="209"/>
        <v>Еще фото</v>
      </c>
      <c r="F4290" s="13"/>
      <c r="G4290" s="23" t="s">
        <v>4447</v>
      </c>
      <c r="H4290" s="23" t="s">
        <v>27</v>
      </c>
      <c r="I4290" s="23" t="s">
        <v>564</v>
      </c>
      <c r="J4290" s="14" t="s">
        <v>29</v>
      </c>
      <c r="K4290" s="15" t="s">
        <v>30</v>
      </c>
      <c r="L4290" s="87"/>
      <c r="M4290" s="14"/>
      <c r="N4290" s="14" t="s">
        <v>4451</v>
      </c>
      <c r="O4290" s="14"/>
      <c r="P4290" s="15" t="s">
        <v>76</v>
      </c>
      <c r="Q4290" s="16">
        <v>5299</v>
      </c>
      <c r="R4290" s="17">
        <v>48</v>
      </c>
      <c r="S4290" s="18">
        <v>3168.8019999999997</v>
      </c>
      <c r="T4290" s="19" t="s">
        <v>117</v>
      </c>
      <c r="U4290" s="20" t="s">
        <v>35</v>
      </c>
      <c r="V4290" s="21">
        <v>116</v>
      </c>
      <c r="W4290" s="21">
        <v>3</v>
      </c>
      <c r="X4290" s="22"/>
    </row>
    <row r="4291" spans="1:24" s="1" customFormat="1" ht="12.95" customHeight="1" x14ac:dyDescent="0.3">
      <c r="A4291" s="23" t="s">
        <v>3014</v>
      </c>
      <c r="B4291" s="23" t="s">
        <v>4452</v>
      </c>
      <c r="C4291" s="12" t="s">
        <v>4453</v>
      </c>
      <c r="D4291" s="84"/>
      <c r="E4291" s="69" t="str">
        <f t="shared" si="209"/>
        <v>Еще фото</v>
      </c>
      <c r="F4291" s="13"/>
      <c r="G4291" s="23" t="s">
        <v>4447</v>
      </c>
      <c r="H4291" s="23" t="s">
        <v>27</v>
      </c>
      <c r="I4291" s="23" t="s">
        <v>564</v>
      </c>
      <c r="J4291" s="14" t="s">
        <v>29</v>
      </c>
      <c r="K4291" s="15" t="s">
        <v>30</v>
      </c>
      <c r="L4291" s="87"/>
      <c r="M4291" s="14"/>
      <c r="N4291" s="14" t="s">
        <v>4451</v>
      </c>
      <c r="O4291" s="14"/>
      <c r="P4291" s="15" t="s">
        <v>76</v>
      </c>
      <c r="Q4291" s="16">
        <v>5299</v>
      </c>
      <c r="R4291" s="17">
        <v>48</v>
      </c>
      <c r="S4291" s="18">
        <v>3168.8019999999997</v>
      </c>
      <c r="T4291" s="19" t="s">
        <v>117</v>
      </c>
      <c r="U4291" s="20" t="s">
        <v>36</v>
      </c>
      <c r="V4291" s="21">
        <v>122</v>
      </c>
      <c r="W4291" s="21">
        <v>4</v>
      </c>
      <c r="X4291" s="22"/>
    </row>
    <row r="4292" spans="1:24" s="1" customFormat="1" ht="12.95" customHeight="1" x14ac:dyDescent="0.3">
      <c r="A4292" s="23" t="s">
        <v>3014</v>
      </c>
      <c r="B4292" s="23" t="s">
        <v>4452</v>
      </c>
      <c r="C4292" s="12" t="s">
        <v>4453</v>
      </c>
      <c r="D4292" s="84"/>
      <c r="E4292" s="69" t="str">
        <f t="shared" si="209"/>
        <v>Еще фото</v>
      </c>
      <c r="F4292" s="13"/>
      <c r="G4292" s="23" t="s">
        <v>4447</v>
      </c>
      <c r="H4292" s="23" t="s">
        <v>27</v>
      </c>
      <c r="I4292" s="23" t="s">
        <v>564</v>
      </c>
      <c r="J4292" s="14" t="s">
        <v>29</v>
      </c>
      <c r="K4292" s="15" t="s">
        <v>30</v>
      </c>
      <c r="L4292" s="87"/>
      <c r="M4292" s="14"/>
      <c r="N4292" s="14" t="s">
        <v>4451</v>
      </c>
      <c r="O4292" s="14"/>
      <c r="P4292" s="15" t="s">
        <v>76</v>
      </c>
      <c r="Q4292" s="16">
        <v>5299</v>
      </c>
      <c r="R4292" s="17">
        <v>48</v>
      </c>
      <c r="S4292" s="18">
        <v>3168.8019999999997</v>
      </c>
      <c r="T4292" s="19" t="s">
        <v>117</v>
      </c>
      <c r="U4292" s="20" t="s">
        <v>37</v>
      </c>
      <c r="V4292" s="21">
        <v>128</v>
      </c>
      <c r="W4292" s="21">
        <v>2</v>
      </c>
      <c r="X4292" s="22"/>
    </row>
    <row r="4293" spans="1:24" s="1" customFormat="1" ht="12.95" customHeight="1" x14ac:dyDescent="0.3">
      <c r="A4293" s="23" t="s">
        <v>3014</v>
      </c>
      <c r="B4293" s="23" t="s">
        <v>4452</v>
      </c>
      <c r="C4293" s="12" t="s">
        <v>4453</v>
      </c>
      <c r="D4293" s="84"/>
      <c r="E4293" s="69" t="str">
        <f t="shared" si="209"/>
        <v>Еще фото</v>
      </c>
      <c r="F4293" s="13"/>
      <c r="G4293" s="23" t="s">
        <v>4447</v>
      </c>
      <c r="H4293" s="23" t="s">
        <v>27</v>
      </c>
      <c r="I4293" s="23" t="s">
        <v>564</v>
      </c>
      <c r="J4293" s="14" t="s">
        <v>29</v>
      </c>
      <c r="K4293" s="15" t="s">
        <v>30</v>
      </c>
      <c r="L4293" s="87"/>
      <c r="M4293" s="14"/>
      <c r="N4293" s="14" t="s">
        <v>4451</v>
      </c>
      <c r="O4293" s="14"/>
      <c r="P4293" s="15" t="s">
        <v>76</v>
      </c>
      <c r="Q4293" s="16">
        <v>5299</v>
      </c>
      <c r="R4293" s="17">
        <v>48</v>
      </c>
      <c r="S4293" s="18">
        <v>3168.8019999999997</v>
      </c>
      <c r="T4293" s="19" t="s">
        <v>117</v>
      </c>
      <c r="U4293" s="20" t="s">
        <v>91</v>
      </c>
      <c r="V4293" s="21">
        <v>134</v>
      </c>
      <c r="W4293" s="21">
        <v>4</v>
      </c>
      <c r="X4293" s="22"/>
    </row>
    <row r="4294" spans="1:24" s="1" customFormat="1" ht="18" customHeight="1" x14ac:dyDescent="0.3">
      <c r="A4294" s="23" t="s">
        <v>3014</v>
      </c>
      <c r="B4294" s="23" t="s">
        <v>4452</v>
      </c>
      <c r="C4294" s="12" t="s">
        <v>4453</v>
      </c>
      <c r="D4294" s="85"/>
      <c r="E4294" s="69" t="str">
        <f t="shared" si="209"/>
        <v>Еще фото</v>
      </c>
      <c r="F4294" s="13"/>
      <c r="G4294" s="23" t="s">
        <v>4447</v>
      </c>
      <c r="H4294" s="23" t="s">
        <v>27</v>
      </c>
      <c r="I4294" s="23" t="s">
        <v>564</v>
      </c>
      <c r="J4294" s="14" t="s">
        <v>29</v>
      </c>
      <c r="K4294" s="15" t="s">
        <v>30</v>
      </c>
      <c r="L4294" s="88"/>
      <c r="M4294" s="14"/>
      <c r="N4294" s="14" t="s">
        <v>4451</v>
      </c>
      <c r="O4294" s="14"/>
      <c r="P4294" s="15" t="s">
        <v>76</v>
      </c>
      <c r="Q4294" s="16">
        <v>5299</v>
      </c>
      <c r="R4294" s="17">
        <v>48</v>
      </c>
      <c r="S4294" s="18">
        <v>3168.8019999999997</v>
      </c>
      <c r="T4294" s="19" t="s">
        <v>117</v>
      </c>
      <c r="U4294" s="20" t="s">
        <v>290</v>
      </c>
      <c r="V4294" s="21">
        <v>140</v>
      </c>
      <c r="W4294" s="21">
        <v>4</v>
      </c>
      <c r="X4294" s="22"/>
    </row>
    <row r="4295" spans="1:24" s="1" customFormat="1" ht="12.95" customHeight="1" x14ac:dyDescent="0.3">
      <c r="A4295" s="11" t="s">
        <v>3014</v>
      </c>
      <c r="B4295" s="11" t="s">
        <v>4452</v>
      </c>
      <c r="C4295" s="12" t="s">
        <v>4455</v>
      </c>
      <c r="D4295" s="83"/>
      <c r="E4295" s="69" t="str">
        <f t="shared" ref="E4295:E4302" si="210">HYPERLINK("https://www.google.ru/search?q=7200087A-6930&amp;newwindow=1&amp;tbm=isch","Еще фото")</f>
        <v>Еще фото</v>
      </c>
      <c r="F4295" s="13"/>
      <c r="G4295" s="11" t="s">
        <v>4447</v>
      </c>
      <c r="H4295" s="11" t="s">
        <v>27</v>
      </c>
      <c r="I4295" s="14" t="s">
        <v>564</v>
      </c>
      <c r="J4295" s="14" t="s">
        <v>29</v>
      </c>
      <c r="K4295" s="15" t="s">
        <v>30</v>
      </c>
      <c r="L4295" s="86" t="s">
        <v>4454</v>
      </c>
      <c r="M4295" s="14"/>
      <c r="N4295" s="14" t="s">
        <v>70</v>
      </c>
      <c r="O4295" s="14"/>
      <c r="P4295" s="15" t="s">
        <v>76</v>
      </c>
      <c r="Q4295" s="16">
        <v>5299</v>
      </c>
      <c r="R4295" s="17">
        <v>48</v>
      </c>
      <c r="S4295" s="18">
        <v>3168.8019999999997</v>
      </c>
      <c r="T4295" s="19" t="s">
        <v>117</v>
      </c>
      <c r="U4295" s="26" t="s">
        <v>2961</v>
      </c>
      <c r="V4295" s="21">
        <v>98</v>
      </c>
      <c r="W4295" s="21">
        <v>2</v>
      </c>
      <c r="X4295" s="22"/>
    </row>
    <row r="4296" spans="1:24" s="1" customFormat="1" ht="12.95" customHeight="1" x14ac:dyDescent="0.3">
      <c r="A4296" s="23" t="s">
        <v>3014</v>
      </c>
      <c r="B4296" s="23" t="s">
        <v>4452</v>
      </c>
      <c r="C4296" s="12" t="s">
        <v>4455</v>
      </c>
      <c r="D4296" s="84"/>
      <c r="E4296" s="69" t="str">
        <f t="shared" si="210"/>
        <v>Еще фото</v>
      </c>
      <c r="F4296" s="13"/>
      <c r="G4296" s="23" t="s">
        <v>4447</v>
      </c>
      <c r="H4296" s="23" t="s">
        <v>27</v>
      </c>
      <c r="I4296" s="23" t="s">
        <v>564</v>
      </c>
      <c r="J4296" s="14" t="s">
        <v>29</v>
      </c>
      <c r="K4296" s="15" t="s">
        <v>30</v>
      </c>
      <c r="L4296" s="87"/>
      <c r="M4296" s="14"/>
      <c r="N4296" s="14" t="s">
        <v>70</v>
      </c>
      <c r="O4296" s="14"/>
      <c r="P4296" s="15" t="s">
        <v>76</v>
      </c>
      <c r="Q4296" s="16">
        <v>5299</v>
      </c>
      <c r="R4296" s="17">
        <v>48</v>
      </c>
      <c r="S4296" s="18">
        <v>3168.8019999999997</v>
      </c>
      <c r="T4296" s="19" t="s">
        <v>117</v>
      </c>
      <c r="U4296" s="20" t="s">
        <v>94</v>
      </c>
      <c r="V4296" s="21">
        <v>104</v>
      </c>
      <c r="W4296" s="21">
        <v>2</v>
      </c>
      <c r="X4296" s="22"/>
    </row>
    <row r="4297" spans="1:24" s="1" customFormat="1" ht="12.95" customHeight="1" x14ac:dyDescent="0.3">
      <c r="A4297" s="23" t="s">
        <v>3014</v>
      </c>
      <c r="B4297" s="23" t="s">
        <v>4452</v>
      </c>
      <c r="C4297" s="12" t="s">
        <v>4455</v>
      </c>
      <c r="D4297" s="84"/>
      <c r="E4297" s="69" t="str">
        <f t="shared" si="210"/>
        <v>Еще фото</v>
      </c>
      <c r="F4297" s="13"/>
      <c r="G4297" s="23" t="s">
        <v>4447</v>
      </c>
      <c r="H4297" s="23" t="s">
        <v>27</v>
      </c>
      <c r="I4297" s="23" t="s">
        <v>564</v>
      </c>
      <c r="J4297" s="14" t="s">
        <v>29</v>
      </c>
      <c r="K4297" s="15" t="s">
        <v>30</v>
      </c>
      <c r="L4297" s="87"/>
      <c r="M4297" s="14"/>
      <c r="N4297" s="14" t="s">
        <v>70</v>
      </c>
      <c r="O4297" s="14"/>
      <c r="P4297" s="15" t="s">
        <v>76</v>
      </c>
      <c r="Q4297" s="16">
        <v>5299</v>
      </c>
      <c r="R4297" s="17">
        <v>48</v>
      </c>
      <c r="S4297" s="18">
        <v>3168.8019999999997</v>
      </c>
      <c r="T4297" s="19" t="s">
        <v>117</v>
      </c>
      <c r="U4297" s="20" t="s">
        <v>43</v>
      </c>
      <c r="V4297" s="21">
        <v>110</v>
      </c>
      <c r="W4297" s="21">
        <v>3</v>
      </c>
      <c r="X4297" s="22"/>
    </row>
    <row r="4298" spans="1:24" s="1" customFormat="1" ht="12.95" customHeight="1" x14ac:dyDescent="0.3">
      <c r="A4298" s="23" t="s">
        <v>3014</v>
      </c>
      <c r="B4298" s="23" t="s">
        <v>4452</v>
      </c>
      <c r="C4298" s="12" t="s">
        <v>4455</v>
      </c>
      <c r="D4298" s="84"/>
      <c r="E4298" s="69" t="str">
        <f t="shared" si="210"/>
        <v>Еще фото</v>
      </c>
      <c r="F4298" s="13"/>
      <c r="G4298" s="23" t="s">
        <v>4447</v>
      </c>
      <c r="H4298" s="23" t="s">
        <v>27</v>
      </c>
      <c r="I4298" s="23" t="s">
        <v>564</v>
      </c>
      <c r="J4298" s="14" t="s">
        <v>29</v>
      </c>
      <c r="K4298" s="15" t="s">
        <v>30</v>
      </c>
      <c r="L4298" s="87"/>
      <c r="M4298" s="14"/>
      <c r="N4298" s="14" t="s">
        <v>70</v>
      </c>
      <c r="O4298" s="14"/>
      <c r="P4298" s="15" t="s">
        <v>76</v>
      </c>
      <c r="Q4298" s="16">
        <v>5299</v>
      </c>
      <c r="R4298" s="17">
        <v>48</v>
      </c>
      <c r="S4298" s="18">
        <v>3168.8019999999997</v>
      </c>
      <c r="T4298" s="19" t="s">
        <v>117</v>
      </c>
      <c r="U4298" s="20" t="s">
        <v>35</v>
      </c>
      <c r="V4298" s="21">
        <v>116</v>
      </c>
      <c r="W4298" s="21">
        <v>4</v>
      </c>
      <c r="X4298" s="22"/>
    </row>
    <row r="4299" spans="1:24" s="1" customFormat="1" ht="12.95" customHeight="1" x14ac:dyDescent="0.3">
      <c r="A4299" s="23" t="s">
        <v>3014</v>
      </c>
      <c r="B4299" s="23" t="s">
        <v>4452</v>
      </c>
      <c r="C4299" s="12" t="s">
        <v>4455</v>
      </c>
      <c r="D4299" s="84"/>
      <c r="E4299" s="69" t="str">
        <f t="shared" si="210"/>
        <v>Еще фото</v>
      </c>
      <c r="F4299" s="13"/>
      <c r="G4299" s="23" t="s">
        <v>4447</v>
      </c>
      <c r="H4299" s="23" t="s">
        <v>27</v>
      </c>
      <c r="I4299" s="23" t="s">
        <v>564</v>
      </c>
      <c r="J4299" s="14" t="s">
        <v>29</v>
      </c>
      <c r="K4299" s="15" t="s">
        <v>30</v>
      </c>
      <c r="L4299" s="87"/>
      <c r="M4299" s="14"/>
      <c r="N4299" s="14" t="s">
        <v>70</v>
      </c>
      <c r="O4299" s="14"/>
      <c r="P4299" s="15" t="s">
        <v>76</v>
      </c>
      <c r="Q4299" s="16">
        <v>5299</v>
      </c>
      <c r="R4299" s="17">
        <v>48</v>
      </c>
      <c r="S4299" s="18">
        <v>3168.8019999999997</v>
      </c>
      <c r="T4299" s="19" t="s">
        <v>117</v>
      </c>
      <c r="U4299" s="20" t="s">
        <v>36</v>
      </c>
      <c r="V4299" s="21">
        <v>122</v>
      </c>
      <c r="W4299" s="21">
        <v>4</v>
      </c>
      <c r="X4299" s="22"/>
    </row>
    <row r="4300" spans="1:24" s="1" customFormat="1" ht="12.95" customHeight="1" x14ac:dyDescent="0.3">
      <c r="A4300" s="23" t="s">
        <v>3014</v>
      </c>
      <c r="B4300" s="23" t="s">
        <v>4452</v>
      </c>
      <c r="C4300" s="12" t="s">
        <v>4455</v>
      </c>
      <c r="D4300" s="84"/>
      <c r="E4300" s="69" t="str">
        <f t="shared" si="210"/>
        <v>Еще фото</v>
      </c>
      <c r="F4300" s="13"/>
      <c r="G4300" s="23" t="s">
        <v>4447</v>
      </c>
      <c r="H4300" s="23" t="s">
        <v>27</v>
      </c>
      <c r="I4300" s="23" t="s">
        <v>564</v>
      </c>
      <c r="J4300" s="14" t="s">
        <v>29</v>
      </c>
      <c r="K4300" s="15" t="s">
        <v>30</v>
      </c>
      <c r="L4300" s="87"/>
      <c r="M4300" s="14"/>
      <c r="N4300" s="14" t="s">
        <v>70</v>
      </c>
      <c r="O4300" s="14"/>
      <c r="P4300" s="15" t="s">
        <v>76</v>
      </c>
      <c r="Q4300" s="16">
        <v>5299</v>
      </c>
      <c r="R4300" s="17">
        <v>48</v>
      </c>
      <c r="S4300" s="18">
        <v>3168.8019999999997</v>
      </c>
      <c r="T4300" s="19" t="s">
        <v>117</v>
      </c>
      <c r="U4300" s="20" t="s">
        <v>37</v>
      </c>
      <c r="V4300" s="21">
        <v>128</v>
      </c>
      <c r="W4300" s="21">
        <v>4</v>
      </c>
      <c r="X4300" s="22"/>
    </row>
    <row r="4301" spans="1:24" s="1" customFormat="1" ht="12.95" customHeight="1" x14ac:dyDescent="0.3">
      <c r="A4301" s="23" t="s">
        <v>3014</v>
      </c>
      <c r="B4301" s="23" t="s">
        <v>4452</v>
      </c>
      <c r="C4301" s="12" t="s">
        <v>4455</v>
      </c>
      <c r="D4301" s="84"/>
      <c r="E4301" s="69" t="str">
        <f t="shared" si="210"/>
        <v>Еще фото</v>
      </c>
      <c r="F4301" s="13"/>
      <c r="G4301" s="23" t="s">
        <v>4447</v>
      </c>
      <c r="H4301" s="23" t="s">
        <v>27</v>
      </c>
      <c r="I4301" s="23" t="s">
        <v>564</v>
      </c>
      <c r="J4301" s="14" t="s">
        <v>29</v>
      </c>
      <c r="K4301" s="15" t="s">
        <v>30</v>
      </c>
      <c r="L4301" s="87"/>
      <c r="M4301" s="14"/>
      <c r="N4301" s="14" t="s">
        <v>70</v>
      </c>
      <c r="O4301" s="14"/>
      <c r="P4301" s="15" t="s">
        <v>76</v>
      </c>
      <c r="Q4301" s="16">
        <v>5299</v>
      </c>
      <c r="R4301" s="17">
        <v>48</v>
      </c>
      <c r="S4301" s="18">
        <v>3168.8019999999997</v>
      </c>
      <c r="T4301" s="19" t="s">
        <v>117</v>
      </c>
      <c r="U4301" s="20" t="s">
        <v>91</v>
      </c>
      <c r="V4301" s="21">
        <v>134</v>
      </c>
      <c r="W4301" s="21">
        <v>4</v>
      </c>
      <c r="X4301" s="22"/>
    </row>
    <row r="4302" spans="1:24" s="1" customFormat="1" ht="18" customHeight="1" x14ac:dyDescent="0.3">
      <c r="A4302" s="23" t="s">
        <v>3014</v>
      </c>
      <c r="B4302" s="23" t="s">
        <v>4452</v>
      </c>
      <c r="C4302" s="12" t="s">
        <v>4455</v>
      </c>
      <c r="D4302" s="85"/>
      <c r="E4302" s="69" t="str">
        <f t="shared" si="210"/>
        <v>Еще фото</v>
      </c>
      <c r="F4302" s="13"/>
      <c r="G4302" s="23" t="s">
        <v>4447</v>
      </c>
      <c r="H4302" s="23" t="s">
        <v>27</v>
      </c>
      <c r="I4302" s="23" t="s">
        <v>564</v>
      </c>
      <c r="J4302" s="14" t="s">
        <v>29</v>
      </c>
      <c r="K4302" s="15" t="s">
        <v>30</v>
      </c>
      <c r="L4302" s="88"/>
      <c r="M4302" s="14"/>
      <c r="N4302" s="14" t="s">
        <v>70</v>
      </c>
      <c r="O4302" s="14"/>
      <c r="P4302" s="15" t="s">
        <v>76</v>
      </c>
      <c r="Q4302" s="16">
        <v>5299</v>
      </c>
      <c r="R4302" s="17">
        <v>48</v>
      </c>
      <c r="S4302" s="18">
        <v>3168.8019999999997</v>
      </c>
      <c r="T4302" s="19" t="s">
        <v>117</v>
      </c>
      <c r="U4302" s="20" t="s">
        <v>290</v>
      </c>
      <c r="V4302" s="21">
        <v>140</v>
      </c>
      <c r="W4302" s="21">
        <v>3</v>
      </c>
      <c r="X4302" s="22"/>
    </row>
    <row r="4303" spans="1:24" s="1" customFormat="1" ht="108" customHeight="1" x14ac:dyDescent="0.3">
      <c r="A4303" s="11" t="s">
        <v>3014</v>
      </c>
      <c r="B4303" s="11" t="s">
        <v>4456</v>
      </c>
      <c r="C4303" s="12" t="s">
        <v>4457</v>
      </c>
      <c r="D4303" s="24"/>
      <c r="E4303" s="69" t="str">
        <f>HYPERLINK("https://www.google.ru/search?q=7200002A-6961&amp;newwindow=1&amp;tbm=isch","Еще фото")</f>
        <v>Еще фото</v>
      </c>
      <c r="F4303" s="13"/>
      <c r="G4303" s="11" t="s">
        <v>4447</v>
      </c>
      <c r="H4303" s="11" t="s">
        <v>27</v>
      </c>
      <c r="I4303" s="14" t="s">
        <v>564</v>
      </c>
      <c r="J4303" s="14" t="s">
        <v>29</v>
      </c>
      <c r="K4303" s="15" t="s">
        <v>30</v>
      </c>
      <c r="L4303" s="14" t="s">
        <v>4458</v>
      </c>
      <c r="M4303" s="14"/>
      <c r="N4303" s="14" t="s">
        <v>70</v>
      </c>
      <c r="O4303" s="14"/>
      <c r="P4303" s="15" t="s">
        <v>193</v>
      </c>
      <c r="Q4303" s="16">
        <v>4799</v>
      </c>
      <c r="R4303" s="17">
        <v>45</v>
      </c>
      <c r="S4303" s="18">
        <v>3035.3674999999994</v>
      </c>
      <c r="T4303" s="19" t="s">
        <v>117</v>
      </c>
      <c r="U4303" s="20" t="s">
        <v>290</v>
      </c>
      <c r="V4303" s="21">
        <v>140</v>
      </c>
      <c r="W4303" s="21">
        <v>1</v>
      </c>
      <c r="X4303" s="22"/>
    </row>
    <row r="4304" spans="1:24" s="1" customFormat="1" ht="14.1" customHeight="1" x14ac:dyDescent="0.3">
      <c r="A4304" s="11" t="s">
        <v>3014</v>
      </c>
      <c r="B4304" s="11" t="s">
        <v>4459</v>
      </c>
      <c r="C4304" s="12" t="s">
        <v>4460</v>
      </c>
      <c r="D4304" s="83"/>
      <c r="E4304" s="69" t="str">
        <f t="shared" ref="E4304:E4310" si="211">HYPERLINK("https://www.google.ru/search?q=7200071A-4380&amp;newwindow=1&amp;tbm=isch","Еще фото")</f>
        <v>Еще фото</v>
      </c>
      <c r="F4304" s="13"/>
      <c r="G4304" s="11" t="s">
        <v>4447</v>
      </c>
      <c r="H4304" s="11" t="s">
        <v>27</v>
      </c>
      <c r="I4304" s="14" t="s">
        <v>564</v>
      </c>
      <c r="J4304" s="14" t="s">
        <v>29</v>
      </c>
      <c r="K4304" s="15" t="s">
        <v>30</v>
      </c>
      <c r="L4304" s="86" t="s">
        <v>4461</v>
      </c>
      <c r="M4304" s="14"/>
      <c r="N4304" s="14" t="s">
        <v>275</v>
      </c>
      <c r="O4304" s="14"/>
      <c r="P4304" s="15" t="s">
        <v>76</v>
      </c>
      <c r="Q4304" s="16">
        <v>5999</v>
      </c>
      <c r="R4304" s="17">
        <v>45</v>
      </c>
      <c r="S4304" s="18">
        <v>3794.3674999999994</v>
      </c>
      <c r="T4304" s="19" t="s">
        <v>117</v>
      </c>
      <c r="U4304" s="20" t="s">
        <v>2977</v>
      </c>
      <c r="V4304" s="21">
        <v>92</v>
      </c>
      <c r="W4304" s="21">
        <v>1</v>
      </c>
      <c r="X4304" s="22"/>
    </row>
    <row r="4305" spans="1:24" s="1" customFormat="1" ht="14.1" customHeight="1" x14ac:dyDescent="0.3">
      <c r="A4305" s="23" t="s">
        <v>3014</v>
      </c>
      <c r="B4305" s="23" t="s">
        <v>4459</v>
      </c>
      <c r="C4305" s="12" t="s">
        <v>4460</v>
      </c>
      <c r="D4305" s="84"/>
      <c r="E4305" s="69" t="str">
        <f t="shared" si="211"/>
        <v>Еще фото</v>
      </c>
      <c r="F4305" s="13"/>
      <c r="G4305" s="23" t="s">
        <v>4447</v>
      </c>
      <c r="H4305" s="23" t="s">
        <v>27</v>
      </c>
      <c r="I4305" s="23" t="s">
        <v>564</v>
      </c>
      <c r="J4305" s="14" t="s">
        <v>29</v>
      </c>
      <c r="K4305" s="15" t="s">
        <v>30</v>
      </c>
      <c r="L4305" s="87"/>
      <c r="M4305" s="14"/>
      <c r="N4305" s="14" t="s">
        <v>275</v>
      </c>
      <c r="O4305" s="14"/>
      <c r="P4305" s="15" t="s">
        <v>76</v>
      </c>
      <c r="Q4305" s="16">
        <v>5999</v>
      </c>
      <c r="R4305" s="17">
        <v>45</v>
      </c>
      <c r="S4305" s="18">
        <v>3794.3674999999994</v>
      </c>
      <c r="T4305" s="19" t="s">
        <v>117</v>
      </c>
      <c r="U4305" s="20" t="s">
        <v>2961</v>
      </c>
      <c r="V4305" s="21">
        <v>98</v>
      </c>
      <c r="W4305" s="21">
        <v>1</v>
      </c>
      <c r="X4305" s="22"/>
    </row>
    <row r="4306" spans="1:24" s="1" customFormat="1" ht="14.1" customHeight="1" x14ac:dyDescent="0.3">
      <c r="A4306" s="23" t="s">
        <v>3014</v>
      </c>
      <c r="B4306" s="23" t="s">
        <v>4459</v>
      </c>
      <c r="C4306" s="12" t="s">
        <v>4460</v>
      </c>
      <c r="D4306" s="84"/>
      <c r="E4306" s="69" t="str">
        <f t="shared" si="211"/>
        <v>Еще фото</v>
      </c>
      <c r="F4306" s="13"/>
      <c r="G4306" s="23" t="s">
        <v>4447</v>
      </c>
      <c r="H4306" s="23" t="s">
        <v>27</v>
      </c>
      <c r="I4306" s="23" t="s">
        <v>564</v>
      </c>
      <c r="J4306" s="14" t="s">
        <v>29</v>
      </c>
      <c r="K4306" s="15" t="s">
        <v>30</v>
      </c>
      <c r="L4306" s="87"/>
      <c r="M4306" s="14"/>
      <c r="N4306" s="14" t="s">
        <v>275</v>
      </c>
      <c r="O4306" s="14"/>
      <c r="P4306" s="15" t="s">
        <v>76</v>
      </c>
      <c r="Q4306" s="16">
        <v>5999</v>
      </c>
      <c r="R4306" s="17">
        <v>45</v>
      </c>
      <c r="S4306" s="18">
        <v>3794.3674999999994</v>
      </c>
      <c r="T4306" s="19" t="s">
        <v>117</v>
      </c>
      <c r="U4306" s="20" t="s">
        <v>91</v>
      </c>
      <c r="V4306" s="21">
        <v>134</v>
      </c>
      <c r="W4306" s="21">
        <v>1</v>
      </c>
      <c r="X4306" s="22"/>
    </row>
    <row r="4307" spans="1:24" s="1" customFormat="1" ht="14.1" customHeight="1" x14ac:dyDescent="0.3">
      <c r="A4307" s="23" t="s">
        <v>3014</v>
      </c>
      <c r="B4307" s="23" t="s">
        <v>4459</v>
      </c>
      <c r="C4307" s="12" t="s">
        <v>4460</v>
      </c>
      <c r="D4307" s="84"/>
      <c r="E4307" s="69" t="str">
        <f t="shared" si="211"/>
        <v>Еще фото</v>
      </c>
      <c r="F4307" s="13"/>
      <c r="G4307" s="23" t="s">
        <v>4447</v>
      </c>
      <c r="H4307" s="23" t="s">
        <v>27</v>
      </c>
      <c r="I4307" s="23" t="s">
        <v>564</v>
      </c>
      <c r="J4307" s="14" t="s">
        <v>29</v>
      </c>
      <c r="K4307" s="15" t="s">
        <v>30</v>
      </c>
      <c r="L4307" s="87"/>
      <c r="M4307" s="14"/>
      <c r="N4307" s="14" t="s">
        <v>275</v>
      </c>
      <c r="O4307" s="14"/>
      <c r="P4307" s="15" t="s">
        <v>76</v>
      </c>
      <c r="Q4307" s="16">
        <v>5999</v>
      </c>
      <c r="R4307" s="17">
        <v>45</v>
      </c>
      <c r="S4307" s="18">
        <v>3794.3674999999994</v>
      </c>
      <c r="T4307" s="19" t="s">
        <v>117</v>
      </c>
      <c r="U4307" s="20" t="s">
        <v>290</v>
      </c>
      <c r="V4307" s="21">
        <v>140</v>
      </c>
      <c r="W4307" s="21">
        <v>1</v>
      </c>
      <c r="X4307" s="22"/>
    </row>
    <row r="4308" spans="1:24" s="1" customFormat="1" ht="14.1" customHeight="1" x14ac:dyDescent="0.3">
      <c r="A4308" s="23" t="s">
        <v>3014</v>
      </c>
      <c r="B4308" s="23" t="s">
        <v>4459</v>
      </c>
      <c r="C4308" s="12" t="s">
        <v>4460</v>
      </c>
      <c r="D4308" s="84"/>
      <c r="E4308" s="69" t="str">
        <f t="shared" si="211"/>
        <v>Еще фото</v>
      </c>
      <c r="F4308" s="13"/>
      <c r="G4308" s="23" t="s">
        <v>4447</v>
      </c>
      <c r="H4308" s="23" t="s">
        <v>27</v>
      </c>
      <c r="I4308" s="23" t="s">
        <v>564</v>
      </c>
      <c r="J4308" s="14" t="s">
        <v>29</v>
      </c>
      <c r="K4308" s="15" t="s">
        <v>30</v>
      </c>
      <c r="L4308" s="87"/>
      <c r="M4308" s="14"/>
      <c r="N4308" s="14" t="s">
        <v>275</v>
      </c>
      <c r="O4308" s="14"/>
      <c r="P4308" s="15" t="s">
        <v>76</v>
      </c>
      <c r="Q4308" s="16">
        <v>5999</v>
      </c>
      <c r="R4308" s="17">
        <v>45</v>
      </c>
      <c r="S4308" s="18">
        <v>3794.3674999999994</v>
      </c>
      <c r="T4308" s="19" t="s">
        <v>117</v>
      </c>
      <c r="U4308" s="20" t="s">
        <v>2993</v>
      </c>
      <c r="V4308" s="21">
        <v>146</v>
      </c>
      <c r="W4308" s="21">
        <v>1</v>
      </c>
      <c r="X4308" s="22"/>
    </row>
    <row r="4309" spans="1:24" s="1" customFormat="1" ht="14.1" customHeight="1" x14ac:dyDescent="0.3">
      <c r="A4309" s="23" t="s">
        <v>3014</v>
      </c>
      <c r="B4309" s="23" t="s">
        <v>4459</v>
      </c>
      <c r="C4309" s="12" t="s">
        <v>4460</v>
      </c>
      <c r="D4309" s="84"/>
      <c r="E4309" s="69" t="str">
        <f t="shared" si="211"/>
        <v>Еще фото</v>
      </c>
      <c r="F4309" s="13"/>
      <c r="G4309" s="23" t="s">
        <v>4447</v>
      </c>
      <c r="H4309" s="23" t="s">
        <v>27</v>
      </c>
      <c r="I4309" s="23" t="s">
        <v>564</v>
      </c>
      <c r="J4309" s="14" t="s">
        <v>29</v>
      </c>
      <c r="K4309" s="15" t="s">
        <v>30</v>
      </c>
      <c r="L4309" s="87"/>
      <c r="M4309" s="14"/>
      <c r="N4309" s="14" t="s">
        <v>275</v>
      </c>
      <c r="O4309" s="14"/>
      <c r="P4309" s="15" t="s">
        <v>76</v>
      </c>
      <c r="Q4309" s="16">
        <v>5999</v>
      </c>
      <c r="R4309" s="17">
        <v>45</v>
      </c>
      <c r="S4309" s="18">
        <v>3794.3674999999994</v>
      </c>
      <c r="T4309" s="19" t="s">
        <v>117</v>
      </c>
      <c r="U4309" s="20" t="s">
        <v>3088</v>
      </c>
      <c r="V4309" s="21">
        <v>158</v>
      </c>
      <c r="W4309" s="21">
        <v>2</v>
      </c>
      <c r="X4309" s="22"/>
    </row>
    <row r="4310" spans="1:24" s="1" customFormat="1" ht="17.100000000000001" customHeight="1" x14ac:dyDescent="0.3">
      <c r="A4310" s="23" t="s">
        <v>3014</v>
      </c>
      <c r="B4310" s="23" t="s">
        <v>4459</v>
      </c>
      <c r="C4310" s="12" t="s">
        <v>4460</v>
      </c>
      <c r="D4310" s="85"/>
      <c r="E4310" s="69" t="str">
        <f t="shared" si="211"/>
        <v>Еще фото</v>
      </c>
      <c r="F4310" s="13"/>
      <c r="G4310" s="23" t="s">
        <v>4447</v>
      </c>
      <c r="H4310" s="23" t="s">
        <v>27</v>
      </c>
      <c r="I4310" s="23" t="s">
        <v>564</v>
      </c>
      <c r="J4310" s="14" t="s">
        <v>29</v>
      </c>
      <c r="K4310" s="15" t="s">
        <v>30</v>
      </c>
      <c r="L4310" s="88"/>
      <c r="M4310" s="14"/>
      <c r="N4310" s="14" t="s">
        <v>275</v>
      </c>
      <c r="O4310" s="14"/>
      <c r="P4310" s="15" t="s">
        <v>76</v>
      </c>
      <c r="Q4310" s="16">
        <v>5999</v>
      </c>
      <c r="R4310" s="17">
        <v>45</v>
      </c>
      <c r="S4310" s="18">
        <v>3794.3674999999994</v>
      </c>
      <c r="T4310" s="19" t="s">
        <v>117</v>
      </c>
      <c r="U4310" s="20" t="s">
        <v>2161</v>
      </c>
      <c r="V4310" s="21">
        <v>164</v>
      </c>
      <c r="W4310" s="21">
        <v>1</v>
      </c>
      <c r="X4310" s="22"/>
    </row>
    <row r="4311" spans="1:24" s="1" customFormat="1" ht="17.100000000000001" customHeight="1" x14ac:dyDescent="0.3">
      <c r="A4311" s="11" t="s">
        <v>3014</v>
      </c>
      <c r="B4311" s="11" t="s">
        <v>4459</v>
      </c>
      <c r="C4311" s="12" t="s">
        <v>4462</v>
      </c>
      <c r="D4311" s="83"/>
      <c r="E4311" s="69" t="str">
        <f t="shared" ref="E4311:E4316" si="212">HYPERLINK("https://www.google.ru/search?q=7200071A-6930&amp;newwindow=1&amp;tbm=isch","Еще фото")</f>
        <v>Еще фото</v>
      </c>
      <c r="F4311" s="13"/>
      <c r="G4311" s="11" t="s">
        <v>4447</v>
      </c>
      <c r="H4311" s="11" t="s">
        <v>27</v>
      </c>
      <c r="I4311" s="14" t="s">
        <v>564</v>
      </c>
      <c r="J4311" s="14" t="s">
        <v>29</v>
      </c>
      <c r="K4311" s="15" t="s">
        <v>30</v>
      </c>
      <c r="L4311" s="86" t="s">
        <v>4461</v>
      </c>
      <c r="M4311" s="14"/>
      <c r="N4311" s="14" t="s">
        <v>70</v>
      </c>
      <c r="O4311" s="14"/>
      <c r="P4311" s="15" t="s">
        <v>76</v>
      </c>
      <c r="Q4311" s="16">
        <v>5999</v>
      </c>
      <c r="R4311" s="17">
        <v>45</v>
      </c>
      <c r="S4311" s="18">
        <v>3794.3674999999994</v>
      </c>
      <c r="T4311" s="19" t="s">
        <v>117</v>
      </c>
      <c r="U4311" s="20" t="s">
        <v>2977</v>
      </c>
      <c r="V4311" s="21">
        <v>92</v>
      </c>
      <c r="W4311" s="21">
        <v>1</v>
      </c>
      <c r="X4311" s="22"/>
    </row>
    <row r="4312" spans="1:24" s="1" customFormat="1" ht="17.100000000000001" customHeight="1" x14ac:dyDescent="0.3">
      <c r="A4312" s="23" t="s">
        <v>3014</v>
      </c>
      <c r="B4312" s="23" t="s">
        <v>4459</v>
      </c>
      <c r="C4312" s="12" t="s">
        <v>4462</v>
      </c>
      <c r="D4312" s="84"/>
      <c r="E4312" s="69" t="str">
        <f t="shared" si="212"/>
        <v>Еще фото</v>
      </c>
      <c r="F4312" s="13"/>
      <c r="G4312" s="23" t="s">
        <v>4447</v>
      </c>
      <c r="H4312" s="23" t="s">
        <v>27</v>
      </c>
      <c r="I4312" s="23" t="s">
        <v>564</v>
      </c>
      <c r="J4312" s="14" t="s">
        <v>29</v>
      </c>
      <c r="K4312" s="15" t="s">
        <v>30</v>
      </c>
      <c r="L4312" s="87"/>
      <c r="M4312" s="14"/>
      <c r="N4312" s="14" t="s">
        <v>70</v>
      </c>
      <c r="O4312" s="14"/>
      <c r="P4312" s="15" t="s">
        <v>76</v>
      </c>
      <c r="Q4312" s="16">
        <v>5999</v>
      </c>
      <c r="R4312" s="17">
        <v>45</v>
      </c>
      <c r="S4312" s="18">
        <v>3794.3674999999994</v>
      </c>
      <c r="T4312" s="19" t="s">
        <v>117</v>
      </c>
      <c r="U4312" s="20" t="s">
        <v>2961</v>
      </c>
      <c r="V4312" s="21">
        <v>98</v>
      </c>
      <c r="W4312" s="21">
        <v>1</v>
      </c>
      <c r="X4312" s="22"/>
    </row>
    <row r="4313" spans="1:24" s="1" customFormat="1" ht="17.100000000000001" customHeight="1" x14ac:dyDescent="0.3">
      <c r="A4313" s="23" t="s">
        <v>3014</v>
      </c>
      <c r="B4313" s="23" t="s">
        <v>4459</v>
      </c>
      <c r="C4313" s="12" t="s">
        <v>4462</v>
      </c>
      <c r="D4313" s="84"/>
      <c r="E4313" s="69" t="str">
        <f t="shared" si="212"/>
        <v>Еще фото</v>
      </c>
      <c r="F4313" s="13"/>
      <c r="G4313" s="23" t="s">
        <v>4447</v>
      </c>
      <c r="H4313" s="23" t="s">
        <v>27</v>
      </c>
      <c r="I4313" s="23" t="s">
        <v>564</v>
      </c>
      <c r="J4313" s="14" t="s">
        <v>29</v>
      </c>
      <c r="K4313" s="15" t="s">
        <v>30</v>
      </c>
      <c r="L4313" s="87"/>
      <c r="M4313" s="14"/>
      <c r="N4313" s="14" t="s">
        <v>70</v>
      </c>
      <c r="O4313" s="14"/>
      <c r="P4313" s="15" t="s">
        <v>76</v>
      </c>
      <c r="Q4313" s="16">
        <v>5999</v>
      </c>
      <c r="R4313" s="17">
        <v>45</v>
      </c>
      <c r="S4313" s="18">
        <v>3794.3674999999994</v>
      </c>
      <c r="T4313" s="19" t="s">
        <v>117</v>
      </c>
      <c r="U4313" s="20" t="s">
        <v>37</v>
      </c>
      <c r="V4313" s="21">
        <v>128</v>
      </c>
      <c r="W4313" s="21">
        <v>3</v>
      </c>
      <c r="X4313" s="22"/>
    </row>
    <row r="4314" spans="1:24" s="1" customFormat="1" ht="17.100000000000001" customHeight="1" x14ac:dyDescent="0.3">
      <c r="A4314" s="23" t="s">
        <v>3014</v>
      </c>
      <c r="B4314" s="23" t="s">
        <v>4459</v>
      </c>
      <c r="C4314" s="12" t="s">
        <v>4462</v>
      </c>
      <c r="D4314" s="84"/>
      <c r="E4314" s="69" t="str">
        <f t="shared" si="212"/>
        <v>Еще фото</v>
      </c>
      <c r="F4314" s="13"/>
      <c r="G4314" s="23" t="s">
        <v>4447</v>
      </c>
      <c r="H4314" s="23" t="s">
        <v>27</v>
      </c>
      <c r="I4314" s="23" t="s">
        <v>564</v>
      </c>
      <c r="J4314" s="14" t="s">
        <v>29</v>
      </c>
      <c r="K4314" s="15" t="s">
        <v>30</v>
      </c>
      <c r="L4314" s="87"/>
      <c r="M4314" s="14"/>
      <c r="N4314" s="14" t="s">
        <v>70</v>
      </c>
      <c r="O4314" s="14"/>
      <c r="P4314" s="15" t="s">
        <v>76</v>
      </c>
      <c r="Q4314" s="16">
        <v>5999</v>
      </c>
      <c r="R4314" s="17">
        <v>45</v>
      </c>
      <c r="S4314" s="18">
        <v>3794.3674999999994</v>
      </c>
      <c r="T4314" s="19" t="s">
        <v>117</v>
      </c>
      <c r="U4314" s="20" t="s">
        <v>91</v>
      </c>
      <c r="V4314" s="21">
        <v>134</v>
      </c>
      <c r="W4314" s="21">
        <v>2</v>
      </c>
      <c r="X4314" s="22"/>
    </row>
    <row r="4315" spans="1:24" s="1" customFormat="1" ht="17.100000000000001" customHeight="1" x14ac:dyDescent="0.3">
      <c r="A4315" s="23" t="s">
        <v>3014</v>
      </c>
      <c r="B4315" s="23" t="s">
        <v>4459</v>
      </c>
      <c r="C4315" s="12" t="s">
        <v>4462</v>
      </c>
      <c r="D4315" s="84"/>
      <c r="E4315" s="69" t="str">
        <f t="shared" si="212"/>
        <v>Еще фото</v>
      </c>
      <c r="F4315" s="13"/>
      <c r="G4315" s="23" t="s">
        <v>4447</v>
      </c>
      <c r="H4315" s="23" t="s">
        <v>27</v>
      </c>
      <c r="I4315" s="23" t="s">
        <v>564</v>
      </c>
      <c r="J4315" s="14" t="s">
        <v>29</v>
      </c>
      <c r="K4315" s="15" t="s">
        <v>30</v>
      </c>
      <c r="L4315" s="87"/>
      <c r="M4315" s="14"/>
      <c r="N4315" s="14" t="s">
        <v>70</v>
      </c>
      <c r="O4315" s="14"/>
      <c r="P4315" s="15" t="s">
        <v>76</v>
      </c>
      <c r="Q4315" s="16">
        <v>5999</v>
      </c>
      <c r="R4315" s="17">
        <v>45</v>
      </c>
      <c r="S4315" s="18">
        <v>3794.3674999999994</v>
      </c>
      <c r="T4315" s="19" t="s">
        <v>117</v>
      </c>
      <c r="U4315" s="20" t="s">
        <v>2993</v>
      </c>
      <c r="V4315" s="21">
        <v>146</v>
      </c>
      <c r="W4315" s="21">
        <v>1</v>
      </c>
      <c r="X4315" s="22"/>
    </row>
    <row r="4316" spans="1:24" s="1" customFormat="1" ht="21.95" customHeight="1" x14ac:dyDescent="0.3">
      <c r="A4316" s="23" t="s">
        <v>3014</v>
      </c>
      <c r="B4316" s="23" t="s">
        <v>4459</v>
      </c>
      <c r="C4316" s="12" t="s">
        <v>4462</v>
      </c>
      <c r="D4316" s="85"/>
      <c r="E4316" s="69" t="str">
        <f t="shared" si="212"/>
        <v>Еще фото</v>
      </c>
      <c r="F4316" s="13"/>
      <c r="G4316" s="23" t="s">
        <v>4447</v>
      </c>
      <c r="H4316" s="23" t="s">
        <v>27</v>
      </c>
      <c r="I4316" s="23" t="s">
        <v>564</v>
      </c>
      <c r="J4316" s="14" t="s">
        <v>29</v>
      </c>
      <c r="K4316" s="15" t="s">
        <v>30</v>
      </c>
      <c r="L4316" s="88"/>
      <c r="M4316" s="14"/>
      <c r="N4316" s="14" t="s">
        <v>70</v>
      </c>
      <c r="O4316" s="14"/>
      <c r="P4316" s="15" t="s">
        <v>76</v>
      </c>
      <c r="Q4316" s="16">
        <v>5999</v>
      </c>
      <c r="R4316" s="17">
        <v>45</v>
      </c>
      <c r="S4316" s="18">
        <v>3794.3674999999994</v>
      </c>
      <c r="T4316" s="19" t="s">
        <v>117</v>
      </c>
      <c r="U4316" s="20" t="s">
        <v>3088</v>
      </c>
      <c r="V4316" s="21">
        <v>158</v>
      </c>
      <c r="W4316" s="21">
        <v>2</v>
      </c>
      <c r="X4316" s="22"/>
    </row>
    <row r="4317" spans="1:24" s="1" customFormat="1" ht="26.1" customHeight="1" x14ac:dyDescent="0.3">
      <c r="A4317" s="11" t="s">
        <v>3014</v>
      </c>
      <c r="B4317" s="11" t="s">
        <v>4463</v>
      </c>
      <c r="C4317" s="12" t="s">
        <v>4464</v>
      </c>
      <c r="D4317" s="83"/>
      <c r="E4317" s="69" t="str">
        <f>HYPERLINK("https://www.google.ru/search?q=72204414-3320&amp;newwindow=1&amp;tbm=isch","Еще фото")</f>
        <v>Еще фото</v>
      </c>
      <c r="F4317" s="13"/>
      <c r="G4317" s="11" t="s">
        <v>4465</v>
      </c>
      <c r="H4317" s="11" t="s">
        <v>27</v>
      </c>
      <c r="I4317" s="14" t="s">
        <v>564</v>
      </c>
      <c r="J4317" s="14" t="s">
        <v>29</v>
      </c>
      <c r="K4317" s="15" t="s">
        <v>30</v>
      </c>
      <c r="L4317" s="86" t="s">
        <v>4466</v>
      </c>
      <c r="M4317" s="14"/>
      <c r="N4317" s="14" t="s">
        <v>275</v>
      </c>
      <c r="O4317" s="14"/>
      <c r="P4317" s="15" t="s">
        <v>76</v>
      </c>
      <c r="Q4317" s="16">
        <v>3999</v>
      </c>
      <c r="R4317" s="17">
        <v>45</v>
      </c>
      <c r="S4317" s="18">
        <v>2529.3674999999994</v>
      </c>
      <c r="T4317" s="19" t="s">
        <v>117</v>
      </c>
      <c r="U4317" s="20" t="s">
        <v>94</v>
      </c>
      <c r="V4317" s="21">
        <v>104</v>
      </c>
      <c r="W4317" s="21">
        <v>2</v>
      </c>
      <c r="X4317" s="22"/>
    </row>
    <row r="4318" spans="1:24" s="1" customFormat="1" ht="26.1" customHeight="1" x14ac:dyDescent="0.3">
      <c r="A4318" s="23" t="s">
        <v>3014</v>
      </c>
      <c r="B4318" s="23" t="s">
        <v>4463</v>
      </c>
      <c r="C4318" s="12" t="s">
        <v>4464</v>
      </c>
      <c r="D4318" s="84"/>
      <c r="E4318" s="69" t="str">
        <f>HYPERLINK("https://www.google.ru/search?q=72204414-3320&amp;newwindow=1&amp;tbm=isch","Еще фото")</f>
        <v>Еще фото</v>
      </c>
      <c r="F4318" s="13"/>
      <c r="G4318" s="23" t="s">
        <v>4465</v>
      </c>
      <c r="H4318" s="23" t="s">
        <v>27</v>
      </c>
      <c r="I4318" s="23" t="s">
        <v>564</v>
      </c>
      <c r="J4318" s="14" t="s">
        <v>29</v>
      </c>
      <c r="K4318" s="15" t="s">
        <v>30</v>
      </c>
      <c r="L4318" s="87"/>
      <c r="M4318" s="14"/>
      <c r="N4318" s="14" t="s">
        <v>275</v>
      </c>
      <c r="O4318" s="14"/>
      <c r="P4318" s="15" t="s">
        <v>76</v>
      </c>
      <c r="Q4318" s="16">
        <v>3999</v>
      </c>
      <c r="R4318" s="17">
        <v>45</v>
      </c>
      <c r="S4318" s="18">
        <v>2529.3674999999994</v>
      </c>
      <c r="T4318" s="19" t="s">
        <v>117</v>
      </c>
      <c r="U4318" s="20" t="s">
        <v>43</v>
      </c>
      <c r="V4318" s="21">
        <v>110</v>
      </c>
      <c r="W4318" s="21">
        <v>3</v>
      </c>
      <c r="X4318" s="22"/>
    </row>
    <row r="4319" spans="1:24" s="1" customFormat="1" ht="26.1" customHeight="1" x14ac:dyDescent="0.3">
      <c r="A4319" s="23" t="s">
        <v>3014</v>
      </c>
      <c r="B4319" s="23" t="s">
        <v>4463</v>
      </c>
      <c r="C4319" s="12" t="s">
        <v>4464</v>
      </c>
      <c r="D4319" s="84"/>
      <c r="E4319" s="69" t="str">
        <f>HYPERLINK("https://www.google.ru/search?q=72204414-3320&amp;newwindow=1&amp;tbm=isch","Еще фото")</f>
        <v>Еще фото</v>
      </c>
      <c r="F4319" s="13"/>
      <c r="G4319" s="23" t="s">
        <v>4465</v>
      </c>
      <c r="H4319" s="23" t="s">
        <v>27</v>
      </c>
      <c r="I4319" s="23" t="s">
        <v>564</v>
      </c>
      <c r="J4319" s="14" t="s">
        <v>29</v>
      </c>
      <c r="K4319" s="15" t="s">
        <v>30</v>
      </c>
      <c r="L4319" s="87"/>
      <c r="M4319" s="14"/>
      <c r="N4319" s="14" t="s">
        <v>275</v>
      </c>
      <c r="O4319" s="14"/>
      <c r="P4319" s="15" t="s">
        <v>76</v>
      </c>
      <c r="Q4319" s="16">
        <v>3999</v>
      </c>
      <c r="R4319" s="17">
        <v>45</v>
      </c>
      <c r="S4319" s="18">
        <v>2529.3674999999994</v>
      </c>
      <c r="T4319" s="19" t="s">
        <v>117</v>
      </c>
      <c r="U4319" s="20" t="s">
        <v>35</v>
      </c>
      <c r="V4319" s="21">
        <v>116</v>
      </c>
      <c r="W4319" s="21">
        <v>3</v>
      </c>
      <c r="X4319" s="22"/>
    </row>
    <row r="4320" spans="1:24" s="1" customFormat="1" ht="26.1" customHeight="1" x14ac:dyDescent="0.3">
      <c r="A4320" s="23" t="s">
        <v>3014</v>
      </c>
      <c r="B4320" s="23" t="s">
        <v>4463</v>
      </c>
      <c r="C4320" s="12" t="s">
        <v>4464</v>
      </c>
      <c r="D4320" s="85"/>
      <c r="E4320" s="69" t="str">
        <f>HYPERLINK("https://www.google.ru/search?q=72204414-3320&amp;newwindow=1&amp;tbm=isch","Еще фото")</f>
        <v>Еще фото</v>
      </c>
      <c r="F4320" s="13"/>
      <c r="G4320" s="23" t="s">
        <v>4465</v>
      </c>
      <c r="H4320" s="23" t="s">
        <v>27</v>
      </c>
      <c r="I4320" s="23" t="s">
        <v>564</v>
      </c>
      <c r="J4320" s="14" t="s">
        <v>29</v>
      </c>
      <c r="K4320" s="15" t="s">
        <v>30</v>
      </c>
      <c r="L4320" s="88"/>
      <c r="M4320" s="14"/>
      <c r="N4320" s="14" t="s">
        <v>275</v>
      </c>
      <c r="O4320" s="14"/>
      <c r="P4320" s="15" t="s">
        <v>76</v>
      </c>
      <c r="Q4320" s="16">
        <v>3999</v>
      </c>
      <c r="R4320" s="17">
        <v>45</v>
      </c>
      <c r="S4320" s="18">
        <v>2529.3674999999994</v>
      </c>
      <c r="T4320" s="19" t="s">
        <v>117</v>
      </c>
      <c r="U4320" s="20" t="s">
        <v>36</v>
      </c>
      <c r="V4320" s="21">
        <v>122</v>
      </c>
      <c r="W4320" s="21">
        <v>2</v>
      </c>
      <c r="X4320" s="22"/>
    </row>
    <row r="4321" spans="1:24" s="1" customFormat="1" ht="26.1" customHeight="1" x14ac:dyDescent="0.3">
      <c r="A4321" s="11" t="s">
        <v>3014</v>
      </c>
      <c r="B4321" s="11" t="s">
        <v>4463</v>
      </c>
      <c r="C4321" s="12" t="s">
        <v>4467</v>
      </c>
      <c r="D4321" s="83"/>
      <c r="E4321" s="69" t="str">
        <f>HYPERLINK("https://www.google.ru/search?q=72204414-6960&amp;newwindow=1&amp;tbm=isch","Еще фото")</f>
        <v>Еще фото</v>
      </c>
      <c r="F4321" s="13"/>
      <c r="G4321" s="11" t="s">
        <v>4465</v>
      </c>
      <c r="H4321" s="11" t="s">
        <v>27</v>
      </c>
      <c r="I4321" s="14" t="s">
        <v>564</v>
      </c>
      <c r="J4321" s="14" t="s">
        <v>29</v>
      </c>
      <c r="K4321" s="15" t="s">
        <v>30</v>
      </c>
      <c r="L4321" s="86" t="s">
        <v>4466</v>
      </c>
      <c r="M4321" s="14"/>
      <c r="N4321" s="14" t="s">
        <v>70</v>
      </c>
      <c r="O4321" s="14"/>
      <c r="P4321" s="15" t="s">
        <v>76</v>
      </c>
      <c r="Q4321" s="16">
        <v>3999</v>
      </c>
      <c r="R4321" s="17">
        <v>45</v>
      </c>
      <c r="S4321" s="18">
        <v>2529.3674999999994</v>
      </c>
      <c r="T4321" s="19" t="s">
        <v>117</v>
      </c>
      <c r="U4321" s="20" t="s">
        <v>94</v>
      </c>
      <c r="V4321" s="21">
        <v>104</v>
      </c>
      <c r="W4321" s="21">
        <v>1</v>
      </c>
      <c r="X4321" s="22"/>
    </row>
    <row r="4322" spans="1:24" s="1" customFormat="1" ht="26.1" customHeight="1" x14ac:dyDescent="0.3">
      <c r="A4322" s="23" t="s">
        <v>3014</v>
      </c>
      <c r="B4322" s="23" t="s">
        <v>4463</v>
      </c>
      <c r="C4322" s="12" t="s">
        <v>4467</v>
      </c>
      <c r="D4322" s="84"/>
      <c r="E4322" s="69" t="str">
        <f>HYPERLINK("https://www.google.ru/search?q=72204414-6960&amp;newwindow=1&amp;tbm=isch","Еще фото")</f>
        <v>Еще фото</v>
      </c>
      <c r="F4322" s="13"/>
      <c r="G4322" s="23" t="s">
        <v>4465</v>
      </c>
      <c r="H4322" s="23" t="s">
        <v>27</v>
      </c>
      <c r="I4322" s="23" t="s">
        <v>564</v>
      </c>
      <c r="J4322" s="14" t="s">
        <v>29</v>
      </c>
      <c r="K4322" s="15" t="s">
        <v>30</v>
      </c>
      <c r="L4322" s="87"/>
      <c r="M4322" s="14"/>
      <c r="N4322" s="14" t="s">
        <v>70</v>
      </c>
      <c r="O4322" s="14"/>
      <c r="P4322" s="15" t="s">
        <v>76</v>
      </c>
      <c r="Q4322" s="16">
        <v>3999</v>
      </c>
      <c r="R4322" s="17">
        <v>45</v>
      </c>
      <c r="S4322" s="18">
        <v>2529.3674999999994</v>
      </c>
      <c r="T4322" s="19" t="s">
        <v>117</v>
      </c>
      <c r="U4322" s="20" t="s">
        <v>43</v>
      </c>
      <c r="V4322" s="21">
        <v>110</v>
      </c>
      <c r="W4322" s="21">
        <v>3</v>
      </c>
      <c r="X4322" s="22"/>
    </row>
    <row r="4323" spans="1:24" s="1" customFormat="1" ht="26.1" customHeight="1" x14ac:dyDescent="0.3">
      <c r="A4323" s="23" t="s">
        <v>3014</v>
      </c>
      <c r="B4323" s="23" t="s">
        <v>4463</v>
      </c>
      <c r="C4323" s="12" t="s">
        <v>4467</v>
      </c>
      <c r="D4323" s="84"/>
      <c r="E4323" s="69" t="str">
        <f>HYPERLINK("https://www.google.ru/search?q=72204414-6960&amp;newwindow=1&amp;tbm=isch","Еще фото")</f>
        <v>Еще фото</v>
      </c>
      <c r="F4323" s="13"/>
      <c r="G4323" s="23" t="s">
        <v>4465</v>
      </c>
      <c r="H4323" s="23" t="s">
        <v>27</v>
      </c>
      <c r="I4323" s="23" t="s">
        <v>564</v>
      </c>
      <c r="J4323" s="14" t="s">
        <v>29</v>
      </c>
      <c r="K4323" s="15" t="s">
        <v>30</v>
      </c>
      <c r="L4323" s="87"/>
      <c r="M4323" s="14"/>
      <c r="N4323" s="14" t="s">
        <v>70</v>
      </c>
      <c r="O4323" s="14"/>
      <c r="P4323" s="15" t="s">
        <v>76</v>
      </c>
      <c r="Q4323" s="16">
        <v>3999</v>
      </c>
      <c r="R4323" s="17">
        <v>45</v>
      </c>
      <c r="S4323" s="18">
        <v>2529.3674999999994</v>
      </c>
      <c r="T4323" s="19" t="s">
        <v>117</v>
      </c>
      <c r="U4323" s="20" t="s">
        <v>35</v>
      </c>
      <c r="V4323" s="21">
        <v>116</v>
      </c>
      <c r="W4323" s="21">
        <v>4</v>
      </c>
      <c r="X4323" s="22"/>
    </row>
    <row r="4324" spans="1:24" s="1" customFormat="1" ht="26.1" customHeight="1" x14ac:dyDescent="0.3">
      <c r="A4324" s="23" t="s">
        <v>3014</v>
      </c>
      <c r="B4324" s="23" t="s">
        <v>4463</v>
      </c>
      <c r="C4324" s="12" t="s">
        <v>4467</v>
      </c>
      <c r="D4324" s="85"/>
      <c r="E4324" s="69" t="str">
        <f>HYPERLINK("https://www.google.ru/search?q=72204414-6960&amp;newwindow=1&amp;tbm=isch","Еще фото")</f>
        <v>Еще фото</v>
      </c>
      <c r="F4324" s="13"/>
      <c r="G4324" s="23" t="s">
        <v>4465</v>
      </c>
      <c r="H4324" s="23" t="s">
        <v>27</v>
      </c>
      <c r="I4324" s="23" t="s">
        <v>564</v>
      </c>
      <c r="J4324" s="14" t="s">
        <v>29</v>
      </c>
      <c r="K4324" s="15" t="s">
        <v>30</v>
      </c>
      <c r="L4324" s="88"/>
      <c r="M4324" s="14"/>
      <c r="N4324" s="14" t="s">
        <v>70</v>
      </c>
      <c r="O4324" s="14"/>
      <c r="P4324" s="15" t="s">
        <v>76</v>
      </c>
      <c r="Q4324" s="16">
        <v>3999</v>
      </c>
      <c r="R4324" s="17">
        <v>45</v>
      </c>
      <c r="S4324" s="18">
        <v>2529.3674999999994</v>
      </c>
      <c r="T4324" s="19" t="s">
        <v>117</v>
      </c>
      <c r="U4324" s="20" t="s">
        <v>36</v>
      </c>
      <c r="V4324" s="21">
        <v>122</v>
      </c>
      <c r="W4324" s="21">
        <v>1</v>
      </c>
      <c r="X4324" s="22"/>
    </row>
    <row r="4325" spans="1:24" s="1" customFormat="1" ht="11.1" customHeight="1" x14ac:dyDescent="0.3">
      <c r="A4325" s="11" t="s">
        <v>3014</v>
      </c>
      <c r="B4325" s="11" t="s">
        <v>4468</v>
      </c>
      <c r="C4325" s="12" t="s">
        <v>4469</v>
      </c>
      <c r="D4325" s="83"/>
      <c r="E4325" s="69" t="str">
        <f t="shared" ref="E4325:E4333" si="213">HYPERLINK("https://www.google.ru/search?q=72206302-3340&amp;newwindow=1&amp;tbm=isch","Еще фото")</f>
        <v>Еще фото</v>
      </c>
      <c r="F4325" s="13"/>
      <c r="G4325" s="11" t="s">
        <v>4447</v>
      </c>
      <c r="H4325" s="11" t="s">
        <v>27</v>
      </c>
      <c r="I4325" s="14" t="s">
        <v>564</v>
      </c>
      <c r="J4325" s="14" t="s">
        <v>29</v>
      </c>
      <c r="K4325" s="15" t="s">
        <v>30</v>
      </c>
      <c r="L4325" s="86"/>
      <c r="M4325" s="14"/>
      <c r="N4325" s="14" t="s">
        <v>275</v>
      </c>
      <c r="O4325" s="14"/>
      <c r="P4325" s="15" t="s">
        <v>74</v>
      </c>
      <c r="Q4325" s="16">
        <v>3999</v>
      </c>
      <c r="R4325" s="17">
        <v>45</v>
      </c>
      <c r="S4325" s="18">
        <v>2529.3674999999994</v>
      </c>
      <c r="T4325" s="19" t="s">
        <v>117</v>
      </c>
      <c r="U4325" s="20" t="s">
        <v>35</v>
      </c>
      <c r="V4325" s="21">
        <v>116</v>
      </c>
      <c r="W4325" s="21">
        <v>2</v>
      </c>
      <c r="X4325" s="22"/>
    </row>
    <row r="4326" spans="1:24" s="1" customFormat="1" ht="11.1" customHeight="1" x14ac:dyDescent="0.3">
      <c r="A4326" s="23" t="s">
        <v>3014</v>
      </c>
      <c r="B4326" s="23" t="s">
        <v>4468</v>
      </c>
      <c r="C4326" s="12" t="s">
        <v>4469</v>
      </c>
      <c r="D4326" s="84"/>
      <c r="E4326" s="69" t="str">
        <f t="shared" si="213"/>
        <v>Еще фото</v>
      </c>
      <c r="F4326" s="13"/>
      <c r="G4326" s="23" t="s">
        <v>4447</v>
      </c>
      <c r="H4326" s="23" t="s">
        <v>27</v>
      </c>
      <c r="I4326" s="23" t="s">
        <v>564</v>
      </c>
      <c r="J4326" s="14" t="s">
        <v>29</v>
      </c>
      <c r="K4326" s="15" t="s">
        <v>30</v>
      </c>
      <c r="L4326" s="87"/>
      <c r="M4326" s="14"/>
      <c r="N4326" s="14" t="s">
        <v>275</v>
      </c>
      <c r="O4326" s="14"/>
      <c r="P4326" s="15" t="s">
        <v>74</v>
      </c>
      <c r="Q4326" s="16">
        <v>3999</v>
      </c>
      <c r="R4326" s="17">
        <v>45</v>
      </c>
      <c r="S4326" s="18">
        <v>2529.3674999999994</v>
      </c>
      <c r="T4326" s="19" t="s">
        <v>117</v>
      </c>
      <c r="U4326" s="20" t="s">
        <v>36</v>
      </c>
      <c r="V4326" s="21">
        <v>122</v>
      </c>
      <c r="W4326" s="21">
        <v>2</v>
      </c>
      <c r="X4326" s="22"/>
    </row>
    <row r="4327" spans="1:24" s="1" customFormat="1" ht="11.1" customHeight="1" x14ac:dyDescent="0.3">
      <c r="A4327" s="23" t="s">
        <v>3014</v>
      </c>
      <c r="B4327" s="23" t="s">
        <v>4468</v>
      </c>
      <c r="C4327" s="12" t="s">
        <v>4469</v>
      </c>
      <c r="D4327" s="84"/>
      <c r="E4327" s="69" t="str">
        <f t="shared" si="213"/>
        <v>Еще фото</v>
      </c>
      <c r="F4327" s="13"/>
      <c r="G4327" s="23" t="s">
        <v>4447</v>
      </c>
      <c r="H4327" s="23" t="s">
        <v>27</v>
      </c>
      <c r="I4327" s="23" t="s">
        <v>564</v>
      </c>
      <c r="J4327" s="14" t="s">
        <v>29</v>
      </c>
      <c r="K4327" s="15" t="s">
        <v>30</v>
      </c>
      <c r="L4327" s="87"/>
      <c r="M4327" s="14"/>
      <c r="N4327" s="14" t="s">
        <v>275</v>
      </c>
      <c r="O4327" s="14"/>
      <c r="P4327" s="15" t="s">
        <v>74</v>
      </c>
      <c r="Q4327" s="16">
        <v>3999</v>
      </c>
      <c r="R4327" s="17">
        <v>45</v>
      </c>
      <c r="S4327" s="18">
        <v>2529.3674999999994</v>
      </c>
      <c r="T4327" s="19" t="s">
        <v>117</v>
      </c>
      <c r="U4327" s="20" t="s">
        <v>37</v>
      </c>
      <c r="V4327" s="21">
        <v>128</v>
      </c>
      <c r="W4327" s="21">
        <v>3</v>
      </c>
      <c r="X4327" s="22"/>
    </row>
    <row r="4328" spans="1:24" s="1" customFormat="1" ht="11.1" customHeight="1" x14ac:dyDescent="0.3">
      <c r="A4328" s="23" t="s">
        <v>3014</v>
      </c>
      <c r="B4328" s="23" t="s">
        <v>4468</v>
      </c>
      <c r="C4328" s="12" t="s">
        <v>4469</v>
      </c>
      <c r="D4328" s="84"/>
      <c r="E4328" s="69" t="str">
        <f t="shared" si="213"/>
        <v>Еще фото</v>
      </c>
      <c r="F4328" s="13"/>
      <c r="G4328" s="23" t="s">
        <v>4447</v>
      </c>
      <c r="H4328" s="23" t="s">
        <v>27</v>
      </c>
      <c r="I4328" s="23" t="s">
        <v>564</v>
      </c>
      <c r="J4328" s="14" t="s">
        <v>29</v>
      </c>
      <c r="K4328" s="15" t="s">
        <v>30</v>
      </c>
      <c r="L4328" s="87"/>
      <c r="M4328" s="14"/>
      <c r="N4328" s="14" t="s">
        <v>275</v>
      </c>
      <c r="O4328" s="14"/>
      <c r="P4328" s="15" t="s">
        <v>74</v>
      </c>
      <c r="Q4328" s="16">
        <v>3999</v>
      </c>
      <c r="R4328" s="17">
        <v>45</v>
      </c>
      <c r="S4328" s="18">
        <v>2529.3674999999994</v>
      </c>
      <c r="T4328" s="19" t="s">
        <v>117</v>
      </c>
      <c r="U4328" s="20" t="s">
        <v>91</v>
      </c>
      <c r="V4328" s="21">
        <v>134</v>
      </c>
      <c r="W4328" s="21">
        <v>3</v>
      </c>
      <c r="X4328" s="22"/>
    </row>
    <row r="4329" spans="1:24" s="1" customFormat="1" ht="11.1" customHeight="1" x14ac:dyDescent="0.3">
      <c r="A4329" s="23" t="s">
        <v>3014</v>
      </c>
      <c r="B4329" s="23" t="s">
        <v>4468</v>
      </c>
      <c r="C4329" s="12" t="s">
        <v>4469</v>
      </c>
      <c r="D4329" s="84"/>
      <c r="E4329" s="69" t="str">
        <f t="shared" si="213"/>
        <v>Еще фото</v>
      </c>
      <c r="F4329" s="13"/>
      <c r="G4329" s="23" t="s">
        <v>4447</v>
      </c>
      <c r="H4329" s="23" t="s">
        <v>27</v>
      </c>
      <c r="I4329" s="23" t="s">
        <v>564</v>
      </c>
      <c r="J4329" s="14" t="s">
        <v>29</v>
      </c>
      <c r="K4329" s="15" t="s">
        <v>30</v>
      </c>
      <c r="L4329" s="87"/>
      <c r="M4329" s="14"/>
      <c r="N4329" s="14" t="s">
        <v>275</v>
      </c>
      <c r="O4329" s="14"/>
      <c r="P4329" s="15" t="s">
        <v>74</v>
      </c>
      <c r="Q4329" s="16">
        <v>3999</v>
      </c>
      <c r="R4329" s="17">
        <v>45</v>
      </c>
      <c r="S4329" s="18">
        <v>2529.3674999999994</v>
      </c>
      <c r="T4329" s="19" t="s">
        <v>117</v>
      </c>
      <c r="U4329" s="20" t="s">
        <v>290</v>
      </c>
      <c r="V4329" s="21">
        <v>140</v>
      </c>
      <c r="W4329" s="21">
        <v>2</v>
      </c>
      <c r="X4329" s="22"/>
    </row>
    <row r="4330" spans="1:24" s="1" customFormat="1" ht="11.1" customHeight="1" x14ac:dyDescent="0.3">
      <c r="A4330" s="23" t="s">
        <v>3014</v>
      </c>
      <c r="B4330" s="23" t="s">
        <v>4468</v>
      </c>
      <c r="C4330" s="12" t="s">
        <v>4469</v>
      </c>
      <c r="D4330" s="84"/>
      <c r="E4330" s="69" t="str">
        <f t="shared" si="213"/>
        <v>Еще фото</v>
      </c>
      <c r="F4330" s="13"/>
      <c r="G4330" s="23" t="s">
        <v>4447</v>
      </c>
      <c r="H4330" s="23" t="s">
        <v>27</v>
      </c>
      <c r="I4330" s="23" t="s">
        <v>564</v>
      </c>
      <c r="J4330" s="14" t="s">
        <v>29</v>
      </c>
      <c r="K4330" s="15" t="s">
        <v>30</v>
      </c>
      <c r="L4330" s="87"/>
      <c r="M4330" s="14"/>
      <c r="N4330" s="14" t="s">
        <v>275</v>
      </c>
      <c r="O4330" s="14"/>
      <c r="P4330" s="15" t="s">
        <v>74</v>
      </c>
      <c r="Q4330" s="16">
        <v>3999</v>
      </c>
      <c r="R4330" s="17">
        <v>45</v>
      </c>
      <c r="S4330" s="18">
        <v>2529.3674999999994</v>
      </c>
      <c r="T4330" s="19" t="s">
        <v>117</v>
      </c>
      <c r="U4330" s="20" t="s">
        <v>2993</v>
      </c>
      <c r="V4330" s="21">
        <v>146</v>
      </c>
      <c r="W4330" s="21">
        <v>2</v>
      </c>
      <c r="X4330" s="22"/>
    </row>
    <row r="4331" spans="1:24" s="1" customFormat="1" ht="11.1" customHeight="1" x14ac:dyDescent="0.3">
      <c r="A4331" s="23" t="s">
        <v>3014</v>
      </c>
      <c r="B4331" s="23" t="s">
        <v>4468</v>
      </c>
      <c r="C4331" s="12" t="s">
        <v>4469</v>
      </c>
      <c r="D4331" s="84"/>
      <c r="E4331" s="69" t="str">
        <f t="shared" si="213"/>
        <v>Еще фото</v>
      </c>
      <c r="F4331" s="13"/>
      <c r="G4331" s="23" t="s">
        <v>4447</v>
      </c>
      <c r="H4331" s="23" t="s">
        <v>27</v>
      </c>
      <c r="I4331" s="23" t="s">
        <v>564</v>
      </c>
      <c r="J4331" s="14" t="s">
        <v>29</v>
      </c>
      <c r="K4331" s="15" t="s">
        <v>30</v>
      </c>
      <c r="L4331" s="87"/>
      <c r="M4331" s="14"/>
      <c r="N4331" s="14" t="s">
        <v>275</v>
      </c>
      <c r="O4331" s="14"/>
      <c r="P4331" s="15" t="s">
        <v>74</v>
      </c>
      <c r="Q4331" s="16">
        <v>3999</v>
      </c>
      <c r="R4331" s="17">
        <v>45</v>
      </c>
      <c r="S4331" s="18">
        <v>2529.3674999999994</v>
      </c>
      <c r="T4331" s="19" t="s">
        <v>117</v>
      </c>
      <c r="U4331" s="20" t="s">
        <v>2160</v>
      </c>
      <c r="V4331" s="21">
        <v>152</v>
      </c>
      <c r="W4331" s="21">
        <v>2</v>
      </c>
      <c r="X4331" s="22"/>
    </row>
    <row r="4332" spans="1:24" s="1" customFormat="1" ht="11.1" customHeight="1" x14ac:dyDescent="0.3">
      <c r="A4332" s="23" t="s">
        <v>3014</v>
      </c>
      <c r="B4332" s="23" t="s">
        <v>4468</v>
      </c>
      <c r="C4332" s="12" t="s">
        <v>4469</v>
      </c>
      <c r="D4332" s="84"/>
      <c r="E4332" s="69" t="str">
        <f t="shared" si="213"/>
        <v>Еще фото</v>
      </c>
      <c r="F4332" s="13"/>
      <c r="G4332" s="23" t="s">
        <v>4447</v>
      </c>
      <c r="H4332" s="23" t="s">
        <v>27</v>
      </c>
      <c r="I4332" s="23" t="s">
        <v>564</v>
      </c>
      <c r="J4332" s="14" t="s">
        <v>29</v>
      </c>
      <c r="K4332" s="15" t="s">
        <v>30</v>
      </c>
      <c r="L4332" s="87"/>
      <c r="M4332" s="14"/>
      <c r="N4332" s="14" t="s">
        <v>275</v>
      </c>
      <c r="O4332" s="14"/>
      <c r="P4332" s="15" t="s">
        <v>74</v>
      </c>
      <c r="Q4332" s="16">
        <v>3999</v>
      </c>
      <c r="R4332" s="17">
        <v>45</v>
      </c>
      <c r="S4332" s="18">
        <v>2529.3674999999994</v>
      </c>
      <c r="T4332" s="19" t="s">
        <v>117</v>
      </c>
      <c r="U4332" s="20" t="s">
        <v>3088</v>
      </c>
      <c r="V4332" s="21">
        <v>158</v>
      </c>
      <c r="W4332" s="21">
        <v>4</v>
      </c>
      <c r="X4332" s="22"/>
    </row>
    <row r="4333" spans="1:24" s="1" customFormat="1" ht="11.1" customHeight="1" x14ac:dyDescent="0.3">
      <c r="A4333" s="23" t="s">
        <v>3014</v>
      </c>
      <c r="B4333" s="23" t="s">
        <v>4468</v>
      </c>
      <c r="C4333" s="12" t="s">
        <v>4469</v>
      </c>
      <c r="D4333" s="85"/>
      <c r="E4333" s="69" t="str">
        <f t="shared" si="213"/>
        <v>Еще фото</v>
      </c>
      <c r="F4333" s="13"/>
      <c r="G4333" s="23" t="s">
        <v>4447</v>
      </c>
      <c r="H4333" s="23" t="s">
        <v>27</v>
      </c>
      <c r="I4333" s="23" t="s">
        <v>564</v>
      </c>
      <c r="J4333" s="14" t="s">
        <v>29</v>
      </c>
      <c r="K4333" s="15" t="s">
        <v>30</v>
      </c>
      <c r="L4333" s="88"/>
      <c r="M4333" s="14"/>
      <c r="N4333" s="14" t="s">
        <v>275</v>
      </c>
      <c r="O4333" s="14"/>
      <c r="P4333" s="15" t="s">
        <v>74</v>
      </c>
      <c r="Q4333" s="16">
        <v>3999</v>
      </c>
      <c r="R4333" s="17">
        <v>45</v>
      </c>
      <c r="S4333" s="18">
        <v>2529.3674999999994</v>
      </c>
      <c r="T4333" s="19" t="s">
        <v>117</v>
      </c>
      <c r="U4333" s="20" t="s">
        <v>2161</v>
      </c>
      <c r="V4333" s="21">
        <v>164</v>
      </c>
      <c r="W4333" s="21">
        <v>3</v>
      </c>
      <c r="X4333" s="22"/>
    </row>
    <row r="4334" spans="1:24" s="1" customFormat="1" ht="11.1" customHeight="1" x14ac:dyDescent="0.3">
      <c r="A4334" s="11" t="s">
        <v>3014</v>
      </c>
      <c r="B4334" s="11" t="s">
        <v>4468</v>
      </c>
      <c r="C4334" s="12" t="s">
        <v>4470</v>
      </c>
      <c r="D4334" s="83"/>
      <c r="E4334" s="69" t="str">
        <f t="shared" ref="E4334:E4342" si="214">HYPERLINK("https://www.google.ru/search?q=72206302-6140&amp;newwindow=1&amp;tbm=isch","Еще фото")</f>
        <v>Еще фото</v>
      </c>
      <c r="F4334" s="13"/>
      <c r="G4334" s="11" t="s">
        <v>4447</v>
      </c>
      <c r="H4334" s="11" t="s">
        <v>27</v>
      </c>
      <c r="I4334" s="14" t="s">
        <v>564</v>
      </c>
      <c r="J4334" s="14" t="s">
        <v>29</v>
      </c>
      <c r="K4334" s="15" t="s">
        <v>30</v>
      </c>
      <c r="L4334" s="86"/>
      <c r="M4334" s="14"/>
      <c r="N4334" s="14" t="s">
        <v>265</v>
      </c>
      <c r="O4334" s="14"/>
      <c r="P4334" s="15" t="s">
        <v>74</v>
      </c>
      <c r="Q4334" s="16">
        <v>2999</v>
      </c>
      <c r="R4334" s="17">
        <v>45</v>
      </c>
      <c r="S4334" s="18">
        <v>1896.8674999999998</v>
      </c>
      <c r="T4334" s="19" t="s">
        <v>117</v>
      </c>
      <c r="U4334" s="20" t="s">
        <v>2977</v>
      </c>
      <c r="V4334" s="21">
        <v>92</v>
      </c>
      <c r="W4334" s="21">
        <v>1</v>
      </c>
      <c r="X4334" s="22"/>
    </row>
    <row r="4335" spans="1:24" s="1" customFormat="1" ht="11.1" customHeight="1" x14ac:dyDescent="0.3">
      <c r="A4335" s="23" t="s">
        <v>3014</v>
      </c>
      <c r="B4335" s="23" t="s">
        <v>4468</v>
      </c>
      <c r="C4335" s="12" t="s">
        <v>4470</v>
      </c>
      <c r="D4335" s="84"/>
      <c r="E4335" s="69" t="str">
        <f t="shared" si="214"/>
        <v>Еще фото</v>
      </c>
      <c r="F4335" s="13"/>
      <c r="G4335" s="23" t="s">
        <v>4447</v>
      </c>
      <c r="H4335" s="23" t="s">
        <v>27</v>
      </c>
      <c r="I4335" s="23" t="s">
        <v>564</v>
      </c>
      <c r="J4335" s="14" t="s">
        <v>29</v>
      </c>
      <c r="K4335" s="15" t="s">
        <v>30</v>
      </c>
      <c r="L4335" s="87"/>
      <c r="M4335" s="14"/>
      <c r="N4335" s="14" t="s">
        <v>265</v>
      </c>
      <c r="O4335" s="14"/>
      <c r="P4335" s="15" t="s">
        <v>74</v>
      </c>
      <c r="Q4335" s="16">
        <v>2999</v>
      </c>
      <c r="R4335" s="17">
        <v>45</v>
      </c>
      <c r="S4335" s="18">
        <v>1896.8674999999998</v>
      </c>
      <c r="T4335" s="19" t="s">
        <v>117</v>
      </c>
      <c r="U4335" s="20" t="s">
        <v>36</v>
      </c>
      <c r="V4335" s="21">
        <v>122</v>
      </c>
      <c r="W4335" s="21">
        <v>1</v>
      </c>
      <c r="X4335" s="22"/>
    </row>
    <row r="4336" spans="1:24" s="1" customFormat="1" ht="11.1" customHeight="1" x14ac:dyDescent="0.3">
      <c r="A4336" s="23" t="s">
        <v>3014</v>
      </c>
      <c r="B4336" s="23" t="s">
        <v>4468</v>
      </c>
      <c r="C4336" s="12" t="s">
        <v>4470</v>
      </c>
      <c r="D4336" s="84"/>
      <c r="E4336" s="69" t="str">
        <f t="shared" si="214"/>
        <v>Еще фото</v>
      </c>
      <c r="F4336" s="13"/>
      <c r="G4336" s="23" t="s">
        <v>4447</v>
      </c>
      <c r="H4336" s="23" t="s">
        <v>27</v>
      </c>
      <c r="I4336" s="23" t="s">
        <v>564</v>
      </c>
      <c r="J4336" s="14" t="s">
        <v>29</v>
      </c>
      <c r="K4336" s="15" t="s">
        <v>30</v>
      </c>
      <c r="L4336" s="87"/>
      <c r="M4336" s="14"/>
      <c r="N4336" s="14" t="s">
        <v>265</v>
      </c>
      <c r="O4336" s="14"/>
      <c r="P4336" s="15" t="s">
        <v>74</v>
      </c>
      <c r="Q4336" s="16">
        <v>2999</v>
      </c>
      <c r="R4336" s="17">
        <v>45</v>
      </c>
      <c r="S4336" s="18">
        <v>1896.8674999999998</v>
      </c>
      <c r="T4336" s="19" t="s">
        <v>117</v>
      </c>
      <c r="U4336" s="20" t="s">
        <v>37</v>
      </c>
      <c r="V4336" s="21">
        <v>128</v>
      </c>
      <c r="W4336" s="21">
        <v>3</v>
      </c>
      <c r="X4336" s="22"/>
    </row>
    <row r="4337" spans="1:24" s="1" customFormat="1" ht="11.1" customHeight="1" x14ac:dyDescent="0.3">
      <c r="A4337" s="23" t="s">
        <v>3014</v>
      </c>
      <c r="B4337" s="23" t="s">
        <v>4468</v>
      </c>
      <c r="C4337" s="12" t="s">
        <v>4470</v>
      </c>
      <c r="D4337" s="84"/>
      <c r="E4337" s="69" t="str">
        <f t="shared" si="214"/>
        <v>Еще фото</v>
      </c>
      <c r="F4337" s="13"/>
      <c r="G4337" s="23" t="s">
        <v>4447</v>
      </c>
      <c r="H4337" s="23" t="s">
        <v>27</v>
      </c>
      <c r="I4337" s="23" t="s">
        <v>564</v>
      </c>
      <c r="J4337" s="14" t="s">
        <v>29</v>
      </c>
      <c r="K4337" s="15" t="s">
        <v>30</v>
      </c>
      <c r="L4337" s="87"/>
      <c r="M4337" s="14"/>
      <c r="N4337" s="14" t="s">
        <v>265</v>
      </c>
      <c r="O4337" s="14"/>
      <c r="P4337" s="15" t="s">
        <v>74</v>
      </c>
      <c r="Q4337" s="16">
        <v>2999</v>
      </c>
      <c r="R4337" s="17">
        <v>45</v>
      </c>
      <c r="S4337" s="18">
        <v>1896.8674999999998</v>
      </c>
      <c r="T4337" s="19" t="s">
        <v>117</v>
      </c>
      <c r="U4337" s="20" t="s">
        <v>91</v>
      </c>
      <c r="V4337" s="21">
        <v>134</v>
      </c>
      <c r="W4337" s="21">
        <v>3</v>
      </c>
      <c r="X4337" s="22"/>
    </row>
    <row r="4338" spans="1:24" s="1" customFormat="1" ht="11.1" customHeight="1" x14ac:dyDescent="0.3">
      <c r="A4338" s="23" t="s">
        <v>3014</v>
      </c>
      <c r="B4338" s="23" t="s">
        <v>4468</v>
      </c>
      <c r="C4338" s="12" t="s">
        <v>4470</v>
      </c>
      <c r="D4338" s="84"/>
      <c r="E4338" s="69" t="str">
        <f t="shared" si="214"/>
        <v>Еще фото</v>
      </c>
      <c r="F4338" s="13"/>
      <c r="G4338" s="23" t="s">
        <v>4447</v>
      </c>
      <c r="H4338" s="23" t="s">
        <v>27</v>
      </c>
      <c r="I4338" s="23" t="s">
        <v>564</v>
      </c>
      <c r="J4338" s="14" t="s">
        <v>29</v>
      </c>
      <c r="K4338" s="15" t="s">
        <v>30</v>
      </c>
      <c r="L4338" s="87"/>
      <c r="M4338" s="14"/>
      <c r="N4338" s="14" t="s">
        <v>265</v>
      </c>
      <c r="O4338" s="14"/>
      <c r="P4338" s="15" t="s">
        <v>74</v>
      </c>
      <c r="Q4338" s="16">
        <v>2999</v>
      </c>
      <c r="R4338" s="17">
        <v>45</v>
      </c>
      <c r="S4338" s="18">
        <v>1896.8674999999998</v>
      </c>
      <c r="T4338" s="19" t="s">
        <v>117</v>
      </c>
      <c r="U4338" s="20" t="s">
        <v>290</v>
      </c>
      <c r="V4338" s="21">
        <v>140</v>
      </c>
      <c r="W4338" s="21">
        <v>3</v>
      </c>
      <c r="X4338" s="22"/>
    </row>
    <row r="4339" spans="1:24" s="1" customFormat="1" ht="11.1" customHeight="1" x14ac:dyDescent="0.3">
      <c r="A4339" s="23" t="s">
        <v>3014</v>
      </c>
      <c r="B4339" s="23" t="s">
        <v>4468</v>
      </c>
      <c r="C4339" s="12" t="s">
        <v>4470</v>
      </c>
      <c r="D4339" s="84"/>
      <c r="E4339" s="69" t="str">
        <f t="shared" si="214"/>
        <v>Еще фото</v>
      </c>
      <c r="F4339" s="13"/>
      <c r="G4339" s="23" t="s">
        <v>4447</v>
      </c>
      <c r="H4339" s="23" t="s">
        <v>27</v>
      </c>
      <c r="I4339" s="23" t="s">
        <v>564</v>
      </c>
      <c r="J4339" s="14" t="s">
        <v>29</v>
      </c>
      <c r="K4339" s="15" t="s">
        <v>30</v>
      </c>
      <c r="L4339" s="87"/>
      <c r="M4339" s="14"/>
      <c r="N4339" s="14" t="s">
        <v>265</v>
      </c>
      <c r="O4339" s="14"/>
      <c r="P4339" s="15" t="s">
        <v>74</v>
      </c>
      <c r="Q4339" s="16">
        <v>2999</v>
      </c>
      <c r="R4339" s="17">
        <v>45</v>
      </c>
      <c r="S4339" s="18">
        <v>1896.8674999999998</v>
      </c>
      <c r="T4339" s="19" t="s">
        <v>117</v>
      </c>
      <c r="U4339" s="20" t="s">
        <v>2993</v>
      </c>
      <c r="V4339" s="21">
        <v>146</v>
      </c>
      <c r="W4339" s="21">
        <v>3</v>
      </c>
      <c r="X4339" s="22"/>
    </row>
    <row r="4340" spans="1:24" s="1" customFormat="1" ht="11.1" customHeight="1" x14ac:dyDescent="0.3">
      <c r="A4340" s="23" t="s">
        <v>3014</v>
      </c>
      <c r="B4340" s="23" t="s">
        <v>4468</v>
      </c>
      <c r="C4340" s="12" t="s">
        <v>4470</v>
      </c>
      <c r="D4340" s="84"/>
      <c r="E4340" s="69" t="str">
        <f t="shared" si="214"/>
        <v>Еще фото</v>
      </c>
      <c r="F4340" s="13"/>
      <c r="G4340" s="23" t="s">
        <v>4447</v>
      </c>
      <c r="H4340" s="23" t="s">
        <v>27</v>
      </c>
      <c r="I4340" s="23" t="s">
        <v>564</v>
      </c>
      <c r="J4340" s="14" t="s">
        <v>29</v>
      </c>
      <c r="K4340" s="15" t="s">
        <v>30</v>
      </c>
      <c r="L4340" s="87"/>
      <c r="M4340" s="14"/>
      <c r="N4340" s="14" t="s">
        <v>265</v>
      </c>
      <c r="O4340" s="14"/>
      <c r="P4340" s="15" t="s">
        <v>74</v>
      </c>
      <c r="Q4340" s="16">
        <v>2999</v>
      </c>
      <c r="R4340" s="17">
        <v>45</v>
      </c>
      <c r="S4340" s="18">
        <v>1896.8674999999998</v>
      </c>
      <c r="T4340" s="19" t="s">
        <v>117</v>
      </c>
      <c r="U4340" s="20" t="s">
        <v>2160</v>
      </c>
      <c r="V4340" s="21">
        <v>152</v>
      </c>
      <c r="W4340" s="21">
        <v>2</v>
      </c>
      <c r="X4340" s="22"/>
    </row>
    <row r="4341" spans="1:24" s="1" customFormat="1" ht="11.1" customHeight="1" x14ac:dyDescent="0.3">
      <c r="A4341" s="23" t="s">
        <v>3014</v>
      </c>
      <c r="B4341" s="23" t="s">
        <v>4468</v>
      </c>
      <c r="C4341" s="12" t="s">
        <v>4470</v>
      </c>
      <c r="D4341" s="84"/>
      <c r="E4341" s="69" t="str">
        <f t="shared" si="214"/>
        <v>Еще фото</v>
      </c>
      <c r="F4341" s="13"/>
      <c r="G4341" s="23" t="s">
        <v>4447</v>
      </c>
      <c r="H4341" s="23" t="s">
        <v>27</v>
      </c>
      <c r="I4341" s="23" t="s">
        <v>564</v>
      </c>
      <c r="J4341" s="14" t="s">
        <v>29</v>
      </c>
      <c r="K4341" s="15" t="s">
        <v>30</v>
      </c>
      <c r="L4341" s="87"/>
      <c r="M4341" s="14"/>
      <c r="N4341" s="14" t="s">
        <v>265</v>
      </c>
      <c r="O4341" s="14"/>
      <c r="P4341" s="15" t="s">
        <v>74</v>
      </c>
      <c r="Q4341" s="16">
        <v>2999</v>
      </c>
      <c r="R4341" s="17">
        <v>45</v>
      </c>
      <c r="S4341" s="18">
        <v>1896.8674999999998</v>
      </c>
      <c r="T4341" s="19" t="s">
        <v>117</v>
      </c>
      <c r="U4341" s="20" t="s">
        <v>3088</v>
      </c>
      <c r="V4341" s="21">
        <v>158</v>
      </c>
      <c r="W4341" s="21">
        <v>3</v>
      </c>
      <c r="X4341" s="22"/>
    </row>
    <row r="4342" spans="1:24" s="1" customFormat="1" ht="11.1" customHeight="1" x14ac:dyDescent="0.3">
      <c r="A4342" s="23" t="s">
        <v>3014</v>
      </c>
      <c r="B4342" s="23" t="s">
        <v>4468</v>
      </c>
      <c r="C4342" s="12" t="s">
        <v>4470</v>
      </c>
      <c r="D4342" s="85"/>
      <c r="E4342" s="69" t="str">
        <f t="shared" si="214"/>
        <v>Еще фото</v>
      </c>
      <c r="F4342" s="13"/>
      <c r="G4342" s="23" t="s">
        <v>4447</v>
      </c>
      <c r="H4342" s="23" t="s">
        <v>27</v>
      </c>
      <c r="I4342" s="23" t="s">
        <v>564</v>
      </c>
      <c r="J4342" s="14" t="s">
        <v>29</v>
      </c>
      <c r="K4342" s="15" t="s">
        <v>30</v>
      </c>
      <c r="L4342" s="88"/>
      <c r="M4342" s="14"/>
      <c r="N4342" s="14" t="s">
        <v>265</v>
      </c>
      <c r="O4342" s="14"/>
      <c r="P4342" s="15" t="s">
        <v>74</v>
      </c>
      <c r="Q4342" s="16">
        <v>2999</v>
      </c>
      <c r="R4342" s="17">
        <v>45</v>
      </c>
      <c r="S4342" s="18">
        <v>1896.8674999999998</v>
      </c>
      <c r="T4342" s="19" t="s">
        <v>117</v>
      </c>
      <c r="U4342" s="20" t="s">
        <v>2161</v>
      </c>
      <c r="V4342" s="21">
        <v>164</v>
      </c>
      <c r="W4342" s="21">
        <v>2</v>
      </c>
      <c r="X4342" s="22"/>
    </row>
    <row r="4343" spans="1:24" s="1" customFormat="1" ht="26.1" customHeight="1" x14ac:dyDescent="0.3">
      <c r="A4343" s="11" t="s">
        <v>3014</v>
      </c>
      <c r="B4343" s="11" t="s">
        <v>4468</v>
      </c>
      <c r="C4343" s="12" t="s">
        <v>4471</v>
      </c>
      <c r="D4343" s="83"/>
      <c r="E4343" s="69" t="str">
        <f>HYPERLINK("https://www.google.ru/search?q=72206302-6141&amp;newwindow=1&amp;tbm=isch","Еще фото")</f>
        <v>Еще фото</v>
      </c>
      <c r="F4343" s="13"/>
      <c r="G4343" s="11" t="s">
        <v>4447</v>
      </c>
      <c r="H4343" s="11" t="s">
        <v>27</v>
      </c>
      <c r="I4343" s="14" t="s">
        <v>564</v>
      </c>
      <c r="J4343" s="14" t="s">
        <v>29</v>
      </c>
      <c r="K4343" s="15" t="s">
        <v>30</v>
      </c>
      <c r="L4343" s="86"/>
      <c r="M4343" s="14"/>
      <c r="N4343" s="14" t="s">
        <v>265</v>
      </c>
      <c r="O4343" s="14"/>
      <c r="P4343" s="15" t="s">
        <v>74</v>
      </c>
      <c r="Q4343" s="16">
        <v>3999</v>
      </c>
      <c r="R4343" s="17">
        <v>45</v>
      </c>
      <c r="S4343" s="18">
        <v>2529.3674999999994</v>
      </c>
      <c r="T4343" s="19" t="s">
        <v>117</v>
      </c>
      <c r="U4343" s="20" t="s">
        <v>43</v>
      </c>
      <c r="V4343" s="21">
        <v>110</v>
      </c>
      <c r="W4343" s="21">
        <v>3</v>
      </c>
      <c r="X4343" s="22"/>
    </row>
    <row r="4344" spans="1:24" s="1" customFormat="1" ht="26.1" customHeight="1" x14ac:dyDescent="0.3">
      <c r="A4344" s="23" t="s">
        <v>3014</v>
      </c>
      <c r="B4344" s="23" t="s">
        <v>4468</v>
      </c>
      <c r="C4344" s="12" t="s">
        <v>4471</v>
      </c>
      <c r="D4344" s="84"/>
      <c r="E4344" s="69" t="str">
        <f>HYPERLINK("https://www.google.ru/search?q=72206302-6141&amp;newwindow=1&amp;tbm=isch","Еще фото")</f>
        <v>Еще фото</v>
      </c>
      <c r="F4344" s="13"/>
      <c r="G4344" s="23" t="s">
        <v>4447</v>
      </c>
      <c r="H4344" s="23" t="s">
        <v>27</v>
      </c>
      <c r="I4344" s="23" t="s">
        <v>564</v>
      </c>
      <c r="J4344" s="14" t="s">
        <v>29</v>
      </c>
      <c r="K4344" s="15" t="s">
        <v>30</v>
      </c>
      <c r="L4344" s="87"/>
      <c r="M4344" s="14"/>
      <c r="N4344" s="14" t="s">
        <v>265</v>
      </c>
      <c r="O4344" s="14"/>
      <c r="P4344" s="15" t="s">
        <v>74</v>
      </c>
      <c r="Q4344" s="16">
        <v>3999</v>
      </c>
      <c r="R4344" s="17">
        <v>45</v>
      </c>
      <c r="S4344" s="18">
        <v>2529.3674999999994</v>
      </c>
      <c r="T4344" s="19" t="s">
        <v>117</v>
      </c>
      <c r="U4344" s="20" t="s">
        <v>35</v>
      </c>
      <c r="V4344" s="21">
        <v>116</v>
      </c>
      <c r="W4344" s="21">
        <v>5</v>
      </c>
      <c r="X4344" s="22"/>
    </row>
    <row r="4345" spans="1:24" s="1" customFormat="1" ht="26.1" customHeight="1" x14ac:dyDescent="0.3">
      <c r="A4345" s="23" t="s">
        <v>3014</v>
      </c>
      <c r="B4345" s="23" t="s">
        <v>4468</v>
      </c>
      <c r="C4345" s="12" t="s">
        <v>4471</v>
      </c>
      <c r="D4345" s="84"/>
      <c r="E4345" s="69" t="str">
        <f>HYPERLINK("https://www.google.ru/search?q=72206302-6141&amp;newwindow=1&amp;tbm=isch","Еще фото")</f>
        <v>Еще фото</v>
      </c>
      <c r="F4345" s="13"/>
      <c r="G4345" s="23" t="s">
        <v>4447</v>
      </c>
      <c r="H4345" s="23" t="s">
        <v>27</v>
      </c>
      <c r="I4345" s="23" t="s">
        <v>564</v>
      </c>
      <c r="J4345" s="14" t="s">
        <v>29</v>
      </c>
      <c r="K4345" s="15" t="s">
        <v>30</v>
      </c>
      <c r="L4345" s="87"/>
      <c r="M4345" s="14"/>
      <c r="N4345" s="14" t="s">
        <v>265</v>
      </c>
      <c r="O4345" s="14"/>
      <c r="P4345" s="15" t="s">
        <v>74</v>
      </c>
      <c r="Q4345" s="16">
        <v>3999</v>
      </c>
      <c r="R4345" s="17">
        <v>45</v>
      </c>
      <c r="S4345" s="18">
        <v>2529.3674999999994</v>
      </c>
      <c r="T4345" s="19" t="s">
        <v>117</v>
      </c>
      <c r="U4345" s="20" t="s">
        <v>36</v>
      </c>
      <c r="V4345" s="21">
        <v>122</v>
      </c>
      <c r="W4345" s="21">
        <v>5</v>
      </c>
      <c r="X4345" s="22"/>
    </row>
    <row r="4346" spans="1:24" s="1" customFormat="1" ht="26.1" customHeight="1" x14ac:dyDescent="0.3">
      <c r="A4346" s="23" t="s">
        <v>3014</v>
      </c>
      <c r="B4346" s="23" t="s">
        <v>4468</v>
      </c>
      <c r="C4346" s="12" t="s">
        <v>4471</v>
      </c>
      <c r="D4346" s="85"/>
      <c r="E4346" s="69" t="str">
        <f>HYPERLINK("https://www.google.ru/search?q=72206302-6141&amp;newwindow=1&amp;tbm=isch","Еще фото")</f>
        <v>Еще фото</v>
      </c>
      <c r="F4346" s="13"/>
      <c r="G4346" s="23" t="s">
        <v>4447</v>
      </c>
      <c r="H4346" s="23" t="s">
        <v>27</v>
      </c>
      <c r="I4346" s="23" t="s">
        <v>564</v>
      </c>
      <c r="J4346" s="14" t="s">
        <v>29</v>
      </c>
      <c r="K4346" s="15" t="s">
        <v>30</v>
      </c>
      <c r="L4346" s="88"/>
      <c r="M4346" s="14"/>
      <c r="N4346" s="14" t="s">
        <v>265</v>
      </c>
      <c r="O4346" s="14"/>
      <c r="P4346" s="15" t="s">
        <v>74</v>
      </c>
      <c r="Q4346" s="16">
        <v>3999</v>
      </c>
      <c r="R4346" s="17">
        <v>45</v>
      </c>
      <c r="S4346" s="18">
        <v>2529.3674999999994</v>
      </c>
      <c r="T4346" s="19" t="s">
        <v>117</v>
      </c>
      <c r="U4346" s="20" t="s">
        <v>37</v>
      </c>
      <c r="V4346" s="21">
        <v>128</v>
      </c>
      <c r="W4346" s="21">
        <v>2</v>
      </c>
      <c r="X4346" s="22"/>
    </row>
    <row r="4347" spans="1:24" s="1" customFormat="1" ht="35.1" customHeight="1" x14ac:dyDescent="0.3">
      <c r="A4347" s="11" t="s">
        <v>3014</v>
      </c>
      <c r="B4347" s="11" t="s">
        <v>4468</v>
      </c>
      <c r="C4347" s="12" t="s">
        <v>4472</v>
      </c>
      <c r="D4347" s="83"/>
      <c r="E4347" s="69" t="str">
        <f>HYPERLINK("https://www.google.ru/search?q=72206302-8300&amp;newwindow=1&amp;tbm=isch","Еще фото")</f>
        <v>Еще фото</v>
      </c>
      <c r="F4347" s="13"/>
      <c r="G4347" s="11" t="s">
        <v>4447</v>
      </c>
      <c r="H4347" s="11" t="s">
        <v>27</v>
      </c>
      <c r="I4347" s="14" t="s">
        <v>564</v>
      </c>
      <c r="J4347" s="14" t="s">
        <v>29</v>
      </c>
      <c r="K4347" s="15" t="s">
        <v>30</v>
      </c>
      <c r="L4347" s="86"/>
      <c r="M4347" s="14"/>
      <c r="N4347" s="14" t="s">
        <v>242</v>
      </c>
      <c r="O4347" s="14"/>
      <c r="P4347" s="15" t="s">
        <v>74</v>
      </c>
      <c r="Q4347" s="16">
        <v>3999</v>
      </c>
      <c r="R4347" s="17">
        <v>45</v>
      </c>
      <c r="S4347" s="18">
        <v>2529.3674999999994</v>
      </c>
      <c r="T4347" s="19" t="s">
        <v>117</v>
      </c>
      <c r="U4347" s="20" t="s">
        <v>94</v>
      </c>
      <c r="V4347" s="21">
        <v>104</v>
      </c>
      <c r="W4347" s="21">
        <v>2</v>
      </c>
      <c r="X4347" s="22"/>
    </row>
    <row r="4348" spans="1:24" s="1" customFormat="1" ht="35.1" customHeight="1" x14ac:dyDescent="0.3">
      <c r="A4348" s="23" t="s">
        <v>3014</v>
      </c>
      <c r="B4348" s="23" t="s">
        <v>4468</v>
      </c>
      <c r="C4348" s="12" t="s">
        <v>4472</v>
      </c>
      <c r="D4348" s="84"/>
      <c r="E4348" s="69" t="str">
        <f>HYPERLINK("https://www.google.ru/search?q=72206302-8300&amp;newwindow=1&amp;tbm=isch","Еще фото")</f>
        <v>Еще фото</v>
      </c>
      <c r="F4348" s="13"/>
      <c r="G4348" s="23" t="s">
        <v>4447</v>
      </c>
      <c r="H4348" s="23" t="s">
        <v>27</v>
      </c>
      <c r="I4348" s="23" t="s">
        <v>564</v>
      </c>
      <c r="J4348" s="14" t="s">
        <v>29</v>
      </c>
      <c r="K4348" s="15" t="s">
        <v>30</v>
      </c>
      <c r="L4348" s="87"/>
      <c r="M4348" s="14"/>
      <c r="N4348" s="14" t="s">
        <v>242</v>
      </c>
      <c r="O4348" s="14"/>
      <c r="P4348" s="15" t="s">
        <v>74</v>
      </c>
      <c r="Q4348" s="16">
        <v>3999</v>
      </c>
      <c r="R4348" s="17">
        <v>45</v>
      </c>
      <c r="S4348" s="18">
        <v>2529.3674999999994</v>
      </c>
      <c r="T4348" s="19" t="s">
        <v>117</v>
      </c>
      <c r="U4348" s="20" t="s">
        <v>43</v>
      </c>
      <c r="V4348" s="21">
        <v>110</v>
      </c>
      <c r="W4348" s="21">
        <v>2</v>
      </c>
      <c r="X4348" s="22"/>
    </row>
    <row r="4349" spans="1:24" s="1" customFormat="1" ht="36.950000000000003" customHeight="1" x14ac:dyDescent="0.3">
      <c r="A4349" s="23" t="s">
        <v>3014</v>
      </c>
      <c r="B4349" s="23" t="s">
        <v>4468</v>
      </c>
      <c r="C4349" s="12" t="s">
        <v>4472</v>
      </c>
      <c r="D4349" s="85"/>
      <c r="E4349" s="69" t="str">
        <f>HYPERLINK("https://www.google.ru/search?q=72206302-8300&amp;newwindow=1&amp;tbm=isch","Еще фото")</f>
        <v>Еще фото</v>
      </c>
      <c r="F4349" s="13"/>
      <c r="G4349" s="23" t="s">
        <v>4447</v>
      </c>
      <c r="H4349" s="23" t="s">
        <v>27</v>
      </c>
      <c r="I4349" s="23" t="s">
        <v>564</v>
      </c>
      <c r="J4349" s="14" t="s">
        <v>29</v>
      </c>
      <c r="K4349" s="15" t="s">
        <v>30</v>
      </c>
      <c r="L4349" s="88"/>
      <c r="M4349" s="14"/>
      <c r="N4349" s="14" t="s">
        <v>242</v>
      </c>
      <c r="O4349" s="14"/>
      <c r="P4349" s="15" t="s">
        <v>74</v>
      </c>
      <c r="Q4349" s="16">
        <v>3999</v>
      </c>
      <c r="R4349" s="17">
        <v>45</v>
      </c>
      <c r="S4349" s="18">
        <v>2529.3674999999994</v>
      </c>
      <c r="T4349" s="19" t="s">
        <v>117</v>
      </c>
      <c r="U4349" s="20" t="s">
        <v>36</v>
      </c>
      <c r="V4349" s="21">
        <v>122</v>
      </c>
      <c r="W4349" s="21">
        <v>2</v>
      </c>
      <c r="X4349" s="22"/>
    </row>
    <row r="4350" spans="1:24" s="1" customFormat="1" ht="17.100000000000001" customHeight="1" x14ac:dyDescent="0.3">
      <c r="A4350" s="11" t="s">
        <v>3014</v>
      </c>
      <c r="B4350" s="11" t="s">
        <v>4473</v>
      </c>
      <c r="C4350" s="12" t="s">
        <v>4474</v>
      </c>
      <c r="D4350" s="83"/>
      <c r="E4350" s="69" t="str">
        <f t="shared" ref="E4350:E4355" si="215">HYPERLINK("https://www.google.ru/search?q=72206313-0160&amp;newwindow=1&amp;tbm=isch","Еще фото")</f>
        <v>Еще фото</v>
      </c>
      <c r="F4350" s="13"/>
      <c r="G4350" s="11" t="s">
        <v>4447</v>
      </c>
      <c r="H4350" s="11" t="s">
        <v>27</v>
      </c>
      <c r="I4350" s="14" t="s">
        <v>564</v>
      </c>
      <c r="J4350" s="14" t="s">
        <v>29</v>
      </c>
      <c r="K4350" s="15" t="s">
        <v>30</v>
      </c>
      <c r="L4350" s="86"/>
      <c r="M4350" s="14"/>
      <c r="N4350" s="14" t="s">
        <v>89</v>
      </c>
      <c r="O4350" s="14"/>
      <c r="P4350" s="15" t="s">
        <v>74</v>
      </c>
      <c r="Q4350" s="16">
        <v>4999</v>
      </c>
      <c r="R4350" s="17">
        <v>45</v>
      </c>
      <c r="S4350" s="18">
        <v>3161.8674999999994</v>
      </c>
      <c r="T4350" s="19" t="s">
        <v>117</v>
      </c>
      <c r="U4350" s="20" t="s">
        <v>2961</v>
      </c>
      <c r="V4350" s="21">
        <v>98</v>
      </c>
      <c r="W4350" s="21">
        <v>1</v>
      </c>
      <c r="X4350" s="22"/>
    </row>
    <row r="4351" spans="1:24" s="1" customFormat="1" ht="17.100000000000001" customHeight="1" x14ac:dyDescent="0.3">
      <c r="A4351" s="23" t="s">
        <v>3014</v>
      </c>
      <c r="B4351" s="23" t="s">
        <v>4473</v>
      </c>
      <c r="C4351" s="12" t="s">
        <v>4474</v>
      </c>
      <c r="D4351" s="84"/>
      <c r="E4351" s="69" t="str">
        <f t="shared" si="215"/>
        <v>Еще фото</v>
      </c>
      <c r="F4351" s="13"/>
      <c r="G4351" s="23" t="s">
        <v>4447</v>
      </c>
      <c r="H4351" s="23" t="s">
        <v>27</v>
      </c>
      <c r="I4351" s="23" t="s">
        <v>564</v>
      </c>
      <c r="J4351" s="14" t="s">
        <v>29</v>
      </c>
      <c r="K4351" s="15" t="s">
        <v>30</v>
      </c>
      <c r="L4351" s="87"/>
      <c r="M4351" s="14"/>
      <c r="N4351" s="14" t="s">
        <v>89</v>
      </c>
      <c r="O4351" s="14"/>
      <c r="P4351" s="15" t="s">
        <v>74</v>
      </c>
      <c r="Q4351" s="16">
        <v>4999</v>
      </c>
      <c r="R4351" s="17">
        <v>45</v>
      </c>
      <c r="S4351" s="18">
        <v>3161.8674999999994</v>
      </c>
      <c r="T4351" s="19" t="s">
        <v>117</v>
      </c>
      <c r="U4351" s="20" t="s">
        <v>94</v>
      </c>
      <c r="V4351" s="21">
        <v>104</v>
      </c>
      <c r="W4351" s="21">
        <v>1</v>
      </c>
      <c r="X4351" s="22"/>
    </row>
    <row r="4352" spans="1:24" s="1" customFormat="1" ht="17.100000000000001" customHeight="1" x14ac:dyDescent="0.3">
      <c r="A4352" s="23" t="s">
        <v>3014</v>
      </c>
      <c r="B4352" s="23" t="s">
        <v>4473</v>
      </c>
      <c r="C4352" s="12" t="s">
        <v>4474</v>
      </c>
      <c r="D4352" s="84"/>
      <c r="E4352" s="69" t="str">
        <f t="shared" si="215"/>
        <v>Еще фото</v>
      </c>
      <c r="F4352" s="13"/>
      <c r="G4352" s="23" t="s">
        <v>4447</v>
      </c>
      <c r="H4352" s="23" t="s">
        <v>27</v>
      </c>
      <c r="I4352" s="23" t="s">
        <v>564</v>
      </c>
      <c r="J4352" s="14" t="s">
        <v>29</v>
      </c>
      <c r="K4352" s="15" t="s">
        <v>30</v>
      </c>
      <c r="L4352" s="87"/>
      <c r="M4352" s="14"/>
      <c r="N4352" s="14" t="s">
        <v>89</v>
      </c>
      <c r="O4352" s="14"/>
      <c r="P4352" s="15" t="s">
        <v>74</v>
      </c>
      <c r="Q4352" s="16">
        <v>4999</v>
      </c>
      <c r="R4352" s="17">
        <v>45</v>
      </c>
      <c r="S4352" s="18">
        <v>3161.8674999999994</v>
      </c>
      <c r="T4352" s="19" t="s">
        <v>117</v>
      </c>
      <c r="U4352" s="20" t="s">
        <v>43</v>
      </c>
      <c r="V4352" s="21">
        <v>110</v>
      </c>
      <c r="W4352" s="21">
        <v>2</v>
      </c>
      <c r="X4352" s="22"/>
    </row>
    <row r="4353" spans="1:24" s="1" customFormat="1" ht="17.100000000000001" customHeight="1" x14ac:dyDescent="0.3">
      <c r="A4353" s="23" t="s">
        <v>3014</v>
      </c>
      <c r="B4353" s="23" t="s">
        <v>4473</v>
      </c>
      <c r="C4353" s="12" t="s">
        <v>4474</v>
      </c>
      <c r="D4353" s="84"/>
      <c r="E4353" s="69" t="str">
        <f t="shared" si="215"/>
        <v>Еще фото</v>
      </c>
      <c r="F4353" s="13"/>
      <c r="G4353" s="23" t="s">
        <v>4447</v>
      </c>
      <c r="H4353" s="23" t="s">
        <v>27</v>
      </c>
      <c r="I4353" s="23" t="s">
        <v>564</v>
      </c>
      <c r="J4353" s="14" t="s">
        <v>29</v>
      </c>
      <c r="K4353" s="15" t="s">
        <v>30</v>
      </c>
      <c r="L4353" s="87"/>
      <c r="M4353" s="14"/>
      <c r="N4353" s="14" t="s">
        <v>89</v>
      </c>
      <c r="O4353" s="14"/>
      <c r="P4353" s="15" t="s">
        <v>74</v>
      </c>
      <c r="Q4353" s="16">
        <v>4999</v>
      </c>
      <c r="R4353" s="17">
        <v>45</v>
      </c>
      <c r="S4353" s="18">
        <v>3161.8674999999994</v>
      </c>
      <c r="T4353" s="19" t="s">
        <v>117</v>
      </c>
      <c r="U4353" s="20" t="s">
        <v>35</v>
      </c>
      <c r="V4353" s="21">
        <v>116</v>
      </c>
      <c r="W4353" s="21">
        <v>1</v>
      </c>
      <c r="X4353" s="22"/>
    </row>
    <row r="4354" spans="1:24" s="1" customFormat="1" ht="17.100000000000001" customHeight="1" x14ac:dyDescent="0.3">
      <c r="A4354" s="23" t="s">
        <v>3014</v>
      </c>
      <c r="B4354" s="23" t="s">
        <v>4473</v>
      </c>
      <c r="C4354" s="12" t="s">
        <v>4474</v>
      </c>
      <c r="D4354" s="84"/>
      <c r="E4354" s="69" t="str">
        <f t="shared" si="215"/>
        <v>Еще фото</v>
      </c>
      <c r="F4354" s="13"/>
      <c r="G4354" s="23" t="s">
        <v>4447</v>
      </c>
      <c r="H4354" s="23" t="s">
        <v>27</v>
      </c>
      <c r="I4354" s="23" t="s">
        <v>564</v>
      </c>
      <c r="J4354" s="14" t="s">
        <v>29</v>
      </c>
      <c r="K4354" s="15" t="s">
        <v>30</v>
      </c>
      <c r="L4354" s="87"/>
      <c r="M4354" s="14"/>
      <c r="N4354" s="14" t="s">
        <v>89</v>
      </c>
      <c r="O4354" s="14"/>
      <c r="P4354" s="15" t="s">
        <v>74</v>
      </c>
      <c r="Q4354" s="16">
        <v>4999</v>
      </c>
      <c r="R4354" s="17">
        <v>45</v>
      </c>
      <c r="S4354" s="18">
        <v>3161.8674999999994</v>
      </c>
      <c r="T4354" s="19" t="s">
        <v>117</v>
      </c>
      <c r="U4354" s="20" t="s">
        <v>36</v>
      </c>
      <c r="V4354" s="21">
        <v>122</v>
      </c>
      <c r="W4354" s="21">
        <v>2</v>
      </c>
      <c r="X4354" s="22"/>
    </row>
    <row r="4355" spans="1:24" s="1" customFormat="1" ht="21.95" customHeight="1" x14ac:dyDescent="0.3">
      <c r="A4355" s="23" t="s">
        <v>3014</v>
      </c>
      <c r="B4355" s="23" t="s">
        <v>4473</v>
      </c>
      <c r="C4355" s="12" t="s">
        <v>4474</v>
      </c>
      <c r="D4355" s="85"/>
      <c r="E4355" s="69" t="str">
        <f t="shared" si="215"/>
        <v>Еще фото</v>
      </c>
      <c r="F4355" s="13"/>
      <c r="G4355" s="23" t="s">
        <v>4447</v>
      </c>
      <c r="H4355" s="23" t="s">
        <v>27</v>
      </c>
      <c r="I4355" s="23" t="s">
        <v>564</v>
      </c>
      <c r="J4355" s="14" t="s">
        <v>29</v>
      </c>
      <c r="K4355" s="15" t="s">
        <v>30</v>
      </c>
      <c r="L4355" s="88"/>
      <c r="M4355" s="14"/>
      <c r="N4355" s="14" t="s">
        <v>89</v>
      </c>
      <c r="O4355" s="14"/>
      <c r="P4355" s="15" t="s">
        <v>74</v>
      </c>
      <c r="Q4355" s="16">
        <v>4999</v>
      </c>
      <c r="R4355" s="17">
        <v>45</v>
      </c>
      <c r="S4355" s="18">
        <v>3161.8674999999994</v>
      </c>
      <c r="T4355" s="19" t="s">
        <v>117</v>
      </c>
      <c r="U4355" s="20" t="s">
        <v>290</v>
      </c>
      <c r="V4355" s="21">
        <v>140</v>
      </c>
      <c r="W4355" s="21">
        <v>2</v>
      </c>
      <c r="X4355" s="22"/>
    </row>
    <row r="4356" spans="1:24" s="1" customFormat="1" ht="12.95" customHeight="1" x14ac:dyDescent="0.3">
      <c r="A4356" s="11" t="s">
        <v>3014</v>
      </c>
      <c r="B4356" s="11" t="s">
        <v>4473</v>
      </c>
      <c r="C4356" s="12" t="s">
        <v>4475</v>
      </c>
      <c r="D4356" s="83"/>
      <c r="E4356" s="69" t="str">
        <f t="shared" ref="E4356:E4363" si="216">HYPERLINK("https://www.google.ru/search?q=72206313-4040&amp;newwindow=1&amp;tbm=isch","Еще фото")</f>
        <v>Еще фото</v>
      </c>
      <c r="F4356" s="13"/>
      <c r="G4356" s="11" t="s">
        <v>4447</v>
      </c>
      <c r="H4356" s="11" t="s">
        <v>27</v>
      </c>
      <c r="I4356" s="14" t="s">
        <v>564</v>
      </c>
      <c r="J4356" s="14" t="s">
        <v>29</v>
      </c>
      <c r="K4356" s="15" t="s">
        <v>30</v>
      </c>
      <c r="L4356" s="86"/>
      <c r="M4356" s="14"/>
      <c r="N4356" s="14" t="s">
        <v>275</v>
      </c>
      <c r="O4356" s="14"/>
      <c r="P4356" s="15" t="s">
        <v>74</v>
      </c>
      <c r="Q4356" s="16">
        <v>4999</v>
      </c>
      <c r="R4356" s="17">
        <v>45</v>
      </c>
      <c r="S4356" s="18">
        <v>3161.8674999999994</v>
      </c>
      <c r="T4356" s="19" t="s">
        <v>117</v>
      </c>
      <c r="U4356" s="26" t="s">
        <v>2977</v>
      </c>
      <c r="V4356" s="21">
        <v>92</v>
      </c>
      <c r="W4356" s="21">
        <v>2</v>
      </c>
      <c r="X4356" s="22"/>
    </row>
    <row r="4357" spans="1:24" s="1" customFormat="1" ht="12.95" customHeight="1" x14ac:dyDescent="0.3">
      <c r="A4357" s="23" t="s">
        <v>3014</v>
      </c>
      <c r="B4357" s="23" t="s">
        <v>4473</v>
      </c>
      <c r="C4357" s="12" t="s">
        <v>4475</v>
      </c>
      <c r="D4357" s="84"/>
      <c r="E4357" s="69" t="str">
        <f t="shared" si="216"/>
        <v>Еще фото</v>
      </c>
      <c r="F4357" s="13"/>
      <c r="G4357" s="23" t="s">
        <v>4447</v>
      </c>
      <c r="H4357" s="23" t="s">
        <v>27</v>
      </c>
      <c r="I4357" s="23" t="s">
        <v>564</v>
      </c>
      <c r="J4357" s="14" t="s">
        <v>29</v>
      </c>
      <c r="K4357" s="15" t="s">
        <v>30</v>
      </c>
      <c r="L4357" s="87"/>
      <c r="M4357" s="14"/>
      <c r="N4357" s="14" t="s">
        <v>275</v>
      </c>
      <c r="O4357" s="14"/>
      <c r="P4357" s="15" t="s">
        <v>74</v>
      </c>
      <c r="Q4357" s="16">
        <v>4999</v>
      </c>
      <c r="R4357" s="17">
        <v>45</v>
      </c>
      <c r="S4357" s="18">
        <v>3161.8674999999994</v>
      </c>
      <c r="T4357" s="19" t="s">
        <v>117</v>
      </c>
      <c r="U4357" s="20" t="s">
        <v>2961</v>
      </c>
      <c r="V4357" s="21">
        <v>98</v>
      </c>
      <c r="W4357" s="21">
        <v>1</v>
      </c>
      <c r="X4357" s="22"/>
    </row>
    <row r="4358" spans="1:24" s="1" customFormat="1" ht="12.95" customHeight="1" x14ac:dyDescent="0.3">
      <c r="A4358" s="23" t="s">
        <v>3014</v>
      </c>
      <c r="B4358" s="23" t="s">
        <v>4473</v>
      </c>
      <c r="C4358" s="12" t="s">
        <v>4475</v>
      </c>
      <c r="D4358" s="84"/>
      <c r="E4358" s="69" t="str">
        <f t="shared" si="216"/>
        <v>Еще фото</v>
      </c>
      <c r="F4358" s="13"/>
      <c r="G4358" s="23" t="s">
        <v>4447</v>
      </c>
      <c r="H4358" s="23" t="s">
        <v>27</v>
      </c>
      <c r="I4358" s="23" t="s">
        <v>564</v>
      </c>
      <c r="J4358" s="14" t="s">
        <v>29</v>
      </c>
      <c r="K4358" s="15" t="s">
        <v>30</v>
      </c>
      <c r="L4358" s="87"/>
      <c r="M4358" s="14"/>
      <c r="N4358" s="14" t="s">
        <v>275</v>
      </c>
      <c r="O4358" s="14"/>
      <c r="P4358" s="15" t="s">
        <v>74</v>
      </c>
      <c r="Q4358" s="16">
        <v>4999</v>
      </c>
      <c r="R4358" s="17">
        <v>45</v>
      </c>
      <c r="S4358" s="18">
        <v>3161.8674999999994</v>
      </c>
      <c r="T4358" s="19" t="s">
        <v>117</v>
      </c>
      <c r="U4358" s="20" t="s">
        <v>94</v>
      </c>
      <c r="V4358" s="21">
        <v>104</v>
      </c>
      <c r="W4358" s="21">
        <v>2</v>
      </c>
      <c r="X4358" s="22"/>
    </row>
    <row r="4359" spans="1:24" s="1" customFormat="1" ht="12.95" customHeight="1" x14ac:dyDescent="0.3">
      <c r="A4359" s="23" t="s">
        <v>3014</v>
      </c>
      <c r="B4359" s="23" t="s">
        <v>4473</v>
      </c>
      <c r="C4359" s="12" t="s">
        <v>4475</v>
      </c>
      <c r="D4359" s="84"/>
      <c r="E4359" s="69" t="str">
        <f t="shared" si="216"/>
        <v>Еще фото</v>
      </c>
      <c r="F4359" s="13"/>
      <c r="G4359" s="23" t="s">
        <v>4447</v>
      </c>
      <c r="H4359" s="23" t="s">
        <v>27</v>
      </c>
      <c r="I4359" s="23" t="s">
        <v>564</v>
      </c>
      <c r="J4359" s="14" t="s">
        <v>29</v>
      </c>
      <c r="K4359" s="15" t="s">
        <v>30</v>
      </c>
      <c r="L4359" s="87"/>
      <c r="M4359" s="14"/>
      <c r="N4359" s="14" t="s">
        <v>275</v>
      </c>
      <c r="O4359" s="14"/>
      <c r="P4359" s="15" t="s">
        <v>74</v>
      </c>
      <c r="Q4359" s="16">
        <v>4999</v>
      </c>
      <c r="R4359" s="17">
        <v>45</v>
      </c>
      <c r="S4359" s="18">
        <v>3161.8674999999994</v>
      </c>
      <c r="T4359" s="19" t="s">
        <v>117</v>
      </c>
      <c r="U4359" s="20" t="s">
        <v>43</v>
      </c>
      <c r="V4359" s="21">
        <v>110</v>
      </c>
      <c r="W4359" s="21">
        <v>3</v>
      </c>
      <c r="X4359" s="22"/>
    </row>
    <row r="4360" spans="1:24" s="1" customFormat="1" ht="12.95" customHeight="1" x14ac:dyDescent="0.3">
      <c r="A4360" s="23" t="s">
        <v>3014</v>
      </c>
      <c r="B4360" s="23" t="s">
        <v>4473</v>
      </c>
      <c r="C4360" s="12" t="s">
        <v>4475</v>
      </c>
      <c r="D4360" s="84"/>
      <c r="E4360" s="69" t="str">
        <f t="shared" si="216"/>
        <v>Еще фото</v>
      </c>
      <c r="F4360" s="13"/>
      <c r="G4360" s="23" t="s">
        <v>4447</v>
      </c>
      <c r="H4360" s="23" t="s">
        <v>27</v>
      </c>
      <c r="I4360" s="23" t="s">
        <v>564</v>
      </c>
      <c r="J4360" s="14" t="s">
        <v>29</v>
      </c>
      <c r="K4360" s="15" t="s">
        <v>30</v>
      </c>
      <c r="L4360" s="87"/>
      <c r="M4360" s="14"/>
      <c r="N4360" s="14" t="s">
        <v>275</v>
      </c>
      <c r="O4360" s="14"/>
      <c r="P4360" s="15" t="s">
        <v>74</v>
      </c>
      <c r="Q4360" s="16">
        <v>4999</v>
      </c>
      <c r="R4360" s="17">
        <v>45</v>
      </c>
      <c r="S4360" s="18">
        <v>3161.8674999999994</v>
      </c>
      <c r="T4360" s="19" t="s">
        <v>117</v>
      </c>
      <c r="U4360" s="20" t="s">
        <v>35</v>
      </c>
      <c r="V4360" s="21">
        <v>116</v>
      </c>
      <c r="W4360" s="21">
        <v>2</v>
      </c>
      <c r="X4360" s="22"/>
    </row>
    <row r="4361" spans="1:24" s="1" customFormat="1" ht="12.95" customHeight="1" x14ac:dyDescent="0.3">
      <c r="A4361" s="23" t="s">
        <v>3014</v>
      </c>
      <c r="B4361" s="23" t="s">
        <v>4473</v>
      </c>
      <c r="C4361" s="12" t="s">
        <v>4475</v>
      </c>
      <c r="D4361" s="84"/>
      <c r="E4361" s="69" t="str">
        <f t="shared" si="216"/>
        <v>Еще фото</v>
      </c>
      <c r="F4361" s="13"/>
      <c r="G4361" s="23" t="s">
        <v>4447</v>
      </c>
      <c r="H4361" s="23" t="s">
        <v>27</v>
      </c>
      <c r="I4361" s="23" t="s">
        <v>564</v>
      </c>
      <c r="J4361" s="14" t="s">
        <v>29</v>
      </c>
      <c r="K4361" s="15" t="s">
        <v>30</v>
      </c>
      <c r="L4361" s="87"/>
      <c r="M4361" s="14"/>
      <c r="N4361" s="14" t="s">
        <v>275</v>
      </c>
      <c r="O4361" s="14"/>
      <c r="P4361" s="15" t="s">
        <v>74</v>
      </c>
      <c r="Q4361" s="16">
        <v>4999</v>
      </c>
      <c r="R4361" s="17">
        <v>45</v>
      </c>
      <c r="S4361" s="18">
        <v>3161.8674999999994</v>
      </c>
      <c r="T4361" s="19" t="s">
        <v>117</v>
      </c>
      <c r="U4361" s="20" t="s">
        <v>36</v>
      </c>
      <c r="V4361" s="21">
        <v>122</v>
      </c>
      <c r="W4361" s="21">
        <v>3</v>
      </c>
      <c r="X4361" s="22"/>
    </row>
    <row r="4362" spans="1:24" s="1" customFormat="1" ht="12.95" customHeight="1" x14ac:dyDescent="0.3">
      <c r="A4362" s="23" t="s">
        <v>3014</v>
      </c>
      <c r="B4362" s="23" t="s">
        <v>4473</v>
      </c>
      <c r="C4362" s="12" t="s">
        <v>4475</v>
      </c>
      <c r="D4362" s="84"/>
      <c r="E4362" s="69" t="str">
        <f t="shared" si="216"/>
        <v>Еще фото</v>
      </c>
      <c r="F4362" s="13"/>
      <c r="G4362" s="23" t="s">
        <v>4447</v>
      </c>
      <c r="H4362" s="23" t="s">
        <v>27</v>
      </c>
      <c r="I4362" s="23" t="s">
        <v>564</v>
      </c>
      <c r="J4362" s="14" t="s">
        <v>29</v>
      </c>
      <c r="K4362" s="15" t="s">
        <v>30</v>
      </c>
      <c r="L4362" s="87"/>
      <c r="M4362" s="14"/>
      <c r="N4362" s="14" t="s">
        <v>275</v>
      </c>
      <c r="O4362" s="14"/>
      <c r="P4362" s="15" t="s">
        <v>74</v>
      </c>
      <c r="Q4362" s="16">
        <v>4999</v>
      </c>
      <c r="R4362" s="17">
        <v>45</v>
      </c>
      <c r="S4362" s="18">
        <v>3161.8674999999994</v>
      </c>
      <c r="T4362" s="19" t="s">
        <v>117</v>
      </c>
      <c r="U4362" s="20" t="s">
        <v>37</v>
      </c>
      <c r="V4362" s="21">
        <v>128</v>
      </c>
      <c r="W4362" s="21">
        <v>2</v>
      </c>
      <c r="X4362" s="22"/>
    </row>
    <row r="4363" spans="1:24" s="1" customFormat="1" ht="18" customHeight="1" x14ac:dyDescent="0.3">
      <c r="A4363" s="23" t="s">
        <v>3014</v>
      </c>
      <c r="B4363" s="23" t="s">
        <v>4473</v>
      </c>
      <c r="C4363" s="12" t="s">
        <v>4475</v>
      </c>
      <c r="D4363" s="85"/>
      <c r="E4363" s="69" t="str">
        <f t="shared" si="216"/>
        <v>Еще фото</v>
      </c>
      <c r="F4363" s="13"/>
      <c r="G4363" s="23" t="s">
        <v>4447</v>
      </c>
      <c r="H4363" s="23" t="s">
        <v>27</v>
      </c>
      <c r="I4363" s="23" t="s">
        <v>564</v>
      </c>
      <c r="J4363" s="14" t="s">
        <v>29</v>
      </c>
      <c r="K4363" s="15" t="s">
        <v>30</v>
      </c>
      <c r="L4363" s="88"/>
      <c r="M4363" s="14"/>
      <c r="N4363" s="14" t="s">
        <v>275</v>
      </c>
      <c r="O4363" s="14"/>
      <c r="P4363" s="15" t="s">
        <v>74</v>
      </c>
      <c r="Q4363" s="16">
        <v>4999</v>
      </c>
      <c r="R4363" s="17">
        <v>45</v>
      </c>
      <c r="S4363" s="18">
        <v>3161.8674999999994</v>
      </c>
      <c r="T4363" s="19" t="s">
        <v>117</v>
      </c>
      <c r="U4363" s="20" t="s">
        <v>91</v>
      </c>
      <c r="V4363" s="21">
        <v>134</v>
      </c>
      <c r="W4363" s="21">
        <v>2</v>
      </c>
      <c r="X4363" s="22"/>
    </row>
    <row r="4364" spans="1:24" s="1" customFormat="1" ht="14.1" customHeight="1" x14ac:dyDescent="0.3">
      <c r="A4364" s="11" t="s">
        <v>3014</v>
      </c>
      <c r="B4364" s="11" t="s">
        <v>4473</v>
      </c>
      <c r="C4364" s="12" t="s">
        <v>4476</v>
      </c>
      <c r="D4364" s="83"/>
      <c r="E4364" s="69" t="str">
        <f t="shared" ref="E4364:E4370" si="217">HYPERLINK("https://www.google.ru/search?q=72206313-6800&amp;newwindow=1&amp;tbm=isch","Еще фото")</f>
        <v>Еще фото</v>
      </c>
      <c r="F4364" s="13"/>
      <c r="G4364" s="11" t="s">
        <v>4447</v>
      </c>
      <c r="H4364" s="11" t="s">
        <v>27</v>
      </c>
      <c r="I4364" s="14" t="s">
        <v>564</v>
      </c>
      <c r="J4364" s="14" t="s">
        <v>29</v>
      </c>
      <c r="K4364" s="15" t="s">
        <v>30</v>
      </c>
      <c r="L4364" s="86"/>
      <c r="M4364" s="14"/>
      <c r="N4364" s="14" t="s">
        <v>70</v>
      </c>
      <c r="O4364" s="14"/>
      <c r="P4364" s="15" t="s">
        <v>74</v>
      </c>
      <c r="Q4364" s="16">
        <v>4999</v>
      </c>
      <c r="R4364" s="17">
        <v>45</v>
      </c>
      <c r="S4364" s="18">
        <v>3161.8674999999994</v>
      </c>
      <c r="T4364" s="19" t="s">
        <v>117</v>
      </c>
      <c r="U4364" s="20" t="s">
        <v>2977</v>
      </c>
      <c r="V4364" s="21">
        <v>92</v>
      </c>
      <c r="W4364" s="21">
        <v>2</v>
      </c>
      <c r="X4364" s="22"/>
    </row>
    <row r="4365" spans="1:24" s="1" customFormat="1" ht="14.1" customHeight="1" x14ac:dyDescent="0.3">
      <c r="A4365" s="23" t="s">
        <v>3014</v>
      </c>
      <c r="B4365" s="23" t="s">
        <v>4473</v>
      </c>
      <c r="C4365" s="12" t="s">
        <v>4476</v>
      </c>
      <c r="D4365" s="84"/>
      <c r="E4365" s="69" t="str">
        <f t="shared" si="217"/>
        <v>Еще фото</v>
      </c>
      <c r="F4365" s="13"/>
      <c r="G4365" s="23" t="s">
        <v>4447</v>
      </c>
      <c r="H4365" s="23" t="s">
        <v>27</v>
      </c>
      <c r="I4365" s="23" t="s">
        <v>564</v>
      </c>
      <c r="J4365" s="14" t="s">
        <v>29</v>
      </c>
      <c r="K4365" s="15" t="s">
        <v>30</v>
      </c>
      <c r="L4365" s="87"/>
      <c r="M4365" s="14"/>
      <c r="N4365" s="14" t="s">
        <v>70</v>
      </c>
      <c r="O4365" s="14"/>
      <c r="P4365" s="15" t="s">
        <v>74</v>
      </c>
      <c r="Q4365" s="16">
        <v>4999</v>
      </c>
      <c r="R4365" s="17">
        <v>45</v>
      </c>
      <c r="S4365" s="18">
        <v>3161.8674999999994</v>
      </c>
      <c r="T4365" s="19" t="s">
        <v>117</v>
      </c>
      <c r="U4365" s="20" t="s">
        <v>94</v>
      </c>
      <c r="V4365" s="21">
        <v>104</v>
      </c>
      <c r="W4365" s="21">
        <v>1</v>
      </c>
      <c r="X4365" s="22"/>
    </row>
    <row r="4366" spans="1:24" s="1" customFormat="1" ht="14.1" customHeight="1" x14ac:dyDescent="0.3">
      <c r="A4366" s="23" t="s">
        <v>3014</v>
      </c>
      <c r="B4366" s="23" t="s">
        <v>4473</v>
      </c>
      <c r="C4366" s="12" t="s">
        <v>4476</v>
      </c>
      <c r="D4366" s="84"/>
      <c r="E4366" s="69" t="str">
        <f t="shared" si="217"/>
        <v>Еще фото</v>
      </c>
      <c r="F4366" s="13"/>
      <c r="G4366" s="23" t="s">
        <v>4447</v>
      </c>
      <c r="H4366" s="23" t="s">
        <v>27</v>
      </c>
      <c r="I4366" s="23" t="s">
        <v>564</v>
      </c>
      <c r="J4366" s="14" t="s">
        <v>29</v>
      </c>
      <c r="K4366" s="15" t="s">
        <v>30</v>
      </c>
      <c r="L4366" s="87"/>
      <c r="M4366" s="14"/>
      <c r="N4366" s="14" t="s">
        <v>70</v>
      </c>
      <c r="O4366" s="14"/>
      <c r="P4366" s="15" t="s">
        <v>74</v>
      </c>
      <c r="Q4366" s="16">
        <v>4999</v>
      </c>
      <c r="R4366" s="17">
        <v>45</v>
      </c>
      <c r="S4366" s="18">
        <v>3161.8674999999994</v>
      </c>
      <c r="T4366" s="19" t="s">
        <v>117</v>
      </c>
      <c r="U4366" s="20" t="s">
        <v>43</v>
      </c>
      <c r="V4366" s="21">
        <v>110</v>
      </c>
      <c r="W4366" s="21">
        <v>2</v>
      </c>
      <c r="X4366" s="22"/>
    </row>
    <row r="4367" spans="1:24" s="1" customFormat="1" ht="14.1" customHeight="1" x14ac:dyDescent="0.3">
      <c r="A4367" s="23" t="s">
        <v>3014</v>
      </c>
      <c r="B4367" s="23" t="s">
        <v>4473</v>
      </c>
      <c r="C4367" s="12" t="s">
        <v>4476</v>
      </c>
      <c r="D4367" s="84"/>
      <c r="E4367" s="69" t="str">
        <f t="shared" si="217"/>
        <v>Еще фото</v>
      </c>
      <c r="F4367" s="13"/>
      <c r="G4367" s="23" t="s">
        <v>4447</v>
      </c>
      <c r="H4367" s="23" t="s">
        <v>27</v>
      </c>
      <c r="I4367" s="23" t="s">
        <v>564</v>
      </c>
      <c r="J4367" s="14" t="s">
        <v>29</v>
      </c>
      <c r="K4367" s="15" t="s">
        <v>30</v>
      </c>
      <c r="L4367" s="87"/>
      <c r="M4367" s="14"/>
      <c r="N4367" s="14" t="s">
        <v>70</v>
      </c>
      <c r="O4367" s="14"/>
      <c r="P4367" s="15" t="s">
        <v>74</v>
      </c>
      <c r="Q4367" s="16">
        <v>4999</v>
      </c>
      <c r="R4367" s="17">
        <v>45</v>
      </c>
      <c r="S4367" s="18">
        <v>3161.8674999999994</v>
      </c>
      <c r="T4367" s="19" t="s">
        <v>117</v>
      </c>
      <c r="U4367" s="20" t="s">
        <v>35</v>
      </c>
      <c r="V4367" s="21">
        <v>116</v>
      </c>
      <c r="W4367" s="21">
        <v>3</v>
      </c>
      <c r="X4367" s="22"/>
    </row>
    <row r="4368" spans="1:24" s="1" customFormat="1" ht="14.1" customHeight="1" x14ac:dyDescent="0.3">
      <c r="A4368" s="23" t="s">
        <v>3014</v>
      </c>
      <c r="B4368" s="23" t="s">
        <v>4473</v>
      </c>
      <c r="C4368" s="12" t="s">
        <v>4476</v>
      </c>
      <c r="D4368" s="84"/>
      <c r="E4368" s="69" t="str">
        <f t="shared" si="217"/>
        <v>Еще фото</v>
      </c>
      <c r="F4368" s="13"/>
      <c r="G4368" s="23" t="s">
        <v>4447</v>
      </c>
      <c r="H4368" s="23" t="s">
        <v>27</v>
      </c>
      <c r="I4368" s="23" t="s">
        <v>564</v>
      </c>
      <c r="J4368" s="14" t="s">
        <v>29</v>
      </c>
      <c r="K4368" s="15" t="s">
        <v>30</v>
      </c>
      <c r="L4368" s="87"/>
      <c r="M4368" s="14"/>
      <c r="N4368" s="14" t="s">
        <v>70</v>
      </c>
      <c r="O4368" s="14"/>
      <c r="P4368" s="15" t="s">
        <v>74</v>
      </c>
      <c r="Q4368" s="16">
        <v>4999</v>
      </c>
      <c r="R4368" s="17">
        <v>45</v>
      </c>
      <c r="S4368" s="18">
        <v>3161.8674999999994</v>
      </c>
      <c r="T4368" s="19" t="s">
        <v>117</v>
      </c>
      <c r="U4368" s="20" t="s">
        <v>36</v>
      </c>
      <c r="V4368" s="21">
        <v>122</v>
      </c>
      <c r="W4368" s="21">
        <v>3</v>
      </c>
      <c r="X4368" s="22"/>
    </row>
    <row r="4369" spans="1:24" s="1" customFormat="1" ht="14.1" customHeight="1" x14ac:dyDescent="0.3">
      <c r="A4369" s="23" t="s">
        <v>3014</v>
      </c>
      <c r="B4369" s="23" t="s">
        <v>4473</v>
      </c>
      <c r="C4369" s="12" t="s">
        <v>4476</v>
      </c>
      <c r="D4369" s="84"/>
      <c r="E4369" s="69" t="str">
        <f t="shared" si="217"/>
        <v>Еще фото</v>
      </c>
      <c r="F4369" s="13"/>
      <c r="G4369" s="23" t="s">
        <v>4447</v>
      </c>
      <c r="H4369" s="23" t="s">
        <v>27</v>
      </c>
      <c r="I4369" s="23" t="s">
        <v>564</v>
      </c>
      <c r="J4369" s="14" t="s">
        <v>29</v>
      </c>
      <c r="K4369" s="15" t="s">
        <v>30</v>
      </c>
      <c r="L4369" s="87"/>
      <c r="M4369" s="14"/>
      <c r="N4369" s="14" t="s">
        <v>70</v>
      </c>
      <c r="O4369" s="14"/>
      <c r="P4369" s="15" t="s">
        <v>74</v>
      </c>
      <c r="Q4369" s="16">
        <v>4999</v>
      </c>
      <c r="R4369" s="17">
        <v>45</v>
      </c>
      <c r="S4369" s="18">
        <v>3161.8674999999994</v>
      </c>
      <c r="T4369" s="19" t="s">
        <v>117</v>
      </c>
      <c r="U4369" s="20" t="s">
        <v>91</v>
      </c>
      <c r="V4369" s="21">
        <v>134</v>
      </c>
      <c r="W4369" s="21">
        <v>2</v>
      </c>
      <c r="X4369" s="22"/>
    </row>
    <row r="4370" spans="1:24" s="1" customFormat="1" ht="17.100000000000001" customHeight="1" x14ac:dyDescent="0.3">
      <c r="A4370" s="23" t="s">
        <v>3014</v>
      </c>
      <c r="B4370" s="23" t="s">
        <v>4473</v>
      </c>
      <c r="C4370" s="12" t="s">
        <v>4476</v>
      </c>
      <c r="D4370" s="85"/>
      <c r="E4370" s="69" t="str">
        <f t="shared" si="217"/>
        <v>Еще фото</v>
      </c>
      <c r="F4370" s="13"/>
      <c r="G4370" s="23" t="s">
        <v>4447</v>
      </c>
      <c r="H4370" s="23" t="s">
        <v>27</v>
      </c>
      <c r="I4370" s="23" t="s">
        <v>564</v>
      </c>
      <c r="J4370" s="14" t="s">
        <v>29</v>
      </c>
      <c r="K4370" s="15" t="s">
        <v>30</v>
      </c>
      <c r="L4370" s="88"/>
      <c r="M4370" s="14"/>
      <c r="N4370" s="14" t="s">
        <v>70</v>
      </c>
      <c r="O4370" s="14"/>
      <c r="P4370" s="15" t="s">
        <v>74</v>
      </c>
      <c r="Q4370" s="16">
        <v>4999</v>
      </c>
      <c r="R4370" s="17">
        <v>45</v>
      </c>
      <c r="S4370" s="18">
        <v>3161.8674999999994</v>
      </c>
      <c r="T4370" s="19" t="s">
        <v>117</v>
      </c>
      <c r="U4370" s="20" t="s">
        <v>290</v>
      </c>
      <c r="V4370" s="21">
        <v>140</v>
      </c>
      <c r="W4370" s="21">
        <v>1</v>
      </c>
      <c r="X4370" s="22"/>
    </row>
    <row r="4371" spans="1:24" s="1" customFormat="1" ht="12.95" customHeight="1" x14ac:dyDescent="0.3">
      <c r="A4371" s="11" t="s">
        <v>3014</v>
      </c>
      <c r="B4371" s="11" t="s">
        <v>4473</v>
      </c>
      <c r="C4371" s="12" t="s">
        <v>4477</v>
      </c>
      <c r="D4371" s="83"/>
      <c r="E4371" s="69" t="str">
        <f t="shared" ref="E4371:E4378" si="218">HYPERLINK("https://www.google.ru/search?q=72206313-8070&amp;newwindow=1&amp;tbm=isch","Еще фото")</f>
        <v>Еще фото</v>
      </c>
      <c r="F4371" s="13"/>
      <c r="G4371" s="11" t="s">
        <v>4447</v>
      </c>
      <c r="H4371" s="11" t="s">
        <v>27</v>
      </c>
      <c r="I4371" s="14" t="s">
        <v>564</v>
      </c>
      <c r="J4371" s="14" t="s">
        <v>29</v>
      </c>
      <c r="K4371" s="15" t="s">
        <v>30</v>
      </c>
      <c r="L4371" s="86"/>
      <c r="M4371" s="14"/>
      <c r="N4371" s="14" t="s">
        <v>242</v>
      </c>
      <c r="O4371" s="14"/>
      <c r="P4371" s="15" t="s">
        <v>74</v>
      </c>
      <c r="Q4371" s="16">
        <v>4999</v>
      </c>
      <c r="R4371" s="17">
        <v>45</v>
      </c>
      <c r="S4371" s="18">
        <v>3161.8674999999994</v>
      </c>
      <c r="T4371" s="19" t="s">
        <v>117</v>
      </c>
      <c r="U4371" s="26" t="s">
        <v>2977</v>
      </c>
      <c r="V4371" s="21">
        <v>92</v>
      </c>
      <c r="W4371" s="21">
        <v>2</v>
      </c>
      <c r="X4371" s="22"/>
    </row>
    <row r="4372" spans="1:24" s="1" customFormat="1" ht="12.95" customHeight="1" x14ac:dyDescent="0.3">
      <c r="A4372" s="23" t="s">
        <v>3014</v>
      </c>
      <c r="B4372" s="23" t="s">
        <v>4473</v>
      </c>
      <c r="C4372" s="12" t="s">
        <v>4477</v>
      </c>
      <c r="D4372" s="84"/>
      <c r="E4372" s="69" t="str">
        <f t="shared" si="218"/>
        <v>Еще фото</v>
      </c>
      <c r="F4372" s="13"/>
      <c r="G4372" s="23" t="s">
        <v>4447</v>
      </c>
      <c r="H4372" s="23" t="s">
        <v>27</v>
      </c>
      <c r="I4372" s="23" t="s">
        <v>564</v>
      </c>
      <c r="J4372" s="14" t="s">
        <v>29</v>
      </c>
      <c r="K4372" s="15" t="s">
        <v>30</v>
      </c>
      <c r="L4372" s="87"/>
      <c r="M4372" s="14"/>
      <c r="N4372" s="14" t="s">
        <v>242</v>
      </c>
      <c r="O4372" s="14"/>
      <c r="P4372" s="15" t="s">
        <v>74</v>
      </c>
      <c r="Q4372" s="16">
        <v>4999</v>
      </c>
      <c r="R4372" s="17">
        <v>45</v>
      </c>
      <c r="S4372" s="18">
        <v>3161.8674999999994</v>
      </c>
      <c r="T4372" s="19" t="s">
        <v>117</v>
      </c>
      <c r="U4372" s="20" t="s">
        <v>2961</v>
      </c>
      <c r="V4372" s="21">
        <v>98</v>
      </c>
      <c r="W4372" s="21">
        <v>2</v>
      </c>
      <c r="X4372" s="22"/>
    </row>
    <row r="4373" spans="1:24" s="1" customFormat="1" ht="12.95" customHeight="1" x14ac:dyDescent="0.3">
      <c r="A4373" s="23" t="s">
        <v>3014</v>
      </c>
      <c r="B4373" s="23" t="s">
        <v>4473</v>
      </c>
      <c r="C4373" s="12" t="s">
        <v>4477</v>
      </c>
      <c r="D4373" s="84"/>
      <c r="E4373" s="69" t="str">
        <f t="shared" si="218"/>
        <v>Еще фото</v>
      </c>
      <c r="F4373" s="13"/>
      <c r="G4373" s="23" t="s">
        <v>4447</v>
      </c>
      <c r="H4373" s="23" t="s">
        <v>27</v>
      </c>
      <c r="I4373" s="23" t="s">
        <v>564</v>
      </c>
      <c r="J4373" s="14" t="s">
        <v>29</v>
      </c>
      <c r="K4373" s="15" t="s">
        <v>30</v>
      </c>
      <c r="L4373" s="87"/>
      <c r="M4373" s="14"/>
      <c r="N4373" s="14" t="s">
        <v>242</v>
      </c>
      <c r="O4373" s="14"/>
      <c r="P4373" s="15" t="s">
        <v>74</v>
      </c>
      <c r="Q4373" s="16">
        <v>4999</v>
      </c>
      <c r="R4373" s="17">
        <v>45</v>
      </c>
      <c r="S4373" s="18">
        <v>3161.8674999999994</v>
      </c>
      <c r="T4373" s="19" t="s">
        <v>117</v>
      </c>
      <c r="U4373" s="20" t="s">
        <v>94</v>
      </c>
      <c r="V4373" s="21">
        <v>104</v>
      </c>
      <c r="W4373" s="21">
        <v>1</v>
      </c>
      <c r="X4373" s="22"/>
    </row>
    <row r="4374" spans="1:24" s="1" customFormat="1" ht="12.95" customHeight="1" x14ac:dyDescent="0.3">
      <c r="A4374" s="23" t="s">
        <v>3014</v>
      </c>
      <c r="B4374" s="23" t="s">
        <v>4473</v>
      </c>
      <c r="C4374" s="12" t="s">
        <v>4477</v>
      </c>
      <c r="D4374" s="84"/>
      <c r="E4374" s="69" t="str">
        <f t="shared" si="218"/>
        <v>Еще фото</v>
      </c>
      <c r="F4374" s="13"/>
      <c r="G4374" s="23" t="s">
        <v>4447</v>
      </c>
      <c r="H4374" s="23" t="s">
        <v>27</v>
      </c>
      <c r="I4374" s="23" t="s">
        <v>564</v>
      </c>
      <c r="J4374" s="14" t="s">
        <v>29</v>
      </c>
      <c r="K4374" s="15" t="s">
        <v>30</v>
      </c>
      <c r="L4374" s="87"/>
      <c r="M4374" s="14"/>
      <c r="N4374" s="14" t="s">
        <v>242</v>
      </c>
      <c r="O4374" s="14"/>
      <c r="P4374" s="15" t="s">
        <v>74</v>
      </c>
      <c r="Q4374" s="16">
        <v>4999</v>
      </c>
      <c r="R4374" s="17">
        <v>45</v>
      </c>
      <c r="S4374" s="18">
        <v>3161.8674999999994</v>
      </c>
      <c r="T4374" s="19" t="s">
        <v>117</v>
      </c>
      <c r="U4374" s="20" t="s">
        <v>43</v>
      </c>
      <c r="V4374" s="21">
        <v>110</v>
      </c>
      <c r="W4374" s="21">
        <v>1</v>
      </c>
      <c r="X4374" s="22"/>
    </row>
    <row r="4375" spans="1:24" s="1" customFormat="1" ht="12.95" customHeight="1" x14ac:dyDescent="0.3">
      <c r="A4375" s="23" t="s">
        <v>3014</v>
      </c>
      <c r="B4375" s="23" t="s">
        <v>4473</v>
      </c>
      <c r="C4375" s="12" t="s">
        <v>4477</v>
      </c>
      <c r="D4375" s="84"/>
      <c r="E4375" s="69" t="str">
        <f t="shared" si="218"/>
        <v>Еще фото</v>
      </c>
      <c r="F4375" s="13"/>
      <c r="G4375" s="23" t="s">
        <v>4447</v>
      </c>
      <c r="H4375" s="23" t="s">
        <v>27</v>
      </c>
      <c r="I4375" s="23" t="s">
        <v>564</v>
      </c>
      <c r="J4375" s="14" t="s">
        <v>29</v>
      </c>
      <c r="K4375" s="15" t="s">
        <v>30</v>
      </c>
      <c r="L4375" s="87"/>
      <c r="M4375" s="14"/>
      <c r="N4375" s="14" t="s">
        <v>242</v>
      </c>
      <c r="O4375" s="14"/>
      <c r="P4375" s="15" t="s">
        <v>74</v>
      </c>
      <c r="Q4375" s="16">
        <v>4999</v>
      </c>
      <c r="R4375" s="17">
        <v>45</v>
      </c>
      <c r="S4375" s="18">
        <v>3161.8674999999994</v>
      </c>
      <c r="T4375" s="19" t="s">
        <v>117</v>
      </c>
      <c r="U4375" s="20" t="s">
        <v>35</v>
      </c>
      <c r="V4375" s="21">
        <v>116</v>
      </c>
      <c r="W4375" s="21">
        <v>1</v>
      </c>
      <c r="X4375" s="22"/>
    </row>
    <row r="4376" spans="1:24" s="1" customFormat="1" ht="12.95" customHeight="1" x14ac:dyDescent="0.3">
      <c r="A4376" s="23" t="s">
        <v>3014</v>
      </c>
      <c r="B4376" s="23" t="s">
        <v>4473</v>
      </c>
      <c r="C4376" s="12" t="s">
        <v>4477</v>
      </c>
      <c r="D4376" s="84"/>
      <c r="E4376" s="69" t="str">
        <f t="shared" si="218"/>
        <v>Еще фото</v>
      </c>
      <c r="F4376" s="13"/>
      <c r="G4376" s="23" t="s">
        <v>4447</v>
      </c>
      <c r="H4376" s="23" t="s">
        <v>27</v>
      </c>
      <c r="I4376" s="23" t="s">
        <v>564</v>
      </c>
      <c r="J4376" s="14" t="s">
        <v>29</v>
      </c>
      <c r="K4376" s="15" t="s">
        <v>30</v>
      </c>
      <c r="L4376" s="87"/>
      <c r="M4376" s="14"/>
      <c r="N4376" s="14" t="s">
        <v>242</v>
      </c>
      <c r="O4376" s="14"/>
      <c r="P4376" s="15" t="s">
        <v>74</v>
      </c>
      <c r="Q4376" s="16">
        <v>4999</v>
      </c>
      <c r="R4376" s="17">
        <v>45</v>
      </c>
      <c r="S4376" s="18">
        <v>3161.8674999999994</v>
      </c>
      <c r="T4376" s="19" t="s">
        <v>117</v>
      </c>
      <c r="U4376" s="20" t="s">
        <v>36</v>
      </c>
      <c r="V4376" s="21">
        <v>122</v>
      </c>
      <c r="W4376" s="21">
        <v>1</v>
      </c>
      <c r="X4376" s="22"/>
    </row>
    <row r="4377" spans="1:24" s="1" customFormat="1" ht="12.95" customHeight="1" x14ac:dyDescent="0.3">
      <c r="A4377" s="23" t="s">
        <v>3014</v>
      </c>
      <c r="B4377" s="23" t="s">
        <v>4473</v>
      </c>
      <c r="C4377" s="12" t="s">
        <v>4477</v>
      </c>
      <c r="D4377" s="84"/>
      <c r="E4377" s="69" t="str">
        <f t="shared" si="218"/>
        <v>Еще фото</v>
      </c>
      <c r="F4377" s="13"/>
      <c r="G4377" s="23" t="s">
        <v>4447</v>
      </c>
      <c r="H4377" s="23" t="s">
        <v>27</v>
      </c>
      <c r="I4377" s="23" t="s">
        <v>564</v>
      </c>
      <c r="J4377" s="14" t="s">
        <v>29</v>
      </c>
      <c r="K4377" s="15" t="s">
        <v>30</v>
      </c>
      <c r="L4377" s="87"/>
      <c r="M4377" s="14"/>
      <c r="N4377" s="14" t="s">
        <v>242</v>
      </c>
      <c r="O4377" s="14"/>
      <c r="P4377" s="15" t="s">
        <v>74</v>
      </c>
      <c r="Q4377" s="16">
        <v>4999</v>
      </c>
      <c r="R4377" s="17">
        <v>45</v>
      </c>
      <c r="S4377" s="18">
        <v>3161.8674999999994</v>
      </c>
      <c r="T4377" s="19" t="s">
        <v>117</v>
      </c>
      <c r="U4377" s="20" t="s">
        <v>37</v>
      </c>
      <c r="V4377" s="21">
        <v>128</v>
      </c>
      <c r="W4377" s="21">
        <v>1</v>
      </c>
      <c r="X4377" s="22"/>
    </row>
    <row r="4378" spans="1:24" s="1" customFormat="1" ht="18" customHeight="1" x14ac:dyDescent="0.3">
      <c r="A4378" s="23" t="s">
        <v>3014</v>
      </c>
      <c r="B4378" s="23" t="s">
        <v>4473</v>
      </c>
      <c r="C4378" s="12" t="s">
        <v>4477</v>
      </c>
      <c r="D4378" s="85"/>
      <c r="E4378" s="69" t="str">
        <f t="shared" si="218"/>
        <v>Еще фото</v>
      </c>
      <c r="F4378" s="13"/>
      <c r="G4378" s="23" t="s">
        <v>4447</v>
      </c>
      <c r="H4378" s="23" t="s">
        <v>27</v>
      </c>
      <c r="I4378" s="23" t="s">
        <v>564</v>
      </c>
      <c r="J4378" s="14" t="s">
        <v>29</v>
      </c>
      <c r="K4378" s="15" t="s">
        <v>30</v>
      </c>
      <c r="L4378" s="88"/>
      <c r="M4378" s="14"/>
      <c r="N4378" s="14" t="s">
        <v>242</v>
      </c>
      <c r="O4378" s="14"/>
      <c r="P4378" s="15" t="s">
        <v>74</v>
      </c>
      <c r="Q4378" s="16">
        <v>4999</v>
      </c>
      <c r="R4378" s="17">
        <v>45</v>
      </c>
      <c r="S4378" s="18">
        <v>3161.8674999999994</v>
      </c>
      <c r="T4378" s="19" t="s">
        <v>117</v>
      </c>
      <c r="U4378" s="20" t="s">
        <v>91</v>
      </c>
      <c r="V4378" s="21">
        <v>134</v>
      </c>
      <c r="W4378" s="21">
        <v>1</v>
      </c>
      <c r="X4378" s="22"/>
    </row>
    <row r="4379" spans="1:24" s="1" customFormat="1" ht="12.95" customHeight="1" x14ac:dyDescent="0.3">
      <c r="A4379" s="11" t="s">
        <v>3014</v>
      </c>
      <c r="B4379" s="11" t="s">
        <v>4468</v>
      </c>
      <c r="C4379" s="12" t="s">
        <v>4478</v>
      </c>
      <c r="D4379" s="83"/>
      <c r="E4379" s="69" t="str">
        <f t="shared" ref="E4379:E4386" si="219">HYPERLINK("https://www.google.ru/search?q=73206120-0160&amp;newwindow=1&amp;tbm=isch","Еще фото")</f>
        <v>Еще фото</v>
      </c>
      <c r="F4379" s="13"/>
      <c r="G4379" s="11" t="s">
        <v>4447</v>
      </c>
      <c r="H4379" s="11" t="s">
        <v>27</v>
      </c>
      <c r="I4379" s="14" t="s">
        <v>564</v>
      </c>
      <c r="J4379" s="14" t="s">
        <v>29</v>
      </c>
      <c r="K4379" s="15" t="s">
        <v>30</v>
      </c>
      <c r="L4379" s="86"/>
      <c r="M4379" s="14"/>
      <c r="N4379" s="14" t="s">
        <v>89</v>
      </c>
      <c r="O4379" s="14"/>
      <c r="P4379" s="15" t="s">
        <v>74</v>
      </c>
      <c r="Q4379" s="16">
        <v>2999</v>
      </c>
      <c r="R4379" s="17">
        <v>45</v>
      </c>
      <c r="S4379" s="18">
        <v>1896.8674999999998</v>
      </c>
      <c r="T4379" s="19" t="s">
        <v>117</v>
      </c>
      <c r="U4379" s="26" t="s">
        <v>94</v>
      </c>
      <c r="V4379" s="21">
        <v>104</v>
      </c>
      <c r="W4379" s="21">
        <v>3</v>
      </c>
      <c r="X4379" s="22"/>
    </row>
    <row r="4380" spans="1:24" s="1" customFormat="1" ht="12.95" customHeight="1" x14ac:dyDescent="0.3">
      <c r="A4380" s="23" t="s">
        <v>3014</v>
      </c>
      <c r="B4380" s="23" t="s">
        <v>4468</v>
      </c>
      <c r="C4380" s="12" t="s">
        <v>4478</v>
      </c>
      <c r="D4380" s="84"/>
      <c r="E4380" s="69" t="str">
        <f t="shared" si="219"/>
        <v>Еще фото</v>
      </c>
      <c r="F4380" s="13"/>
      <c r="G4380" s="23" t="s">
        <v>4447</v>
      </c>
      <c r="H4380" s="23" t="s">
        <v>27</v>
      </c>
      <c r="I4380" s="23" t="s">
        <v>564</v>
      </c>
      <c r="J4380" s="14" t="s">
        <v>29</v>
      </c>
      <c r="K4380" s="15" t="s">
        <v>30</v>
      </c>
      <c r="L4380" s="87"/>
      <c r="M4380" s="14"/>
      <c r="N4380" s="14" t="s">
        <v>89</v>
      </c>
      <c r="O4380" s="14"/>
      <c r="P4380" s="15" t="s">
        <v>74</v>
      </c>
      <c r="Q4380" s="16">
        <v>2999</v>
      </c>
      <c r="R4380" s="17">
        <v>45</v>
      </c>
      <c r="S4380" s="18">
        <v>1896.8674999999998</v>
      </c>
      <c r="T4380" s="19" t="s">
        <v>117</v>
      </c>
      <c r="U4380" s="20" t="s">
        <v>43</v>
      </c>
      <c r="V4380" s="21">
        <v>110</v>
      </c>
      <c r="W4380" s="21">
        <v>4</v>
      </c>
      <c r="X4380" s="22"/>
    </row>
    <row r="4381" spans="1:24" s="1" customFormat="1" ht="12.95" customHeight="1" x14ac:dyDescent="0.3">
      <c r="A4381" s="23" t="s">
        <v>3014</v>
      </c>
      <c r="B4381" s="23" t="s">
        <v>4468</v>
      </c>
      <c r="C4381" s="12" t="s">
        <v>4478</v>
      </c>
      <c r="D4381" s="84"/>
      <c r="E4381" s="69" t="str">
        <f t="shared" si="219"/>
        <v>Еще фото</v>
      </c>
      <c r="F4381" s="13"/>
      <c r="G4381" s="23" t="s">
        <v>4447</v>
      </c>
      <c r="H4381" s="23" t="s">
        <v>27</v>
      </c>
      <c r="I4381" s="23" t="s">
        <v>564</v>
      </c>
      <c r="J4381" s="14" t="s">
        <v>29</v>
      </c>
      <c r="K4381" s="15" t="s">
        <v>30</v>
      </c>
      <c r="L4381" s="87"/>
      <c r="M4381" s="14"/>
      <c r="N4381" s="14" t="s">
        <v>89</v>
      </c>
      <c r="O4381" s="14"/>
      <c r="P4381" s="15" t="s">
        <v>74</v>
      </c>
      <c r="Q4381" s="16">
        <v>2999</v>
      </c>
      <c r="R4381" s="17">
        <v>45</v>
      </c>
      <c r="S4381" s="18">
        <v>1896.8674999999998</v>
      </c>
      <c r="T4381" s="19" t="s">
        <v>117</v>
      </c>
      <c r="U4381" s="20" t="s">
        <v>35</v>
      </c>
      <c r="V4381" s="21">
        <v>116</v>
      </c>
      <c r="W4381" s="21">
        <v>5</v>
      </c>
      <c r="X4381" s="22"/>
    </row>
    <row r="4382" spans="1:24" s="1" customFormat="1" ht="12.95" customHeight="1" x14ac:dyDescent="0.3">
      <c r="A4382" s="23" t="s">
        <v>3014</v>
      </c>
      <c r="B4382" s="23" t="s">
        <v>4468</v>
      </c>
      <c r="C4382" s="12" t="s">
        <v>4478</v>
      </c>
      <c r="D4382" s="84"/>
      <c r="E4382" s="69" t="str">
        <f t="shared" si="219"/>
        <v>Еще фото</v>
      </c>
      <c r="F4382" s="13"/>
      <c r="G4382" s="23" t="s">
        <v>4447</v>
      </c>
      <c r="H4382" s="23" t="s">
        <v>27</v>
      </c>
      <c r="I4382" s="23" t="s">
        <v>564</v>
      </c>
      <c r="J4382" s="14" t="s">
        <v>29</v>
      </c>
      <c r="K4382" s="15" t="s">
        <v>30</v>
      </c>
      <c r="L4382" s="87"/>
      <c r="M4382" s="14"/>
      <c r="N4382" s="14" t="s">
        <v>89</v>
      </c>
      <c r="O4382" s="14"/>
      <c r="P4382" s="15" t="s">
        <v>74</v>
      </c>
      <c r="Q4382" s="16">
        <v>2999</v>
      </c>
      <c r="R4382" s="17">
        <v>45</v>
      </c>
      <c r="S4382" s="18">
        <v>1896.8674999999998</v>
      </c>
      <c r="T4382" s="19" t="s">
        <v>117</v>
      </c>
      <c r="U4382" s="20" t="s">
        <v>36</v>
      </c>
      <c r="V4382" s="21">
        <v>122</v>
      </c>
      <c r="W4382" s="21">
        <v>5</v>
      </c>
      <c r="X4382" s="22"/>
    </row>
    <row r="4383" spans="1:24" s="1" customFormat="1" ht="12.95" customHeight="1" x14ac:dyDescent="0.3">
      <c r="A4383" s="23" t="s">
        <v>3014</v>
      </c>
      <c r="B4383" s="23" t="s">
        <v>4468</v>
      </c>
      <c r="C4383" s="12" t="s">
        <v>4478</v>
      </c>
      <c r="D4383" s="84"/>
      <c r="E4383" s="69" t="str">
        <f t="shared" si="219"/>
        <v>Еще фото</v>
      </c>
      <c r="F4383" s="13"/>
      <c r="G4383" s="23" t="s">
        <v>4447</v>
      </c>
      <c r="H4383" s="23" t="s">
        <v>27</v>
      </c>
      <c r="I4383" s="23" t="s">
        <v>564</v>
      </c>
      <c r="J4383" s="14" t="s">
        <v>29</v>
      </c>
      <c r="K4383" s="15" t="s">
        <v>30</v>
      </c>
      <c r="L4383" s="87"/>
      <c r="M4383" s="14"/>
      <c r="N4383" s="14" t="s">
        <v>89</v>
      </c>
      <c r="O4383" s="14"/>
      <c r="P4383" s="15" t="s">
        <v>74</v>
      </c>
      <c r="Q4383" s="16">
        <v>2999</v>
      </c>
      <c r="R4383" s="17">
        <v>45</v>
      </c>
      <c r="S4383" s="18">
        <v>1896.8674999999998</v>
      </c>
      <c r="T4383" s="19" t="s">
        <v>117</v>
      </c>
      <c r="U4383" s="20" t="s">
        <v>37</v>
      </c>
      <c r="V4383" s="21">
        <v>128</v>
      </c>
      <c r="W4383" s="21">
        <v>1</v>
      </c>
      <c r="X4383" s="22"/>
    </row>
    <row r="4384" spans="1:24" s="1" customFormat="1" ht="12.95" customHeight="1" x14ac:dyDescent="0.3">
      <c r="A4384" s="23" t="s">
        <v>3014</v>
      </c>
      <c r="B4384" s="23" t="s">
        <v>4468</v>
      </c>
      <c r="C4384" s="12" t="s">
        <v>4478</v>
      </c>
      <c r="D4384" s="84"/>
      <c r="E4384" s="69" t="str">
        <f t="shared" si="219"/>
        <v>Еще фото</v>
      </c>
      <c r="F4384" s="13"/>
      <c r="G4384" s="23" t="s">
        <v>4447</v>
      </c>
      <c r="H4384" s="23" t="s">
        <v>27</v>
      </c>
      <c r="I4384" s="23" t="s">
        <v>564</v>
      </c>
      <c r="J4384" s="14" t="s">
        <v>29</v>
      </c>
      <c r="K4384" s="15" t="s">
        <v>30</v>
      </c>
      <c r="L4384" s="87"/>
      <c r="M4384" s="14"/>
      <c r="N4384" s="14" t="s">
        <v>89</v>
      </c>
      <c r="O4384" s="14"/>
      <c r="P4384" s="15" t="s">
        <v>74</v>
      </c>
      <c r="Q4384" s="16">
        <v>2999</v>
      </c>
      <c r="R4384" s="17">
        <v>45</v>
      </c>
      <c r="S4384" s="18">
        <v>1896.8674999999998</v>
      </c>
      <c r="T4384" s="19" t="s">
        <v>117</v>
      </c>
      <c r="U4384" s="20" t="s">
        <v>91</v>
      </c>
      <c r="V4384" s="21">
        <v>134</v>
      </c>
      <c r="W4384" s="21">
        <v>4</v>
      </c>
      <c r="X4384" s="22"/>
    </row>
    <row r="4385" spans="1:24" s="1" customFormat="1" ht="12.95" customHeight="1" x14ac:dyDescent="0.3">
      <c r="A4385" s="23" t="s">
        <v>3014</v>
      </c>
      <c r="B4385" s="23" t="s">
        <v>4468</v>
      </c>
      <c r="C4385" s="12" t="s">
        <v>4478</v>
      </c>
      <c r="D4385" s="84"/>
      <c r="E4385" s="69" t="str">
        <f t="shared" si="219"/>
        <v>Еще фото</v>
      </c>
      <c r="F4385" s="13"/>
      <c r="G4385" s="23" t="s">
        <v>4447</v>
      </c>
      <c r="H4385" s="23" t="s">
        <v>27</v>
      </c>
      <c r="I4385" s="23" t="s">
        <v>564</v>
      </c>
      <c r="J4385" s="14" t="s">
        <v>29</v>
      </c>
      <c r="K4385" s="15" t="s">
        <v>30</v>
      </c>
      <c r="L4385" s="87"/>
      <c r="M4385" s="14"/>
      <c r="N4385" s="14" t="s">
        <v>89</v>
      </c>
      <c r="O4385" s="14"/>
      <c r="P4385" s="15" t="s">
        <v>74</v>
      </c>
      <c r="Q4385" s="16">
        <v>2999</v>
      </c>
      <c r="R4385" s="17">
        <v>45</v>
      </c>
      <c r="S4385" s="18">
        <v>1896.8674999999998</v>
      </c>
      <c r="T4385" s="19" t="s">
        <v>117</v>
      </c>
      <c r="U4385" s="20" t="s">
        <v>290</v>
      </c>
      <c r="V4385" s="21">
        <v>140</v>
      </c>
      <c r="W4385" s="21">
        <v>2</v>
      </c>
      <c r="X4385" s="22"/>
    </row>
    <row r="4386" spans="1:24" s="1" customFormat="1" ht="18" customHeight="1" x14ac:dyDescent="0.3">
      <c r="A4386" s="23" t="s">
        <v>3014</v>
      </c>
      <c r="B4386" s="23" t="s">
        <v>4468</v>
      </c>
      <c r="C4386" s="12" t="s">
        <v>4478</v>
      </c>
      <c r="D4386" s="85"/>
      <c r="E4386" s="69" t="str">
        <f t="shared" si="219"/>
        <v>Еще фото</v>
      </c>
      <c r="F4386" s="13"/>
      <c r="G4386" s="23" t="s">
        <v>4447</v>
      </c>
      <c r="H4386" s="23" t="s">
        <v>27</v>
      </c>
      <c r="I4386" s="23" t="s">
        <v>564</v>
      </c>
      <c r="J4386" s="14" t="s">
        <v>29</v>
      </c>
      <c r="K4386" s="15" t="s">
        <v>30</v>
      </c>
      <c r="L4386" s="88"/>
      <c r="M4386" s="14"/>
      <c r="N4386" s="14" t="s">
        <v>89</v>
      </c>
      <c r="O4386" s="14"/>
      <c r="P4386" s="15" t="s">
        <v>74</v>
      </c>
      <c r="Q4386" s="16">
        <v>2999</v>
      </c>
      <c r="R4386" s="17">
        <v>45</v>
      </c>
      <c r="S4386" s="18">
        <v>1896.8674999999998</v>
      </c>
      <c r="T4386" s="19" t="s">
        <v>117</v>
      </c>
      <c r="U4386" s="20" t="s">
        <v>2993</v>
      </c>
      <c r="V4386" s="21">
        <v>146</v>
      </c>
      <c r="W4386" s="21">
        <v>2</v>
      </c>
      <c r="X4386" s="22"/>
    </row>
    <row r="4387" spans="1:24" s="1" customFormat="1" ht="17.100000000000001" customHeight="1" x14ac:dyDescent="0.3">
      <c r="A4387" s="11" t="s">
        <v>3014</v>
      </c>
      <c r="B4387" s="11" t="s">
        <v>4468</v>
      </c>
      <c r="C4387" s="12" t="s">
        <v>4479</v>
      </c>
      <c r="D4387" s="83"/>
      <c r="E4387" s="69" t="str">
        <f t="shared" ref="E4387:E4392" si="220">HYPERLINK("https://www.google.ru/search?q=73206120-6960&amp;newwindow=1&amp;tbm=isch","Еще фото")</f>
        <v>Еще фото</v>
      </c>
      <c r="F4387" s="13"/>
      <c r="G4387" s="11" t="s">
        <v>4447</v>
      </c>
      <c r="H4387" s="11" t="s">
        <v>27</v>
      </c>
      <c r="I4387" s="14" t="s">
        <v>564</v>
      </c>
      <c r="J4387" s="14" t="s">
        <v>29</v>
      </c>
      <c r="K4387" s="15" t="s">
        <v>30</v>
      </c>
      <c r="L4387" s="86"/>
      <c r="M4387" s="14"/>
      <c r="N4387" s="14" t="s">
        <v>70</v>
      </c>
      <c r="O4387" s="14"/>
      <c r="P4387" s="15" t="s">
        <v>74</v>
      </c>
      <c r="Q4387" s="16">
        <v>2999</v>
      </c>
      <c r="R4387" s="17">
        <v>45</v>
      </c>
      <c r="S4387" s="18">
        <v>1896.8674999999998</v>
      </c>
      <c r="T4387" s="19" t="s">
        <v>117</v>
      </c>
      <c r="U4387" s="20" t="s">
        <v>94</v>
      </c>
      <c r="V4387" s="21">
        <v>104</v>
      </c>
      <c r="W4387" s="21">
        <v>4</v>
      </c>
      <c r="X4387" s="22"/>
    </row>
    <row r="4388" spans="1:24" s="1" customFormat="1" ht="17.100000000000001" customHeight="1" x14ac:dyDescent="0.3">
      <c r="A4388" s="23" t="s">
        <v>3014</v>
      </c>
      <c r="B4388" s="23" t="s">
        <v>4468</v>
      </c>
      <c r="C4388" s="12" t="s">
        <v>4479</v>
      </c>
      <c r="D4388" s="84"/>
      <c r="E4388" s="69" t="str">
        <f t="shared" si="220"/>
        <v>Еще фото</v>
      </c>
      <c r="F4388" s="13"/>
      <c r="G4388" s="23" t="s">
        <v>4447</v>
      </c>
      <c r="H4388" s="23" t="s">
        <v>27</v>
      </c>
      <c r="I4388" s="23" t="s">
        <v>564</v>
      </c>
      <c r="J4388" s="14" t="s">
        <v>29</v>
      </c>
      <c r="K4388" s="15" t="s">
        <v>30</v>
      </c>
      <c r="L4388" s="87"/>
      <c r="M4388" s="14"/>
      <c r="N4388" s="14" t="s">
        <v>70</v>
      </c>
      <c r="O4388" s="14"/>
      <c r="P4388" s="15" t="s">
        <v>74</v>
      </c>
      <c r="Q4388" s="16">
        <v>2999</v>
      </c>
      <c r="R4388" s="17">
        <v>45</v>
      </c>
      <c r="S4388" s="18">
        <v>1896.8674999999998</v>
      </c>
      <c r="T4388" s="19" t="s">
        <v>117</v>
      </c>
      <c r="U4388" s="20" t="s">
        <v>43</v>
      </c>
      <c r="V4388" s="21">
        <v>110</v>
      </c>
      <c r="W4388" s="21">
        <v>3</v>
      </c>
      <c r="X4388" s="22"/>
    </row>
    <row r="4389" spans="1:24" s="1" customFormat="1" ht="17.100000000000001" customHeight="1" x14ac:dyDescent="0.3">
      <c r="A4389" s="23" t="s">
        <v>3014</v>
      </c>
      <c r="B4389" s="23" t="s">
        <v>4468</v>
      </c>
      <c r="C4389" s="12" t="s">
        <v>4479</v>
      </c>
      <c r="D4389" s="84"/>
      <c r="E4389" s="69" t="str">
        <f t="shared" si="220"/>
        <v>Еще фото</v>
      </c>
      <c r="F4389" s="13"/>
      <c r="G4389" s="23" t="s">
        <v>4447</v>
      </c>
      <c r="H4389" s="23" t="s">
        <v>27</v>
      </c>
      <c r="I4389" s="23" t="s">
        <v>564</v>
      </c>
      <c r="J4389" s="14" t="s">
        <v>29</v>
      </c>
      <c r="K4389" s="15" t="s">
        <v>30</v>
      </c>
      <c r="L4389" s="87"/>
      <c r="M4389" s="14"/>
      <c r="N4389" s="14" t="s">
        <v>70</v>
      </c>
      <c r="O4389" s="14"/>
      <c r="P4389" s="15" t="s">
        <v>74</v>
      </c>
      <c r="Q4389" s="16">
        <v>2999</v>
      </c>
      <c r="R4389" s="17">
        <v>45</v>
      </c>
      <c r="S4389" s="18">
        <v>1896.8674999999998</v>
      </c>
      <c r="T4389" s="19" t="s">
        <v>117</v>
      </c>
      <c r="U4389" s="20" t="s">
        <v>35</v>
      </c>
      <c r="V4389" s="21">
        <v>116</v>
      </c>
      <c r="W4389" s="21">
        <v>4</v>
      </c>
      <c r="X4389" s="22"/>
    </row>
    <row r="4390" spans="1:24" s="1" customFormat="1" ht="17.100000000000001" customHeight="1" x14ac:dyDescent="0.3">
      <c r="A4390" s="23" t="s">
        <v>3014</v>
      </c>
      <c r="B4390" s="23" t="s">
        <v>4468</v>
      </c>
      <c r="C4390" s="12" t="s">
        <v>4479</v>
      </c>
      <c r="D4390" s="84"/>
      <c r="E4390" s="69" t="str">
        <f t="shared" si="220"/>
        <v>Еще фото</v>
      </c>
      <c r="F4390" s="13"/>
      <c r="G4390" s="23" t="s">
        <v>4447</v>
      </c>
      <c r="H4390" s="23" t="s">
        <v>27</v>
      </c>
      <c r="I4390" s="23" t="s">
        <v>564</v>
      </c>
      <c r="J4390" s="14" t="s">
        <v>29</v>
      </c>
      <c r="K4390" s="15" t="s">
        <v>30</v>
      </c>
      <c r="L4390" s="87"/>
      <c r="M4390" s="14"/>
      <c r="N4390" s="14" t="s">
        <v>70</v>
      </c>
      <c r="O4390" s="14"/>
      <c r="P4390" s="15" t="s">
        <v>74</v>
      </c>
      <c r="Q4390" s="16">
        <v>2999</v>
      </c>
      <c r="R4390" s="17">
        <v>45</v>
      </c>
      <c r="S4390" s="18">
        <v>1896.8674999999998</v>
      </c>
      <c r="T4390" s="19" t="s">
        <v>117</v>
      </c>
      <c r="U4390" s="20" t="s">
        <v>36</v>
      </c>
      <c r="V4390" s="21">
        <v>122</v>
      </c>
      <c r="W4390" s="21">
        <v>3</v>
      </c>
      <c r="X4390" s="22"/>
    </row>
    <row r="4391" spans="1:24" s="1" customFormat="1" ht="17.100000000000001" customHeight="1" x14ac:dyDescent="0.3">
      <c r="A4391" s="23" t="s">
        <v>3014</v>
      </c>
      <c r="B4391" s="23" t="s">
        <v>4468</v>
      </c>
      <c r="C4391" s="12" t="s">
        <v>4479</v>
      </c>
      <c r="D4391" s="84"/>
      <c r="E4391" s="69" t="str">
        <f t="shared" si="220"/>
        <v>Еще фото</v>
      </c>
      <c r="F4391" s="13"/>
      <c r="G4391" s="23" t="s">
        <v>4447</v>
      </c>
      <c r="H4391" s="23" t="s">
        <v>27</v>
      </c>
      <c r="I4391" s="23" t="s">
        <v>564</v>
      </c>
      <c r="J4391" s="14" t="s">
        <v>29</v>
      </c>
      <c r="K4391" s="15" t="s">
        <v>30</v>
      </c>
      <c r="L4391" s="87"/>
      <c r="M4391" s="14"/>
      <c r="N4391" s="14" t="s">
        <v>70</v>
      </c>
      <c r="O4391" s="14"/>
      <c r="P4391" s="15" t="s">
        <v>74</v>
      </c>
      <c r="Q4391" s="16">
        <v>2999</v>
      </c>
      <c r="R4391" s="17">
        <v>45</v>
      </c>
      <c r="S4391" s="18">
        <v>1896.8674999999998</v>
      </c>
      <c r="T4391" s="19" t="s">
        <v>117</v>
      </c>
      <c r="U4391" s="20" t="s">
        <v>37</v>
      </c>
      <c r="V4391" s="21">
        <v>128</v>
      </c>
      <c r="W4391" s="21">
        <v>2</v>
      </c>
      <c r="X4391" s="22"/>
    </row>
    <row r="4392" spans="1:24" s="1" customFormat="1" ht="21.95" customHeight="1" x14ac:dyDescent="0.3">
      <c r="A4392" s="23" t="s">
        <v>3014</v>
      </c>
      <c r="B4392" s="23" t="s">
        <v>4468</v>
      </c>
      <c r="C4392" s="12" t="s">
        <v>4479</v>
      </c>
      <c r="D4392" s="85"/>
      <c r="E4392" s="69" t="str">
        <f t="shared" si="220"/>
        <v>Еще фото</v>
      </c>
      <c r="F4392" s="13"/>
      <c r="G4392" s="23" t="s">
        <v>4447</v>
      </c>
      <c r="H4392" s="23" t="s">
        <v>27</v>
      </c>
      <c r="I4392" s="23" t="s">
        <v>564</v>
      </c>
      <c r="J4392" s="14" t="s">
        <v>29</v>
      </c>
      <c r="K4392" s="15" t="s">
        <v>30</v>
      </c>
      <c r="L4392" s="88"/>
      <c r="M4392" s="14"/>
      <c r="N4392" s="14" t="s">
        <v>70</v>
      </c>
      <c r="O4392" s="14"/>
      <c r="P4392" s="15" t="s">
        <v>74</v>
      </c>
      <c r="Q4392" s="16">
        <v>2999</v>
      </c>
      <c r="R4392" s="17">
        <v>45</v>
      </c>
      <c r="S4392" s="18">
        <v>1896.8674999999998</v>
      </c>
      <c r="T4392" s="19" t="s">
        <v>117</v>
      </c>
      <c r="U4392" s="20" t="s">
        <v>290</v>
      </c>
      <c r="V4392" s="21">
        <v>140</v>
      </c>
      <c r="W4392" s="21">
        <v>3</v>
      </c>
      <c r="X4392" s="22"/>
    </row>
    <row r="4393" spans="1:24" s="1" customFormat="1" ht="26.1" customHeight="1" x14ac:dyDescent="0.3">
      <c r="A4393" s="11" t="s">
        <v>3014</v>
      </c>
      <c r="B4393" s="11" t="s">
        <v>4468</v>
      </c>
      <c r="C4393" s="12" t="s">
        <v>4480</v>
      </c>
      <c r="D4393" s="83"/>
      <c r="E4393" s="69" t="str">
        <f>HYPERLINK("https://www.google.ru/search?q=73206120-9370&amp;newwindow=1&amp;tbm=isch","Еще фото")</f>
        <v>Еще фото</v>
      </c>
      <c r="F4393" s="13"/>
      <c r="G4393" s="11" t="s">
        <v>4447</v>
      </c>
      <c r="H4393" s="11" t="s">
        <v>27</v>
      </c>
      <c r="I4393" s="14" t="s">
        <v>564</v>
      </c>
      <c r="J4393" s="14" t="s">
        <v>29</v>
      </c>
      <c r="K4393" s="15" t="s">
        <v>30</v>
      </c>
      <c r="L4393" s="86"/>
      <c r="M4393" s="14"/>
      <c r="N4393" s="14" t="s">
        <v>41</v>
      </c>
      <c r="O4393" s="14"/>
      <c r="P4393" s="15" t="s">
        <v>74</v>
      </c>
      <c r="Q4393" s="16">
        <v>2999</v>
      </c>
      <c r="R4393" s="17">
        <v>45</v>
      </c>
      <c r="S4393" s="18">
        <v>1896.8674999999998</v>
      </c>
      <c r="T4393" s="19" t="s">
        <v>117</v>
      </c>
      <c r="U4393" s="20" t="s">
        <v>43</v>
      </c>
      <c r="V4393" s="21">
        <v>110</v>
      </c>
      <c r="W4393" s="21">
        <v>2</v>
      </c>
      <c r="X4393" s="22"/>
    </row>
    <row r="4394" spans="1:24" s="1" customFormat="1" ht="26.1" customHeight="1" x14ac:dyDescent="0.3">
      <c r="A4394" s="23" t="s">
        <v>3014</v>
      </c>
      <c r="B4394" s="23" t="s">
        <v>4468</v>
      </c>
      <c r="C4394" s="12" t="s">
        <v>4480</v>
      </c>
      <c r="D4394" s="84"/>
      <c r="E4394" s="69" t="str">
        <f>HYPERLINK("https://www.google.ru/search?q=73206120-9370&amp;newwindow=1&amp;tbm=isch","Еще фото")</f>
        <v>Еще фото</v>
      </c>
      <c r="F4394" s="13"/>
      <c r="G4394" s="23" t="s">
        <v>4447</v>
      </c>
      <c r="H4394" s="23" t="s">
        <v>27</v>
      </c>
      <c r="I4394" s="23" t="s">
        <v>564</v>
      </c>
      <c r="J4394" s="14" t="s">
        <v>29</v>
      </c>
      <c r="K4394" s="15" t="s">
        <v>30</v>
      </c>
      <c r="L4394" s="87"/>
      <c r="M4394" s="14"/>
      <c r="N4394" s="14" t="s">
        <v>41</v>
      </c>
      <c r="O4394" s="14"/>
      <c r="P4394" s="15" t="s">
        <v>74</v>
      </c>
      <c r="Q4394" s="16">
        <v>2999</v>
      </c>
      <c r="R4394" s="17">
        <v>45</v>
      </c>
      <c r="S4394" s="18">
        <v>1896.8674999999998</v>
      </c>
      <c r="T4394" s="19" t="s">
        <v>117</v>
      </c>
      <c r="U4394" s="20" t="s">
        <v>35</v>
      </c>
      <c r="V4394" s="21">
        <v>116</v>
      </c>
      <c r="W4394" s="21">
        <v>2</v>
      </c>
      <c r="X4394" s="22"/>
    </row>
    <row r="4395" spans="1:24" s="1" customFormat="1" ht="26.1" customHeight="1" x14ac:dyDescent="0.3">
      <c r="A4395" s="23" t="s">
        <v>3014</v>
      </c>
      <c r="B4395" s="23" t="s">
        <v>4468</v>
      </c>
      <c r="C4395" s="12" t="s">
        <v>4480</v>
      </c>
      <c r="D4395" s="84"/>
      <c r="E4395" s="69" t="str">
        <f>HYPERLINK("https://www.google.ru/search?q=73206120-9370&amp;newwindow=1&amp;tbm=isch","Еще фото")</f>
        <v>Еще фото</v>
      </c>
      <c r="F4395" s="13"/>
      <c r="G4395" s="23" t="s">
        <v>4447</v>
      </c>
      <c r="H4395" s="23" t="s">
        <v>27</v>
      </c>
      <c r="I4395" s="23" t="s">
        <v>564</v>
      </c>
      <c r="J4395" s="14" t="s">
        <v>29</v>
      </c>
      <c r="K4395" s="15" t="s">
        <v>30</v>
      </c>
      <c r="L4395" s="87"/>
      <c r="M4395" s="14"/>
      <c r="N4395" s="14" t="s">
        <v>41</v>
      </c>
      <c r="O4395" s="14"/>
      <c r="P4395" s="15" t="s">
        <v>74</v>
      </c>
      <c r="Q4395" s="16">
        <v>2999</v>
      </c>
      <c r="R4395" s="17">
        <v>45</v>
      </c>
      <c r="S4395" s="18">
        <v>1896.8674999999998</v>
      </c>
      <c r="T4395" s="19" t="s">
        <v>117</v>
      </c>
      <c r="U4395" s="20" t="s">
        <v>91</v>
      </c>
      <c r="V4395" s="21">
        <v>134</v>
      </c>
      <c r="W4395" s="21">
        <v>2</v>
      </c>
      <c r="X4395" s="22"/>
    </row>
    <row r="4396" spans="1:24" s="1" customFormat="1" ht="26.1" customHeight="1" x14ac:dyDescent="0.3">
      <c r="A4396" s="23" t="s">
        <v>3014</v>
      </c>
      <c r="B4396" s="23" t="s">
        <v>4468</v>
      </c>
      <c r="C4396" s="12" t="s">
        <v>4480</v>
      </c>
      <c r="D4396" s="85"/>
      <c r="E4396" s="69" t="str">
        <f>HYPERLINK("https://www.google.ru/search?q=73206120-9370&amp;newwindow=1&amp;tbm=isch","Еще фото")</f>
        <v>Еще фото</v>
      </c>
      <c r="F4396" s="13"/>
      <c r="G4396" s="23" t="s">
        <v>4447</v>
      </c>
      <c r="H4396" s="23" t="s">
        <v>27</v>
      </c>
      <c r="I4396" s="23" t="s">
        <v>564</v>
      </c>
      <c r="J4396" s="14" t="s">
        <v>29</v>
      </c>
      <c r="K4396" s="15" t="s">
        <v>30</v>
      </c>
      <c r="L4396" s="88"/>
      <c r="M4396" s="14"/>
      <c r="N4396" s="14" t="s">
        <v>41</v>
      </c>
      <c r="O4396" s="14"/>
      <c r="P4396" s="15" t="s">
        <v>74</v>
      </c>
      <c r="Q4396" s="16">
        <v>2999</v>
      </c>
      <c r="R4396" s="17">
        <v>45</v>
      </c>
      <c r="S4396" s="18">
        <v>1896.8674999999998</v>
      </c>
      <c r="T4396" s="19" t="s">
        <v>117</v>
      </c>
      <c r="U4396" s="20" t="s">
        <v>290</v>
      </c>
      <c r="V4396" s="21">
        <v>140</v>
      </c>
      <c r="W4396" s="21">
        <v>2</v>
      </c>
      <c r="X4396" s="22"/>
    </row>
    <row r="4397" spans="1:24" s="1" customFormat="1" ht="35.1" customHeight="1" x14ac:dyDescent="0.3">
      <c r="A4397" s="11" t="s">
        <v>3304</v>
      </c>
      <c r="B4397" s="11" t="s">
        <v>4481</v>
      </c>
      <c r="C4397" s="12" t="s">
        <v>4482</v>
      </c>
      <c r="D4397" s="83"/>
      <c r="E4397" s="69" t="str">
        <f>HYPERLINK("https://www.google.ru/search?q=6128TL2002-203&amp;newwindow=1&amp;tbm=isch","Еще фото")</f>
        <v>Еще фото</v>
      </c>
      <c r="F4397" s="13"/>
      <c r="G4397" s="11" t="s">
        <v>574</v>
      </c>
      <c r="H4397" s="11" t="s">
        <v>27</v>
      </c>
      <c r="I4397" s="14" t="s">
        <v>569</v>
      </c>
      <c r="J4397" s="14" t="s">
        <v>29</v>
      </c>
      <c r="K4397" s="15" t="s">
        <v>47</v>
      </c>
      <c r="L4397" s="86" t="s">
        <v>4483</v>
      </c>
      <c r="M4397" s="14"/>
      <c r="N4397" s="14" t="s">
        <v>265</v>
      </c>
      <c r="O4397" s="14"/>
      <c r="P4397" s="15" t="s">
        <v>4484</v>
      </c>
      <c r="Q4397" s="16">
        <v>5350</v>
      </c>
      <c r="R4397" s="17">
        <v>90.7</v>
      </c>
      <c r="S4397" s="29">
        <v>572.43549999999993</v>
      </c>
      <c r="T4397" s="19" t="s">
        <v>328</v>
      </c>
      <c r="U4397" s="20" t="s">
        <v>58</v>
      </c>
      <c r="V4397" s="25" t="s">
        <v>67</v>
      </c>
      <c r="W4397" s="21">
        <v>2</v>
      </c>
      <c r="X4397" s="22"/>
    </row>
    <row r="4398" spans="1:24" s="1" customFormat="1" ht="35.1" customHeight="1" x14ac:dyDescent="0.3">
      <c r="A4398" s="23" t="s">
        <v>3304</v>
      </c>
      <c r="B4398" s="23" t="s">
        <v>4481</v>
      </c>
      <c r="C4398" s="12" t="s">
        <v>4482</v>
      </c>
      <c r="D4398" s="84"/>
      <c r="E4398" s="69" t="str">
        <f>HYPERLINK("https://www.google.ru/search?q=6128TL2002-203&amp;newwindow=1&amp;tbm=isch","Еще фото")</f>
        <v>Еще фото</v>
      </c>
      <c r="F4398" s="13"/>
      <c r="G4398" s="23" t="s">
        <v>574</v>
      </c>
      <c r="H4398" s="23" t="s">
        <v>27</v>
      </c>
      <c r="I4398" s="23" t="s">
        <v>569</v>
      </c>
      <c r="J4398" s="14" t="s">
        <v>29</v>
      </c>
      <c r="K4398" s="15" t="s">
        <v>47</v>
      </c>
      <c r="L4398" s="87"/>
      <c r="M4398" s="14"/>
      <c r="N4398" s="14" t="s">
        <v>265</v>
      </c>
      <c r="O4398" s="14"/>
      <c r="P4398" s="15" t="s">
        <v>4484</v>
      </c>
      <c r="Q4398" s="16">
        <v>5350</v>
      </c>
      <c r="R4398" s="17">
        <v>90.7</v>
      </c>
      <c r="S4398" s="29">
        <v>572.43549999999993</v>
      </c>
      <c r="T4398" s="19" t="s">
        <v>328</v>
      </c>
      <c r="U4398" s="20" t="s">
        <v>52</v>
      </c>
      <c r="V4398" s="25" t="s">
        <v>68</v>
      </c>
      <c r="W4398" s="21">
        <v>2</v>
      </c>
      <c r="X4398" s="22"/>
    </row>
    <row r="4399" spans="1:24" s="1" customFormat="1" ht="36.950000000000003" customHeight="1" x14ac:dyDescent="0.3">
      <c r="A4399" s="23" t="s">
        <v>3304</v>
      </c>
      <c r="B4399" s="23" t="s">
        <v>4481</v>
      </c>
      <c r="C4399" s="12" t="s">
        <v>4482</v>
      </c>
      <c r="D4399" s="85"/>
      <c r="E4399" s="69" t="str">
        <f>HYPERLINK("https://www.google.ru/search?q=6128TL2002-203&amp;newwindow=1&amp;tbm=isch","Еще фото")</f>
        <v>Еще фото</v>
      </c>
      <c r="F4399" s="13"/>
      <c r="G4399" s="23" t="s">
        <v>574</v>
      </c>
      <c r="H4399" s="23" t="s">
        <v>27</v>
      </c>
      <c r="I4399" s="23" t="s">
        <v>569</v>
      </c>
      <c r="J4399" s="14" t="s">
        <v>29</v>
      </c>
      <c r="K4399" s="15" t="s">
        <v>47</v>
      </c>
      <c r="L4399" s="88"/>
      <c r="M4399" s="14"/>
      <c r="N4399" s="14" t="s">
        <v>265</v>
      </c>
      <c r="O4399" s="14"/>
      <c r="P4399" s="15" t="s">
        <v>4484</v>
      </c>
      <c r="Q4399" s="16">
        <v>5350</v>
      </c>
      <c r="R4399" s="17">
        <v>90.7</v>
      </c>
      <c r="S4399" s="29">
        <v>572.43549999999993</v>
      </c>
      <c r="T4399" s="19" t="s">
        <v>328</v>
      </c>
      <c r="U4399" s="20" t="s">
        <v>3308</v>
      </c>
      <c r="V4399" s="25" t="s">
        <v>53</v>
      </c>
      <c r="W4399" s="21">
        <v>1</v>
      </c>
      <c r="X4399" s="22"/>
    </row>
    <row r="4400" spans="1:24" s="1" customFormat="1" ht="108" customHeight="1" x14ac:dyDescent="0.3">
      <c r="A4400" s="11" t="s">
        <v>2936</v>
      </c>
      <c r="B4400" s="11" t="s">
        <v>4485</v>
      </c>
      <c r="C4400" s="12" t="s">
        <v>4486</v>
      </c>
      <c r="D4400" s="24"/>
      <c r="E4400" s="69" t="str">
        <f>HYPERLINK("https://www.google.ru/search?q=TB20WL11W8785-1-1672&amp;newwindow=1&amp;tbm=isch","Еще фото")</f>
        <v>Еще фото</v>
      </c>
      <c r="F4400" s="13"/>
      <c r="G4400" s="11" t="s">
        <v>4487</v>
      </c>
      <c r="H4400" s="11" t="s">
        <v>27</v>
      </c>
      <c r="I4400" s="14" t="s">
        <v>569</v>
      </c>
      <c r="J4400" s="14" t="s">
        <v>29</v>
      </c>
      <c r="K4400" s="15" t="s">
        <v>47</v>
      </c>
      <c r="L4400" s="14" t="s">
        <v>4488</v>
      </c>
      <c r="M4400" s="14" t="s">
        <v>73</v>
      </c>
      <c r="N4400" s="14" t="s">
        <v>313</v>
      </c>
      <c r="O4400" s="14"/>
      <c r="P4400" s="15" t="s">
        <v>2264</v>
      </c>
      <c r="Q4400" s="16">
        <v>3599</v>
      </c>
      <c r="R4400" s="17">
        <v>90.34</v>
      </c>
      <c r="S4400" s="29">
        <v>399.93549999999993</v>
      </c>
      <c r="T4400" s="19" t="s">
        <v>328</v>
      </c>
      <c r="U4400" s="20" t="s">
        <v>64</v>
      </c>
      <c r="V4400" s="25" t="s">
        <v>65</v>
      </c>
      <c r="W4400" s="21">
        <v>1</v>
      </c>
      <c r="X4400" s="22"/>
    </row>
    <row r="4401" spans="1:24" s="1" customFormat="1" ht="108" customHeight="1" x14ac:dyDescent="0.3">
      <c r="A4401" s="11" t="s">
        <v>2936</v>
      </c>
      <c r="B4401" s="11" t="s">
        <v>4485</v>
      </c>
      <c r="C4401" s="12" t="s">
        <v>4489</v>
      </c>
      <c r="D4401" s="24"/>
      <c r="E4401" s="69" t="str">
        <f>HYPERLINK("https://www.google.ru/search?q=TB20WL11W8785-1-1359&amp;newwindow=1&amp;tbm=isch","Еще фото")</f>
        <v>Еще фото</v>
      </c>
      <c r="F4401" s="13"/>
      <c r="G4401" s="11" t="s">
        <v>4487</v>
      </c>
      <c r="H4401" s="11" t="s">
        <v>27</v>
      </c>
      <c r="I4401" s="14" t="s">
        <v>569</v>
      </c>
      <c r="J4401" s="14" t="s">
        <v>406</v>
      </c>
      <c r="K4401" s="15" t="s">
        <v>47</v>
      </c>
      <c r="L4401" s="14" t="s">
        <v>4490</v>
      </c>
      <c r="M4401" s="14" t="s">
        <v>73</v>
      </c>
      <c r="N4401" s="14" t="s">
        <v>242</v>
      </c>
      <c r="O4401" s="14"/>
      <c r="P4401" s="15" t="s">
        <v>2264</v>
      </c>
      <c r="Q4401" s="16">
        <v>3699</v>
      </c>
      <c r="R4401" s="17">
        <v>88.71</v>
      </c>
      <c r="S4401" s="29">
        <v>480.43549999999993</v>
      </c>
      <c r="T4401" s="19" t="s">
        <v>328</v>
      </c>
      <c r="U4401" s="20" t="s">
        <v>354</v>
      </c>
      <c r="V4401" s="25" t="s">
        <v>355</v>
      </c>
      <c r="W4401" s="21">
        <v>1</v>
      </c>
      <c r="X4401" s="22"/>
    </row>
    <row r="4402" spans="1:24" s="1" customFormat="1" ht="35.1" customHeight="1" x14ac:dyDescent="0.3">
      <c r="A4402" s="11" t="s">
        <v>2936</v>
      </c>
      <c r="B4402" s="11" t="s">
        <v>4491</v>
      </c>
      <c r="C4402" s="12" t="s">
        <v>4492</v>
      </c>
      <c r="D4402" s="83"/>
      <c r="E4402" s="69" t="str">
        <f>HYPERLINK("https://www.google.ru/search?q=TB23ML01W1533-1-1001&amp;newwindow=1&amp;tbm=isch","Еще фото")</f>
        <v>Еще фото</v>
      </c>
      <c r="F4402" s="13"/>
      <c r="G4402" s="11" t="s">
        <v>4493</v>
      </c>
      <c r="H4402" s="11" t="s">
        <v>27</v>
      </c>
      <c r="I4402" s="14" t="s">
        <v>569</v>
      </c>
      <c r="J4402" s="14" t="s">
        <v>29</v>
      </c>
      <c r="K4402" s="15" t="s">
        <v>55</v>
      </c>
      <c r="L4402" s="86" t="s">
        <v>4494</v>
      </c>
      <c r="M4402" s="14"/>
      <c r="N4402" s="14" t="s">
        <v>49</v>
      </c>
      <c r="O4402" s="14" t="s">
        <v>2798</v>
      </c>
      <c r="P4402" s="15" t="s">
        <v>797</v>
      </c>
      <c r="Q4402" s="16">
        <v>7599</v>
      </c>
      <c r="R4402" s="17">
        <v>84.24</v>
      </c>
      <c r="S4402" s="18">
        <v>1377.4354999999998</v>
      </c>
      <c r="T4402" s="19" t="s">
        <v>328</v>
      </c>
      <c r="U4402" s="20" t="s">
        <v>64</v>
      </c>
      <c r="V4402" s="25" t="s">
        <v>68</v>
      </c>
      <c r="W4402" s="21">
        <v>2</v>
      </c>
      <c r="X4402" s="22"/>
    </row>
    <row r="4403" spans="1:24" s="1" customFormat="1" ht="35.1" customHeight="1" x14ac:dyDescent="0.3">
      <c r="A4403" s="23" t="s">
        <v>2936</v>
      </c>
      <c r="B4403" s="23" t="s">
        <v>4491</v>
      </c>
      <c r="C4403" s="12" t="s">
        <v>4492</v>
      </c>
      <c r="D4403" s="84"/>
      <c r="E4403" s="69" t="str">
        <f>HYPERLINK("https://www.google.ru/search?q=TB23ML01W1533-1-1001&amp;newwindow=1&amp;tbm=isch","Еще фото")</f>
        <v>Еще фото</v>
      </c>
      <c r="F4403" s="13"/>
      <c r="G4403" s="23" t="s">
        <v>4493</v>
      </c>
      <c r="H4403" s="23" t="s">
        <v>27</v>
      </c>
      <c r="I4403" s="23" t="s">
        <v>569</v>
      </c>
      <c r="J4403" s="14" t="s">
        <v>29</v>
      </c>
      <c r="K4403" s="15" t="s">
        <v>55</v>
      </c>
      <c r="L4403" s="87"/>
      <c r="M4403" s="14"/>
      <c r="N4403" s="14" t="s">
        <v>49</v>
      </c>
      <c r="O4403" s="14" t="s">
        <v>2798</v>
      </c>
      <c r="P4403" s="15" t="s">
        <v>797</v>
      </c>
      <c r="Q4403" s="16">
        <v>7599</v>
      </c>
      <c r="R4403" s="17">
        <v>84.24</v>
      </c>
      <c r="S4403" s="18">
        <v>1377.4354999999998</v>
      </c>
      <c r="T4403" s="19" t="s">
        <v>328</v>
      </c>
      <c r="U4403" s="20" t="s">
        <v>66</v>
      </c>
      <c r="V4403" s="25" t="s">
        <v>53</v>
      </c>
      <c r="W4403" s="21">
        <v>6</v>
      </c>
      <c r="X4403" s="22"/>
    </row>
    <row r="4404" spans="1:24" s="1" customFormat="1" ht="36.950000000000003" customHeight="1" x14ac:dyDescent="0.3">
      <c r="A4404" s="23" t="s">
        <v>2936</v>
      </c>
      <c r="B4404" s="23" t="s">
        <v>4491</v>
      </c>
      <c r="C4404" s="12" t="s">
        <v>4492</v>
      </c>
      <c r="D4404" s="85"/>
      <c r="E4404" s="69" t="str">
        <f>HYPERLINK("https://www.google.ru/search?q=TB23ML01W1533-1-1001&amp;newwindow=1&amp;tbm=isch","Еще фото")</f>
        <v>Еще фото</v>
      </c>
      <c r="F4404" s="13"/>
      <c r="G4404" s="23" t="s">
        <v>4493</v>
      </c>
      <c r="H4404" s="23" t="s">
        <v>27</v>
      </c>
      <c r="I4404" s="23" t="s">
        <v>569</v>
      </c>
      <c r="J4404" s="14" t="s">
        <v>29</v>
      </c>
      <c r="K4404" s="15" t="s">
        <v>55</v>
      </c>
      <c r="L4404" s="88"/>
      <c r="M4404" s="14"/>
      <c r="N4404" s="14" t="s">
        <v>49</v>
      </c>
      <c r="O4404" s="14" t="s">
        <v>2798</v>
      </c>
      <c r="P4404" s="15" t="s">
        <v>797</v>
      </c>
      <c r="Q4404" s="16">
        <v>7599</v>
      </c>
      <c r="R4404" s="17">
        <v>84.24</v>
      </c>
      <c r="S4404" s="18">
        <v>1377.4354999999998</v>
      </c>
      <c r="T4404" s="19" t="s">
        <v>328</v>
      </c>
      <c r="U4404" s="20" t="s">
        <v>52</v>
      </c>
      <c r="V4404" s="25" t="s">
        <v>60</v>
      </c>
      <c r="W4404" s="21">
        <v>4</v>
      </c>
      <c r="X4404" s="22"/>
    </row>
    <row r="4405" spans="1:24" s="1" customFormat="1" ht="108" customHeight="1" x14ac:dyDescent="0.3">
      <c r="A4405" s="11" t="s">
        <v>2936</v>
      </c>
      <c r="B4405" s="11" t="s">
        <v>4495</v>
      </c>
      <c r="C4405" s="12" t="s">
        <v>4496</v>
      </c>
      <c r="D4405" s="24"/>
      <c r="E4405" s="69" t="str">
        <f>HYPERLINK("https://www.google.ru/search?q=TB19MA17W1268-1-1005&amp;newwindow=1&amp;tbm=isch","Еще фото")</f>
        <v>Еще фото</v>
      </c>
      <c r="F4405" s="13"/>
      <c r="G4405" s="11" t="s">
        <v>332</v>
      </c>
      <c r="H4405" s="11" t="s">
        <v>27</v>
      </c>
      <c r="I4405" s="14" t="s">
        <v>569</v>
      </c>
      <c r="J4405" s="14" t="s">
        <v>406</v>
      </c>
      <c r="K4405" s="15" t="s">
        <v>55</v>
      </c>
      <c r="L4405" s="14" t="s">
        <v>4497</v>
      </c>
      <c r="M4405" s="14"/>
      <c r="N4405" s="14" t="s">
        <v>41</v>
      </c>
      <c r="O4405" s="14"/>
      <c r="P4405" s="15" t="s">
        <v>108</v>
      </c>
      <c r="Q4405" s="16">
        <v>8299</v>
      </c>
      <c r="R4405" s="17">
        <v>83.16</v>
      </c>
      <c r="S4405" s="18">
        <v>1607.4354999999998</v>
      </c>
      <c r="T4405" s="19" t="s">
        <v>328</v>
      </c>
      <c r="U4405" s="20" t="s">
        <v>596</v>
      </c>
      <c r="V4405" s="25" t="s">
        <v>1159</v>
      </c>
      <c r="W4405" s="21">
        <v>2</v>
      </c>
      <c r="X4405" s="22"/>
    </row>
    <row r="4406" spans="1:24" s="1" customFormat="1" ht="14.1" customHeight="1" x14ac:dyDescent="0.3">
      <c r="A4406" s="11" t="s">
        <v>2957</v>
      </c>
      <c r="B4406" s="11" t="s">
        <v>4498</v>
      </c>
      <c r="C4406" s="12" t="s">
        <v>4499</v>
      </c>
      <c r="D4406" s="83"/>
      <c r="E4406" s="69" t="str">
        <f t="shared" ref="E4406:E4412" si="221">HYPERLINK("https://www.google.ru/search?q=531447-4460&amp;newwindow=1&amp;tbm=isch","Еще фото")</f>
        <v>Еще фото</v>
      </c>
      <c r="F4406" s="13"/>
      <c r="G4406" s="11" t="s">
        <v>4500</v>
      </c>
      <c r="H4406" s="11" t="s">
        <v>27</v>
      </c>
      <c r="I4406" s="14" t="s">
        <v>569</v>
      </c>
      <c r="J4406" s="14" t="s">
        <v>29</v>
      </c>
      <c r="K4406" s="15" t="s">
        <v>30</v>
      </c>
      <c r="L4406" s="86" t="s">
        <v>4501</v>
      </c>
      <c r="M4406" s="14"/>
      <c r="N4406" s="14" t="s">
        <v>275</v>
      </c>
      <c r="O4406" s="14"/>
      <c r="P4406" s="15" t="s">
        <v>4502</v>
      </c>
      <c r="Q4406" s="16">
        <v>4199</v>
      </c>
      <c r="R4406" s="17">
        <v>79.81</v>
      </c>
      <c r="S4406" s="29">
        <v>974.93549999999993</v>
      </c>
      <c r="T4406" s="19" t="s">
        <v>117</v>
      </c>
      <c r="U4406" s="20" t="s">
        <v>35</v>
      </c>
      <c r="V4406" s="21">
        <v>116</v>
      </c>
      <c r="W4406" s="21">
        <v>1</v>
      </c>
      <c r="X4406" s="22"/>
    </row>
    <row r="4407" spans="1:24" s="1" customFormat="1" ht="14.1" customHeight="1" x14ac:dyDescent="0.3">
      <c r="A4407" s="23" t="s">
        <v>2957</v>
      </c>
      <c r="B4407" s="23" t="s">
        <v>4498</v>
      </c>
      <c r="C4407" s="12" t="s">
        <v>4499</v>
      </c>
      <c r="D4407" s="84"/>
      <c r="E4407" s="69" t="str">
        <f t="shared" si="221"/>
        <v>Еще фото</v>
      </c>
      <c r="F4407" s="13"/>
      <c r="G4407" s="23" t="s">
        <v>4500</v>
      </c>
      <c r="H4407" s="23" t="s">
        <v>27</v>
      </c>
      <c r="I4407" s="23" t="s">
        <v>569</v>
      </c>
      <c r="J4407" s="14" t="s">
        <v>29</v>
      </c>
      <c r="K4407" s="15" t="s">
        <v>30</v>
      </c>
      <c r="L4407" s="87"/>
      <c r="M4407" s="14"/>
      <c r="N4407" s="14" t="s">
        <v>275</v>
      </c>
      <c r="O4407" s="14"/>
      <c r="P4407" s="15" t="s">
        <v>4502</v>
      </c>
      <c r="Q4407" s="16">
        <v>4199</v>
      </c>
      <c r="R4407" s="17">
        <v>79.81</v>
      </c>
      <c r="S4407" s="29">
        <v>974.93549999999993</v>
      </c>
      <c r="T4407" s="19" t="s">
        <v>117</v>
      </c>
      <c r="U4407" s="20" t="s">
        <v>37</v>
      </c>
      <c r="V4407" s="21">
        <v>128</v>
      </c>
      <c r="W4407" s="21">
        <v>3</v>
      </c>
      <c r="X4407" s="22"/>
    </row>
    <row r="4408" spans="1:24" s="1" customFormat="1" ht="14.1" customHeight="1" x14ac:dyDescent="0.3">
      <c r="A4408" s="23" t="s">
        <v>2957</v>
      </c>
      <c r="B4408" s="23" t="s">
        <v>4498</v>
      </c>
      <c r="C4408" s="12" t="s">
        <v>4499</v>
      </c>
      <c r="D4408" s="84"/>
      <c r="E4408" s="69" t="str">
        <f t="shared" si="221"/>
        <v>Еще фото</v>
      </c>
      <c r="F4408" s="13"/>
      <c r="G4408" s="23" t="s">
        <v>4500</v>
      </c>
      <c r="H4408" s="23" t="s">
        <v>27</v>
      </c>
      <c r="I4408" s="23" t="s">
        <v>569</v>
      </c>
      <c r="J4408" s="14" t="s">
        <v>29</v>
      </c>
      <c r="K4408" s="15" t="s">
        <v>30</v>
      </c>
      <c r="L4408" s="87"/>
      <c r="M4408" s="14"/>
      <c r="N4408" s="14" t="s">
        <v>275</v>
      </c>
      <c r="O4408" s="14"/>
      <c r="P4408" s="15" t="s">
        <v>4502</v>
      </c>
      <c r="Q4408" s="16">
        <v>4199</v>
      </c>
      <c r="R4408" s="17">
        <v>79.81</v>
      </c>
      <c r="S4408" s="29">
        <v>974.93549999999993</v>
      </c>
      <c r="T4408" s="19" t="s">
        <v>117</v>
      </c>
      <c r="U4408" s="20" t="s">
        <v>91</v>
      </c>
      <c r="V4408" s="21">
        <v>134</v>
      </c>
      <c r="W4408" s="21">
        <v>5</v>
      </c>
      <c r="X4408" s="22"/>
    </row>
    <row r="4409" spans="1:24" s="1" customFormat="1" ht="14.1" customHeight="1" x14ac:dyDescent="0.3">
      <c r="A4409" s="23" t="s">
        <v>2957</v>
      </c>
      <c r="B4409" s="23" t="s">
        <v>4498</v>
      </c>
      <c r="C4409" s="12" t="s">
        <v>4499</v>
      </c>
      <c r="D4409" s="84"/>
      <c r="E4409" s="69" t="str">
        <f t="shared" si="221"/>
        <v>Еще фото</v>
      </c>
      <c r="F4409" s="13"/>
      <c r="G4409" s="23" t="s">
        <v>4500</v>
      </c>
      <c r="H4409" s="23" t="s">
        <v>27</v>
      </c>
      <c r="I4409" s="23" t="s">
        <v>569</v>
      </c>
      <c r="J4409" s="14" t="s">
        <v>29</v>
      </c>
      <c r="K4409" s="15" t="s">
        <v>30</v>
      </c>
      <c r="L4409" s="87"/>
      <c r="M4409" s="14"/>
      <c r="N4409" s="14" t="s">
        <v>275</v>
      </c>
      <c r="O4409" s="14"/>
      <c r="P4409" s="15" t="s">
        <v>4502</v>
      </c>
      <c r="Q4409" s="16">
        <v>4199</v>
      </c>
      <c r="R4409" s="17">
        <v>79.81</v>
      </c>
      <c r="S4409" s="29">
        <v>974.93549999999993</v>
      </c>
      <c r="T4409" s="19" t="s">
        <v>117</v>
      </c>
      <c r="U4409" s="20" t="s">
        <v>290</v>
      </c>
      <c r="V4409" s="21">
        <v>140</v>
      </c>
      <c r="W4409" s="21">
        <v>1</v>
      </c>
      <c r="X4409" s="22"/>
    </row>
    <row r="4410" spans="1:24" s="1" customFormat="1" ht="14.1" customHeight="1" x14ac:dyDescent="0.3">
      <c r="A4410" s="23" t="s">
        <v>2957</v>
      </c>
      <c r="B4410" s="23" t="s">
        <v>4498</v>
      </c>
      <c r="C4410" s="12" t="s">
        <v>4499</v>
      </c>
      <c r="D4410" s="84"/>
      <c r="E4410" s="69" t="str">
        <f t="shared" si="221"/>
        <v>Еще фото</v>
      </c>
      <c r="F4410" s="13"/>
      <c r="G4410" s="23" t="s">
        <v>4500</v>
      </c>
      <c r="H4410" s="23" t="s">
        <v>27</v>
      </c>
      <c r="I4410" s="23" t="s">
        <v>569</v>
      </c>
      <c r="J4410" s="14" t="s">
        <v>29</v>
      </c>
      <c r="K4410" s="15" t="s">
        <v>30</v>
      </c>
      <c r="L4410" s="87"/>
      <c r="M4410" s="14"/>
      <c r="N4410" s="14" t="s">
        <v>275</v>
      </c>
      <c r="O4410" s="14"/>
      <c r="P4410" s="15" t="s">
        <v>4502</v>
      </c>
      <c r="Q4410" s="16">
        <v>4199</v>
      </c>
      <c r="R4410" s="17">
        <v>79.81</v>
      </c>
      <c r="S4410" s="29">
        <v>974.93549999999993</v>
      </c>
      <c r="T4410" s="19" t="s">
        <v>117</v>
      </c>
      <c r="U4410" s="20" t="s">
        <v>2993</v>
      </c>
      <c r="V4410" s="21">
        <v>146</v>
      </c>
      <c r="W4410" s="21">
        <v>5</v>
      </c>
      <c r="X4410" s="22"/>
    </row>
    <row r="4411" spans="1:24" s="1" customFormat="1" ht="14.1" customHeight="1" x14ac:dyDescent="0.3">
      <c r="A4411" s="23" t="s">
        <v>2957</v>
      </c>
      <c r="B4411" s="23" t="s">
        <v>4498</v>
      </c>
      <c r="C4411" s="12" t="s">
        <v>4499</v>
      </c>
      <c r="D4411" s="84"/>
      <c r="E4411" s="69" t="str">
        <f t="shared" si="221"/>
        <v>Еще фото</v>
      </c>
      <c r="F4411" s="13"/>
      <c r="G4411" s="23" t="s">
        <v>4500</v>
      </c>
      <c r="H4411" s="23" t="s">
        <v>27</v>
      </c>
      <c r="I4411" s="23" t="s">
        <v>569</v>
      </c>
      <c r="J4411" s="14" t="s">
        <v>29</v>
      </c>
      <c r="K4411" s="15" t="s">
        <v>30</v>
      </c>
      <c r="L4411" s="87"/>
      <c r="M4411" s="14"/>
      <c r="N4411" s="14" t="s">
        <v>275</v>
      </c>
      <c r="O4411" s="14"/>
      <c r="P4411" s="15" t="s">
        <v>4502</v>
      </c>
      <c r="Q4411" s="16">
        <v>4199</v>
      </c>
      <c r="R4411" s="17">
        <v>79.81</v>
      </c>
      <c r="S4411" s="29">
        <v>974.93549999999993</v>
      </c>
      <c r="T4411" s="19" t="s">
        <v>117</v>
      </c>
      <c r="U4411" s="20" t="s">
        <v>2160</v>
      </c>
      <c r="V4411" s="21">
        <v>152</v>
      </c>
      <c r="W4411" s="21">
        <v>6</v>
      </c>
      <c r="X4411" s="22"/>
    </row>
    <row r="4412" spans="1:24" s="1" customFormat="1" ht="17.100000000000001" customHeight="1" x14ac:dyDescent="0.3">
      <c r="A4412" s="23" t="s">
        <v>2957</v>
      </c>
      <c r="B4412" s="23" t="s">
        <v>4498</v>
      </c>
      <c r="C4412" s="12" t="s">
        <v>4499</v>
      </c>
      <c r="D4412" s="85"/>
      <c r="E4412" s="69" t="str">
        <f t="shared" si="221"/>
        <v>Еще фото</v>
      </c>
      <c r="F4412" s="13"/>
      <c r="G4412" s="23" t="s">
        <v>4500</v>
      </c>
      <c r="H4412" s="23" t="s">
        <v>27</v>
      </c>
      <c r="I4412" s="23" t="s">
        <v>569</v>
      </c>
      <c r="J4412" s="14" t="s">
        <v>29</v>
      </c>
      <c r="K4412" s="15" t="s">
        <v>30</v>
      </c>
      <c r="L4412" s="88"/>
      <c r="M4412" s="14"/>
      <c r="N4412" s="14" t="s">
        <v>275</v>
      </c>
      <c r="O4412" s="14"/>
      <c r="P4412" s="15" t="s">
        <v>4502</v>
      </c>
      <c r="Q4412" s="16">
        <v>4199</v>
      </c>
      <c r="R4412" s="17">
        <v>79.81</v>
      </c>
      <c r="S4412" s="29">
        <v>974.93549999999993</v>
      </c>
      <c r="T4412" s="19" t="s">
        <v>117</v>
      </c>
      <c r="U4412" s="20" t="s">
        <v>3088</v>
      </c>
      <c r="V4412" s="21">
        <v>158</v>
      </c>
      <c r="W4412" s="21">
        <v>6</v>
      </c>
      <c r="X4412" s="22"/>
    </row>
    <row r="4413" spans="1:24" s="1" customFormat="1" ht="12.95" customHeight="1" x14ac:dyDescent="0.3">
      <c r="A4413" s="11" t="s">
        <v>2957</v>
      </c>
      <c r="B4413" s="11" t="s">
        <v>572</v>
      </c>
      <c r="C4413" s="12" t="s">
        <v>4503</v>
      </c>
      <c r="D4413" s="83"/>
      <c r="E4413" s="69" t="str">
        <f t="shared" ref="E4413:E4420" si="222">HYPERLINK("https://www.google.ru/search?q=5200004A-4010&amp;newwindow=1&amp;tbm=isch","Еще фото")</f>
        <v>Еще фото</v>
      </c>
      <c r="F4413" s="13"/>
      <c r="G4413" s="11" t="s">
        <v>574</v>
      </c>
      <c r="H4413" s="11" t="s">
        <v>27</v>
      </c>
      <c r="I4413" s="14" t="s">
        <v>569</v>
      </c>
      <c r="J4413" s="14" t="s">
        <v>138</v>
      </c>
      <c r="K4413" s="15" t="s">
        <v>30</v>
      </c>
      <c r="L4413" s="86" t="s">
        <v>4504</v>
      </c>
      <c r="M4413" s="14"/>
      <c r="N4413" s="14" t="s">
        <v>275</v>
      </c>
      <c r="O4413" s="14"/>
      <c r="P4413" s="15" t="s">
        <v>2678</v>
      </c>
      <c r="Q4413" s="16">
        <v>4899</v>
      </c>
      <c r="R4413" s="17">
        <v>79.63</v>
      </c>
      <c r="S4413" s="29">
        <v>1147.4354999999998</v>
      </c>
      <c r="T4413" s="19" t="s">
        <v>117</v>
      </c>
      <c r="U4413" s="26" t="s">
        <v>35</v>
      </c>
      <c r="V4413" s="21">
        <v>116</v>
      </c>
      <c r="W4413" s="21">
        <v>3</v>
      </c>
      <c r="X4413" s="22"/>
    </row>
    <row r="4414" spans="1:24" s="1" customFormat="1" ht="12.95" customHeight="1" x14ac:dyDescent="0.3">
      <c r="A4414" s="23" t="s">
        <v>2957</v>
      </c>
      <c r="B4414" s="23" t="s">
        <v>572</v>
      </c>
      <c r="C4414" s="12" t="s">
        <v>4503</v>
      </c>
      <c r="D4414" s="84"/>
      <c r="E4414" s="69" t="str">
        <f t="shared" si="222"/>
        <v>Еще фото</v>
      </c>
      <c r="F4414" s="13"/>
      <c r="G4414" s="23" t="s">
        <v>574</v>
      </c>
      <c r="H4414" s="23" t="s">
        <v>27</v>
      </c>
      <c r="I4414" s="23" t="s">
        <v>569</v>
      </c>
      <c r="J4414" s="14" t="s">
        <v>138</v>
      </c>
      <c r="K4414" s="15" t="s">
        <v>30</v>
      </c>
      <c r="L4414" s="87"/>
      <c r="M4414" s="14"/>
      <c r="N4414" s="14" t="s">
        <v>275</v>
      </c>
      <c r="O4414" s="14"/>
      <c r="P4414" s="15" t="s">
        <v>2678</v>
      </c>
      <c r="Q4414" s="16">
        <v>4899</v>
      </c>
      <c r="R4414" s="17">
        <v>79.63</v>
      </c>
      <c r="S4414" s="29">
        <v>1147.4354999999998</v>
      </c>
      <c r="T4414" s="19" t="s">
        <v>117</v>
      </c>
      <c r="U4414" s="20" t="s">
        <v>36</v>
      </c>
      <c r="V4414" s="21">
        <v>122</v>
      </c>
      <c r="W4414" s="21">
        <v>2</v>
      </c>
      <c r="X4414" s="22"/>
    </row>
    <row r="4415" spans="1:24" s="1" customFormat="1" ht="12.95" customHeight="1" x14ac:dyDescent="0.3">
      <c r="A4415" s="23" t="s">
        <v>2957</v>
      </c>
      <c r="B4415" s="23" t="s">
        <v>572</v>
      </c>
      <c r="C4415" s="12" t="s">
        <v>4503</v>
      </c>
      <c r="D4415" s="84"/>
      <c r="E4415" s="69" t="str">
        <f t="shared" si="222"/>
        <v>Еще фото</v>
      </c>
      <c r="F4415" s="13"/>
      <c r="G4415" s="23" t="s">
        <v>574</v>
      </c>
      <c r="H4415" s="23" t="s">
        <v>27</v>
      </c>
      <c r="I4415" s="23" t="s">
        <v>569</v>
      </c>
      <c r="J4415" s="14" t="s">
        <v>138</v>
      </c>
      <c r="K4415" s="15" t="s">
        <v>30</v>
      </c>
      <c r="L4415" s="87"/>
      <c r="M4415" s="14"/>
      <c r="N4415" s="14" t="s">
        <v>275</v>
      </c>
      <c r="O4415" s="14"/>
      <c r="P4415" s="15" t="s">
        <v>2678</v>
      </c>
      <c r="Q4415" s="16">
        <v>4899</v>
      </c>
      <c r="R4415" s="17">
        <v>79.63</v>
      </c>
      <c r="S4415" s="29">
        <v>1147.4354999999998</v>
      </c>
      <c r="T4415" s="19" t="s">
        <v>117</v>
      </c>
      <c r="U4415" s="20" t="s">
        <v>37</v>
      </c>
      <c r="V4415" s="21">
        <v>128</v>
      </c>
      <c r="W4415" s="21">
        <v>4</v>
      </c>
      <c r="X4415" s="22"/>
    </row>
    <row r="4416" spans="1:24" s="1" customFormat="1" ht="12.95" customHeight="1" x14ac:dyDescent="0.3">
      <c r="A4416" s="23" t="s">
        <v>2957</v>
      </c>
      <c r="B4416" s="23" t="s">
        <v>572</v>
      </c>
      <c r="C4416" s="12" t="s">
        <v>4503</v>
      </c>
      <c r="D4416" s="84"/>
      <c r="E4416" s="69" t="str">
        <f t="shared" si="222"/>
        <v>Еще фото</v>
      </c>
      <c r="F4416" s="13"/>
      <c r="G4416" s="23" t="s">
        <v>574</v>
      </c>
      <c r="H4416" s="23" t="s">
        <v>27</v>
      </c>
      <c r="I4416" s="23" t="s">
        <v>569</v>
      </c>
      <c r="J4416" s="14" t="s">
        <v>138</v>
      </c>
      <c r="K4416" s="15" t="s">
        <v>30</v>
      </c>
      <c r="L4416" s="87"/>
      <c r="M4416" s="14"/>
      <c r="N4416" s="14" t="s">
        <v>275</v>
      </c>
      <c r="O4416" s="14"/>
      <c r="P4416" s="15" t="s">
        <v>2678</v>
      </c>
      <c r="Q4416" s="16">
        <v>4899</v>
      </c>
      <c r="R4416" s="17">
        <v>79.63</v>
      </c>
      <c r="S4416" s="29">
        <v>1147.4354999999998</v>
      </c>
      <c r="T4416" s="19" t="s">
        <v>117</v>
      </c>
      <c r="U4416" s="20" t="s">
        <v>91</v>
      </c>
      <c r="V4416" s="21">
        <v>134</v>
      </c>
      <c r="W4416" s="21">
        <v>4</v>
      </c>
      <c r="X4416" s="22"/>
    </row>
    <row r="4417" spans="1:24" s="1" customFormat="1" ht="12.95" customHeight="1" x14ac:dyDescent="0.3">
      <c r="A4417" s="23" t="s">
        <v>2957</v>
      </c>
      <c r="B4417" s="23" t="s">
        <v>572</v>
      </c>
      <c r="C4417" s="12" t="s">
        <v>4503</v>
      </c>
      <c r="D4417" s="84"/>
      <c r="E4417" s="69" t="str">
        <f t="shared" si="222"/>
        <v>Еще фото</v>
      </c>
      <c r="F4417" s="13"/>
      <c r="G4417" s="23" t="s">
        <v>574</v>
      </c>
      <c r="H4417" s="23" t="s">
        <v>27</v>
      </c>
      <c r="I4417" s="23" t="s">
        <v>569</v>
      </c>
      <c r="J4417" s="14" t="s">
        <v>138</v>
      </c>
      <c r="K4417" s="15" t="s">
        <v>30</v>
      </c>
      <c r="L4417" s="87"/>
      <c r="M4417" s="14"/>
      <c r="N4417" s="14" t="s">
        <v>275</v>
      </c>
      <c r="O4417" s="14"/>
      <c r="P4417" s="15" t="s">
        <v>2678</v>
      </c>
      <c r="Q4417" s="16">
        <v>4899</v>
      </c>
      <c r="R4417" s="17">
        <v>79.63</v>
      </c>
      <c r="S4417" s="29">
        <v>1147.4354999999998</v>
      </c>
      <c r="T4417" s="19" t="s">
        <v>117</v>
      </c>
      <c r="U4417" s="20" t="s">
        <v>290</v>
      </c>
      <c r="V4417" s="21">
        <v>140</v>
      </c>
      <c r="W4417" s="21">
        <v>4</v>
      </c>
      <c r="X4417" s="22"/>
    </row>
    <row r="4418" spans="1:24" s="1" customFormat="1" ht="12.95" customHeight="1" x14ac:dyDescent="0.3">
      <c r="A4418" s="23" t="s">
        <v>2957</v>
      </c>
      <c r="B4418" s="23" t="s">
        <v>572</v>
      </c>
      <c r="C4418" s="12" t="s">
        <v>4503</v>
      </c>
      <c r="D4418" s="84"/>
      <c r="E4418" s="69" t="str">
        <f t="shared" si="222"/>
        <v>Еще фото</v>
      </c>
      <c r="F4418" s="13"/>
      <c r="G4418" s="23" t="s">
        <v>574</v>
      </c>
      <c r="H4418" s="23" t="s">
        <v>27</v>
      </c>
      <c r="I4418" s="23" t="s">
        <v>569</v>
      </c>
      <c r="J4418" s="14" t="s">
        <v>138</v>
      </c>
      <c r="K4418" s="15" t="s">
        <v>30</v>
      </c>
      <c r="L4418" s="87"/>
      <c r="M4418" s="14"/>
      <c r="N4418" s="14" t="s">
        <v>275</v>
      </c>
      <c r="O4418" s="14"/>
      <c r="P4418" s="15" t="s">
        <v>2678</v>
      </c>
      <c r="Q4418" s="16">
        <v>4899</v>
      </c>
      <c r="R4418" s="17">
        <v>79.63</v>
      </c>
      <c r="S4418" s="29">
        <v>1147.4354999999998</v>
      </c>
      <c r="T4418" s="19" t="s">
        <v>117</v>
      </c>
      <c r="U4418" s="20" t="s">
        <v>2993</v>
      </c>
      <c r="V4418" s="21">
        <v>146</v>
      </c>
      <c r="W4418" s="21">
        <v>3</v>
      </c>
      <c r="X4418" s="22"/>
    </row>
    <row r="4419" spans="1:24" s="1" customFormat="1" ht="12.95" customHeight="1" x14ac:dyDescent="0.3">
      <c r="A4419" s="23" t="s">
        <v>2957</v>
      </c>
      <c r="B4419" s="23" t="s">
        <v>572</v>
      </c>
      <c r="C4419" s="12" t="s">
        <v>4503</v>
      </c>
      <c r="D4419" s="84"/>
      <c r="E4419" s="69" t="str">
        <f t="shared" si="222"/>
        <v>Еще фото</v>
      </c>
      <c r="F4419" s="13"/>
      <c r="G4419" s="23" t="s">
        <v>574</v>
      </c>
      <c r="H4419" s="23" t="s">
        <v>27</v>
      </c>
      <c r="I4419" s="23" t="s">
        <v>569</v>
      </c>
      <c r="J4419" s="14" t="s">
        <v>138</v>
      </c>
      <c r="K4419" s="15" t="s">
        <v>30</v>
      </c>
      <c r="L4419" s="87"/>
      <c r="M4419" s="14"/>
      <c r="N4419" s="14" t="s">
        <v>275</v>
      </c>
      <c r="O4419" s="14"/>
      <c r="P4419" s="15" t="s">
        <v>2678</v>
      </c>
      <c r="Q4419" s="16">
        <v>4899</v>
      </c>
      <c r="R4419" s="17">
        <v>79.63</v>
      </c>
      <c r="S4419" s="29">
        <v>1147.4354999999998</v>
      </c>
      <c r="T4419" s="19" t="s">
        <v>117</v>
      </c>
      <c r="U4419" s="20" t="s">
        <v>2160</v>
      </c>
      <c r="V4419" s="21">
        <v>152</v>
      </c>
      <c r="W4419" s="21">
        <v>4</v>
      </c>
      <c r="X4419" s="22"/>
    </row>
    <row r="4420" spans="1:24" s="1" customFormat="1" ht="18" customHeight="1" x14ac:dyDescent="0.3">
      <c r="A4420" s="23" t="s">
        <v>2957</v>
      </c>
      <c r="B4420" s="23" t="s">
        <v>572</v>
      </c>
      <c r="C4420" s="12" t="s">
        <v>4503</v>
      </c>
      <c r="D4420" s="85"/>
      <c r="E4420" s="69" t="str">
        <f t="shared" si="222"/>
        <v>Еще фото</v>
      </c>
      <c r="F4420" s="13"/>
      <c r="G4420" s="23" t="s">
        <v>574</v>
      </c>
      <c r="H4420" s="23" t="s">
        <v>27</v>
      </c>
      <c r="I4420" s="23" t="s">
        <v>569</v>
      </c>
      <c r="J4420" s="14" t="s">
        <v>138</v>
      </c>
      <c r="K4420" s="15" t="s">
        <v>30</v>
      </c>
      <c r="L4420" s="88"/>
      <c r="M4420" s="14"/>
      <c r="N4420" s="14" t="s">
        <v>275</v>
      </c>
      <c r="O4420" s="14"/>
      <c r="P4420" s="15" t="s">
        <v>2678</v>
      </c>
      <c r="Q4420" s="16">
        <v>4899</v>
      </c>
      <c r="R4420" s="17">
        <v>79.63</v>
      </c>
      <c r="S4420" s="29">
        <v>1147.4354999999998</v>
      </c>
      <c r="T4420" s="19" t="s">
        <v>117</v>
      </c>
      <c r="U4420" s="20" t="s">
        <v>3088</v>
      </c>
      <c r="V4420" s="21">
        <v>158</v>
      </c>
      <c r="W4420" s="21">
        <v>2</v>
      </c>
      <c r="X4420" s="22"/>
    </row>
    <row r="4421" spans="1:24" s="1" customFormat="1" ht="35.1" customHeight="1" x14ac:dyDescent="0.3">
      <c r="A4421" s="11" t="s">
        <v>2957</v>
      </c>
      <c r="B4421" s="11" t="s">
        <v>4505</v>
      </c>
      <c r="C4421" s="12" t="s">
        <v>4506</v>
      </c>
      <c r="D4421" s="83"/>
      <c r="E4421" s="69" t="str">
        <f>HYPERLINK("https://www.google.ru/search?q=536408-3160&amp;newwindow=1&amp;tbm=isch","Еще фото")</f>
        <v>Еще фото</v>
      </c>
      <c r="F4421" s="13"/>
      <c r="G4421" s="11" t="s">
        <v>4507</v>
      </c>
      <c r="H4421" s="11" t="s">
        <v>27</v>
      </c>
      <c r="I4421" s="14" t="s">
        <v>569</v>
      </c>
      <c r="J4421" s="14" t="s">
        <v>29</v>
      </c>
      <c r="K4421" s="15" t="s">
        <v>30</v>
      </c>
      <c r="L4421" s="86" t="s">
        <v>4508</v>
      </c>
      <c r="M4421" s="14"/>
      <c r="N4421" s="14" t="s">
        <v>636</v>
      </c>
      <c r="O4421" s="14"/>
      <c r="P4421" s="15" t="s">
        <v>3253</v>
      </c>
      <c r="Q4421" s="16">
        <v>2799</v>
      </c>
      <c r="R4421" s="17">
        <v>79.36</v>
      </c>
      <c r="S4421" s="29">
        <v>664.43549999999993</v>
      </c>
      <c r="T4421" s="19" t="s">
        <v>117</v>
      </c>
      <c r="U4421" s="20" t="s">
        <v>91</v>
      </c>
      <c r="V4421" s="21">
        <v>134</v>
      </c>
      <c r="W4421" s="21">
        <v>4</v>
      </c>
      <c r="X4421" s="22"/>
    </row>
    <row r="4422" spans="1:24" s="1" customFormat="1" ht="35.1" customHeight="1" x14ac:dyDescent="0.3">
      <c r="A4422" s="23" t="s">
        <v>2957</v>
      </c>
      <c r="B4422" s="23" t="s">
        <v>4505</v>
      </c>
      <c r="C4422" s="12" t="s">
        <v>4506</v>
      </c>
      <c r="D4422" s="84"/>
      <c r="E4422" s="69" t="str">
        <f>HYPERLINK("https://www.google.ru/search?q=536408-3160&amp;newwindow=1&amp;tbm=isch","Еще фото")</f>
        <v>Еще фото</v>
      </c>
      <c r="F4422" s="13"/>
      <c r="G4422" s="23" t="s">
        <v>4507</v>
      </c>
      <c r="H4422" s="23" t="s">
        <v>27</v>
      </c>
      <c r="I4422" s="23" t="s">
        <v>569</v>
      </c>
      <c r="J4422" s="14" t="s">
        <v>29</v>
      </c>
      <c r="K4422" s="15" t="s">
        <v>30</v>
      </c>
      <c r="L4422" s="87"/>
      <c r="M4422" s="14"/>
      <c r="N4422" s="14" t="s">
        <v>636</v>
      </c>
      <c r="O4422" s="14"/>
      <c r="P4422" s="15" t="s">
        <v>3253</v>
      </c>
      <c r="Q4422" s="16">
        <v>2799</v>
      </c>
      <c r="R4422" s="17">
        <v>79.36</v>
      </c>
      <c r="S4422" s="29">
        <v>664.43549999999993</v>
      </c>
      <c r="T4422" s="19" t="s">
        <v>117</v>
      </c>
      <c r="U4422" s="20" t="s">
        <v>290</v>
      </c>
      <c r="V4422" s="21">
        <v>140</v>
      </c>
      <c r="W4422" s="21">
        <v>4</v>
      </c>
      <c r="X4422" s="22"/>
    </row>
    <row r="4423" spans="1:24" s="1" customFormat="1" ht="36.950000000000003" customHeight="1" x14ac:dyDescent="0.3">
      <c r="A4423" s="23" t="s">
        <v>2957</v>
      </c>
      <c r="B4423" s="23" t="s">
        <v>4505</v>
      </c>
      <c r="C4423" s="12" t="s">
        <v>4506</v>
      </c>
      <c r="D4423" s="85"/>
      <c r="E4423" s="69" t="str">
        <f>HYPERLINK("https://www.google.ru/search?q=536408-3160&amp;newwindow=1&amp;tbm=isch","Еще фото")</f>
        <v>Еще фото</v>
      </c>
      <c r="F4423" s="13"/>
      <c r="G4423" s="23" t="s">
        <v>4507</v>
      </c>
      <c r="H4423" s="23" t="s">
        <v>27</v>
      </c>
      <c r="I4423" s="23" t="s">
        <v>569</v>
      </c>
      <c r="J4423" s="14" t="s">
        <v>29</v>
      </c>
      <c r="K4423" s="15" t="s">
        <v>30</v>
      </c>
      <c r="L4423" s="88"/>
      <c r="M4423" s="14"/>
      <c r="N4423" s="14" t="s">
        <v>636</v>
      </c>
      <c r="O4423" s="14"/>
      <c r="P4423" s="15" t="s">
        <v>3253</v>
      </c>
      <c r="Q4423" s="16">
        <v>2799</v>
      </c>
      <c r="R4423" s="17">
        <v>79.36</v>
      </c>
      <c r="S4423" s="29">
        <v>664.43549999999993</v>
      </c>
      <c r="T4423" s="19" t="s">
        <v>117</v>
      </c>
      <c r="U4423" s="20" t="s">
        <v>2993</v>
      </c>
      <c r="V4423" s="21">
        <v>146</v>
      </c>
      <c r="W4423" s="21">
        <v>1</v>
      </c>
      <c r="X4423" s="22"/>
    </row>
    <row r="4424" spans="1:24" s="1" customFormat="1" ht="12.95" customHeight="1" x14ac:dyDescent="0.3">
      <c r="A4424" s="11" t="s">
        <v>2957</v>
      </c>
      <c r="B4424" s="11" t="s">
        <v>4509</v>
      </c>
      <c r="C4424" s="12" t="s">
        <v>4510</v>
      </c>
      <c r="D4424" s="83"/>
      <c r="E4424" s="69" t="str">
        <f t="shared" ref="E4424:E4431" si="223">HYPERLINK("https://www.google.ru/search?q=531396-3501&amp;newwindow=1&amp;tbm=isch","Еще фото")</f>
        <v>Еще фото</v>
      </c>
      <c r="F4424" s="13"/>
      <c r="G4424" s="11" t="s">
        <v>599</v>
      </c>
      <c r="H4424" s="11" t="s">
        <v>27</v>
      </c>
      <c r="I4424" s="14" t="s">
        <v>569</v>
      </c>
      <c r="J4424" s="14" t="s">
        <v>29</v>
      </c>
      <c r="K4424" s="15" t="s">
        <v>30</v>
      </c>
      <c r="L4424" s="86" t="s">
        <v>4511</v>
      </c>
      <c r="M4424" s="14"/>
      <c r="N4424" s="14" t="s">
        <v>275</v>
      </c>
      <c r="O4424" s="14"/>
      <c r="P4424" s="15" t="s">
        <v>193</v>
      </c>
      <c r="Q4424" s="16">
        <v>4199</v>
      </c>
      <c r="R4424" s="17">
        <v>78.86</v>
      </c>
      <c r="S4424" s="29">
        <v>1020.9354999999999</v>
      </c>
      <c r="T4424" s="19" t="s">
        <v>117</v>
      </c>
      <c r="U4424" s="26" t="s">
        <v>43</v>
      </c>
      <c r="V4424" s="21">
        <v>110</v>
      </c>
      <c r="W4424" s="21">
        <v>2</v>
      </c>
      <c r="X4424" s="22"/>
    </row>
    <row r="4425" spans="1:24" s="1" customFormat="1" ht="12.95" customHeight="1" x14ac:dyDescent="0.3">
      <c r="A4425" s="23" t="s">
        <v>2957</v>
      </c>
      <c r="B4425" s="23" t="s">
        <v>4509</v>
      </c>
      <c r="C4425" s="12" t="s">
        <v>4510</v>
      </c>
      <c r="D4425" s="84"/>
      <c r="E4425" s="69" t="str">
        <f t="shared" si="223"/>
        <v>Еще фото</v>
      </c>
      <c r="F4425" s="13"/>
      <c r="G4425" s="23" t="s">
        <v>599</v>
      </c>
      <c r="H4425" s="23" t="s">
        <v>27</v>
      </c>
      <c r="I4425" s="23" t="s">
        <v>569</v>
      </c>
      <c r="J4425" s="14" t="s">
        <v>29</v>
      </c>
      <c r="K4425" s="15" t="s">
        <v>30</v>
      </c>
      <c r="L4425" s="87"/>
      <c r="M4425" s="14"/>
      <c r="N4425" s="14" t="s">
        <v>275</v>
      </c>
      <c r="O4425" s="14"/>
      <c r="P4425" s="15" t="s">
        <v>193</v>
      </c>
      <c r="Q4425" s="16">
        <v>4199</v>
      </c>
      <c r="R4425" s="17">
        <v>78.86</v>
      </c>
      <c r="S4425" s="29">
        <v>1020.9354999999999</v>
      </c>
      <c r="T4425" s="19" t="s">
        <v>117</v>
      </c>
      <c r="U4425" s="20" t="s">
        <v>35</v>
      </c>
      <c r="V4425" s="21">
        <v>116</v>
      </c>
      <c r="W4425" s="21">
        <v>2</v>
      </c>
      <c r="X4425" s="22"/>
    </row>
    <row r="4426" spans="1:24" s="1" customFormat="1" ht="12.95" customHeight="1" x14ac:dyDescent="0.3">
      <c r="A4426" s="23" t="s">
        <v>2957</v>
      </c>
      <c r="B4426" s="23" t="s">
        <v>4509</v>
      </c>
      <c r="C4426" s="12" t="s">
        <v>4510</v>
      </c>
      <c r="D4426" s="84"/>
      <c r="E4426" s="69" t="str">
        <f t="shared" si="223"/>
        <v>Еще фото</v>
      </c>
      <c r="F4426" s="13"/>
      <c r="G4426" s="23" t="s">
        <v>599</v>
      </c>
      <c r="H4426" s="23" t="s">
        <v>27</v>
      </c>
      <c r="I4426" s="23" t="s">
        <v>569</v>
      </c>
      <c r="J4426" s="14" t="s">
        <v>29</v>
      </c>
      <c r="K4426" s="15" t="s">
        <v>30</v>
      </c>
      <c r="L4426" s="87"/>
      <c r="M4426" s="14"/>
      <c r="N4426" s="14" t="s">
        <v>275</v>
      </c>
      <c r="O4426" s="14"/>
      <c r="P4426" s="15" t="s">
        <v>193</v>
      </c>
      <c r="Q4426" s="16">
        <v>4199</v>
      </c>
      <c r="R4426" s="17">
        <v>78.86</v>
      </c>
      <c r="S4426" s="29">
        <v>1020.9354999999999</v>
      </c>
      <c r="T4426" s="19" t="s">
        <v>117</v>
      </c>
      <c r="U4426" s="20" t="s">
        <v>36</v>
      </c>
      <c r="V4426" s="21">
        <v>122</v>
      </c>
      <c r="W4426" s="21">
        <v>1</v>
      </c>
      <c r="X4426" s="22"/>
    </row>
    <row r="4427" spans="1:24" s="1" customFormat="1" ht="12.95" customHeight="1" x14ac:dyDescent="0.3">
      <c r="A4427" s="23" t="s">
        <v>2957</v>
      </c>
      <c r="B4427" s="23" t="s">
        <v>4509</v>
      </c>
      <c r="C4427" s="12" t="s">
        <v>4510</v>
      </c>
      <c r="D4427" s="84"/>
      <c r="E4427" s="69" t="str">
        <f t="shared" si="223"/>
        <v>Еще фото</v>
      </c>
      <c r="F4427" s="13"/>
      <c r="G4427" s="23" t="s">
        <v>599</v>
      </c>
      <c r="H4427" s="23" t="s">
        <v>27</v>
      </c>
      <c r="I4427" s="23" t="s">
        <v>569</v>
      </c>
      <c r="J4427" s="14" t="s">
        <v>29</v>
      </c>
      <c r="K4427" s="15" t="s">
        <v>30</v>
      </c>
      <c r="L4427" s="87"/>
      <c r="M4427" s="14"/>
      <c r="N4427" s="14" t="s">
        <v>275</v>
      </c>
      <c r="O4427" s="14"/>
      <c r="P4427" s="15" t="s">
        <v>193</v>
      </c>
      <c r="Q4427" s="16">
        <v>4199</v>
      </c>
      <c r="R4427" s="17">
        <v>78.86</v>
      </c>
      <c r="S4427" s="29">
        <v>1020.9354999999999</v>
      </c>
      <c r="T4427" s="19" t="s">
        <v>117</v>
      </c>
      <c r="U4427" s="20" t="s">
        <v>37</v>
      </c>
      <c r="V4427" s="21">
        <v>128</v>
      </c>
      <c r="W4427" s="21">
        <v>6</v>
      </c>
      <c r="X4427" s="22"/>
    </row>
    <row r="4428" spans="1:24" s="1" customFormat="1" ht="12.95" customHeight="1" x14ac:dyDescent="0.3">
      <c r="A4428" s="23" t="s">
        <v>2957</v>
      </c>
      <c r="B4428" s="23" t="s">
        <v>4509</v>
      </c>
      <c r="C4428" s="12" t="s">
        <v>4510</v>
      </c>
      <c r="D4428" s="84"/>
      <c r="E4428" s="69" t="str">
        <f t="shared" si="223"/>
        <v>Еще фото</v>
      </c>
      <c r="F4428" s="13"/>
      <c r="G4428" s="23" t="s">
        <v>599</v>
      </c>
      <c r="H4428" s="23" t="s">
        <v>27</v>
      </c>
      <c r="I4428" s="23" t="s">
        <v>569</v>
      </c>
      <c r="J4428" s="14" t="s">
        <v>29</v>
      </c>
      <c r="K4428" s="15" t="s">
        <v>30</v>
      </c>
      <c r="L4428" s="87"/>
      <c r="M4428" s="14"/>
      <c r="N4428" s="14" t="s">
        <v>275</v>
      </c>
      <c r="O4428" s="14"/>
      <c r="P4428" s="15" t="s">
        <v>193</v>
      </c>
      <c r="Q4428" s="16">
        <v>4199</v>
      </c>
      <c r="R4428" s="17">
        <v>78.86</v>
      </c>
      <c r="S4428" s="29">
        <v>1020.9354999999999</v>
      </c>
      <c r="T4428" s="19" t="s">
        <v>117</v>
      </c>
      <c r="U4428" s="20" t="s">
        <v>91</v>
      </c>
      <c r="V4428" s="21">
        <v>134</v>
      </c>
      <c r="W4428" s="21">
        <v>3</v>
      </c>
      <c r="X4428" s="22"/>
    </row>
    <row r="4429" spans="1:24" s="1" customFormat="1" ht="12.95" customHeight="1" x14ac:dyDescent="0.3">
      <c r="A4429" s="23" t="s">
        <v>2957</v>
      </c>
      <c r="B4429" s="23" t="s">
        <v>4509</v>
      </c>
      <c r="C4429" s="12" t="s">
        <v>4510</v>
      </c>
      <c r="D4429" s="84"/>
      <c r="E4429" s="69" t="str">
        <f t="shared" si="223"/>
        <v>Еще фото</v>
      </c>
      <c r="F4429" s="13"/>
      <c r="G4429" s="23" t="s">
        <v>599</v>
      </c>
      <c r="H4429" s="23" t="s">
        <v>27</v>
      </c>
      <c r="I4429" s="23" t="s">
        <v>569</v>
      </c>
      <c r="J4429" s="14" t="s">
        <v>29</v>
      </c>
      <c r="K4429" s="15" t="s">
        <v>30</v>
      </c>
      <c r="L4429" s="87"/>
      <c r="M4429" s="14"/>
      <c r="N4429" s="14" t="s">
        <v>275</v>
      </c>
      <c r="O4429" s="14"/>
      <c r="P4429" s="15" t="s">
        <v>193</v>
      </c>
      <c r="Q4429" s="16">
        <v>4199</v>
      </c>
      <c r="R4429" s="17">
        <v>78.86</v>
      </c>
      <c r="S4429" s="29">
        <v>1020.9354999999999</v>
      </c>
      <c r="T4429" s="19" t="s">
        <v>117</v>
      </c>
      <c r="U4429" s="20" t="s">
        <v>290</v>
      </c>
      <c r="V4429" s="21">
        <v>140</v>
      </c>
      <c r="W4429" s="21">
        <v>3</v>
      </c>
      <c r="X4429" s="22"/>
    </row>
    <row r="4430" spans="1:24" s="1" customFormat="1" ht="12.95" customHeight="1" x14ac:dyDescent="0.3">
      <c r="A4430" s="23" t="s">
        <v>2957</v>
      </c>
      <c r="B4430" s="23" t="s">
        <v>4509</v>
      </c>
      <c r="C4430" s="12" t="s">
        <v>4510</v>
      </c>
      <c r="D4430" s="84"/>
      <c r="E4430" s="69" t="str">
        <f t="shared" si="223"/>
        <v>Еще фото</v>
      </c>
      <c r="F4430" s="13"/>
      <c r="G4430" s="23" t="s">
        <v>599</v>
      </c>
      <c r="H4430" s="23" t="s">
        <v>27</v>
      </c>
      <c r="I4430" s="23" t="s">
        <v>569</v>
      </c>
      <c r="J4430" s="14" t="s">
        <v>29</v>
      </c>
      <c r="K4430" s="15" t="s">
        <v>30</v>
      </c>
      <c r="L4430" s="87"/>
      <c r="M4430" s="14"/>
      <c r="N4430" s="14" t="s">
        <v>275</v>
      </c>
      <c r="O4430" s="14"/>
      <c r="P4430" s="15" t="s">
        <v>193</v>
      </c>
      <c r="Q4430" s="16">
        <v>4199</v>
      </c>
      <c r="R4430" s="17">
        <v>78.86</v>
      </c>
      <c r="S4430" s="29">
        <v>1020.9354999999999</v>
      </c>
      <c r="T4430" s="19" t="s">
        <v>117</v>
      </c>
      <c r="U4430" s="20" t="s">
        <v>2993</v>
      </c>
      <c r="V4430" s="21">
        <v>146</v>
      </c>
      <c r="W4430" s="21">
        <v>7</v>
      </c>
      <c r="X4430" s="22"/>
    </row>
    <row r="4431" spans="1:24" s="1" customFormat="1" ht="18" customHeight="1" x14ac:dyDescent="0.3">
      <c r="A4431" s="23" t="s">
        <v>2957</v>
      </c>
      <c r="B4431" s="23" t="s">
        <v>4509</v>
      </c>
      <c r="C4431" s="12" t="s">
        <v>4510</v>
      </c>
      <c r="D4431" s="85"/>
      <c r="E4431" s="69" t="str">
        <f t="shared" si="223"/>
        <v>Еще фото</v>
      </c>
      <c r="F4431" s="13"/>
      <c r="G4431" s="23" t="s">
        <v>599</v>
      </c>
      <c r="H4431" s="23" t="s">
        <v>27</v>
      </c>
      <c r="I4431" s="23" t="s">
        <v>569</v>
      </c>
      <c r="J4431" s="14" t="s">
        <v>29</v>
      </c>
      <c r="K4431" s="15" t="s">
        <v>30</v>
      </c>
      <c r="L4431" s="88"/>
      <c r="M4431" s="14"/>
      <c r="N4431" s="14" t="s">
        <v>275</v>
      </c>
      <c r="O4431" s="14"/>
      <c r="P4431" s="15" t="s">
        <v>193</v>
      </c>
      <c r="Q4431" s="16">
        <v>4199</v>
      </c>
      <c r="R4431" s="17">
        <v>78.86</v>
      </c>
      <c r="S4431" s="29">
        <v>1020.9354999999999</v>
      </c>
      <c r="T4431" s="19" t="s">
        <v>117</v>
      </c>
      <c r="U4431" s="20" t="s">
        <v>2160</v>
      </c>
      <c r="V4431" s="21">
        <v>152</v>
      </c>
      <c r="W4431" s="21">
        <v>7</v>
      </c>
      <c r="X4431" s="22"/>
    </row>
    <row r="4432" spans="1:24" s="1" customFormat="1" ht="26.1" customHeight="1" x14ac:dyDescent="0.3">
      <c r="A4432" s="11" t="s">
        <v>2957</v>
      </c>
      <c r="B4432" s="11" t="s">
        <v>4512</v>
      </c>
      <c r="C4432" s="12" t="s">
        <v>4513</v>
      </c>
      <c r="D4432" s="83"/>
      <c r="E4432" s="69" t="str">
        <f>HYPERLINK("https://www.google.ru/search?q=531446-4460&amp;newwindow=1&amp;tbm=isch","Еще фото")</f>
        <v>Еще фото</v>
      </c>
      <c r="F4432" s="13"/>
      <c r="G4432" s="11" t="s">
        <v>4500</v>
      </c>
      <c r="H4432" s="11" t="s">
        <v>27</v>
      </c>
      <c r="I4432" s="14" t="s">
        <v>569</v>
      </c>
      <c r="J4432" s="14" t="s">
        <v>29</v>
      </c>
      <c r="K4432" s="15" t="s">
        <v>30</v>
      </c>
      <c r="L4432" s="86" t="s">
        <v>4514</v>
      </c>
      <c r="M4432" s="14"/>
      <c r="N4432" s="14" t="s">
        <v>275</v>
      </c>
      <c r="O4432" s="14"/>
      <c r="P4432" s="15" t="s">
        <v>4502</v>
      </c>
      <c r="Q4432" s="16">
        <v>4199</v>
      </c>
      <c r="R4432" s="17">
        <v>78.86</v>
      </c>
      <c r="S4432" s="29">
        <v>1020.9354999999999</v>
      </c>
      <c r="T4432" s="19" t="s">
        <v>117</v>
      </c>
      <c r="U4432" s="20" t="s">
        <v>37</v>
      </c>
      <c r="V4432" s="21">
        <v>128</v>
      </c>
      <c r="W4432" s="21">
        <v>4</v>
      </c>
      <c r="X4432" s="22"/>
    </row>
    <row r="4433" spans="1:24" s="1" customFormat="1" ht="26.1" customHeight="1" x14ac:dyDescent="0.3">
      <c r="A4433" s="23" t="s">
        <v>2957</v>
      </c>
      <c r="B4433" s="23" t="s">
        <v>4512</v>
      </c>
      <c r="C4433" s="12" t="s">
        <v>4513</v>
      </c>
      <c r="D4433" s="84"/>
      <c r="E4433" s="69" t="str">
        <f>HYPERLINK("https://www.google.ru/search?q=531446-4460&amp;newwindow=1&amp;tbm=isch","Еще фото")</f>
        <v>Еще фото</v>
      </c>
      <c r="F4433" s="13"/>
      <c r="G4433" s="23" t="s">
        <v>4500</v>
      </c>
      <c r="H4433" s="23" t="s">
        <v>27</v>
      </c>
      <c r="I4433" s="23" t="s">
        <v>569</v>
      </c>
      <c r="J4433" s="14" t="s">
        <v>29</v>
      </c>
      <c r="K4433" s="15" t="s">
        <v>30</v>
      </c>
      <c r="L4433" s="87"/>
      <c r="M4433" s="14"/>
      <c r="N4433" s="14" t="s">
        <v>275</v>
      </c>
      <c r="O4433" s="14"/>
      <c r="P4433" s="15" t="s">
        <v>4502</v>
      </c>
      <c r="Q4433" s="16">
        <v>4199</v>
      </c>
      <c r="R4433" s="17">
        <v>78.86</v>
      </c>
      <c r="S4433" s="29">
        <v>1020.9354999999999</v>
      </c>
      <c r="T4433" s="19" t="s">
        <v>117</v>
      </c>
      <c r="U4433" s="20" t="s">
        <v>91</v>
      </c>
      <c r="V4433" s="21">
        <v>134</v>
      </c>
      <c r="W4433" s="21">
        <v>7</v>
      </c>
      <c r="X4433" s="22"/>
    </row>
    <row r="4434" spans="1:24" s="1" customFormat="1" ht="26.1" customHeight="1" x14ac:dyDescent="0.3">
      <c r="A4434" s="23" t="s">
        <v>2957</v>
      </c>
      <c r="B4434" s="23" t="s">
        <v>4512</v>
      </c>
      <c r="C4434" s="12" t="s">
        <v>4513</v>
      </c>
      <c r="D4434" s="84"/>
      <c r="E4434" s="69" t="str">
        <f>HYPERLINK("https://www.google.ru/search?q=531446-4460&amp;newwindow=1&amp;tbm=isch","Еще фото")</f>
        <v>Еще фото</v>
      </c>
      <c r="F4434" s="13"/>
      <c r="G4434" s="23" t="s">
        <v>4500</v>
      </c>
      <c r="H4434" s="23" t="s">
        <v>27</v>
      </c>
      <c r="I4434" s="23" t="s">
        <v>569</v>
      </c>
      <c r="J4434" s="14" t="s">
        <v>29</v>
      </c>
      <c r="K4434" s="15" t="s">
        <v>30</v>
      </c>
      <c r="L4434" s="87"/>
      <c r="M4434" s="14"/>
      <c r="N4434" s="14" t="s">
        <v>275</v>
      </c>
      <c r="O4434" s="14"/>
      <c r="P4434" s="15" t="s">
        <v>4502</v>
      </c>
      <c r="Q4434" s="16">
        <v>4199</v>
      </c>
      <c r="R4434" s="17">
        <v>78.86</v>
      </c>
      <c r="S4434" s="29">
        <v>1020.9354999999999</v>
      </c>
      <c r="T4434" s="19" t="s">
        <v>117</v>
      </c>
      <c r="U4434" s="20" t="s">
        <v>290</v>
      </c>
      <c r="V4434" s="21">
        <v>140</v>
      </c>
      <c r="W4434" s="21">
        <v>3</v>
      </c>
      <c r="X4434" s="22"/>
    </row>
    <row r="4435" spans="1:24" s="1" customFormat="1" ht="26.1" customHeight="1" x14ac:dyDescent="0.3">
      <c r="A4435" s="23" t="s">
        <v>2957</v>
      </c>
      <c r="B4435" s="23" t="s">
        <v>4512</v>
      </c>
      <c r="C4435" s="12" t="s">
        <v>4513</v>
      </c>
      <c r="D4435" s="85"/>
      <c r="E4435" s="69" t="str">
        <f>HYPERLINK("https://www.google.ru/search?q=531446-4460&amp;newwindow=1&amp;tbm=isch","Еще фото")</f>
        <v>Еще фото</v>
      </c>
      <c r="F4435" s="13"/>
      <c r="G4435" s="23" t="s">
        <v>4500</v>
      </c>
      <c r="H4435" s="23" t="s">
        <v>27</v>
      </c>
      <c r="I4435" s="23" t="s">
        <v>569</v>
      </c>
      <c r="J4435" s="14" t="s">
        <v>29</v>
      </c>
      <c r="K4435" s="15" t="s">
        <v>30</v>
      </c>
      <c r="L4435" s="88"/>
      <c r="M4435" s="14"/>
      <c r="N4435" s="14" t="s">
        <v>275</v>
      </c>
      <c r="O4435" s="14"/>
      <c r="P4435" s="15" t="s">
        <v>4502</v>
      </c>
      <c r="Q4435" s="16">
        <v>4199</v>
      </c>
      <c r="R4435" s="17">
        <v>78.86</v>
      </c>
      <c r="S4435" s="29">
        <v>1020.9354999999999</v>
      </c>
      <c r="T4435" s="19" t="s">
        <v>117</v>
      </c>
      <c r="U4435" s="20" t="s">
        <v>2160</v>
      </c>
      <c r="V4435" s="21">
        <v>152</v>
      </c>
      <c r="W4435" s="21">
        <v>10</v>
      </c>
      <c r="X4435" s="22"/>
    </row>
    <row r="4436" spans="1:24" s="1" customFormat="1" ht="26.1" customHeight="1" x14ac:dyDescent="0.3">
      <c r="A4436" s="11" t="s">
        <v>2957</v>
      </c>
      <c r="B4436" s="11" t="s">
        <v>4515</v>
      </c>
      <c r="C4436" s="12" t="s">
        <v>4516</v>
      </c>
      <c r="D4436" s="83"/>
      <c r="E4436" s="69" t="str">
        <f>HYPERLINK("https://www.google.ru/search?q=531399-4419&amp;newwindow=1&amp;tbm=isch","Еще фото")</f>
        <v>Еще фото</v>
      </c>
      <c r="F4436" s="13"/>
      <c r="G4436" s="11" t="s">
        <v>599</v>
      </c>
      <c r="H4436" s="11" t="s">
        <v>27</v>
      </c>
      <c r="I4436" s="14" t="s">
        <v>569</v>
      </c>
      <c r="J4436" s="14" t="s">
        <v>29</v>
      </c>
      <c r="K4436" s="15" t="s">
        <v>30</v>
      </c>
      <c r="L4436" s="86" t="s">
        <v>4517</v>
      </c>
      <c r="M4436" s="14"/>
      <c r="N4436" s="14" t="s">
        <v>4518</v>
      </c>
      <c r="O4436" s="14"/>
      <c r="P4436" s="15" t="s">
        <v>193</v>
      </c>
      <c r="Q4436" s="16">
        <v>4199</v>
      </c>
      <c r="R4436" s="17">
        <v>78.38</v>
      </c>
      <c r="S4436" s="29">
        <v>1043.9354999999998</v>
      </c>
      <c r="T4436" s="19" t="s">
        <v>117</v>
      </c>
      <c r="U4436" s="20" t="s">
        <v>37</v>
      </c>
      <c r="V4436" s="21">
        <v>128</v>
      </c>
      <c r="W4436" s="21">
        <v>1</v>
      </c>
      <c r="X4436" s="22"/>
    </row>
    <row r="4437" spans="1:24" s="1" customFormat="1" ht="26.1" customHeight="1" x14ac:dyDescent="0.3">
      <c r="A4437" s="23" t="s">
        <v>2957</v>
      </c>
      <c r="B4437" s="23" t="s">
        <v>4515</v>
      </c>
      <c r="C4437" s="12" t="s">
        <v>4516</v>
      </c>
      <c r="D4437" s="84"/>
      <c r="E4437" s="69" t="str">
        <f>HYPERLINK("https://www.google.ru/search?q=531399-4419&amp;newwindow=1&amp;tbm=isch","Еще фото")</f>
        <v>Еще фото</v>
      </c>
      <c r="F4437" s="13"/>
      <c r="G4437" s="23" t="s">
        <v>599</v>
      </c>
      <c r="H4437" s="23" t="s">
        <v>27</v>
      </c>
      <c r="I4437" s="23" t="s">
        <v>569</v>
      </c>
      <c r="J4437" s="14" t="s">
        <v>29</v>
      </c>
      <c r="K4437" s="15" t="s">
        <v>30</v>
      </c>
      <c r="L4437" s="87"/>
      <c r="M4437" s="14"/>
      <c r="N4437" s="14" t="s">
        <v>4518</v>
      </c>
      <c r="O4437" s="14"/>
      <c r="P4437" s="15" t="s">
        <v>193</v>
      </c>
      <c r="Q4437" s="16">
        <v>4199</v>
      </c>
      <c r="R4437" s="17">
        <v>78.38</v>
      </c>
      <c r="S4437" s="29">
        <v>1043.9354999999998</v>
      </c>
      <c r="T4437" s="19" t="s">
        <v>117</v>
      </c>
      <c r="U4437" s="20" t="s">
        <v>91</v>
      </c>
      <c r="V4437" s="21">
        <v>134</v>
      </c>
      <c r="W4437" s="21">
        <v>6</v>
      </c>
      <c r="X4437" s="22"/>
    </row>
    <row r="4438" spans="1:24" s="1" customFormat="1" ht="26.1" customHeight="1" x14ac:dyDescent="0.3">
      <c r="A4438" s="23" t="s">
        <v>2957</v>
      </c>
      <c r="B4438" s="23" t="s">
        <v>4515</v>
      </c>
      <c r="C4438" s="12" t="s">
        <v>4516</v>
      </c>
      <c r="D4438" s="84"/>
      <c r="E4438" s="69" t="str">
        <f>HYPERLINK("https://www.google.ru/search?q=531399-4419&amp;newwindow=1&amp;tbm=isch","Еще фото")</f>
        <v>Еще фото</v>
      </c>
      <c r="F4438" s="13"/>
      <c r="G4438" s="23" t="s">
        <v>599</v>
      </c>
      <c r="H4438" s="23" t="s">
        <v>27</v>
      </c>
      <c r="I4438" s="23" t="s">
        <v>569</v>
      </c>
      <c r="J4438" s="14" t="s">
        <v>29</v>
      </c>
      <c r="K4438" s="15" t="s">
        <v>30</v>
      </c>
      <c r="L4438" s="87"/>
      <c r="M4438" s="14"/>
      <c r="N4438" s="14" t="s">
        <v>4518</v>
      </c>
      <c r="O4438" s="14"/>
      <c r="P4438" s="15" t="s">
        <v>193</v>
      </c>
      <c r="Q4438" s="16">
        <v>4199</v>
      </c>
      <c r="R4438" s="17">
        <v>78.38</v>
      </c>
      <c r="S4438" s="29">
        <v>1043.9354999999998</v>
      </c>
      <c r="T4438" s="19" t="s">
        <v>117</v>
      </c>
      <c r="U4438" s="20" t="s">
        <v>290</v>
      </c>
      <c r="V4438" s="21">
        <v>140</v>
      </c>
      <c r="W4438" s="21">
        <v>2</v>
      </c>
      <c r="X4438" s="22"/>
    </row>
    <row r="4439" spans="1:24" s="1" customFormat="1" ht="26.1" customHeight="1" x14ac:dyDescent="0.3">
      <c r="A4439" s="23" t="s">
        <v>2957</v>
      </c>
      <c r="B4439" s="23" t="s">
        <v>4515</v>
      </c>
      <c r="C4439" s="12" t="s">
        <v>4516</v>
      </c>
      <c r="D4439" s="85"/>
      <c r="E4439" s="69" t="str">
        <f>HYPERLINK("https://www.google.ru/search?q=531399-4419&amp;newwindow=1&amp;tbm=isch","Еще фото")</f>
        <v>Еще фото</v>
      </c>
      <c r="F4439" s="13"/>
      <c r="G4439" s="23" t="s">
        <v>599</v>
      </c>
      <c r="H4439" s="23" t="s">
        <v>27</v>
      </c>
      <c r="I4439" s="23" t="s">
        <v>569</v>
      </c>
      <c r="J4439" s="14" t="s">
        <v>29</v>
      </c>
      <c r="K4439" s="15" t="s">
        <v>30</v>
      </c>
      <c r="L4439" s="88"/>
      <c r="M4439" s="14"/>
      <c r="N4439" s="14" t="s">
        <v>4518</v>
      </c>
      <c r="O4439" s="14"/>
      <c r="P4439" s="15" t="s">
        <v>193</v>
      </c>
      <c r="Q4439" s="16">
        <v>4199</v>
      </c>
      <c r="R4439" s="17">
        <v>78.38</v>
      </c>
      <c r="S4439" s="29">
        <v>1043.9354999999998</v>
      </c>
      <c r="T4439" s="19" t="s">
        <v>117</v>
      </c>
      <c r="U4439" s="20" t="s">
        <v>2993</v>
      </c>
      <c r="V4439" s="21">
        <v>146</v>
      </c>
      <c r="W4439" s="21">
        <v>9</v>
      </c>
      <c r="X4439" s="22"/>
    </row>
    <row r="4440" spans="1:24" s="1" customFormat="1" ht="12.95" customHeight="1" x14ac:dyDescent="0.3">
      <c r="A4440" s="11" t="s">
        <v>2957</v>
      </c>
      <c r="B4440" s="11" t="s">
        <v>579</v>
      </c>
      <c r="C4440" s="12" t="s">
        <v>4519</v>
      </c>
      <c r="D4440" s="83"/>
      <c r="E4440" s="69" t="str">
        <f t="shared" ref="E4440:E4447" si="224">HYPERLINK("https://www.google.ru/search?q=526434-4017&amp;newwindow=1&amp;tbm=isch","Еще фото")</f>
        <v>Еще фото</v>
      </c>
      <c r="F4440" s="13"/>
      <c r="G4440" s="11" t="s">
        <v>4520</v>
      </c>
      <c r="H4440" s="11" t="s">
        <v>27</v>
      </c>
      <c r="I4440" s="14" t="s">
        <v>569</v>
      </c>
      <c r="J4440" s="14" t="s">
        <v>138</v>
      </c>
      <c r="K4440" s="15" t="s">
        <v>30</v>
      </c>
      <c r="L4440" s="86" t="s">
        <v>2959</v>
      </c>
      <c r="M4440" s="14"/>
      <c r="N4440" s="14" t="s">
        <v>41</v>
      </c>
      <c r="O4440" s="14"/>
      <c r="P4440" s="15" t="s">
        <v>2960</v>
      </c>
      <c r="Q4440" s="16">
        <v>4399</v>
      </c>
      <c r="R4440" s="17">
        <v>78</v>
      </c>
      <c r="S4440" s="29">
        <v>1112.9354999999998</v>
      </c>
      <c r="T4440" s="19" t="s">
        <v>117</v>
      </c>
      <c r="U4440" s="26" t="s">
        <v>2961</v>
      </c>
      <c r="V4440" s="21">
        <v>98</v>
      </c>
      <c r="W4440" s="21">
        <v>3</v>
      </c>
      <c r="X4440" s="22"/>
    </row>
    <row r="4441" spans="1:24" s="1" customFormat="1" ht="12.95" customHeight="1" x14ac:dyDescent="0.3">
      <c r="A4441" s="23" t="s">
        <v>2957</v>
      </c>
      <c r="B4441" s="23" t="s">
        <v>579</v>
      </c>
      <c r="C4441" s="12" t="s">
        <v>4519</v>
      </c>
      <c r="D4441" s="84"/>
      <c r="E4441" s="69" t="str">
        <f t="shared" si="224"/>
        <v>Еще фото</v>
      </c>
      <c r="F4441" s="13"/>
      <c r="G4441" s="23" t="s">
        <v>4520</v>
      </c>
      <c r="H4441" s="23" t="s">
        <v>27</v>
      </c>
      <c r="I4441" s="23" t="s">
        <v>569</v>
      </c>
      <c r="J4441" s="14" t="s">
        <v>138</v>
      </c>
      <c r="K4441" s="15" t="s">
        <v>30</v>
      </c>
      <c r="L4441" s="87"/>
      <c r="M4441" s="14"/>
      <c r="N4441" s="14" t="s">
        <v>41</v>
      </c>
      <c r="O4441" s="14"/>
      <c r="P4441" s="15" t="s">
        <v>2960</v>
      </c>
      <c r="Q4441" s="16">
        <v>4399</v>
      </c>
      <c r="R4441" s="17">
        <v>78</v>
      </c>
      <c r="S4441" s="29">
        <v>1112.9354999999998</v>
      </c>
      <c r="T4441" s="19" t="s">
        <v>117</v>
      </c>
      <c r="U4441" s="20" t="s">
        <v>94</v>
      </c>
      <c r="V4441" s="21">
        <v>104</v>
      </c>
      <c r="W4441" s="21">
        <v>8</v>
      </c>
      <c r="X4441" s="22"/>
    </row>
    <row r="4442" spans="1:24" s="1" customFormat="1" ht="12.95" customHeight="1" x14ac:dyDescent="0.3">
      <c r="A4442" s="23" t="s">
        <v>2957</v>
      </c>
      <c r="B4442" s="23" t="s">
        <v>579</v>
      </c>
      <c r="C4442" s="12" t="s">
        <v>4519</v>
      </c>
      <c r="D4442" s="84"/>
      <c r="E4442" s="69" t="str">
        <f t="shared" si="224"/>
        <v>Еще фото</v>
      </c>
      <c r="F4442" s="13"/>
      <c r="G4442" s="23" t="s">
        <v>4520</v>
      </c>
      <c r="H4442" s="23" t="s">
        <v>27</v>
      </c>
      <c r="I4442" s="23" t="s">
        <v>569</v>
      </c>
      <c r="J4442" s="14" t="s">
        <v>138</v>
      </c>
      <c r="K4442" s="15" t="s">
        <v>30</v>
      </c>
      <c r="L4442" s="87"/>
      <c r="M4442" s="14"/>
      <c r="N4442" s="14" t="s">
        <v>41</v>
      </c>
      <c r="O4442" s="14"/>
      <c r="P4442" s="15" t="s">
        <v>2960</v>
      </c>
      <c r="Q4442" s="16">
        <v>4399</v>
      </c>
      <c r="R4442" s="17">
        <v>78</v>
      </c>
      <c r="S4442" s="29">
        <v>1112.9354999999998</v>
      </c>
      <c r="T4442" s="19" t="s">
        <v>117</v>
      </c>
      <c r="U4442" s="20" t="s">
        <v>43</v>
      </c>
      <c r="V4442" s="21">
        <v>110</v>
      </c>
      <c r="W4442" s="21">
        <v>7</v>
      </c>
      <c r="X4442" s="22"/>
    </row>
    <row r="4443" spans="1:24" s="1" customFormat="1" ht="12.95" customHeight="1" x14ac:dyDescent="0.3">
      <c r="A4443" s="23" t="s">
        <v>2957</v>
      </c>
      <c r="B4443" s="23" t="s">
        <v>579</v>
      </c>
      <c r="C4443" s="12" t="s">
        <v>4519</v>
      </c>
      <c r="D4443" s="84"/>
      <c r="E4443" s="69" t="str">
        <f t="shared" si="224"/>
        <v>Еще фото</v>
      </c>
      <c r="F4443" s="13"/>
      <c r="G4443" s="23" t="s">
        <v>4520</v>
      </c>
      <c r="H4443" s="23" t="s">
        <v>27</v>
      </c>
      <c r="I4443" s="23" t="s">
        <v>569</v>
      </c>
      <c r="J4443" s="14" t="s">
        <v>138</v>
      </c>
      <c r="K4443" s="15" t="s">
        <v>30</v>
      </c>
      <c r="L4443" s="87"/>
      <c r="M4443" s="14"/>
      <c r="N4443" s="14" t="s">
        <v>41</v>
      </c>
      <c r="O4443" s="14"/>
      <c r="P4443" s="15" t="s">
        <v>2960</v>
      </c>
      <c r="Q4443" s="16">
        <v>4399</v>
      </c>
      <c r="R4443" s="17">
        <v>78</v>
      </c>
      <c r="S4443" s="29">
        <v>1112.9354999999998</v>
      </c>
      <c r="T4443" s="19" t="s">
        <v>117</v>
      </c>
      <c r="U4443" s="20" t="s">
        <v>35</v>
      </c>
      <c r="V4443" s="21">
        <v>116</v>
      </c>
      <c r="W4443" s="21">
        <v>6</v>
      </c>
      <c r="X4443" s="22"/>
    </row>
    <row r="4444" spans="1:24" s="1" customFormat="1" ht="12.95" customHeight="1" x14ac:dyDescent="0.3">
      <c r="A4444" s="23" t="s">
        <v>2957</v>
      </c>
      <c r="B4444" s="23" t="s">
        <v>579</v>
      </c>
      <c r="C4444" s="12" t="s">
        <v>4519</v>
      </c>
      <c r="D4444" s="84"/>
      <c r="E4444" s="69" t="str">
        <f t="shared" si="224"/>
        <v>Еще фото</v>
      </c>
      <c r="F4444" s="13"/>
      <c r="G4444" s="23" t="s">
        <v>4520</v>
      </c>
      <c r="H4444" s="23" t="s">
        <v>27</v>
      </c>
      <c r="I4444" s="23" t="s">
        <v>569</v>
      </c>
      <c r="J4444" s="14" t="s">
        <v>138</v>
      </c>
      <c r="K4444" s="15" t="s">
        <v>30</v>
      </c>
      <c r="L4444" s="87"/>
      <c r="M4444" s="14"/>
      <c r="N4444" s="14" t="s">
        <v>41</v>
      </c>
      <c r="O4444" s="14"/>
      <c r="P4444" s="15" t="s">
        <v>2960</v>
      </c>
      <c r="Q4444" s="16">
        <v>4399</v>
      </c>
      <c r="R4444" s="17">
        <v>78</v>
      </c>
      <c r="S4444" s="29">
        <v>1112.9354999999998</v>
      </c>
      <c r="T4444" s="19" t="s">
        <v>117</v>
      </c>
      <c r="U4444" s="20" t="s">
        <v>36</v>
      </c>
      <c r="V4444" s="21">
        <v>122</v>
      </c>
      <c r="W4444" s="21">
        <v>6</v>
      </c>
      <c r="X4444" s="22"/>
    </row>
    <row r="4445" spans="1:24" s="1" customFormat="1" ht="12.95" customHeight="1" x14ac:dyDescent="0.3">
      <c r="A4445" s="23" t="s">
        <v>2957</v>
      </c>
      <c r="B4445" s="23" t="s">
        <v>579</v>
      </c>
      <c r="C4445" s="12" t="s">
        <v>4519</v>
      </c>
      <c r="D4445" s="84"/>
      <c r="E4445" s="69" t="str">
        <f t="shared" si="224"/>
        <v>Еще фото</v>
      </c>
      <c r="F4445" s="13"/>
      <c r="G4445" s="23" t="s">
        <v>4520</v>
      </c>
      <c r="H4445" s="23" t="s">
        <v>27</v>
      </c>
      <c r="I4445" s="23" t="s">
        <v>569</v>
      </c>
      <c r="J4445" s="14" t="s">
        <v>138</v>
      </c>
      <c r="K4445" s="15" t="s">
        <v>30</v>
      </c>
      <c r="L4445" s="87"/>
      <c r="M4445" s="14"/>
      <c r="N4445" s="14" t="s">
        <v>41</v>
      </c>
      <c r="O4445" s="14"/>
      <c r="P4445" s="15" t="s">
        <v>2960</v>
      </c>
      <c r="Q4445" s="16">
        <v>4399</v>
      </c>
      <c r="R4445" s="17">
        <v>78</v>
      </c>
      <c r="S4445" s="29">
        <v>1112.9354999999998</v>
      </c>
      <c r="T4445" s="19" t="s">
        <v>117</v>
      </c>
      <c r="U4445" s="20" t="s">
        <v>37</v>
      </c>
      <c r="V4445" s="21">
        <v>128</v>
      </c>
      <c r="W4445" s="21">
        <v>8</v>
      </c>
      <c r="X4445" s="22"/>
    </row>
    <row r="4446" spans="1:24" s="1" customFormat="1" ht="12.95" customHeight="1" x14ac:dyDescent="0.3">
      <c r="A4446" s="23" t="s">
        <v>2957</v>
      </c>
      <c r="B4446" s="23" t="s">
        <v>579</v>
      </c>
      <c r="C4446" s="12" t="s">
        <v>4519</v>
      </c>
      <c r="D4446" s="84"/>
      <c r="E4446" s="69" t="str">
        <f t="shared" si="224"/>
        <v>Еще фото</v>
      </c>
      <c r="F4446" s="13"/>
      <c r="G4446" s="23" t="s">
        <v>4520</v>
      </c>
      <c r="H4446" s="23" t="s">
        <v>27</v>
      </c>
      <c r="I4446" s="23" t="s">
        <v>569</v>
      </c>
      <c r="J4446" s="14" t="s">
        <v>138</v>
      </c>
      <c r="K4446" s="15" t="s">
        <v>30</v>
      </c>
      <c r="L4446" s="87"/>
      <c r="M4446" s="14"/>
      <c r="N4446" s="14" t="s">
        <v>41</v>
      </c>
      <c r="O4446" s="14"/>
      <c r="P4446" s="15" t="s">
        <v>2960</v>
      </c>
      <c r="Q4446" s="16">
        <v>4399</v>
      </c>
      <c r="R4446" s="17">
        <v>78</v>
      </c>
      <c r="S4446" s="29">
        <v>1112.9354999999998</v>
      </c>
      <c r="T4446" s="19" t="s">
        <v>117</v>
      </c>
      <c r="U4446" s="20" t="s">
        <v>91</v>
      </c>
      <c r="V4446" s="21">
        <v>134</v>
      </c>
      <c r="W4446" s="21">
        <v>10</v>
      </c>
      <c r="X4446" s="22"/>
    </row>
    <row r="4447" spans="1:24" s="1" customFormat="1" ht="18" customHeight="1" x14ac:dyDescent="0.3">
      <c r="A4447" s="23" t="s">
        <v>2957</v>
      </c>
      <c r="B4447" s="23" t="s">
        <v>579</v>
      </c>
      <c r="C4447" s="12" t="s">
        <v>4519</v>
      </c>
      <c r="D4447" s="85"/>
      <c r="E4447" s="69" t="str">
        <f t="shared" si="224"/>
        <v>Еще фото</v>
      </c>
      <c r="F4447" s="13"/>
      <c r="G4447" s="23" t="s">
        <v>4520</v>
      </c>
      <c r="H4447" s="23" t="s">
        <v>27</v>
      </c>
      <c r="I4447" s="23" t="s">
        <v>569</v>
      </c>
      <c r="J4447" s="14" t="s">
        <v>138</v>
      </c>
      <c r="K4447" s="15" t="s">
        <v>30</v>
      </c>
      <c r="L4447" s="88"/>
      <c r="M4447" s="14"/>
      <c r="N4447" s="14" t="s">
        <v>41</v>
      </c>
      <c r="O4447" s="14"/>
      <c r="P4447" s="15" t="s">
        <v>2960</v>
      </c>
      <c r="Q4447" s="16">
        <v>4399</v>
      </c>
      <c r="R4447" s="17">
        <v>78</v>
      </c>
      <c r="S4447" s="29">
        <v>1112.9354999999998</v>
      </c>
      <c r="T4447" s="19" t="s">
        <v>117</v>
      </c>
      <c r="U4447" s="20" t="s">
        <v>290</v>
      </c>
      <c r="V4447" s="21">
        <v>140</v>
      </c>
      <c r="W4447" s="21">
        <v>12</v>
      </c>
      <c r="X4447" s="22"/>
    </row>
    <row r="4448" spans="1:24" s="1" customFormat="1" ht="26.1" customHeight="1" x14ac:dyDescent="0.3">
      <c r="A4448" s="11" t="s">
        <v>2957</v>
      </c>
      <c r="B4448" s="11" t="s">
        <v>579</v>
      </c>
      <c r="C4448" s="12" t="s">
        <v>4521</v>
      </c>
      <c r="D4448" s="83"/>
      <c r="E4448" s="69" t="str">
        <f>HYPERLINK("https://www.google.ru/search?q=536352-3225&amp;newwindow=1&amp;tbm=isch","Еще фото")</f>
        <v>Еще фото</v>
      </c>
      <c r="F4448" s="13"/>
      <c r="G4448" s="11" t="s">
        <v>1286</v>
      </c>
      <c r="H4448" s="11" t="s">
        <v>27</v>
      </c>
      <c r="I4448" s="14" t="s">
        <v>569</v>
      </c>
      <c r="J4448" s="14" t="s">
        <v>138</v>
      </c>
      <c r="K4448" s="15" t="s">
        <v>30</v>
      </c>
      <c r="L4448" s="86" t="s">
        <v>4522</v>
      </c>
      <c r="M4448" s="14"/>
      <c r="N4448" s="14" t="s">
        <v>636</v>
      </c>
      <c r="O4448" s="14"/>
      <c r="P4448" s="15" t="s">
        <v>4523</v>
      </c>
      <c r="Q4448" s="16">
        <v>2699</v>
      </c>
      <c r="R4448" s="17">
        <v>77.849999999999994</v>
      </c>
      <c r="S4448" s="29">
        <v>687.43549999999993</v>
      </c>
      <c r="T4448" s="19" t="s">
        <v>117</v>
      </c>
      <c r="U4448" s="20" t="s">
        <v>94</v>
      </c>
      <c r="V4448" s="21">
        <v>104</v>
      </c>
      <c r="W4448" s="21">
        <v>14</v>
      </c>
      <c r="X4448" s="22"/>
    </row>
    <row r="4449" spans="1:24" s="1" customFormat="1" ht="26.1" customHeight="1" x14ac:dyDescent="0.3">
      <c r="A4449" s="23" t="s">
        <v>2957</v>
      </c>
      <c r="B4449" s="23" t="s">
        <v>579</v>
      </c>
      <c r="C4449" s="12" t="s">
        <v>4521</v>
      </c>
      <c r="D4449" s="84"/>
      <c r="E4449" s="69" t="str">
        <f>HYPERLINK("https://www.google.ru/search?q=536352-3225&amp;newwindow=1&amp;tbm=isch","Еще фото")</f>
        <v>Еще фото</v>
      </c>
      <c r="F4449" s="13"/>
      <c r="G4449" s="23" t="s">
        <v>1286</v>
      </c>
      <c r="H4449" s="23" t="s">
        <v>27</v>
      </c>
      <c r="I4449" s="23" t="s">
        <v>569</v>
      </c>
      <c r="J4449" s="14" t="s">
        <v>138</v>
      </c>
      <c r="K4449" s="15" t="s">
        <v>30</v>
      </c>
      <c r="L4449" s="87"/>
      <c r="M4449" s="14"/>
      <c r="N4449" s="14" t="s">
        <v>636</v>
      </c>
      <c r="O4449" s="14"/>
      <c r="P4449" s="15" t="s">
        <v>4523</v>
      </c>
      <c r="Q4449" s="16">
        <v>2699</v>
      </c>
      <c r="R4449" s="17">
        <v>77.849999999999994</v>
      </c>
      <c r="S4449" s="29">
        <v>687.43549999999993</v>
      </c>
      <c r="T4449" s="19" t="s">
        <v>117</v>
      </c>
      <c r="U4449" s="20" t="s">
        <v>43</v>
      </c>
      <c r="V4449" s="21">
        <v>110</v>
      </c>
      <c r="W4449" s="21">
        <v>19</v>
      </c>
      <c r="X4449" s="22"/>
    </row>
    <row r="4450" spans="1:24" s="1" customFormat="1" ht="26.1" customHeight="1" x14ac:dyDescent="0.3">
      <c r="A4450" s="23" t="s">
        <v>2957</v>
      </c>
      <c r="B4450" s="23" t="s">
        <v>579</v>
      </c>
      <c r="C4450" s="12" t="s">
        <v>4521</v>
      </c>
      <c r="D4450" s="84"/>
      <c r="E4450" s="69" t="str">
        <f>HYPERLINK("https://www.google.ru/search?q=536352-3225&amp;newwindow=1&amp;tbm=isch","Еще фото")</f>
        <v>Еще фото</v>
      </c>
      <c r="F4450" s="13"/>
      <c r="G4450" s="23" t="s">
        <v>1286</v>
      </c>
      <c r="H4450" s="23" t="s">
        <v>27</v>
      </c>
      <c r="I4450" s="23" t="s">
        <v>569</v>
      </c>
      <c r="J4450" s="14" t="s">
        <v>138</v>
      </c>
      <c r="K4450" s="15" t="s">
        <v>30</v>
      </c>
      <c r="L4450" s="87"/>
      <c r="M4450" s="14"/>
      <c r="N4450" s="14" t="s">
        <v>636</v>
      </c>
      <c r="O4450" s="14"/>
      <c r="P4450" s="15" t="s">
        <v>4523</v>
      </c>
      <c r="Q4450" s="16">
        <v>2699</v>
      </c>
      <c r="R4450" s="17">
        <v>77.849999999999994</v>
      </c>
      <c r="S4450" s="29">
        <v>687.43549999999993</v>
      </c>
      <c r="T4450" s="19" t="s">
        <v>117</v>
      </c>
      <c r="U4450" s="20" t="s">
        <v>35</v>
      </c>
      <c r="V4450" s="21">
        <v>116</v>
      </c>
      <c r="W4450" s="21">
        <v>23</v>
      </c>
      <c r="X4450" s="22"/>
    </row>
    <row r="4451" spans="1:24" s="1" customFormat="1" ht="26.1" customHeight="1" x14ac:dyDescent="0.3">
      <c r="A4451" s="23" t="s">
        <v>2957</v>
      </c>
      <c r="B4451" s="23" t="s">
        <v>579</v>
      </c>
      <c r="C4451" s="12" t="s">
        <v>4521</v>
      </c>
      <c r="D4451" s="85"/>
      <c r="E4451" s="69" t="str">
        <f>HYPERLINK("https://www.google.ru/search?q=536352-3225&amp;newwindow=1&amp;tbm=isch","Еще фото")</f>
        <v>Еще фото</v>
      </c>
      <c r="F4451" s="13"/>
      <c r="G4451" s="23" t="s">
        <v>1286</v>
      </c>
      <c r="H4451" s="23" t="s">
        <v>27</v>
      </c>
      <c r="I4451" s="23" t="s">
        <v>569</v>
      </c>
      <c r="J4451" s="14" t="s">
        <v>138</v>
      </c>
      <c r="K4451" s="15" t="s">
        <v>30</v>
      </c>
      <c r="L4451" s="88"/>
      <c r="M4451" s="14"/>
      <c r="N4451" s="14" t="s">
        <v>636</v>
      </c>
      <c r="O4451" s="14"/>
      <c r="P4451" s="15" t="s">
        <v>4523</v>
      </c>
      <c r="Q4451" s="16">
        <v>2699</v>
      </c>
      <c r="R4451" s="17">
        <v>77.849999999999994</v>
      </c>
      <c r="S4451" s="29">
        <v>687.43549999999993</v>
      </c>
      <c r="T4451" s="19" t="s">
        <v>117</v>
      </c>
      <c r="U4451" s="20" t="s">
        <v>36</v>
      </c>
      <c r="V4451" s="21">
        <v>122</v>
      </c>
      <c r="W4451" s="21">
        <v>15</v>
      </c>
      <c r="X4451" s="22"/>
    </row>
    <row r="4452" spans="1:24" s="1" customFormat="1" ht="17.100000000000001" customHeight="1" x14ac:dyDescent="0.3">
      <c r="A4452" s="11" t="s">
        <v>2957</v>
      </c>
      <c r="B4452" s="11" t="s">
        <v>579</v>
      </c>
      <c r="C4452" s="12" t="s">
        <v>4524</v>
      </c>
      <c r="D4452" s="83"/>
      <c r="E4452" s="69" t="str">
        <f t="shared" ref="E4452:E4457" si="225">HYPERLINK("https://www.google.ru/search?q=536352-3500&amp;newwindow=1&amp;tbm=isch","Еще фото")</f>
        <v>Еще фото</v>
      </c>
      <c r="F4452" s="13"/>
      <c r="G4452" s="11" t="s">
        <v>1286</v>
      </c>
      <c r="H4452" s="11" t="s">
        <v>27</v>
      </c>
      <c r="I4452" s="14" t="s">
        <v>569</v>
      </c>
      <c r="J4452" s="14" t="s">
        <v>138</v>
      </c>
      <c r="K4452" s="15" t="s">
        <v>30</v>
      </c>
      <c r="L4452" s="86" t="s">
        <v>4522</v>
      </c>
      <c r="M4452" s="14"/>
      <c r="N4452" s="14" t="s">
        <v>116</v>
      </c>
      <c r="O4452" s="14"/>
      <c r="P4452" s="15" t="s">
        <v>4523</v>
      </c>
      <c r="Q4452" s="16">
        <v>2699</v>
      </c>
      <c r="R4452" s="17">
        <v>77.849999999999994</v>
      </c>
      <c r="S4452" s="29">
        <v>687.43549999999993</v>
      </c>
      <c r="T4452" s="19" t="s">
        <v>117</v>
      </c>
      <c r="U4452" s="20" t="s">
        <v>35</v>
      </c>
      <c r="V4452" s="21">
        <v>116</v>
      </c>
      <c r="W4452" s="21">
        <v>4</v>
      </c>
      <c r="X4452" s="22"/>
    </row>
    <row r="4453" spans="1:24" s="1" customFormat="1" ht="17.100000000000001" customHeight="1" x14ac:dyDescent="0.3">
      <c r="A4453" s="23" t="s">
        <v>2957</v>
      </c>
      <c r="B4453" s="23" t="s">
        <v>579</v>
      </c>
      <c r="C4453" s="12" t="s">
        <v>4524</v>
      </c>
      <c r="D4453" s="84"/>
      <c r="E4453" s="69" t="str">
        <f t="shared" si="225"/>
        <v>Еще фото</v>
      </c>
      <c r="F4453" s="13"/>
      <c r="G4453" s="23" t="s">
        <v>1286</v>
      </c>
      <c r="H4453" s="23" t="s">
        <v>27</v>
      </c>
      <c r="I4453" s="23" t="s">
        <v>569</v>
      </c>
      <c r="J4453" s="14" t="s">
        <v>138</v>
      </c>
      <c r="K4453" s="15" t="s">
        <v>30</v>
      </c>
      <c r="L4453" s="87"/>
      <c r="M4453" s="14"/>
      <c r="N4453" s="14" t="s">
        <v>116</v>
      </c>
      <c r="O4453" s="14"/>
      <c r="P4453" s="15" t="s">
        <v>4523</v>
      </c>
      <c r="Q4453" s="16">
        <v>2699</v>
      </c>
      <c r="R4453" s="17">
        <v>77.849999999999994</v>
      </c>
      <c r="S4453" s="29">
        <v>687.43549999999993</v>
      </c>
      <c r="T4453" s="19" t="s">
        <v>117</v>
      </c>
      <c r="U4453" s="20" t="s">
        <v>36</v>
      </c>
      <c r="V4453" s="21">
        <v>122</v>
      </c>
      <c r="W4453" s="21">
        <v>1</v>
      </c>
      <c r="X4453" s="22"/>
    </row>
    <row r="4454" spans="1:24" s="1" customFormat="1" ht="17.100000000000001" customHeight="1" x14ac:dyDescent="0.3">
      <c r="A4454" s="23" t="s">
        <v>2957</v>
      </c>
      <c r="B4454" s="23" t="s">
        <v>579</v>
      </c>
      <c r="C4454" s="12" t="s">
        <v>4524</v>
      </c>
      <c r="D4454" s="84"/>
      <c r="E4454" s="69" t="str">
        <f t="shared" si="225"/>
        <v>Еще фото</v>
      </c>
      <c r="F4454" s="13"/>
      <c r="G4454" s="23" t="s">
        <v>1286</v>
      </c>
      <c r="H4454" s="23" t="s">
        <v>27</v>
      </c>
      <c r="I4454" s="23" t="s">
        <v>569</v>
      </c>
      <c r="J4454" s="14" t="s">
        <v>138</v>
      </c>
      <c r="K4454" s="15" t="s">
        <v>30</v>
      </c>
      <c r="L4454" s="87"/>
      <c r="M4454" s="14"/>
      <c r="N4454" s="14" t="s">
        <v>116</v>
      </c>
      <c r="O4454" s="14"/>
      <c r="P4454" s="15" t="s">
        <v>4523</v>
      </c>
      <c r="Q4454" s="16">
        <v>2699</v>
      </c>
      <c r="R4454" s="17">
        <v>77.849999999999994</v>
      </c>
      <c r="S4454" s="29">
        <v>687.43549999999993</v>
      </c>
      <c r="T4454" s="19" t="s">
        <v>117</v>
      </c>
      <c r="U4454" s="20" t="s">
        <v>37</v>
      </c>
      <c r="V4454" s="21">
        <v>128</v>
      </c>
      <c r="W4454" s="21">
        <v>3</v>
      </c>
      <c r="X4454" s="22"/>
    </row>
    <row r="4455" spans="1:24" s="1" customFormat="1" ht="17.100000000000001" customHeight="1" x14ac:dyDescent="0.3">
      <c r="A4455" s="23" t="s">
        <v>2957</v>
      </c>
      <c r="B4455" s="23" t="s">
        <v>579</v>
      </c>
      <c r="C4455" s="12" t="s">
        <v>4524</v>
      </c>
      <c r="D4455" s="84"/>
      <c r="E4455" s="69" t="str">
        <f t="shared" si="225"/>
        <v>Еще фото</v>
      </c>
      <c r="F4455" s="13"/>
      <c r="G4455" s="23" t="s">
        <v>1286</v>
      </c>
      <c r="H4455" s="23" t="s">
        <v>27</v>
      </c>
      <c r="I4455" s="23" t="s">
        <v>569</v>
      </c>
      <c r="J4455" s="14" t="s">
        <v>138</v>
      </c>
      <c r="K4455" s="15" t="s">
        <v>30</v>
      </c>
      <c r="L4455" s="87"/>
      <c r="M4455" s="14"/>
      <c r="N4455" s="14" t="s">
        <v>116</v>
      </c>
      <c r="O4455" s="14"/>
      <c r="P4455" s="15" t="s">
        <v>4523</v>
      </c>
      <c r="Q4455" s="16">
        <v>2699</v>
      </c>
      <c r="R4455" s="17">
        <v>77.849999999999994</v>
      </c>
      <c r="S4455" s="29">
        <v>687.43549999999993</v>
      </c>
      <c r="T4455" s="19" t="s">
        <v>117</v>
      </c>
      <c r="U4455" s="20" t="s">
        <v>91</v>
      </c>
      <c r="V4455" s="21">
        <v>134</v>
      </c>
      <c r="W4455" s="21">
        <v>1</v>
      </c>
      <c r="X4455" s="22"/>
    </row>
    <row r="4456" spans="1:24" s="1" customFormat="1" ht="17.100000000000001" customHeight="1" x14ac:dyDescent="0.3">
      <c r="A4456" s="23" t="s">
        <v>2957</v>
      </c>
      <c r="B4456" s="23" t="s">
        <v>579</v>
      </c>
      <c r="C4456" s="12" t="s">
        <v>4524</v>
      </c>
      <c r="D4456" s="84"/>
      <c r="E4456" s="69" t="str">
        <f t="shared" si="225"/>
        <v>Еще фото</v>
      </c>
      <c r="F4456" s="13"/>
      <c r="G4456" s="23" t="s">
        <v>1286</v>
      </c>
      <c r="H4456" s="23" t="s">
        <v>27</v>
      </c>
      <c r="I4456" s="23" t="s">
        <v>569</v>
      </c>
      <c r="J4456" s="14" t="s">
        <v>138</v>
      </c>
      <c r="K4456" s="15" t="s">
        <v>30</v>
      </c>
      <c r="L4456" s="87"/>
      <c r="M4456" s="14"/>
      <c r="N4456" s="14" t="s">
        <v>116</v>
      </c>
      <c r="O4456" s="14"/>
      <c r="P4456" s="15" t="s">
        <v>4523</v>
      </c>
      <c r="Q4456" s="16">
        <v>2699</v>
      </c>
      <c r="R4456" s="17">
        <v>77.849999999999994</v>
      </c>
      <c r="S4456" s="29">
        <v>687.43549999999993</v>
      </c>
      <c r="T4456" s="19" t="s">
        <v>117</v>
      </c>
      <c r="U4456" s="20" t="s">
        <v>290</v>
      </c>
      <c r="V4456" s="21">
        <v>140</v>
      </c>
      <c r="W4456" s="21">
        <v>3</v>
      </c>
      <c r="X4456" s="22"/>
    </row>
    <row r="4457" spans="1:24" s="1" customFormat="1" ht="21.95" customHeight="1" x14ac:dyDescent="0.3">
      <c r="A4457" s="23" t="s">
        <v>2957</v>
      </c>
      <c r="B4457" s="23" t="s">
        <v>579</v>
      </c>
      <c r="C4457" s="12" t="s">
        <v>4524</v>
      </c>
      <c r="D4457" s="85"/>
      <c r="E4457" s="69" t="str">
        <f t="shared" si="225"/>
        <v>Еще фото</v>
      </c>
      <c r="F4457" s="13"/>
      <c r="G4457" s="23" t="s">
        <v>1286</v>
      </c>
      <c r="H4457" s="23" t="s">
        <v>27</v>
      </c>
      <c r="I4457" s="23" t="s">
        <v>569</v>
      </c>
      <c r="J4457" s="14" t="s">
        <v>138</v>
      </c>
      <c r="K4457" s="15" t="s">
        <v>30</v>
      </c>
      <c r="L4457" s="88"/>
      <c r="M4457" s="14"/>
      <c r="N4457" s="14" t="s">
        <v>116</v>
      </c>
      <c r="O4457" s="14"/>
      <c r="P4457" s="15" t="s">
        <v>4523</v>
      </c>
      <c r="Q4457" s="16">
        <v>2699</v>
      </c>
      <c r="R4457" s="17">
        <v>77.849999999999994</v>
      </c>
      <c r="S4457" s="29">
        <v>687.43549999999993</v>
      </c>
      <c r="T4457" s="19" t="s">
        <v>117</v>
      </c>
      <c r="U4457" s="20" t="s">
        <v>2993</v>
      </c>
      <c r="V4457" s="21">
        <v>146</v>
      </c>
      <c r="W4457" s="21">
        <v>6</v>
      </c>
      <c r="X4457" s="22"/>
    </row>
    <row r="4458" spans="1:24" s="1" customFormat="1" ht="17.100000000000001" customHeight="1" x14ac:dyDescent="0.3">
      <c r="A4458" s="11" t="s">
        <v>2957</v>
      </c>
      <c r="B4458" s="11" t="s">
        <v>4525</v>
      </c>
      <c r="C4458" s="12" t="s">
        <v>4526</v>
      </c>
      <c r="D4458" s="83"/>
      <c r="E4458" s="69" t="str">
        <f t="shared" ref="E4458:E4463" si="226">HYPERLINK("https://www.google.ru/search?q=536534-7860&amp;newwindow=1&amp;tbm=isch","Еще фото")</f>
        <v>Еще фото</v>
      </c>
      <c r="F4458" s="13"/>
      <c r="G4458" s="11" t="s">
        <v>654</v>
      </c>
      <c r="H4458" s="11" t="s">
        <v>27</v>
      </c>
      <c r="I4458" s="14" t="s">
        <v>569</v>
      </c>
      <c r="J4458" s="14" t="s">
        <v>29</v>
      </c>
      <c r="K4458" s="15" t="s">
        <v>30</v>
      </c>
      <c r="L4458" s="86" t="s">
        <v>4527</v>
      </c>
      <c r="M4458" s="14"/>
      <c r="N4458" s="14" t="s">
        <v>265</v>
      </c>
      <c r="O4458" s="14"/>
      <c r="P4458" s="15" t="s">
        <v>4528</v>
      </c>
      <c r="Q4458" s="16">
        <v>3399</v>
      </c>
      <c r="R4458" s="17">
        <v>75.650000000000006</v>
      </c>
      <c r="S4458" s="29">
        <v>951.93549999999993</v>
      </c>
      <c r="T4458" s="19" t="s">
        <v>117</v>
      </c>
      <c r="U4458" s="20" t="s">
        <v>94</v>
      </c>
      <c r="V4458" s="21">
        <v>104</v>
      </c>
      <c r="W4458" s="21">
        <v>2</v>
      </c>
      <c r="X4458" s="22"/>
    </row>
    <row r="4459" spans="1:24" s="1" customFormat="1" ht="17.100000000000001" customHeight="1" x14ac:dyDescent="0.3">
      <c r="A4459" s="23" t="s">
        <v>2957</v>
      </c>
      <c r="B4459" s="23" t="s">
        <v>4525</v>
      </c>
      <c r="C4459" s="12" t="s">
        <v>4526</v>
      </c>
      <c r="D4459" s="84"/>
      <c r="E4459" s="69" t="str">
        <f t="shared" si="226"/>
        <v>Еще фото</v>
      </c>
      <c r="F4459" s="13"/>
      <c r="G4459" s="23" t="s">
        <v>654</v>
      </c>
      <c r="H4459" s="23" t="s">
        <v>27</v>
      </c>
      <c r="I4459" s="23" t="s">
        <v>569</v>
      </c>
      <c r="J4459" s="14" t="s">
        <v>29</v>
      </c>
      <c r="K4459" s="15" t="s">
        <v>30</v>
      </c>
      <c r="L4459" s="87"/>
      <c r="M4459" s="14"/>
      <c r="N4459" s="14" t="s">
        <v>265</v>
      </c>
      <c r="O4459" s="14"/>
      <c r="P4459" s="15" t="s">
        <v>4528</v>
      </c>
      <c r="Q4459" s="16">
        <v>3399</v>
      </c>
      <c r="R4459" s="17">
        <v>75.650000000000006</v>
      </c>
      <c r="S4459" s="29">
        <v>951.93549999999993</v>
      </c>
      <c r="T4459" s="19" t="s">
        <v>117</v>
      </c>
      <c r="U4459" s="20" t="s">
        <v>43</v>
      </c>
      <c r="V4459" s="21">
        <v>110</v>
      </c>
      <c r="W4459" s="21">
        <v>3</v>
      </c>
      <c r="X4459" s="22"/>
    </row>
    <row r="4460" spans="1:24" s="1" customFormat="1" ht="17.100000000000001" customHeight="1" x14ac:dyDescent="0.3">
      <c r="A4460" s="23" t="s">
        <v>2957</v>
      </c>
      <c r="B4460" s="23" t="s">
        <v>4525</v>
      </c>
      <c r="C4460" s="12" t="s">
        <v>4526</v>
      </c>
      <c r="D4460" s="84"/>
      <c r="E4460" s="69" t="str">
        <f t="shared" si="226"/>
        <v>Еще фото</v>
      </c>
      <c r="F4460" s="13"/>
      <c r="G4460" s="23" t="s">
        <v>654</v>
      </c>
      <c r="H4460" s="23" t="s">
        <v>27</v>
      </c>
      <c r="I4460" s="23" t="s">
        <v>569</v>
      </c>
      <c r="J4460" s="14" t="s">
        <v>29</v>
      </c>
      <c r="K4460" s="15" t="s">
        <v>30</v>
      </c>
      <c r="L4460" s="87"/>
      <c r="M4460" s="14"/>
      <c r="N4460" s="14" t="s">
        <v>265</v>
      </c>
      <c r="O4460" s="14"/>
      <c r="P4460" s="15" t="s">
        <v>4528</v>
      </c>
      <c r="Q4460" s="16">
        <v>3399</v>
      </c>
      <c r="R4460" s="17">
        <v>75.650000000000006</v>
      </c>
      <c r="S4460" s="29">
        <v>951.93549999999993</v>
      </c>
      <c r="T4460" s="19" t="s">
        <v>117</v>
      </c>
      <c r="U4460" s="20" t="s">
        <v>35</v>
      </c>
      <c r="V4460" s="21">
        <v>116</v>
      </c>
      <c r="W4460" s="21">
        <v>9</v>
      </c>
      <c r="X4460" s="22"/>
    </row>
    <row r="4461" spans="1:24" s="1" customFormat="1" ht="17.100000000000001" customHeight="1" x14ac:dyDescent="0.3">
      <c r="A4461" s="23" t="s">
        <v>2957</v>
      </c>
      <c r="B4461" s="23" t="s">
        <v>4525</v>
      </c>
      <c r="C4461" s="12" t="s">
        <v>4526</v>
      </c>
      <c r="D4461" s="84"/>
      <c r="E4461" s="69" t="str">
        <f t="shared" si="226"/>
        <v>Еще фото</v>
      </c>
      <c r="F4461" s="13"/>
      <c r="G4461" s="23" t="s">
        <v>654</v>
      </c>
      <c r="H4461" s="23" t="s">
        <v>27</v>
      </c>
      <c r="I4461" s="23" t="s">
        <v>569</v>
      </c>
      <c r="J4461" s="14" t="s">
        <v>29</v>
      </c>
      <c r="K4461" s="15" t="s">
        <v>30</v>
      </c>
      <c r="L4461" s="87"/>
      <c r="M4461" s="14"/>
      <c r="N4461" s="14" t="s">
        <v>265</v>
      </c>
      <c r="O4461" s="14"/>
      <c r="P4461" s="15" t="s">
        <v>4528</v>
      </c>
      <c r="Q4461" s="16">
        <v>3399</v>
      </c>
      <c r="R4461" s="17">
        <v>75.650000000000006</v>
      </c>
      <c r="S4461" s="29">
        <v>951.93549999999993</v>
      </c>
      <c r="T4461" s="19" t="s">
        <v>117</v>
      </c>
      <c r="U4461" s="20" t="s">
        <v>36</v>
      </c>
      <c r="V4461" s="21">
        <v>122</v>
      </c>
      <c r="W4461" s="21">
        <v>2</v>
      </c>
      <c r="X4461" s="22"/>
    </row>
    <row r="4462" spans="1:24" s="1" customFormat="1" ht="17.100000000000001" customHeight="1" x14ac:dyDescent="0.3">
      <c r="A4462" s="23" t="s">
        <v>2957</v>
      </c>
      <c r="B4462" s="23" t="s">
        <v>4525</v>
      </c>
      <c r="C4462" s="12" t="s">
        <v>4526</v>
      </c>
      <c r="D4462" s="84"/>
      <c r="E4462" s="69" t="str">
        <f t="shared" si="226"/>
        <v>Еще фото</v>
      </c>
      <c r="F4462" s="13"/>
      <c r="G4462" s="23" t="s">
        <v>654</v>
      </c>
      <c r="H4462" s="23" t="s">
        <v>27</v>
      </c>
      <c r="I4462" s="23" t="s">
        <v>569</v>
      </c>
      <c r="J4462" s="14" t="s">
        <v>29</v>
      </c>
      <c r="K4462" s="15" t="s">
        <v>30</v>
      </c>
      <c r="L4462" s="87"/>
      <c r="M4462" s="14"/>
      <c r="N4462" s="14" t="s">
        <v>265</v>
      </c>
      <c r="O4462" s="14"/>
      <c r="P4462" s="15" t="s">
        <v>4528</v>
      </c>
      <c r="Q4462" s="16">
        <v>3399</v>
      </c>
      <c r="R4462" s="17">
        <v>75.650000000000006</v>
      </c>
      <c r="S4462" s="29">
        <v>951.93549999999993</v>
      </c>
      <c r="T4462" s="19" t="s">
        <v>117</v>
      </c>
      <c r="U4462" s="20" t="s">
        <v>2160</v>
      </c>
      <c r="V4462" s="21">
        <v>152</v>
      </c>
      <c r="W4462" s="21">
        <v>3</v>
      </c>
      <c r="X4462" s="22"/>
    </row>
    <row r="4463" spans="1:24" s="1" customFormat="1" ht="21.95" customHeight="1" x14ac:dyDescent="0.3">
      <c r="A4463" s="23" t="s">
        <v>2957</v>
      </c>
      <c r="B4463" s="23" t="s">
        <v>4525</v>
      </c>
      <c r="C4463" s="12" t="s">
        <v>4526</v>
      </c>
      <c r="D4463" s="85"/>
      <c r="E4463" s="69" t="str">
        <f t="shared" si="226"/>
        <v>Еще фото</v>
      </c>
      <c r="F4463" s="13"/>
      <c r="G4463" s="23" t="s">
        <v>654</v>
      </c>
      <c r="H4463" s="23" t="s">
        <v>27</v>
      </c>
      <c r="I4463" s="23" t="s">
        <v>569</v>
      </c>
      <c r="J4463" s="14" t="s">
        <v>29</v>
      </c>
      <c r="K4463" s="15" t="s">
        <v>30</v>
      </c>
      <c r="L4463" s="88"/>
      <c r="M4463" s="14"/>
      <c r="N4463" s="14" t="s">
        <v>265</v>
      </c>
      <c r="O4463" s="14"/>
      <c r="P4463" s="15" t="s">
        <v>4528</v>
      </c>
      <c r="Q4463" s="16">
        <v>3399</v>
      </c>
      <c r="R4463" s="17">
        <v>75.650000000000006</v>
      </c>
      <c r="S4463" s="29">
        <v>951.93549999999993</v>
      </c>
      <c r="T4463" s="19" t="s">
        <v>117</v>
      </c>
      <c r="U4463" s="20" t="s">
        <v>3088</v>
      </c>
      <c r="V4463" s="21">
        <v>158</v>
      </c>
      <c r="W4463" s="21">
        <v>4</v>
      </c>
      <c r="X4463" s="22"/>
    </row>
    <row r="4464" spans="1:24" s="1" customFormat="1" ht="12.95" customHeight="1" x14ac:dyDescent="0.3">
      <c r="A4464" s="11" t="s">
        <v>2957</v>
      </c>
      <c r="B4464" s="11" t="s">
        <v>4529</v>
      </c>
      <c r="C4464" s="12" t="s">
        <v>4530</v>
      </c>
      <c r="D4464" s="83"/>
      <c r="E4464" s="69" t="str">
        <f t="shared" ref="E4464:E4471" si="227">HYPERLINK("https://www.google.ru/search?q=531521-7330&amp;newwindow=1&amp;tbm=isch","Еще фото")</f>
        <v>Еще фото</v>
      </c>
      <c r="F4464" s="13"/>
      <c r="G4464" s="11" t="s">
        <v>599</v>
      </c>
      <c r="H4464" s="11" t="s">
        <v>27</v>
      </c>
      <c r="I4464" s="14" t="s">
        <v>569</v>
      </c>
      <c r="J4464" s="14" t="s">
        <v>29</v>
      </c>
      <c r="K4464" s="15" t="s">
        <v>30</v>
      </c>
      <c r="L4464" s="86" t="s">
        <v>4531</v>
      </c>
      <c r="M4464" s="14"/>
      <c r="N4464" s="14" t="s">
        <v>265</v>
      </c>
      <c r="O4464" s="14"/>
      <c r="P4464" s="15" t="s">
        <v>4502</v>
      </c>
      <c r="Q4464" s="16">
        <v>4399</v>
      </c>
      <c r="R4464" s="17">
        <v>74.819999999999993</v>
      </c>
      <c r="S4464" s="18">
        <v>1273.9354999999998</v>
      </c>
      <c r="T4464" s="19" t="s">
        <v>117</v>
      </c>
      <c r="U4464" s="26" t="s">
        <v>35</v>
      </c>
      <c r="V4464" s="21">
        <v>116</v>
      </c>
      <c r="W4464" s="21">
        <v>17</v>
      </c>
      <c r="X4464" s="22"/>
    </row>
    <row r="4465" spans="1:24" s="1" customFormat="1" ht="12.95" customHeight="1" x14ac:dyDescent="0.3">
      <c r="A4465" s="23" t="s">
        <v>2957</v>
      </c>
      <c r="B4465" s="23" t="s">
        <v>4529</v>
      </c>
      <c r="C4465" s="12" t="s">
        <v>4530</v>
      </c>
      <c r="D4465" s="84"/>
      <c r="E4465" s="69" t="str">
        <f t="shared" si="227"/>
        <v>Еще фото</v>
      </c>
      <c r="F4465" s="13"/>
      <c r="G4465" s="23" t="s">
        <v>599</v>
      </c>
      <c r="H4465" s="23" t="s">
        <v>27</v>
      </c>
      <c r="I4465" s="23" t="s">
        <v>569</v>
      </c>
      <c r="J4465" s="14" t="s">
        <v>29</v>
      </c>
      <c r="K4465" s="15" t="s">
        <v>30</v>
      </c>
      <c r="L4465" s="87"/>
      <c r="M4465" s="14"/>
      <c r="N4465" s="14" t="s">
        <v>265</v>
      </c>
      <c r="O4465" s="14"/>
      <c r="P4465" s="15" t="s">
        <v>4502</v>
      </c>
      <c r="Q4465" s="16">
        <v>4399</v>
      </c>
      <c r="R4465" s="17">
        <v>74.819999999999993</v>
      </c>
      <c r="S4465" s="18">
        <v>1273.9354999999998</v>
      </c>
      <c r="T4465" s="19" t="s">
        <v>117</v>
      </c>
      <c r="U4465" s="20" t="s">
        <v>36</v>
      </c>
      <c r="V4465" s="21">
        <v>122</v>
      </c>
      <c r="W4465" s="21">
        <v>12</v>
      </c>
      <c r="X4465" s="22"/>
    </row>
    <row r="4466" spans="1:24" s="1" customFormat="1" ht="12.95" customHeight="1" x14ac:dyDescent="0.3">
      <c r="A4466" s="23" t="s">
        <v>2957</v>
      </c>
      <c r="B4466" s="23" t="s">
        <v>4529</v>
      </c>
      <c r="C4466" s="12" t="s">
        <v>4530</v>
      </c>
      <c r="D4466" s="84"/>
      <c r="E4466" s="69" t="str">
        <f t="shared" si="227"/>
        <v>Еще фото</v>
      </c>
      <c r="F4466" s="13"/>
      <c r="G4466" s="23" t="s">
        <v>599</v>
      </c>
      <c r="H4466" s="23" t="s">
        <v>27</v>
      </c>
      <c r="I4466" s="23" t="s">
        <v>569</v>
      </c>
      <c r="J4466" s="14" t="s">
        <v>29</v>
      </c>
      <c r="K4466" s="15" t="s">
        <v>30</v>
      </c>
      <c r="L4466" s="87"/>
      <c r="M4466" s="14"/>
      <c r="N4466" s="14" t="s">
        <v>265</v>
      </c>
      <c r="O4466" s="14"/>
      <c r="P4466" s="15" t="s">
        <v>4502</v>
      </c>
      <c r="Q4466" s="16">
        <v>4399</v>
      </c>
      <c r="R4466" s="17">
        <v>74.819999999999993</v>
      </c>
      <c r="S4466" s="18">
        <v>1273.9354999999998</v>
      </c>
      <c r="T4466" s="19" t="s">
        <v>117</v>
      </c>
      <c r="U4466" s="20" t="s">
        <v>37</v>
      </c>
      <c r="V4466" s="21">
        <v>128</v>
      </c>
      <c r="W4466" s="21">
        <v>12</v>
      </c>
      <c r="X4466" s="22"/>
    </row>
    <row r="4467" spans="1:24" s="1" customFormat="1" ht="12.95" customHeight="1" x14ac:dyDescent="0.3">
      <c r="A4467" s="23" t="s">
        <v>2957</v>
      </c>
      <c r="B4467" s="23" t="s">
        <v>4529</v>
      </c>
      <c r="C4467" s="12" t="s">
        <v>4530</v>
      </c>
      <c r="D4467" s="84"/>
      <c r="E4467" s="69" t="str">
        <f t="shared" si="227"/>
        <v>Еще фото</v>
      </c>
      <c r="F4467" s="13"/>
      <c r="G4467" s="23" t="s">
        <v>599</v>
      </c>
      <c r="H4467" s="23" t="s">
        <v>27</v>
      </c>
      <c r="I4467" s="23" t="s">
        <v>569</v>
      </c>
      <c r="J4467" s="14" t="s">
        <v>29</v>
      </c>
      <c r="K4467" s="15" t="s">
        <v>30</v>
      </c>
      <c r="L4467" s="87"/>
      <c r="M4467" s="14"/>
      <c r="N4467" s="14" t="s">
        <v>265</v>
      </c>
      <c r="O4467" s="14"/>
      <c r="P4467" s="15" t="s">
        <v>4502</v>
      </c>
      <c r="Q4467" s="16">
        <v>4399</v>
      </c>
      <c r="R4467" s="17">
        <v>74.819999999999993</v>
      </c>
      <c r="S4467" s="18">
        <v>1273.9354999999998</v>
      </c>
      <c r="T4467" s="19" t="s">
        <v>117</v>
      </c>
      <c r="U4467" s="20" t="s">
        <v>91</v>
      </c>
      <c r="V4467" s="21">
        <v>134</v>
      </c>
      <c r="W4467" s="21">
        <v>16</v>
      </c>
      <c r="X4467" s="22"/>
    </row>
    <row r="4468" spans="1:24" s="1" customFormat="1" ht="12.95" customHeight="1" x14ac:dyDescent="0.3">
      <c r="A4468" s="23" t="s">
        <v>2957</v>
      </c>
      <c r="B4468" s="23" t="s">
        <v>4529</v>
      </c>
      <c r="C4468" s="12" t="s">
        <v>4530</v>
      </c>
      <c r="D4468" s="84"/>
      <c r="E4468" s="69" t="str">
        <f t="shared" si="227"/>
        <v>Еще фото</v>
      </c>
      <c r="F4468" s="13"/>
      <c r="G4468" s="23" t="s">
        <v>599</v>
      </c>
      <c r="H4468" s="23" t="s">
        <v>27</v>
      </c>
      <c r="I4468" s="23" t="s">
        <v>569</v>
      </c>
      <c r="J4468" s="14" t="s">
        <v>29</v>
      </c>
      <c r="K4468" s="15" t="s">
        <v>30</v>
      </c>
      <c r="L4468" s="87"/>
      <c r="M4468" s="14"/>
      <c r="N4468" s="14" t="s">
        <v>265</v>
      </c>
      <c r="O4468" s="14"/>
      <c r="P4468" s="15" t="s">
        <v>4502</v>
      </c>
      <c r="Q4468" s="16">
        <v>4399</v>
      </c>
      <c r="R4468" s="17">
        <v>74.819999999999993</v>
      </c>
      <c r="S4468" s="18">
        <v>1273.9354999999998</v>
      </c>
      <c r="T4468" s="19" t="s">
        <v>117</v>
      </c>
      <c r="U4468" s="20" t="s">
        <v>290</v>
      </c>
      <c r="V4468" s="21">
        <v>140</v>
      </c>
      <c r="W4468" s="21">
        <v>15</v>
      </c>
      <c r="X4468" s="22"/>
    </row>
    <row r="4469" spans="1:24" s="1" customFormat="1" ht="12.95" customHeight="1" x14ac:dyDescent="0.3">
      <c r="A4469" s="23" t="s">
        <v>2957</v>
      </c>
      <c r="B4469" s="23" t="s">
        <v>4529</v>
      </c>
      <c r="C4469" s="12" t="s">
        <v>4530</v>
      </c>
      <c r="D4469" s="84"/>
      <c r="E4469" s="69" t="str">
        <f t="shared" si="227"/>
        <v>Еще фото</v>
      </c>
      <c r="F4469" s="13"/>
      <c r="G4469" s="23" t="s">
        <v>599</v>
      </c>
      <c r="H4469" s="23" t="s">
        <v>27</v>
      </c>
      <c r="I4469" s="23" t="s">
        <v>569</v>
      </c>
      <c r="J4469" s="14" t="s">
        <v>29</v>
      </c>
      <c r="K4469" s="15" t="s">
        <v>30</v>
      </c>
      <c r="L4469" s="87"/>
      <c r="M4469" s="14"/>
      <c r="N4469" s="14" t="s">
        <v>265</v>
      </c>
      <c r="O4469" s="14"/>
      <c r="P4469" s="15" t="s">
        <v>4502</v>
      </c>
      <c r="Q4469" s="16">
        <v>4399</v>
      </c>
      <c r="R4469" s="17">
        <v>74.819999999999993</v>
      </c>
      <c r="S4469" s="18">
        <v>1273.9354999999998</v>
      </c>
      <c r="T4469" s="19" t="s">
        <v>117</v>
      </c>
      <c r="U4469" s="20" t="s">
        <v>2993</v>
      </c>
      <c r="V4469" s="21">
        <v>146</v>
      </c>
      <c r="W4469" s="21">
        <v>13</v>
      </c>
      <c r="X4469" s="22"/>
    </row>
    <row r="4470" spans="1:24" s="1" customFormat="1" ht="12.95" customHeight="1" x14ac:dyDescent="0.3">
      <c r="A4470" s="23" t="s">
        <v>2957</v>
      </c>
      <c r="B4470" s="23" t="s">
        <v>4529</v>
      </c>
      <c r="C4470" s="12" t="s">
        <v>4530</v>
      </c>
      <c r="D4470" s="84"/>
      <c r="E4470" s="69" t="str">
        <f t="shared" si="227"/>
        <v>Еще фото</v>
      </c>
      <c r="F4470" s="13"/>
      <c r="G4470" s="23" t="s">
        <v>599</v>
      </c>
      <c r="H4470" s="23" t="s">
        <v>27</v>
      </c>
      <c r="I4470" s="23" t="s">
        <v>569</v>
      </c>
      <c r="J4470" s="14" t="s">
        <v>29</v>
      </c>
      <c r="K4470" s="15" t="s">
        <v>30</v>
      </c>
      <c r="L4470" s="87"/>
      <c r="M4470" s="14"/>
      <c r="N4470" s="14" t="s">
        <v>265</v>
      </c>
      <c r="O4470" s="14"/>
      <c r="P4470" s="15" t="s">
        <v>4502</v>
      </c>
      <c r="Q4470" s="16">
        <v>4399</v>
      </c>
      <c r="R4470" s="17">
        <v>74.819999999999993</v>
      </c>
      <c r="S4470" s="18">
        <v>1273.9354999999998</v>
      </c>
      <c r="T4470" s="19" t="s">
        <v>117</v>
      </c>
      <c r="U4470" s="20" t="s">
        <v>2160</v>
      </c>
      <c r="V4470" s="21">
        <v>152</v>
      </c>
      <c r="W4470" s="21">
        <v>21</v>
      </c>
      <c r="X4470" s="22"/>
    </row>
    <row r="4471" spans="1:24" s="1" customFormat="1" ht="18" customHeight="1" x14ac:dyDescent="0.3">
      <c r="A4471" s="23" t="s">
        <v>2957</v>
      </c>
      <c r="B4471" s="23" t="s">
        <v>4529</v>
      </c>
      <c r="C4471" s="12" t="s">
        <v>4530</v>
      </c>
      <c r="D4471" s="85"/>
      <c r="E4471" s="69" t="str">
        <f t="shared" si="227"/>
        <v>Еще фото</v>
      </c>
      <c r="F4471" s="13"/>
      <c r="G4471" s="23" t="s">
        <v>599</v>
      </c>
      <c r="H4471" s="23" t="s">
        <v>27</v>
      </c>
      <c r="I4471" s="23" t="s">
        <v>569</v>
      </c>
      <c r="J4471" s="14" t="s">
        <v>29</v>
      </c>
      <c r="K4471" s="15" t="s">
        <v>30</v>
      </c>
      <c r="L4471" s="88"/>
      <c r="M4471" s="14"/>
      <c r="N4471" s="14" t="s">
        <v>265</v>
      </c>
      <c r="O4471" s="14"/>
      <c r="P4471" s="15" t="s">
        <v>4502</v>
      </c>
      <c r="Q4471" s="16">
        <v>4399</v>
      </c>
      <c r="R4471" s="17">
        <v>74.819999999999993</v>
      </c>
      <c r="S4471" s="18">
        <v>1273.9354999999998</v>
      </c>
      <c r="T4471" s="19" t="s">
        <v>117</v>
      </c>
      <c r="U4471" s="20" t="s">
        <v>3088</v>
      </c>
      <c r="V4471" s="21">
        <v>158</v>
      </c>
      <c r="W4471" s="21">
        <v>13</v>
      </c>
      <c r="X4471" s="22"/>
    </row>
    <row r="4472" spans="1:24" s="1" customFormat="1" ht="21" customHeight="1" x14ac:dyDescent="0.3">
      <c r="A4472" s="11" t="s">
        <v>2957</v>
      </c>
      <c r="B4472" s="11" t="s">
        <v>4525</v>
      </c>
      <c r="C4472" s="27" t="s">
        <v>4532</v>
      </c>
      <c r="D4472" s="83"/>
      <c r="E4472" s="69" t="str">
        <f>HYPERLINK("https://www.google.ru/search?q=536534-4560&amp;newwindow=1&amp;tbm=isch","Еще фото")</f>
        <v>Еще фото</v>
      </c>
      <c r="F4472" s="13"/>
      <c r="G4472" s="11" t="s">
        <v>654</v>
      </c>
      <c r="H4472" s="11" t="s">
        <v>27</v>
      </c>
      <c r="I4472" s="14" t="s">
        <v>569</v>
      </c>
      <c r="J4472" s="14" t="s">
        <v>29</v>
      </c>
      <c r="K4472" s="15" t="s">
        <v>30</v>
      </c>
      <c r="L4472" s="86" t="s">
        <v>4527</v>
      </c>
      <c r="M4472" s="14"/>
      <c r="N4472" s="14" t="s">
        <v>275</v>
      </c>
      <c r="O4472" s="14"/>
      <c r="P4472" s="15" t="s">
        <v>4528</v>
      </c>
      <c r="Q4472" s="16">
        <v>3399</v>
      </c>
      <c r="R4472" s="17">
        <v>74.760000000000005</v>
      </c>
      <c r="S4472" s="29">
        <v>986.43549999999993</v>
      </c>
      <c r="T4472" s="19" t="s">
        <v>117</v>
      </c>
      <c r="U4472" s="20" t="s">
        <v>43</v>
      </c>
      <c r="V4472" s="21">
        <v>110</v>
      </c>
      <c r="W4472" s="21">
        <v>1</v>
      </c>
      <c r="X4472" s="22"/>
    </row>
    <row r="4473" spans="1:24" s="1" customFormat="1" ht="21" customHeight="1" x14ac:dyDescent="0.3">
      <c r="A4473" s="23" t="s">
        <v>2957</v>
      </c>
      <c r="B4473" s="23" t="s">
        <v>4525</v>
      </c>
      <c r="C4473" s="28" t="s">
        <v>4532</v>
      </c>
      <c r="D4473" s="84"/>
      <c r="E4473" s="69" t="str">
        <f>HYPERLINK("https://www.google.ru/search?q=536534-4560&amp;newwindow=1&amp;tbm=isch","Еще фото")</f>
        <v>Еще фото</v>
      </c>
      <c r="F4473" s="13"/>
      <c r="G4473" s="23" t="s">
        <v>654</v>
      </c>
      <c r="H4473" s="23" t="s">
        <v>27</v>
      </c>
      <c r="I4473" s="23" t="s">
        <v>569</v>
      </c>
      <c r="J4473" s="14" t="s">
        <v>29</v>
      </c>
      <c r="K4473" s="15" t="s">
        <v>30</v>
      </c>
      <c r="L4473" s="87"/>
      <c r="M4473" s="14"/>
      <c r="N4473" s="14" t="s">
        <v>275</v>
      </c>
      <c r="O4473" s="14"/>
      <c r="P4473" s="15" t="s">
        <v>4528</v>
      </c>
      <c r="Q4473" s="16">
        <v>3399</v>
      </c>
      <c r="R4473" s="17">
        <v>74.760000000000005</v>
      </c>
      <c r="S4473" s="29">
        <v>986.43549999999993</v>
      </c>
      <c r="T4473" s="19" t="s">
        <v>117</v>
      </c>
      <c r="U4473" s="20" t="s">
        <v>290</v>
      </c>
      <c r="V4473" s="21">
        <v>140</v>
      </c>
      <c r="W4473" s="21">
        <v>1</v>
      </c>
      <c r="X4473" s="22"/>
    </row>
    <row r="4474" spans="1:24" s="1" customFormat="1" ht="21" customHeight="1" x14ac:dyDescent="0.3">
      <c r="A4474" s="23" t="s">
        <v>2957</v>
      </c>
      <c r="B4474" s="23" t="s">
        <v>4525</v>
      </c>
      <c r="C4474" s="28" t="s">
        <v>4532</v>
      </c>
      <c r="D4474" s="84"/>
      <c r="E4474" s="69" t="str">
        <f>HYPERLINK("https://www.google.ru/search?q=536534-4560&amp;newwindow=1&amp;tbm=isch","Еще фото")</f>
        <v>Еще фото</v>
      </c>
      <c r="F4474" s="13"/>
      <c r="G4474" s="23" t="s">
        <v>654</v>
      </c>
      <c r="H4474" s="23" t="s">
        <v>27</v>
      </c>
      <c r="I4474" s="23" t="s">
        <v>569</v>
      </c>
      <c r="J4474" s="14" t="s">
        <v>29</v>
      </c>
      <c r="K4474" s="15" t="s">
        <v>30</v>
      </c>
      <c r="L4474" s="87"/>
      <c r="M4474" s="14"/>
      <c r="N4474" s="14" t="s">
        <v>275</v>
      </c>
      <c r="O4474" s="14"/>
      <c r="P4474" s="15" t="s">
        <v>4528</v>
      </c>
      <c r="Q4474" s="16">
        <v>3399</v>
      </c>
      <c r="R4474" s="17">
        <v>74.760000000000005</v>
      </c>
      <c r="S4474" s="29">
        <v>986.43549999999993</v>
      </c>
      <c r="T4474" s="19" t="s">
        <v>117</v>
      </c>
      <c r="U4474" s="20" t="s">
        <v>2993</v>
      </c>
      <c r="V4474" s="21">
        <v>146</v>
      </c>
      <c r="W4474" s="21">
        <v>5</v>
      </c>
      <c r="X4474" s="22"/>
    </row>
    <row r="4475" spans="1:24" s="1" customFormat="1" ht="21" customHeight="1" x14ac:dyDescent="0.3">
      <c r="A4475" s="23" t="s">
        <v>2957</v>
      </c>
      <c r="B4475" s="23" t="s">
        <v>4525</v>
      </c>
      <c r="C4475" s="28" t="s">
        <v>4532</v>
      </c>
      <c r="D4475" s="84"/>
      <c r="E4475" s="69" t="str">
        <f>HYPERLINK("https://www.google.ru/search?q=536534-4560&amp;newwindow=1&amp;tbm=isch","Еще фото")</f>
        <v>Еще фото</v>
      </c>
      <c r="F4475" s="13"/>
      <c r="G4475" s="23" t="s">
        <v>654</v>
      </c>
      <c r="H4475" s="23" t="s">
        <v>27</v>
      </c>
      <c r="I4475" s="23" t="s">
        <v>569</v>
      </c>
      <c r="J4475" s="14" t="s">
        <v>29</v>
      </c>
      <c r="K4475" s="15" t="s">
        <v>30</v>
      </c>
      <c r="L4475" s="87"/>
      <c r="M4475" s="14"/>
      <c r="N4475" s="14" t="s">
        <v>275</v>
      </c>
      <c r="O4475" s="14"/>
      <c r="P4475" s="15" t="s">
        <v>4528</v>
      </c>
      <c r="Q4475" s="16">
        <v>3399</v>
      </c>
      <c r="R4475" s="17">
        <v>74.760000000000005</v>
      </c>
      <c r="S4475" s="29">
        <v>986.43549999999993</v>
      </c>
      <c r="T4475" s="19" t="s">
        <v>117</v>
      </c>
      <c r="U4475" s="20" t="s">
        <v>2160</v>
      </c>
      <c r="V4475" s="21">
        <v>152</v>
      </c>
      <c r="W4475" s="21">
        <v>6</v>
      </c>
      <c r="X4475" s="22"/>
    </row>
    <row r="4476" spans="1:24" s="1" customFormat="1" ht="32.1" customHeight="1" x14ac:dyDescent="0.3">
      <c r="A4476" s="23" t="s">
        <v>2957</v>
      </c>
      <c r="B4476" s="23" t="s">
        <v>4525</v>
      </c>
      <c r="C4476" s="28" t="s">
        <v>4532</v>
      </c>
      <c r="D4476" s="85"/>
      <c r="E4476" s="69" t="str">
        <f>HYPERLINK("https://www.google.ru/search?q=536534-4560&amp;newwindow=1&amp;tbm=isch","Еще фото")</f>
        <v>Еще фото</v>
      </c>
      <c r="F4476" s="13"/>
      <c r="G4476" s="23" t="s">
        <v>654</v>
      </c>
      <c r="H4476" s="23" t="s">
        <v>27</v>
      </c>
      <c r="I4476" s="23" t="s">
        <v>569</v>
      </c>
      <c r="J4476" s="14" t="s">
        <v>29</v>
      </c>
      <c r="K4476" s="15" t="s">
        <v>30</v>
      </c>
      <c r="L4476" s="88"/>
      <c r="M4476" s="14"/>
      <c r="N4476" s="14" t="s">
        <v>275</v>
      </c>
      <c r="O4476" s="14"/>
      <c r="P4476" s="15" t="s">
        <v>4528</v>
      </c>
      <c r="Q4476" s="16">
        <v>3399</v>
      </c>
      <c r="R4476" s="17">
        <v>74.760000000000005</v>
      </c>
      <c r="S4476" s="29">
        <v>986.43549999999993</v>
      </c>
      <c r="T4476" s="19" t="s">
        <v>117</v>
      </c>
      <c r="U4476" s="20" t="s">
        <v>3088</v>
      </c>
      <c r="V4476" s="21">
        <v>158</v>
      </c>
      <c r="W4476" s="21">
        <v>9</v>
      </c>
      <c r="X4476" s="22"/>
    </row>
    <row r="4477" spans="1:24" s="1" customFormat="1" ht="17.100000000000001" customHeight="1" x14ac:dyDescent="0.3">
      <c r="A4477" s="11" t="s">
        <v>2957</v>
      </c>
      <c r="B4477" s="11" t="s">
        <v>4533</v>
      </c>
      <c r="C4477" s="12" t="s">
        <v>4534</v>
      </c>
      <c r="D4477" s="83"/>
      <c r="E4477" s="69" t="str">
        <f t="shared" ref="E4477:E4482" si="228">HYPERLINK("https://www.google.ru/search?q=5200011A-915A&amp;newwindow=1&amp;tbm=isch","Еще фото")</f>
        <v>Еще фото</v>
      </c>
      <c r="F4477" s="13"/>
      <c r="G4477" s="11" t="s">
        <v>654</v>
      </c>
      <c r="H4477" s="11" t="s">
        <v>27</v>
      </c>
      <c r="I4477" s="14" t="s">
        <v>569</v>
      </c>
      <c r="J4477" s="14" t="s">
        <v>29</v>
      </c>
      <c r="K4477" s="15" t="s">
        <v>30</v>
      </c>
      <c r="L4477" s="86" t="s">
        <v>4535</v>
      </c>
      <c r="M4477" s="14"/>
      <c r="N4477" s="14" t="s">
        <v>41</v>
      </c>
      <c r="O4477" s="14"/>
      <c r="P4477" s="15" t="s">
        <v>4536</v>
      </c>
      <c r="Q4477" s="16">
        <v>3099</v>
      </c>
      <c r="R4477" s="17">
        <v>74.58</v>
      </c>
      <c r="S4477" s="29">
        <v>905.93549999999993</v>
      </c>
      <c r="T4477" s="19" t="s">
        <v>117</v>
      </c>
      <c r="U4477" s="20" t="s">
        <v>94</v>
      </c>
      <c r="V4477" s="21">
        <v>104</v>
      </c>
      <c r="W4477" s="21">
        <v>2</v>
      </c>
      <c r="X4477" s="22"/>
    </row>
    <row r="4478" spans="1:24" s="1" customFormat="1" ht="17.100000000000001" customHeight="1" x14ac:dyDescent="0.3">
      <c r="A4478" s="23" t="s">
        <v>2957</v>
      </c>
      <c r="B4478" s="23" t="s">
        <v>4533</v>
      </c>
      <c r="C4478" s="12" t="s">
        <v>4534</v>
      </c>
      <c r="D4478" s="84"/>
      <c r="E4478" s="69" t="str">
        <f t="shared" si="228"/>
        <v>Еще фото</v>
      </c>
      <c r="F4478" s="13"/>
      <c r="G4478" s="23" t="s">
        <v>654</v>
      </c>
      <c r="H4478" s="23" t="s">
        <v>27</v>
      </c>
      <c r="I4478" s="23" t="s">
        <v>569</v>
      </c>
      <c r="J4478" s="14" t="s">
        <v>29</v>
      </c>
      <c r="K4478" s="15" t="s">
        <v>30</v>
      </c>
      <c r="L4478" s="87"/>
      <c r="M4478" s="14"/>
      <c r="N4478" s="14" t="s">
        <v>41</v>
      </c>
      <c r="O4478" s="14"/>
      <c r="P4478" s="15" t="s">
        <v>4536</v>
      </c>
      <c r="Q4478" s="16">
        <v>3099</v>
      </c>
      <c r="R4478" s="17">
        <v>74.58</v>
      </c>
      <c r="S4478" s="29">
        <v>905.93549999999993</v>
      </c>
      <c r="T4478" s="19" t="s">
        <v>117</v>
      </c>
      <c r="U4478" s="20" t="s">
        <v>35</v>
      </c>
      <c r="V4478" s="21">
        <v>116</v>
      </c>
      <c r="W4478" s="21">
        <v>2</v>
      </c>
      <c r="X4478" s="22"/>
    </row>
    <row r="4479" spans="1:24" s="1" customFormat="1" ht="17.100000000000001" customHeight="1" x14ac:dyDescent="0.3">
      <c r="A4479" s="23" t="s">
        <v>2957</v>
      </c>
      <c r="B4479" s="23" t="s">
        <v>4533</v>
      </c>
      <c r="C4479" s="12" t="s">
        <v>4534</v>
      </c>
      <c r="D4479" s="84"/>
      <c r="E4479" s="69" t="str">
        <f t="shared" si="228"/>
        <v>Еще фото</v>
      </c>
      <c r="F4479" s="13"/>
      <c r="G4479" s="23" t="s">
        <v>654</v>
      </c>
      <c r="H4479" s="23" t="s">
        <v>27</v>
      </c>
      <c r="I4479" s="23" t="s">
        <v>569</v>
      </c>
      <c r="J4479" s="14" t="s">
        <v>29</v>
      </c>
      <c r="K4479" s="15" t="s">
        <v>30</v>
      </c>
      <c r="L4479" s="87"/>
      <c r="M4479" s="14"/>
      <c r="N4479" s="14" t="s">
        <v>41</v>
      </c>
      <c r="O4479" s="14"/>
      <c r="P4479" s="15" t="s">
        <v>4536</v>
      </c>
      <c r="Q4479" s="16">
        <v>3099</v>
      </c>
      <c r="R4479" s="17">
        <v>74.58</v>
      </c>
      <c r="S4479" s="29">
        <v>905.93549999999993</v>
      </c>
      <c r="T4479" s="19" t="s">
        <v>117</v>
      </c>
      <c r="U4479" s="20" t="s">
        <v>36</v>
      </c>
      <c r="V4479" s="21">
        <v>122</v>
      </c>
      <c r="W4479" s="21">
        <v>2</v>
      </c>
      <c r="X4479" s="22"/>
    </row>
    <row r="4480" spans="1:24" s="1" customFormat="1" ht="17.100000000000001" customHeight="1" x14ac:dyDescent="0.3">
      <c r="A4480" s="23" t="s">
        <v>2957</v>
      </c>
      <c r="B4480" s="23" t="s">
        <v>4533</v>
      </c>
      <c r="C4480" s="12" t="s">
        <v>4534</v>
      </c>
      <c r="D4480" s="84"/>
      <c r="E4480" s="69" t="str">
        <f t="shared" si="228"/>
        <v>Еще фото</v>
      </c>
      <c r="F4480" s="13"/>
      <c r="G4480" s="23" t="s">
        <v>654</v>
      </c>
      <c r="H4480" s="23" t="s">
        <v>27</v>
      </c>
      <c r="I4480" s="23" t="s">
        <v>569</v>
      </c>
      <c r="J4480" s="14" t="s">
        <v>29</v>
      </c>
      <c r="K4480" s="15" t="s">
        <v>30</v>
      </c>
      <c r="L4480" s="87"/>
      <c r="M4480" s="14"/>
      <c r="N4480" s="14" t="s">
        <v>41</v>
      </c>
      <c r="O4480" s="14"/>
      <c r="P4480" s="15" t="s">
        <v>4536</v>
      </c>
      <c r="Q4480" s="16">
        <v>3099</v>
      </c>
      <c r="R4480" s="17">
        <v>74.58</v>
      </c>
      <c r="S4480" s="29">
        <v>905.93549999999993</v>
      </c>
      <c r="T4480" s="19" t="s">
        <v>117</v>
      </c>
      <c r="U4480" s="20" t="s">
        <v>37</v>
      </c>
      <c r="V4480" s="21">
        <v>128</v>
      </c>
      <c r="W4480" s="21">
        <v>1</v>
      </c>
      <c r="X4480" s="22"/>
    </row>
    <row r="4481" spans="1:24" s="1" customFormat="1" ht="17.100000000000001" customHeight="1" x14ac:dyDescent="0.3">
      <c r="A4481" s="23" t="s">
        <v>2957</v>
      </c>
      <c r="B4481" s="23" t="s">
        <v>4533</v>
      </c>
      <c r="C4481" s="12" t="s">
        <v>4534</v>
      </c>
      <c r="D4481" s="84"/>
      <c r="E4481" s="69" t="str">
        <f t="shared" si="228"/>
        <v>Еще фото</v>
      </c>
      <c r="F4481" s="13"/>
      <c r="G4481" s="23" t="s">
        <v>654</v>
      </c>
      <c r="H4481" s="23" t="s">
        <v>27</v>
      </c>
      <c r="I4481" s="23" t="s">
        <v>569</v>
      </c>
      <c r="J4481" s="14" t="s">
        <v>29</v>
      </c>
      <c r="K4481" s="15" t="s">
        <v>30</v>
      </c>
      <c r="L4481" s="87"/>
      <c r="M4481" s="14"/>
      <c r="N4481" s="14" t="s">
        <v>41</v>
      </c>
      <c r="O4481" s="14"/>
      <c r="P4481" s="15" t="s">
        <v>4536</v>
      </c>
      <c r="Q4481" s="16">
        <v>3099</v>
      </c>
      <c r="R4481" s="17">
        <v>74.58</v>
      </c>
      <c r="S4481" s="29">
        <v>905.93549999999993</v>
      </c>
      <c r="T4481" s="19" t="s">
        <v>117</v>
      </c>
      <c r="U4481" s="20" t="s">
        <v>91</v>
      </c>
      <c r="V4481" s="21">
        <v>134</v>
      </c>
      <c r="W4481" s="21">
        <v>1</v>
      </c>
      <c r="X4481" s="22"/>
    </row>
    <row r="4482" spans="1:24" s="1" customFormat="1" ht="21.95" customHeight="1" x14ac:dyDescent="0.3">
      <c r="A4482" s="23" t="s">
        <v>2957</v>
      </c>
      <c r="B4482" s="23" t="s">
        <v>4533</v>
      </c>
      <c r="C4482" s="12" t="s">
        <v>4534</v>
      </c>
      <c r="D4482" s="85"/>
      <c r="E4482" s="69" t="str">
        <f t="shared" si="228"/>
        <v>Еще фото</v>
      </c>
      <c r="F4482" s="13"/>
      <c r="G4482" s="23" t="s">
        <v>654</v>
      </c>
      <c r="H4482" s="23" t="s">
        <v>27</v>
      </c>
      <c r="I4482" s="23" t="s">
        <v>569</v>
      </c>
      <c r="J4482" s="14" t="s">
        <v>29</v>
      </c>
      <c r="K4482" s="15" t="s">
        <v>30</v>
      </c>
      <c r="L4482" s="88"/>
      <c r="M4482" s="14"/>
      <c r="N4482" s="14" t="s">
        <v>41</v>
      </c>
      <c r="O4482" s="14"/>
      <c r="P4482" s="15" t="s">
        <v>4536</v>
      </c>
      <c r="Q4482" s="16">
        <v>3099</v>
      </c>
      <c r="R4482" s="17">
        <v>74.58</v>
      </c>
      <c r="S4482" s="29">
        <v>905.93549999999993</v>
      </c>
      <c r="T4482" s="19" t="s">
        <v>117</v>
      </c>
      <c r="U4482" s="20" t="s">
        <v>290</v>
      </c>
      <c r="V4482" s="21">
        <v>140</v>
      </c>
      <c r="W4482" s="21">
        <v>2</v>
      </c>
      <c r="X4482" s="22"/>
    </row>
    <row r="4483" spans="1:24" s="1" customFormat="1" ht="108" customHeight="1" x14ac:dyDescent="0.3">
      <c r="A4483" s="11" t="s">
        <v>3304</v>
      </c>
      <c r="B4483" s="11" t="s">
        <v>4537</v>
      </c>
      <c r="C4483" s="12" t="s">
        <v>4538</v>
      </c>
      <c r="D4483" s="24"/>
      <c r="E4483" s="69" t="str">
        <f>HYPERLINK("https://www.google.ru/search?q=6136TT2025-000&amp;newwindow=1&amp;tbm=isch","Еще фото")</f>
        <v>Еще фото</v>
      </c>
      <c r="F4483" s="13"/>
      <c r="G4483" s="11" t="s">
        <v>4539</v>
      </c>
      <c r="H4483" s="11" t="s">
        <v>27</v>
      </c>
      <c r="I4483" s="14" t="s">
        <v>569</v>
      </c>
      <c r="J4483" s="14" t="s">
        <v>29</v>
      </c>
      <c r="K4483" s="15" t="s">
        <v>47</v>
      </c>
      <c r="L4483" s="14" t="s">
        <v>4540</v>
      </c>
      <c r="M4483" s="14"/>
      <c r="N4483" s="14" t="s">
        <v>49</v>
      </c>
      <c r="O4483" s="14"/>
      <c r="P4483" s="15" t="s">
        <v>74</v>
      </c>
      <c r="Q4483" s="16">
        <v>5999</v>
      </c>
      <c r="R4483" s="17">
        <v>73.87</v>
      </c>
      <c r="S4483" s="18">
        <v>1802.9354999999998</v>
      </c>
      <c r="T4483" s="19" t="s">
        <v>328</v>
      </c>
      <c r="U4483" s="20" t="s">
        <v>58</v>
      </c>
      <c r="V4483" s="25" t="s">
        <v>67</v>
      </c>
      <c r="W4483" s="21">
        <v>1</v>
      </c>
      <c r="X4483" s="22"/>
    </row>
    <row r="4484" spans="1:24" s="1" customFormat="1" ht="108" customHeight="1" x14ac:dyDescent="0.3">
      <c r="A4484" s="11" t="s">
        <v>2936</v>
      </c>
      <c r="B4484" s="11" t="s">
        <v>4485</v>
      </c>
      <c r="C4484" s="12" t="s">
        <v>4541</v>
      </c>
      <c r="D4484" s="24"/>
      <c r="E4484" s="69" t="str">
        <f>HYPERLINK("https://www.google.ru/search?q=TB20WL11W8785-1-1057&amp;newwindow=1&amp;tbm=isch","Еще фото")</f>
        <v>Еще фото</v>
      </c>
      <c r="F4484" s="13"/>
      <c r="G4484" s="11" t="s">
        <v>4487</v>
      </c>
      <c r="H4484" s="11" t="s">
        <v>27</v>
      </c>
      <c r="I4484" s="14" t="s">
        <v>569</v>
      </c>
      <c r="J4484" s="14" t="s">
        <v>29</v>
      </c>
      <c r="K4484" s="15" t="s">
        <v>47</v>
      </c>
      <c r="L4484" s="14" t="s">
        <v>4542</v>
      </c>
      <c r="M4484" s="14" t="s">
        <v>73</v>
      </c>
      <c r="N4484" s="14" t="s">
        <v>116</v>
      </c>
      <c r="O4484" s="14" t="s">
        <v>940</v>
      </c>
      <c r="P4484" s="15" t="s">
        <v>2264</v>
      </c>
      <c r="Q4484" s="16">
        <v>3599</v>
      </c>
      <c r="R4484" s="17">
        <v>73.11</v>
      </c>
      <c r="S4484" s="29">
        <v>1112.9354999999998</v>
      </c>
      <c r="T4484" s="19" t="s">
        <v>328</v>
      </c>
      <c r="U4484" s="20" t="s">
        <v>354</v>
      </c>
      <c r="V4484" s="25" t="s">
        <v>355</v>
      </c>
      <c r="W4484" s="21">
        <v>3</v>
      </c>
      <c r="X4484" s="22"/>
    </row>
    <row r="4485" spans="1:24" s="1" customFormat="1" ht="108" customHeight="1" x14ac:dyDescent="0.3">
      <c r="A4485" s="11" t="s">
        <v>3304</v>
      </c>
      <c r="B4485" s="11" t="s">
        <v>4481</v>
      </c>
      <c r="C4485" s="12" t="s">
        <v>4543</v>
      </c>
      <c r="D4485" s="24"/>
      <c r="E4485" s="69" t="str">
        <f>HYPERLINK("https://www.google.ru/search?q=6128TL2002-000&amp;newwindow=1&amp;tbm=isch","Еще фото")</f>
        <v>Еще фото</v>
      </c>
      <c r="F4485" s="13"/>
      <c r="G4485" s="11" t="s">
        <v>574</v>
      </c>
      <c r="H4485" s="11" t="s">
        <v>27</v>
      </c>
      <c r="I4485" s="14" t="s">
        <v>569</v>
      </c>
      <c r="J4485" s="14" t="s">
        <v>29</v>
      </c>
      <c r="K4485" s="15" t="s">
        <v>47</v>
      </c>
      <c r="L4485" s="14" t="s">
        <v>4483</v>
      </c>
      <c r="M4485" s="14"/>
      <c r="N4485" s="14" t="s">
        <v>49</v>
      </c>
      <c r="O4485" s="14"/>
      <c r="P4485" s="15" t="s">
        <v>4484</v>
      </c>
      <c r="Q4485" s="16">
        <v>5350</v>
      </c>
      <c r="R4485" s="17">
        <v>71.44</v>
      </c>
      <c r="S4485" s="18">
        <v>1756.9354999999998</v>
      </c>
      <c r="T4485" s="19" t="s">
        <v>328</v>
      </c>
      <c r="U4485" s="20" t="s">
        <v>52</v>
      </c>
      <c r="V4485" s="25" t="s">
        <v>68</v>
      </c>
      <c r="W4485" s="21">
        <v>2</v>
      </c>
      <c r="X4485" s="22"/>
    </row>
    <row r="4486" spans="1:24" s="1" customFormat="1" ht="108" customHeight="1" x14ac:dyDescent="0.3">
      <c r="A4486" s="11" t="s">
        <v>2957</v>
      </c>
      <c r="B4486" s="11" t="s">
        <v>572</v>
      </c>
      <c r="C4486" s="12" t="s">
        <v>4544</v>
      </c>
      <c r="D4486" s="24"/>
      <c r="E4486" s="69" t="str">
        <f>HYPERLINK("https://www.google.ru/search?q=526396-3880&amp;newwindow=1&amp;tbm=isch","Еще фото")</f>
        <v>Еще фото</v>
      </c>
      <c r="F4486" s="13"/>
      <c r="G4486" s="11" t="s">
        <v>574</v>
      </c>
      <c r="H4486" s="11" t="s">
        <v>27</v>
      </c>
      <c r="I4486" s="14" t="s">
        <v>569</v>
      </c>
      <c r="J4486" s="14" t="s">
        <v>138</v>
      </c>
      <c r="K4486" s="15" t="s">
        <v>30</v>
      </c>
      <c r="L4486" s="14" t="s">
        <v>4545</v>
      </c>
      <c r="M4486" s="14"/>
      <c r="N4486" s="14" t="s">
        <v>116</v>
      </c>
      <c r="O4486" s="14"/>
      <c r="P4486" s="15" t="s">
        <v>4546</v>
      </c>
      <c r="Q4486" s="16">
        <v>3499</v>
      </c>
      <c r="R4486" s="17">
        <v>70.91</v>
      </c>
      <c r="S4486" s="18">
        <v>1170.4354999999998</v>
      </c>
      <c r="T4486" s="19" t="s">
        <v>117</v>
      </c>
      <c r="U4486" s="20" t="s">
        <v>2977</v>
      </c>
      <c r="V4486" s="21">
        <v>92</v>
      </c>
      <c r="W4486" s="21">
        <v>2</v>
      </c>
      <c r="X4486" s="22"/>
    </row>
    <row r="4487" spans="1:24" s="1" customFormat="1" ht="51.95" customHeight="1" x14ac:dyDescent="0.3">
      <c r="A4487" s="11" t="s">
        <v>2952</v>
      </c>
      <c r="B4487" s="11" t="s">
        <v>4547</v>
      </c>
      <c r="C4487" s="12" t="s">
        <v>4548</v>
      </c>
      <c r="D4487" s="89"/>
      <c r="E4487" s="69" t="str">
        <f>HYPERLINK("https://www.google.ru/search?q=214511-BS008&amp;newwindow=1&amp;tbm=isch","Еще фото")</f>
        <v>Еще фото</v>
      </c>
      <c r="F4487" s="13"/>
      <c r="G4487" s="11" t="s">
        <v>568</v>
      </c>
      <c r="H4487" s="11" t="s">
        <v>27</v>
      </c>
      <c r="I4487" s="14" t="s">
        <v>569</v>
      </c>
      <c r="J4487" s="14" t="s">
        <v>29</v>
      </c>
      <c r="K4487" s="15" t="s">
        <v>55</v>
      </c>
      <c r="L4487" s="86" t="s">
        <v>4549</v>
      </c>
      <c r="M4487" s="14" t="s">
        <v>73</v>
      </c>
      <c r="N4487" s="14" t="s">
        <v>70</v>
      </c>
      <c r="O4487" s="14" t="s">
        <v>940</v>
      </c>
      <c r="P4487" s="15" t="s">
        <v>4550</v>
      </c>
      <c r="Q4487" s="16">
        <v>7599</v>
      </c>
      <c r="R4487" s="17">
        <v>68.97</v>
      </c>
      <c r="S4487" s="18">
        <v>2711.4354999999996</v>
      </c>
      <c r="T4487" s="19" t="s">
        <v>51</v>
      </c>
      <c r="U4487" s="20" t="s">
        <v>354</v>
      </c>
      <c r="V4487" s="25" t="s">
        <v>65</v>
      </c>
      <c r="W4487" s="21">
        <v>2</v>
      </c>
      <c r="X4487" s="22"/>
    </row>
    <row r="4488" spans="1:24" s="1" customFormat="1" ht="60.95" customHeight="1" x14ac:dyDescent="0.3">
      <c r="A4488" s="23" t="s">
        <v>2952</v>
      </c>
      <c r="B4488" s="23" t="s">
        <v>4547</v>
      </c>
      <c r="C4488" s="12" t="s">
        <v>4548</v>
      </c>
      <c r="D4488" s="90"/>
      <c r="E4488" s="69" t="str">
        <f>HYPERLINK("https://www.google.ru/search?q=214511-BS008&amp;newwindow=1&amp;tbm=isch","Еще фото")</f>
        <v>Еще фото</v>
      </c>
      <c r="F4488" s="13"/>
      <c r="G4488" s="23" t="s">
        <v>568</v>
      </c>
      <c r="H4488" s="23" t="s">
        <v>27</v>
      </c>
      <c r="I4488" s="23" t="s">
        <v>569</v>
      </c>
      <c r="J4488" s="14" t="s">
        <v>29</v>
      </c>
      <c r="K4488" s="15" t="s">
        <v>55</v>
      </c>
      <c r="L4488" s="88"/>
      <c r="M4488" s="14" t="s">
        <v>73</v>
      </c>
      <c r="N4488" s="14" t="s">
        <v>70</v>
      </c>
      <c r="O4488" s="14" t="s">
        <v>940</v>
      </c>
      <c r="P4488" s="15" t="s">
        <v>4550</v>
      </c>
      <c r="Q4488" s="16">
        <v>7599</v>
      </c>
      <c r="R4488" s="17">
        <v>68.97</v>
      </c>
      <c r="S4488" s="18">
        <v>2711.4354999999996</v>
      </c>
      <c r="T4488" s="19" t="s">
        <v>51</v>
      </c>
      <c r="U4488" s="20" t="s">
        <v>64</v>
      </c>
      <c r="V4488" s="25" t="s">
        <v>67</v>
      </c>
      <c r="W4488" s="21">
        <v>5</v>
      </c>
      <c r="X4488" s="22"/>
    </row>
    <row r="4489" spans="1:24" s="1" customFormat="1" ht="108" customHeight="1" x14ac:dyDescent="0.3">
      <c r="A4489" s="11" t="s">
        <v>2936</v>
      </c>
      <c r="B4489" s="11" t="s">
        <v>4551</v>
      </c>
      <c r="C4489" s="12" t="s">
        <v>4552</v>
      </c>
      <c r="D4489" s="24"/>
      <c r="E4489" s="69" t="str">
        <f>HYPERLINK("https://www.google.ru/search?q=TB21ML06W9343-1-1001&amp;newwindow=1&amp;tbm=isch","Еще фото")</f>
        <v>Еще фото</v>
      </c>
      <c r="F4489" s="13"/>
      <c r="G4489" s="11" t="s">
        <v>4553</v>
      </c>
      <c r="H4489" s="11" t="s">
        <v>27</v>
      </c>
      <c r="I4489" s="14" t="s">
        <v>569</v>
      </c>
      <c r="J4489" s="14" t="s">
        <v>29</v>
      </c>
      <c r="K4489" s="15" t="s">
        <v>55</v>
      </c>
      <c r="L4489" s="14" t="s">
        <v>4554</v>
      </c>
      <c r="M4489" s="14" t="s">
        <v>2945</v>
      </c>
      <c r="N4489" s="14" t="s">
        <v>49</v>
      </c>
      <c r="O4489" s="14" t="s">
        <v>2798</v>
      </c>
      <c r="P4489" s="15" t="s">
        <v>4555</v>
      </c>
      <c r="Q4489" s="16">
        <v>7899</v>
      </c>
      <c r="R4489" s="17">
        <v>67.37</v>
      </c>
      <c r="S4489" s="18">
        <v>2964.4354999999996</v>
      </c>
      <c r="T4489" s="19" t="s">
        <v>328</v>
      </c>
      <c r="U4489" s="20" t="s">
        <v>596</v>
      </c>
      <c r="V4489" s="25" t="s">
        <v>1159</v>
      </c>
      <c r="W4489" s="21">
        <v>1</v>
      </c>
      <c r="X4489" s="22"/>
    </row>
    <row r="4490" spans="1:24" s="1" customFormat="1" ht="26.1" customHeight="1" x14ac:dyDescent="0.3">
      <c r="A4490" s="11" t="s">
        <v>2957</v>
      </c>
      <c r="B4490" s="11" t="s">
        <v>4556</v>
      </c>
      <c r="C4490" s="12" t="s">
        <v>4557</v>
      </c>
      <c r="D4490" s="83"/>
      <c r="E4490" s="69" t="str">
        <f>HYPERLINK("https://www.google.ru/search?q=531397-7302&amp;newwindow=1&amp;tbm=isch","Еще фото")</f>
        <v>Еще фото</v>
      </c>
      <c r="F4490" s="13"/>
      <c r="G4490" s="11" t="s">
        <v>599</v>
      </c>
      <c r="H4490" s="11" t="s">
        <v>27</v>
      </c>
      <c r="I4490" s="14" t="s">
        <v>569</v>
      </c>
      <c r="J4490" s="14" t="s">
        <v>29</v>
      </c>
      <c r="K4490" s="15" t="s">
        <v>30</v>
      </c>
      <c r="L4490" s="86" t="s">
        <v>4558</v>
      </c>
      <c r="M4490" s="14"/>
      <c r="N4490" s="14" t="s">
        <v>4559</v>
      </c>
      <c r="O4490" s="14"/>
      <c r="P4490" s="15" t="s">
        <v>193</v>
      </c>
      <c r="Q4490" s="16">
        <v>3799</v>
      </c>
      <c r="R4490" s="17">
        <v>52.15</v>
      </c>
      <c r="S4490" s="18">
        <v>2090.4354999999996</v>
      </c>
      <c r="T4490" s="19" t="s">
        <v>117</v>
      </c>
      <c r="U4490" s="20" t="s">
        <v>43</v>
      </c>
      <c r="V4490" s="21">
        <v>110</v>
      </c>
      <c r="W4490" s="21">
        <v>2</v>
      </c>
      <c r="X4490" s="22"/>
    </row>
    <row r="4491" spans="1:24" s="1" customFormat="1" ht="26.1" customHeight="1" x14ac:dyDescent="0.3">
      <c r="A4491" s="23" t="s">
        <v>2957</v>
      </c>
      <c r="B4491" s="23" t="s">
        <v>4556</v>
      </c>
      <c r="C4491" s="12" t="s">
        <v>4557</v>
      </c>
      <c r="D4491" s="84"/>
      <c r="E4491" s="69" t="str">
        <f>HYPERLINK("https://www.google.ru/search?q=531397-7302&amp;newwindow=1&amp;tbm=isch","Еще фото")</f>
        <v>Еще фото</v>
      </c>
      <c r="F4491" s="13"/>
      <c r="G4491" s="23" t="s">
        <v>599</v>
      </c>
      <c r="H4491" s="23" t="s">
        <v>27</v>
      </c>
      <c r="I4491" s="23" t="s">
        <v>569</v>
      </c>
      <c r="J4491" s="14" t="s">
        <v>29</v>
      </c>
      <c r="K4491" s="15" t="s">
        <v>30</v>
      </c>
      <c r="L4491" s="87"/>
      <c r="M4491" s="14"/>
      <c r="N4491" s="14" t="s">
        <v>4559</v>
      </c>
      <c r="O4491" s="14"/>
      <c r="P4491" s="15" t="s">
        <v>193</v>
      </c>
      <c r="Q4491" s="16">
        <v>3799</v>
      </c>
      <c r="R4491" s="17">
        <v>52.15</v>
      </c>
      <c r="S4491" s="18">
        <v>2090.4354999999996</v>
      </c>
      <c r="T4491" s="19" t="s">
        <v>117</v>
      </c>
      <c r="U4491" s="20" t="s">
        <v>35</v>
      </c>
      <c r="V4491" s="21">
        <v>116</v>
      </c>
      <c r="W4491" s="21">
        <v>8</v>
      </c>
      <c r="X4491" s="22"/>
    </row>
    <row r="4492" spans="1:24" s="1" customFormat="1" ht="26.1" customHeight="1" x14ac:dyDescent="0.3">
      <c r="A4492" s="23" t="s">
        <v>2957</v>
      </c>
      <c r="B4492" s="23" t="s">
        <v>4556</v>
      </c>
      <c r="C4492" s="12" t="s">
        <v>4557</v>
      </c>
      <c r="D4492" s="84"/>
      <c r="E4492" s="69" t="str">
        <f>HYPERLINK("https://www.google.ru/search?q=531397-7302&amp;newwindow=1&amp;tbm=isch","Еще фото")</f>
        <v>Еще фото</v>
      </c>
      <c r="F4492" s="13"/>
      <c r="G4492" s="23" t="s">
        <v>599</v>
      </c>
      <c r="H4492" s="23" t="s">
        <v>27</v>
      </c>
      <c r="I4492" s="23" t="s">
        <v>569</v>
      </c>
      <c r="J4492" s="14" t="s">
        <v>29</v>
      </c>
      <c r="K4492" s="15" t="s">
        <v>30</v>
      </c>
      <c r="L4492" s="87"/>
      <c r="M4492" s="14"/>
      <c r="N4492" s="14" t="s">
        <v>4559</v>
      </c>
      <c r="O4492" s="14"/>
      <c r="P4492" s="15" t="s">
        <v>193</v>
      </c>
      <c r="Q4492" s="16">
        <v>3799</v>
      </c>
      <c r="R4492" s="17">
        <v>52.15</v>
      </c>
      <c r="S4492" s="18">
        <v>2090.4354999999996</v>
      </c>
      <c r="T4492" s="19" t="s">
        <v>117</v>
      </c>
      <c r="U4492" s="20" t="s">
        <v>36</v>
      </c>
      <c r="V4492" s="21">
        <v>122</v>
      </c>
      <c r="W4492" s="21">
        <v>7</v>
      </c>
      <c r="X4492" s="22"/>
    </row>
    <row r="4493" spans="1:24" s="1" customFormat="1" ht="26.1" customHeight="1" x14ac:dyDescent="0.3">
      <c r="A4493" s="23" t="s">
        <v>2957</v>
      </c>
      <c r="B4493" s="23" t="s">
        <v>4556</v>
      </c>
      <c r="C4493" s="12" t="s">
        <v>4557</v>
      </c>
      <c r="D4493" s="85"/>
      <c r="E4493" s="69" t="str">
        <f>HYPERLINK("https://www.google.ru/search?q=531397-7302&amp;newwindow=1&amp;tbm=isch","Еще фото")</f>
        <v>Еще фото</v>
      </c>
      <c r="F4493" s="13"/>
      <c r="G4493" s="23" t="s">
        <v>599</v>
      </c>
      <c r="H4493" s="23" t="s">
        <v>27</v>
      </c>
      <c r="I4493" s="23" t="s">
        <v>569</v>
      </c>
      <c r="J4493" s="14" t="s">
        <v>29</v>
      </c>
      <c r="K4493" s="15" t="s">
        <v>30</v>
      </c>
      <c r="L4493" s="88"/>
      <c r="M4493" s="14"/>
      <c r="N4493" s="14" t="s">
        <v>4559</v>
      </c>
      <c r="O4493" s="14"/>
      <c r="P4493" s="15" t="s">
        <v>193</v>
      </c>
      <c r="Q4493" s="16">
        <v>3799</v>
      </c>
      <c r="R4493" s="17">
        <v>52.15</v>
      </c>
      <c r="S4493" s="18">
        <v>2090.4354999999996</v>
      </c>
      <c r="T4493" s="19" t="s">
        <v>117</v>
      </c>
      <c r="U4493" s="20" t="s">
        <v>37</v>
      </c>
      <c r="V4493" s="21">
        <v>128</v>
      </c>
      <c r="W4493" s="21">
        <v>1</v>
      </c>
      <c r="X4493" s="22"/>
    </row>
    <row r="4494" spans="1:24" s="1" customFormat="1" ht="108" customHeight="1" x14ac:dyDescent="0.3">
      <c r="A4494" s="11" t="s">
        <v>2957</v>
      </c>
      <c r="B4494" s="11" t="s">
        <v>4560</v>
      </c>
      <c r="C4494" s="12" t="s">
        <v>4561</v>
      </c>
      <c r="D4494" s="24"/>
      <c r="E4494" s="69" t="str">
        <f>HYPERLINK("https://www.google.ru/search?q=536601-2720&amp;newwindow=1&amp;tbm=isch","Еще фото")</f>
        <v>Еще фото</v>
      </c>
      <c r="F4494" s="13"/>
      <c r="G4494" s="11" t="s">
        <v>4539</v>
      </c>
      <c r="H4494" s="11" t="s">
        <v>27</v>
      </c>
      <c r="I4494" s="14" t="s">
        <v>569</v>
      </c>
      <c r="J4494" s="14" t="s">
        <v>138</v>
      </c>
      <c r="K4494" s="15" t="s">
        <v>30</v>
      </c>
      <c r="L4494" s="14" t="s">
        <v>4562</v>
      </c>
      <c r="M4494" s="14"/>
      <c r="N4494" s="14" t="s">
        <v>636</v>
      </c>
      <c r="O4494" s="14"/>
      <c r="P4494" s="15" t="s">
        <v>4563</v>
      </c>
      <c r="Q4494" s="16">
        <v>3399</v>
      </c>
      <c r="R4494" s="17">
        <v>48.87</v>
      </c>
      <c r="S4494" s="18">
        <v>1998.4354999999998</v>
      </c>
      <c r="T4494" s="19" t="s">
        <v>117</v>
      </c>
      <c r="U4494" s="20" t="s">
        <v>36</v>
      </c>
      <c r="V4494" s="21">
        <v>122</v>
      </c>
      <c r="W4494" s="21">
        <v>1</v>
      </c>
      <c r="X4494" s="22"/>
    </row>
    <row r="4495" spans="1:24" s="1" customFormat="1" ht="108" customHeight="1" x14ac:dyDescent="0.3">
      <c r="A4495" s="11" t="s">
        <v>3304</v>
      </c>
      <c r="B4495" s="11" t="s">
        <v>4564</v>
      </c>
      <c r="C4495" s="12" t="s">
        <v>4565</v>
      </c>
      <c r="D4495" s="24"/>
      <c r="E4495" s="69" t="str">
        <f>HYPERLINK("https://www.google.ru/search?q=6134TT1006-000&amp;newwindow=1&amp;tbm=isch","Еще фото")</f>
        <v>Еще фото</v>
      </c>
      <c r="F4495" s="13"/>
      <c r="G4495" s="11" t="s">
        <v>1286</v>
      </c>
      <c r="H4495" s="11" t="s">
        <v>27</v>
      </c>
      <c r="I4495" s="14" t="s">
        <v>569</v>
      </c>
      <c r="J4495" s="14" t="s">
        <v>29</v>
      </c>
      <c r="K4495" s="15" t="s">
        <v>55</v>
      </c>
      <c r="L4495" s="14" t="s">
        <v>4566</v>
      </c>
      <c r="M4495" s="14"/>
      <c r="N4495" s="14" t="s">
        <v>49</v>
      </c>
      <c r="O4495" s="14"/>
      <c r="P4495" s="15" t="s">
        <v>74</v>
      </c>
      <c r="Q4495" s="16">
        <v>7599</v>
      </c>
      <c r="R4495" s="17">
        <v>48.84</v>
      </c>
      <c r="S4495" s="18">
        <v>4470.9354999999996</v>
      </c>
      <c r="T4495" s="19" t="s">
        <v>328</v>
      </c>
      <c r="U4495" s="20" t="s">
        <v>3308</v>
      </c>
      <c r="V4495" s="25" t="s">
        <v>53</v>
      </c>
      <c r="W4495" s="21">
        <v>1</v>
      </c>
      <c r="X4495" s="22"/>
    </row>
    <row r="4496" spans="1:24" s="1" customFormat="1" ht="108" customHeight="1" x14ac:dyDescent="0.3">
      <c r="A4496" s="11" t="s">
        <v>3194</v>
      </c>
      <c r="B4496" s="11" t="s">
        <v>4567</v>
      </c>
      <c r="C4496" s="12" t="s">
        <v>4568</v>
      </c>
      <c r="D4496" s="24"/>
      <c r="E4496" s="69" t="str">
        <f>HYPERLINK("https://www.google.ru/search?q=101510960&amp;newwindow=1&amp;tbm=isch","Еще фото")</f>
        <v>Еще фото</v>
      </c>
      <c r="F4496" s="13"/>
      <c r="G4496" s="11" t="s">
        <v>4539</v>
      </c>
      <c r="H4496" s="11" t="s">
        <v>27</v>
      </c>
      <c r="I4496" s="14" t="s">
        <v>569</v>
      </c>
      <c r="J4496" s="14" t="s">
        <v>29</v>
      </c>
      <c r="K4496" s="15" t="s">
        <v>47</v>
      </c>
      <c r="L4496" s="14"/>
      <c r="M4496" s="14"/>
      <c r="N4496" s="14" t="s">
        <v>49</v>
      </c>
      <c r="O4496" s="14"/>
      <c r="P4496" s="15" t="s">
        <v>4569</v>
      </c>
      <c r="Q4496" s="16">
        <v>7399</v>
      </c>
      <c r="R4496" s="17">
        <v>48</v>
      </c>
      <c r="S4496" s="18">
        <v>4424.6019999999999</v>
      </c>
      <c r="T4496" s="19" t="s">
        <v>328</v>
      </c>
      <c r="U4496" s="20" t="s">
        <v>58</v>
      </c>
      <c r="V4496" s="25" t="s">
        <v>53</v>
      </c>
      <c r="W4496" s="21">
        <v>2</v>
      </c>
      <c r="X4496" s="22"/>
    </row>
    <row r="4497" spans="1:24" s="1" customFormat="1" ht="108" customHeight="1" x14ac:dyDescent="0.3">
      <c r="A4497" s="11" t="s">
        <v>3194</v>
      </c>
      <c r="B4497" s="11" t="s">
        <v>4570</v>
      </c>
      <c r="C4497" s="12" t="s">
        <v>4571</v>
      </c>
      <c r="D4497" s="24"/>
      <c r="E4497" s="69" t="str">
        <f>HYPERLINK("https://www.google.ru/search?q=101989884&amp;newwindow=1&amp;tbm=isch","Еще фото")</f>
        <v>Еще фото</v>
      </c>
      <c r="F4497" s="13"/>
      <c r="G4497" s="11" t="s">
        <v>307</v>
      </c>
      <c r="H4497" s="11" t="s">
        <v>27</v>
      </c>
      <c r="I4497" s="14" t="s">
        <v>569</v>
      </c>
      <c r="J4497" s="14" t="s">
        <v>29</v>
      </c>
      <c r="K4497" s="15" t="s">
        <v>55</v>
      </c>
      <c r="L4497" s="14"/>
      <c r="M4497" s="14"/>
      <c r="N4497" s="14" t="s">
        <v>1001</v>
      </c>
      <c r="O4497" s="14"/>
      <c r="P4497" s="15" t="s">
        <v>74</v>
      </c>
      <c r="Q4497" s="16">
        <v>9999</v>
      </c>
      <c r="R4497" s="17">
        <v>45</v>
      </c>
      <c r="S4497" s="18">
        <v>6324.3674999999994</v>
      </c>
      <c r="T4497" s="19" t="s">
        <v>328</v>
      </c>
      <c r="U4497" s="20" t="s">
        <v>52</v>
      </c>
      <c r="V4497" s="25" t="s">
        <v>60</v>
      </c>
      <c r="W4497" s="21">
        <v>2</v>
      </c>
      <c r="X4497" s="22"/>
    </row>
    <row r="4498" spans="1:24" s="1" customFormat="1" ht="35.1" customHeight="1" x14ac:dyDescent="0.3">
      <c r="A4498" s="11" t="s">
        <v>3194</v>
      </c>
      <c r="B4498" s="11" t="s">
        <v>4572</v>
      </c>
      <c r="C4498" s="12" t="s">
        <v>4573</v>
      </c>
      <c r="D4498" s="83"/>
      <c r="E4498" s="69" t="str">
        <f>HYPERLINK("https://www.google.ru/search?q=101989942&amp;newwindow=1&amp;tbm=isch","Еще фото")</f>
        <v>Еще фото</v>
      </c>
      <c r="F4498" s="13"/>
      <c r="G4498" s="11" t="s">
        <v>574</v>
      </c>
      <c r="H4498" s="11" t="s">
        <v>27</v>
      </c>
      <c r="I4498" s="14" t="s">
        <v>569</v>
      </c>
      <c r="J4498" s="14" t="s">
        <v>29</v>
      </c>
      <c r="K4498" s="15" t="s">
        <v>47</v>
      </c>
      <c r="L4498" s="86"/>
      <c r="M4498" s="14"/>
      <c r="N4498" s="14" t="s">
        <v>49</v>
      </c>
      <c r="O4498" s="14"/>
      <c r="P4498" s="15" t="s">
        <v>4574</v>
      </c>
      <c r="Q4498" s="16">
        <v>6999</v>
      </c>
      <c r="R4498" s="17">
        <v>45</v>
      </c>
      <c r="S4498" s="18">
        <v>4426.8674999999994</v>
      </c>
      <c r="T4498" s="19" t="s">
        <v>328</v>
      </c>
      <c r="U4498" s="20" t="s">
        <v>66</v>
      </c>
      <c r="V4498" s="25" t="s">
        <v>68</v>
      </c>
      <c r="W4498" s="21">
        <v>3</v>
      </c>
      <c r="X4498" s="22"/>
    </row>
    <row r="4499" spans="1:24" s="1" customFormat="1" ht="35.1" customHeight="1" x14ac:dyDescent="0.3">
      <c r="A4499" s="23" t="s">
        <v>3194</v>
      </c>
      <c r="B4499" s="23" t="s">
        <v>4572</v>
      </c>
      <c r="C4499" s="12" t="s">
        <v>4573</v>
      </c>
      <c r="D4499" s="84"/>
      <c r="E4499" s="69" t="str">
        <f>HYPERLINK("https://www.google.ru/search?q=101989942&amp;newwindow=1&amp;tbm=isch","Еще фото")</f>
        <v>Еще фото</v>
      </c>
      <c r="F4499" s="13"/>
      <c r="G4499" s="23" t="s">
        <v>574</v>
      </c>
      <c r="H4499" s="23" t="s">
        <v>27</v>
      </c>
      <c r="I4499" s="23" t="s">
        <v>569</v>
      </c>
      <c r="J4499" s="14" t="s">
        <v>29</v>
      </c>
      <c r="K4499" s="15" t="s">
        <v>47</v>
      </c>
      <c r="L4499" s="87"/>
      <c r="M4499" s="14"/>
      <c r="N4499" s="14" t="s">
        <v>49</v>
      </c>
      <c r="O4499" s="14"/>
      <c r="P4499" s="15" t="s">
        <v>4574</v>
      </c>
      <c r="Q4499" s="16">
        <v>6999</v>
      </c>
      <c r="R4499" s="17">
        <v>45</v>
      </c>
      <c r="S4499" s="18">
        <v>4426.8674999999994</v>
      </c>
      <c r="T4499" s="19" t="s">
        <v>328</v>
      </c>
      <c r="U4499" s="20" t="s">
        <v>58</v>
      </c>
      <c r="V4499" s="25" t="s">
        <v>53</v>
      </c>
      <c r="W4499" s="21">
        <v>3</v>
      </c>
      <c r="X4499" s="22"/>
    </row>
    <row r="4500" spans="1:24" s="1" customFormat="1" ht="36.950000000000003" customHeight="1" x14ac:dyDescent="0.3">
      <c r="A4500" s="23" t="s">
        <v>3194</v>
      </c>
      <c r="B4500" s="23" t="s">
        <v>4572</v>
      </c>
      <c r="C4500" s="12" t="s">
        <v>4573</v>
      </c>
      <c r="D4500" s="85"/>
      <c r="E4500" s="69" t="str">
        <f>HYPERLINK("https://www.google.ru/search?q=101989942&amp;newwindow=1&amp;tbm=isch","Еще фото")</f>
        <v>Еще фото</v>
      </c>
      <c r="F4500" s="13"/>
      <c r="G4500" s="23" t="s">
        <v>574</v>
      </c>
      <c r="H4500" s="23" t="s">
        <v>27</v>
      </c>
      <c r="I4500" s="23" t="s">
        <v>569</v>
      </c>
      <c r="J4500" s="14" t="s">
        <v>29</v>
      </c>
      <c r="K4500" s="15" t="s">
        <v>47</v>
      </c>
      <c r="L4500" s="88"/>
      <c r="M4500" s="14"/>
      <c r="N4500" s="14" t="s">
        <v>49</v>
      </c>
      <c r="O4500" s="14"/>
      <c r="P4500" s="15" t="s">
        <v>4574</v>
      </c>
      <c r="Q4500" s="16">
        <v>6999</v>
      </c>
      <c r="R4500" s="17">
        <v>45</v>
      </c>
      <c r="S4500" s="18">
        <v>4426.8674999999994</v>
      </c>
      <c r="T4500" s="19" t="s">
        <v>328</v>
      </c>
      <c r="U4500" s="20" t="s">
        <v>52</v>
      </c>
      <c r="V4500" s="25" t="s">
        <v>59</v>
      </c>
      <c r="W4500" s="21">
        <v>4</v>
      </c>
      <c r="X4500" s="22"/>
    </row>
    <row r="4501" spans="1:24" s="1" customFormat="1" ht="108" customHeight="1" x14ac:dyDescent="0.3">
      <c r="A4501" s="11" t="s">
        <v>3194</v>
      </c>
      <c r="B4501" s="11" t="s">
        <v>4567</v>
      </c>
      <c r="C4501" s="12" t="s">
        <v>4575</v>
      </c>
      <c r="D4501" s="24"/>
      <c r="E4501" s="69" t="str">
        <f>HYPERLINK("https://www.google.ru/search?q=101989997&amp;newwindow=1&amp;tbm=isch","Еще фото")</f>
        <v>Еще фото</v>
      </c>
      <c r="F4501" s="13"/>
      <c r="G4501" s="11" t="s">
        <v>4539</v>
      </c>
      <c r="H4501" s="11" t="s">
        <v>27</v>
      </c>
      <c r="I4501" s="14" t="s">
        <v>569</v>
      </c>
      <c r="J4501" s="14" t="s">
        <v>29</v>
      </c>
      <c r="K4501" s="15" t="s">
        <v>47</v>
      </c>
      <c r="L4501" s="14"/>
      <c r="M4501" s="14"/>
      <c r="N4501" s="14" t="s">
        <v>49</v>
      </c>
      <c r="O4501" s="14"/>
      <c r="P4501" s="15" t="s">
        <v>4574</v>
      </c>
      <c r="Q4501" s="16">
        <v>8999</v>
      </c>
      <c r="R4501" s="17">
        <v>45</v>
      </c>
      <c r="S4501" s="18">
        <v>5691.8674999999994</v>
      </c>
      <c r="T4501" s="19" t="s">
        <v>328</v>
      </c>
      <c r="U4501" s="20" t="s">
        <v>52</v>
      </c>
      <c r="V4501" s="25" t="s">
        <v>59</v>
      </c>
      <c r="W4501" s="21">
        <v>2</v>
      </c>
      <c r="X4501" s="22"/>
    </row>
    <row r="4502" spans="1:24" s="1" customFormat="1" ht="108" customHeight="1" x14ac:dyDescent="0.3">
      <c r="A4502" s="11" t="s">
        <v>3194</v>
      </c>
      <c r="B4502" s="11" t="s">
        <v>4576</v>
      </c>
      <c r="C4502" s="12" t="s">
        <v>4577</v>
      </c>
      <c r="D4502" s="24"/>
      <c r="E4502" s="69" t="str">
        <f>HYPERLINK("https://www.google.ru/search?q=101990038&amp;newwindow=1&amp;tbm=isch","Еще фото")</f>
        <v>Еще фото</v>
      </c>
      <c r="F4502" s="13"/>
      <c r="G4502" s="11" t="s">
        <v>307</v>
      </c>
      <c r="H4502" s="11" t="s">
        <v>27</v>
      </c>
      <c r="I4502" s="14" t="s">
        <v>569</v>
      </c>
      <c r="J4502" s="14" t="s">
        <v>29</v>
      </c>
      <c r="K4502" s="15" t="s">
        <v>47</v>
      </c>
      <c r="L4502" s="14"/>
      <c r="M4502" s="14"/>
      <c r="N4502" s="14" t="s">
        <v>140</v>
      </c>
      <c r="O4502" s="14"/>
      <c r="P4502" s="15" t="s">
        <v>74</v>
      </c>
      <c r="Q4502" s="16">
        <v>8999</v>
      </c>
      <c r="R4502" s="17">
        <v>45</v>
      </c>
      <c r="S4502" s="18">
        <v>5691.8674999999994</v>
      </c>
      <c r="T4502" s="19" t="s">
        <v>328</v>
      </c>
      <c r="U4502" s="20" t="s">
        <v>66</v>
      </c>
      <c r="V4502" s="25" t="s">
        <v>68</v>
      </c>
      <c r="W4502" s="21">
        <v>1</v>
      </c>
      <c r="X4502" s="22"/>
    </row>
    <row r="4503" spans="1:24" s="1" customFormat="1" ht="11.1" customHeight="1" x14ac:dyDescent="0.3">
      <c r="A4503" s="11" t="s">
        <v>3029</v>
      </c>
      <c r="B4503" s="11" t="s">
        <v>606</v>
      </c>
      <c r="C4503" s="12" t="s">
        <v>4578</v>
      </c>
      <c r="D4503" s="83"/>
      <c r="E4503" s="69" t="str">
        <f t="shared" ref="E4503:E4511" si="229">HYPERLINK("https://www.google.ru/search?q=123391-5416&amp;newwindow=1&amp;tbm=isch","Еще фото")</f>
        <v>Еще фото</v>
      </c>
      <c r="F4503" s="13"/>
      <c r="G4503" s="11" t="s">
        <v>608</v>
      </c>
      <c r="H4503" s="11" t="s">
        <v>27</v>
      </c>
      <c r="I4503" s="14" t="s">
        <v>569</v>
      </c>
      <c r="J4503" s="14" t="s">
        <v>29</v>
      </c>
      <c r="K4503" s="15" t="s">
        <v>30</v>
      </c>
      <c r="L4503" s="86" t="s">
        <v>4579</v>
      </c>
      <c r="M4503" s="14"/>
      <c r="N4503" s="14" t="s">
        <v>275</v>
      </c>
      <c r="O4503" s="14"/>
      <c r="P4503" s="15" t="s">
        <v>4294</v>
      </c>
      <c r="Q4503" s="16">
        <v>3399</v>
      </c>
      <c r="R4503" s="17">
        <v>45</v>
      </c>
      <c r="S4503" s="18">
        <v>2149.8674999999998</v>
      </c>
      <c r="T4503" s="19" t="s">
        <v>117</v>
      </c>
      <c r="U4503" s="20" t="s">
        <v>196</v>
      </c>
      <c r="V4503" s="21">
        <v>86</v>
      </c>
      <c r="W4503" s="21">
        <v>4</v>
      </c>
      <c r="X4503" s="22"/>
    </row>
    <row r="4504" spans="1:24" s="1" customFormat="1" ht="11.1" customHeight="1" x14ac:dyDescent="0.3">
      <c r="A4504" s="23" t="s">
        <v>3029</v>
      </c>
      <c r="B4504" s="23" t="s">
        <v>606</v>
      </c>
      <c r="C4504" s="12" t="s">
        <v>4578</v>
      </c>
      <c r="D4504" s="84"/>
      <c r="E4504" s="69" t="str">
        <f t="shared" si="229"/>
        <v>Еще фото</v>
      </c>
      <c r="F4504" s="13"/>
      <c r="G4504" s="23" t="s">
        <v>608</v>
      </c>
      <c r="H4504" s="23" t="s">
        <v>27</v>
      </c>
      <c r="I4504" s="23" t="s">
        <v>569</v>
      </c>
      <c r="J4504" s="14" t="s">
        <v>29</v>
      </c>
      <c r="K4504" s="15" t="s">
        <v>30</v>
      </c>
      <c r="L4504" s="87"/>
      <c r="M4504" s="14"/>
      <c r="N4504" s="14" t="s">
        <v>275</v>
      </c>
      <c r="O4504" s="14"/>
      <c r="P4504" s="15" t="s">
        <v>4294</v>
      </c>
      <c r="Q4504" s="16">
        <v>3399</v>
      </c>
      <c r="R4504" s="17">
        <v>45</v>
      </c>
      <c r="S4504" s="18">
        <v>2149.8674999999998</v>
      </c>
      <c r="T4504" s="19" t="s">
        <v>117</v>
      </c>
      <c r="U4504" s="20" t="s">
        <v>77</v>
      </c>
      <c r="V4504" s="21">
        <v>92</v>
      </c>
      <c r="W4504" s="21">
        <v>2</v>
      </c>
      <c r="X4504" s="22"/>
    </row>
    <row r="4505" spans="1:24" s="1" customFormat="1" ht="11.1" customHeight="1" x14ac:dyDescent="0.3">
      <c r="A4505" s="23" t="s">
        <v>3029</v>
      </c>
      <c r="B4505" s="23" t="s">
        <v>606</v>
      </c>
      <c r="C4505" s="12" t="s">
        <v>4578</v>
      </c>
      <c r="D4505" s="84"/>
      <c r="E4505" s="69" t="str">
        <f t="shared" si="229"/>
        <v>Еще фото</v>
      </c>
      <c r="F4505" s="13"/>
      <c r="G4505" s="23" t="s">
        <v>608</v>
      </c>
      <c r="H4505" s="23" t="s">
        <v>27</v>
      </c>
      <c r="I4505" s="23" t="s">
        <v>569</v>
      </c>
      <c r="J4505" s="14" t="s">
        <v>29</v>
      </c>
      <c r="K4505" s="15" t="s">
        <v>30</v>
      </c>
      <c r="L4505" s="87"/>
      <c r="M4505" s="14"/>
      <c r="N4505" s="14" t="s">
        <v>275</v>
      </c>
      <c r="O4505" s="14"/>
      <c r="P4505" s="15" t="s">
        <v>4294</v>
      </c>
      <c r="Q4505" s="16">
        <v>3399</v>
      </c>
      <c r="R4505" s="17">
        <v>45</v>
      </c>
      <c r="S4505" s="18">
        <v>2149.8674999999998</v>
      </c>
      <c r="T4505" s="19" t="s">
        <v>117</v>
      </c>
      <c r="U4505" s="20" t="s">
        <v>78</v>
      </c>
      <c r="V4505" s="21">
        <v>98</v>
      </c>
      <c r="W4505" s="21">
        <v>4</v>
      </c>
      <c r="X4505" s="22"/>
    </row>
    <row r="4506" spans="1:24" s="1" customFormat="1" ht="11.1" customHeight="1" x14ac:dyDescent="0.3">
      <c r="A4506" s="23" t="s">
        <v>3029</v>
      </c>
      <c r="B4506" s="23" t="s">
        <v>606</v>
      </c>
      <c r="C4506" s="12" t="s">
        <v>4578</v>
      </c>
      <c r="D4506" s="84"/>
      <c r="E4506" s="69" t="str">
        <f t="shared" si="229"/>
        <v>Еще фото</v>
      </c>
      <c r="F4506" s="13"/>
      <c r="G4506" s="23" t="s">
        <v>608</v>
      </c>
      <c r="H4506" s="23" t="s">
        <v>27</v>
      </c>
      <c r="I4506" s="23" t="s">
        <v>569</v>
      </c>
      <c r="J4506" s="14" t="s">
        <v>29</v>
      </c>
      <c r="K4506" s="15" t="s">
        <v>30</v>
      </c>
      <c r="L4506" s="87"/>
      <c r="M4506" s="14"/>
      <c r="N4506" s="14" t="s">
        <v>275</v>
      </c>
      <c r="O4506" s="14"/>
      <c r="P4506" s="15" t="s">
        <v>4294</v>
      </c>
      <c r="Q4506" s="16">
        <v>3399</v>
      </c>
      <c r="R4506" s="17">
        <v>45</v>
      </c>
      <c r="S4506" s="18">
        <v>2149.8674999999998</v>
      </c>
      <c r="T4506" s="19" t="s">
        <v>117</v>
      </c>
      <c r="U4506" s="20" t="s">
        <v>94</v>
      </c>
      <c r="V4506" s="21">
        <v>104</v>
      </c>
      <c r="W4506" s="21">
        <v>1</v>
      </c>
      <c r="X4506" s="22"/>
    </row>
    <row r="4507" spans="1:24" s="1" customFormat="1" ht="11.1" customHeight="1" x14ac:dyDescent="0.3">
      <c r="A4507" s="23" t="s">
        <v>3029</v>
      </c>
      <c r="B4507" s="23" t="s">
        <v>606</v>
      </c>
      <c r="C4507" s="12" t="s">
        <v>4578</v>
      </c>
      <c r="D4507" s="84"/>
      <c r="E4507" s="69" t="str">
        <f t="shared" si="229"/>
        <v>Еще фото</v>
      </c>
      <c r="F4507" s="13"/>
      <c r="G4507" s="23" t="s">
        <v>608</v>
      </c>
      <c r="H4507" s="23" t="s">
        <v>27</v>
      </c>
      <c r="I4507" s="23" t="s">
        <v>569</v>
      </c>
      <c r="J4507" s="14" t="s">
        <v>29</v>
      </c>
      <c r="K4507" s="15" t="s">
        <v>30</v>
      </c>
      <c r="L4507" s="87"/>
      <c r="M4507" s="14"/>
      <c r="N4507" s="14" t="s">
        <v>275</v>
      </c>
      <c r="O4507" s="14"/>
      <c r="P4507" s="15" t="s">
        <v>4294</v>
      </c>
      <c r="Q4507" s="16">
        <v>3399</v>
      </c>
      <c r="R4507" s="17">
        <v>45</v>
      </c>
      <c r="S4507" s="18">
        <v>2149.8674999999998</v>
      </c>
      <c r="T4507" s="19" t="s">
        <v>117</v>
      </c>
      <c r="U4507" s="20" t="s">
        <v>43</v>
      </c>
      <c r="V4507" s="21">
        <v>110</v>
      </c>
      <c r="W4507" s="21">
        <v>4</v>
      </c>
      <c r="X4507" s="22"/>
    </row>
    <row r="4508" spans="1:24" s="1" customFormat="1" ht="11.1" customHeight="1" x14ac:dyDescent="0.3">
      <c r="A4508" s="23" t="s">
        <v>3029</v>
      </c>
      <c r="B4508" s="23" t="s">
        <v>606</v>
      </c>
      <c r="C4508" s="12" t="s">
        <v>4578</v>
      </c>
      <c r="D4508" s="84"/>
      <c r="E4508" s="69" t="str">
        <f t="shared" si="229"/>
        <v>Еще фото</v>
      </c>
      <c r="F4508" s="13"/>
      <c r="G4508" s="23" t="s">
        <v>608</v>
      </c>
      <c r="H4508" s="23" t="s">
        <v>27</v>
      </c>
      <c r="I4508" s="23" t="s">
        <v>569</v>
      </c>
      <c r="J4508" s="14" t="s">
        <v>29</v>
      </c>
      <c r="K4508" s="15" t="s">
        <v>30</v>
      </c>
      <c r="L4508" s="87"/>
      <c r="M4508" s="14"/>
      <c r="N4508" s="14" t="s">
        <v>275</v>
      </c>
      <c r="O4508" s="14"/>
      <c r="P4508" s="15" t="s">
        <v>4294</v>
      </c>
      <c r="Q4508" s="16">
        <v>3399</v>
      </c>
      <c r="R4508" s="17">
        <v>45</v>
      </c>
      <c r="S4508" s="18">
        <v>2149.8674999999998</v>
      </c>
      <c r="T4508" s="19" t="s">
        <v>117</v>
      </c>
      <c r="U4508" s="20" t="s">
        <v>35</v>
      </c>
      <c r="V4508" s="21">
        <v>116</v>
      </c>
      <c r="W4508" s="21">
        <v>2</v>
      </c>
      <c r="X4508" s="22"/>
    </row>
    <row r="4509" spans="1:24" s="1" customFormat="1" ht="11.1" customHeight="1" x14ac:dyDescent="0.3">
      <c r="A4509" s="23" t="s">
        <v>3029</v>
      </c>
      <c r="B4509" s="23" t="s">
        <v>606</v>
      </c>
      <c r="C4509" s="12" t="s">
        <v>4578</v>
      </c>
      <c r="D4509" s="84"/>
      <c r="E4509" s="69" t="str">
        <f t="shared" si="229"/>
        <v>Еще фото</v>
      </c>
      <c r="F4509" s="13"/>
      <c r="G4509" s="23" t="s">
        <v>608</v>
      </c>
      <c r="H4509" s="23" t="s">
        <v>27</v>
      </c>
      <c r="I4509" s="23" t="s">
        <v>569</v>
      </c>
      <c r="J4509" s="14" t="s">
        <v>29</v>
      </c>
      <c r="K4509" s="15" t="s">
        <v>30</v>
      </c>
      <c r="L4509" s="87"/>
      <c r="M4509" s="14"/>
      <c r="N4509" s="14" t="s">
        <v>275</v>
      </c>
      <c r="O4509" s="14"/>
      <c r="P4509" s="15" t="s">
        <v>4294</v>
      </c>
      <c r="Q4509" s="16">
        <v>3399</v>
      </c>
      <c r="R4509" s="17">
        <v>45</v>
      </c>
      <c r="S4509" s="18">
        <v>2149.8674999999998</v>
      </c>
      <c r="T4509" s="19" t="s">
        <v>117</v>
      </c>
      <c r="U4509" s="20" t="s">
        <v>36</v>
      </c>
      <c r="V4509" s="21">
        <v>122</v>
      </c>
      <c r="W4509" s="21">
        <v>6</v>
      </c>
      <c r="X4509" s="22"/>
    </row>
    <row r="4510" spans="1:24" s="1" customFormat="1" ht="11.1" customHeight="1" x14ac:dyDescent="0.3">
      <c r="A4510" s="23" t="s">
        <v>3029</v>
      </c>
      <c r="B4510" s="23" t="s">
        <v>606</v>
      </c>
      <c r="C4510" s="12" t="s">
        <v>4578</v>
      </c>
      <c r="D4510" s="84"/>
      <c r="E4510" s="69" t="str">
        <f t="shared" si="229"/>
        <v>Еще фото</v>
      </c>
      <c r="F4510" s="13"/>
      <c r="G4510" s="23" t="s">
        <v>608</v>
      </c>
      <c r="H4510" s="23" t="s">
        <v>27</v>
      </c>
      <c r="I4510" s="23" t="s">
        <v>569</v>
      </c>
      <c r="J4510" s="14" t="s">
        <v>29</v>
      </c>
      <c r="K4510" s="15" t="s">
        <v>30</v>
      </c>
      <c r="L4510" s="87"/>
      <c r="M4510" s="14"/>
      <c r="N4510" s="14" t="s">
        <v>275</v>
      </c>
      <c r="O4510" s="14"/>
      <c r="P4510" s="15" t="s">
        <v>4294</v>
      </c>
      <c r="Q4510" s="16">
        <v>3399</v>
      </c>
      <c r="R4510" s="17">
        <v>45</v>
      </c>
      <c r="S4510" s="18">
        <v>2149.8674999999998</v>
      </c>
      <c r="T4510" s="19" t="s">
        <v>117</v>
      </c>
      <c r="U4510" s="20" t="s">
        <v>91</v>
      </c>
      <c r="V4510" s="21">
        <v>134</v>
      </c>
      <c r="W4510" s="21">
        <v>6</v>
      </c>
      <c r="X4510" s="22"/>
    </row>
    <row r="4511" spans="1:24" s="1" customFormat="1" ht="11.1" customHeight="1" x14ac:dyDescent="0.3">
      <c r="A4511" s="23" t="s">
        <v>3029</v>
      </c>
      <c r="B4511" s="23" t="s">
        <v>606</v>
      </c>
      <c r="C4511" s="12" t="s">
        <v>4578</v>
      </c>
      <c r="D4511" s="85"/>
      <c r="E4511" s="69" t="str">
        <f t="shared" si="229"/>
        <v>Еще фото</v>
      </c>
      <c r="F4511" s="13"/>
      <c r="G4511" s="23" t="s">
        <v>608</v>
      </c>
      <c r="H4511" s="23" t="s">
        <v>27</v>
      </c>
      <c r="I4511" s="23" t="s">
        <v>569</v>
      </c>
      <c r="J4511" s="14" t="s">
        <v>29</v>
      </c>
      <c r="K4511" s="15" t="s">
        <v>30</v>
      </c>
      <c r="L4511" s="88"/>
      <c r="M4511" s="14"/>
      <c r="N4511" s="14" t="s">
        <v>275</v>
      </c>
      <c r="O4511" s="14"/>
      <c r="P4511" s="15" t="s">
        <v>4294</v>
      </c>
      <c r="Q4511" s="16">
        <v>3399</v>
      </c>
      <c r="R4511" s="17">
        <v>45</v>
      </c>
      <c r="S4511" s="18">
        <v>2149.8674999999998</v>
      </c>
      <c r="T4511" s="19" t="s">
        <v>117</v>
      </c>
      <c r="U4511" s="20" t="s">
        <v>2160</v>
      </c>
      <c r="V4511" s="21">
        <v>152</v>
      </c>
      <c r="W4511" s="21">
        <v>1</v>
      </c>
      <c r="X4511" s="22"/>
    </row>
    <row r="4512" spans="1:24" s="1" customFormat="1" ht="11.1" customHeight="1" x14ac:dyDescent="0.3">
      <c r="A4512" s="11" t="s">
        <v>3029</v>
      </c>
      <c r="B4512" s="11" t="s">
        <v>606</v>
      </c>
      <c r="C4512" s="12" t="s">
        <v>4580</v>
      </c>
      <c r="D4512" s="83"/>
      <c r="E4512" s="69" t="str">
        <f t="shared" ref="E4512:E4521" si="230">HYPERLINK("https://www.google.ru/search?q=123391-9415&amp;newwindow=1&amp;tbm=isch","Еще фото")</f>
        <v>Еще фото</v>
      </c>
      <c r="F4512" s="13"/>
      <c r="G4512" s="11" t="s">
        <v>608</v>
      </c>
      <c r="H4512" s="11" t="s">
        <v>27</v>
      </c>
      <c r="I4512" s="14" t="s">
        <v>569</v>
      </c>
      <c r="J4512" s="14" t="s">
        <v>29</v>
      </c>
      <c r="K4512" s="15" t="s">
        <v>30</v>
      </c>
      <c r="L4512" s="86" t="s">
        <v>4579</v>
      </c>
      <c r="M4512" s="14"/>
      <c r="N4512" s="14" t="s">
        <v>242</v>
      </c>
      <c r="O4512" s="14"/>
      <c r="P4512" s="15" t="s">
        <v>4294</v>
      </c>
      <c r="Q4512" s="16">
        <v>3399</v>
      </c>
      <c r="R4512" s="17">
        <v>45</v>
      </c>
      <c r="S4512" s="18">
        <v>2149.8674999999998</v>
      </c>
      <c r="T4512" s="19" t="s">
        <v>117</v>
      </c>
      <c r="U4512" s="20" t="s">
        <v>196</v>
      </c>
      <c r="V4512" s="21">
        <v>86</v>
      </c>
      <c r="W4512" s="21">
        <v>4</v>
      </c>
      <c r="X4512" s="22"/>
    </row>
    <row r="4513" spans="1:24" s="1" customFormat="1" ht="11.1" customHeight="1" x14ac:dyDescent="0.3">
      <c r="A4513" s="23" t="s">
        <v>3029</v>
      </c>
      <c r="B4513" s="23" t="s">
        <v>606</v>
      </c>
      <c r="C4513" s="12" t="s">
        <v>4580</v>
      </c>
      <c r="D4513" s="84"/>
      <c r="E4513" s="69" t="str">
        <f t="shared" si="230"/>
        <v>Еще фото</v>
      </c>
      <c r="F4513" s="13"/>
      <c r="G4513" s="23" t="s">
        <v>608</v>
      </c>
      <c r="H4513" s="23" t="s">
        <v>27</v>
      </c>
      <c r="I4513" s="23" t="s">
        <v>569</v>
      </c>
      <c r="J4513" s="14" t="s">
        <v>29</v>
      </c>
      <c r="K4513" s="15" t="s">
        <v>30</v>
      </c>
      <c r="L4513" s="87"/>
      <c r="M4513" s="14"/>
      <c r="N4513" s="14" t="s">
        <v>242</v>
      </c>
      <c r="O4513" s="14"/>
      <c r="P4513" s="15" t="s">
        <v>4294</v>
      </c>
      <c r="Q4513" s="16">
        <v>3399</v>
      </c>
      <c r="R4513" s="17">
        <v>45</v>
      </c>
      <c r="S4513" s="18">
        <v>2149.8674999999998</v>
      </c>
      <c r="T4513" s="19" t="s">
        <v>117</v>
      </c>
      <c r="U4513" s="20" t="s">
        <v>77</v>
      </c>
      <c r="V4513" s="21">
        <v>92</v>
      </c>
      <c r="W4513" s="21">
        <v>4</v>
      </c>
      <c r="X4513" s="22"/>
    </row>
    <row r="4514" spans="1:24" s="1" customFormat="1" ht="11.1" customHeight="1" x14ac:dyDescent="0.3">
      <c r="A4514" s="23" t="s">
        <v>3029</v>
      </c>
      <c r="B4514" s="23" t="s">
        <v>606</v>
      </c>
      <c r="C4514" s="12" t="s">
        <v>4580</v>
      </c>
      <c r="D4514" s="84"/>
      <c r="E4514" s="69" t="str">
        <f t="shared" si="230"/>
        <v>Еще фото</v>
      </c>
      <c r="F4514" s="13"/>
      <c r="G4514" s="23" t="s">
        <v>608</v>
      </c>
      <c r="H4514" s="23" t="s">
        <v>27</v>
      </c>
      <c r="I4514" s="23" t="s">
        <v>569</v>
      </c>
      <c r="J4514" s="14" t="s">
        <v>29</v>
      </c>
      <c r="K4514" s="15" t="s">
        <v>30</v>
      </c>
      <c r="L4514" s="87"/>
      <c r="M4514" s="14"/>
      <c r="N4514" s="14" t="s">
        <v>242</v>
      </c>
      <c r="O4514" s="14"/>
      <c r="P4514" s="15" t="s">
        <v>4294</v>
      </c>
      <c r="Q4514" s="16">
        <v>3399</v>
      </c>
      <c r="R4514" s="17">
        <v>45</v>
      </c>
      <c r="S4514" s="18">
        <v>2149.8674999999998</v>
      </c>
      <c r="T4514" s="19" t="s">
        <v>117</v>
      </c>
      <c r="U4514" s="20" t="s">
        <v>78</v>
      </c>
      <c r="V4514" s="21">
        <v>98</v>
      </c>
      <c r="W4514" s="21">
        <v>3</v>
      </c>
      <c r="X4514" s="22"/>
    </row>
    <row r="4515" spans="1:24" s="1" customFormat="1" ht="11.1" customHeight="1" x14ac:dyDescent="0.3">
      <c r="A4515" s="23" t="s">
        <v>3029</v>
      </c>
      <c r="B4515" s="23" t="s">
        <v>606</v>
      </c>
      <c r="C4515" s="12" t="s">
        <v>4580</v>
      </c>
      <c r="D4515" s="84"/>
      <c r="E4515" s="69" t="str">
        <f t="shared" si="230"/>
        <v>Еще фото</v>
      </c>
      <c r="F4515" s="13"/>
      <c r="G4515" s="23" t="s">
        <v>608</v>
      </c>
      <c r="H4515" s="23" t="s">
        <v>27</v>
      </c>
      <c r="I4515" s="23" t="s">
        <v>569</v>
      </c>
      <c r="J4515" s="14" t="s">
        <v>29</v>
      </c>
      <c r="K4515" s="15" t="s">
        <v>30</v>
      </c>
      <c r="L4515" s="87"/>
      <c r="M4515" s="14"/>
      <c r="N4515" s="14" t="s">
        <v>242</v>
      </c>
      <c r="O4515" s="14"/>
      <c r="P4515" s="15" t="s">
        <v>4294</v>
      </c>
      <c r="Q4515" s="16">
        <v>3399</v>
      </c>
      <c r="R4515" s="17">
        <v>45</v>
      </c>
      <c r="S4515" s="18">
        <v>2149.8674999999998</v>
      </c>
      <c r="T4515" s="19" t="s">
        <v>117</v>
      </c>
      <c r="U4515" s="20" t="s">
        <v>94</v>
      </c>
      <c r="V4515" s="21">
        <v>104</v>
      </c>
      <c r="W4515" s="21">
        <v>1</v>
      </c>
      <c r="X4515" s="22"/>
    </row>
    <row r="4516" spans="1:24" s="1" customFormat="1" ht="11.1" customHeight="1" x14ac:dyDescent="0.3">
      <c r="A4516" s="23" t="s">
        <v>3029</v>
      </c>
      <c r="B4516" s="23" t="s">
        <v>606</v>
      </c>
      <c r="C4516" s="12" t="s">
        <v>4580</v>
      </c>
      <c r="D4516" s="84"/>
      <c r="E4516" s="69" t="str">
        <f t="shared" si="230"/>
        <v>Еще фото</v>
      </c>
      <c r="F4516" s="13"/>
      <c r="G4516" s="23" t="s">
        <v>608</v>
      </c>
      <c r="H4516" s="23" t="s">
        <v>27</v>
      </c>
      <c r="I4516" s="23" t="s">
        <v>569</v>
      </c>
      <c r="J4516" s="14" t="s">
        <v>29</v>
      </c>
      <c r="K4516" s="15" t="s">
        <v>30</v>
      </c>
      <c r="L4516" s="87"/>
      <c r="M4516" s="14"/>
      <c r="N4516" s="14" t="s">
        <v>242</v>
      </c>
      <c r="O4516" s="14"/>
      <c r="P4516" s="15" t="s">
        <v>4294</v>
      </c>
      <c r="Q4516" s="16">
        <v>3399</v>
      </c>
      <c r="R4516" s="17">
        <v>45</v>
      </c>
      <c r="S4516" s="18">
        <v>2149.8674999999998</v>
      </c>
      <c r="T4516" s="19" t="s">
        <v>117</v>
      </c>
      <c r="U4516" s="20" t="s">
        <v>43</v>
      </c>
      <c r="V4516" s="21">
        <v>110</v>
      </c>
      <c r="W4516" s="21">
        <v>3</v>
      </c>
      <c r="X4516" s="22"/>
    </row>
    <row r="4517" spans="1:24" s="1" customFormat="1" ht="11.1" customHeight="1" x14ac:dyDescent="0.3">
      <c r="A4517" s="23" t="s">
        <v>3029</v>
      </c>
      <c r="B4517" s="23" t="s">
        <v>606</v>
      </c>
      <c r="C4517" s="12" t="s">
        <v>4580</v>
      </c>
      <c r="D4517" s="84"/>
      <c r="E4517" s="69" t="str">
        <f t="shared" si="230"/>
        <v>Еще фото</v>
      </c>
      <c r="F4517" s="13"/>
      <c r="G4517" s="23" t="s">
        <v>608</v>
      </c>
      <c r="H4517" s="23" t="s">
        <v>27</v>
      </c>
      <c r="I4517" s="23" t="s">
        <v>569</v>
      </c>
      <c r="J4517" s="14" t="s">
        <v>29</v>
      </c>
      <c r="K4517" s="15" t="s">
        <v>30</v>
      </c>
      <c r="L4517" s="87"/>
      <c r="M4517" s="14"/>
      <c r="N4517" s="14" t="s">
        <v>242</v>
      </c>
      <c r="O4517" s="14"/>
      <c r="P4517" s="15" t="s">
        <v>4294</v>
      </c>
      <c r="Q4517" s="16">
        <v>3399</v>
      </c>
      <c r="R4517" s="17">
        <v>45</v>
      </c>
      <c r="S4517" s="18">
        <v>2149.8674999999998</v>
      </c>
      <c r="T4517" s="19" t="s">
        <v>117</v>
      </c>
      <c r="U4517" s="20" t="s">
        <v>35</v>
      </c>
      <c r="V4517" s="21">
        <v>116</v>
      </c>
      <c r="W4517" s="21">
        <v>3</v>
      </c>
      <c r="X4517" s="22"/>
    </row>
    <row r="4518" spans="1:24" s="1" customFormat="1" ht="11.1" customHeight="1" x14ac:dyDescent="0.3">
      <c r="A4518" s="23" t="s">
        <v>3029</v>
      </c>
      <c r="B4518" s="23" t="s">
        <v>606</v>
      </c>
      <c r="C4518" s="12" t="s">
        <v>4580</v>
      </c>
      <c r="D4518" s="84"/>
      <c r="E4518" s="69" t="str">
        <f t="shared" si="230"/>
        <v>Еще фото</v>
      </c>
      <c r="F4518" s="13"/>
      <c r="G4518" s="23" t="s">
        <v>608</v>
      </c>
      <c r="H4518" s="23" t="s">
        <v>27</v>
      </c>
      <c r="I4518" s="23" t="s">
        <v>569</v>
      </c>
      <c r="J4518" s="14" t="s">
        <v>29</v>
      </c>
      <c r="K4518" s="15" t="s">
        <v>30</v>
      </c>
      <c r="L4518" s="87"/>
      <c r="M4518" s="14"/>
      <c r="N4518" s="14" t="s">
        <v>242</v>
      </c>
      <c r="O4518" s="14"/>
      <c r="P4518" s="15" t="s">
        <v>4294</v>
      </c>
      <c r="Q4518" s="16">
        <v>3399</v>
      </c>
      <c r="R4518" s="17">
        <v>45</v>
      </c>
      <c r="S4518" s="18">
        <v>2149.8674999999998</v>
      </c>
      <c r="T4518" s="19" t="s">
        <v>117</v>
      </c>
      <c r="U4518" s="20" t="s">
        <v>36</v>
      </c>
      <c r="V4518" s="21">
        <v>122</v>
      </c>
      <c r="W4518" s="21">
        <v>6</v>
      </c>
      <c r="X4518" s="22"/>
    </row>
    <row r="4519" spans="1:24" s="1" customFormat="1" ht="11.1" customHeight="1" x14ac:dyDescent="0.3">
      <c r="A4519" s="23" t="s">
        <v>3029</v>
      </c>
      <c r="B4519" s="23" t="s">
        <v>606</v>
      </c>
      <c r="C4519" s="12" t="s">
        <v>4580</v>
      </c>
      <c r="D4519" s="84"/>
      <c r="E4519" s="69" t="str">
        <f t="shared" si="230"/>
        <v>Еще фото</v>
      </c>
      <c r="F4519" s="13"/>
      <c r="G4519" s="23" t="s">
        <v>608</v>
      </c>
      <c r="H4519" s="23" t="s">
        <v>27</v>
      </c>
      <c r="I4519" s="23" t="s">
        <v>569</v>
      </c>
      <c r="J4519" s="14" t="s">
        <v>29</v>
      </c>
      <c r="K4519" s="15" t="s">
        <v>30</v>
      </c>
      <c r="L4519" s="87"/>
      <c r="M4519" s="14"/>
      <c r="N4519" s="14" t="s">
        <v>242</v>
      </c>
      <c r="O4519" s="14"/>
      <c r="P4519" s="15" t="s">
        <v>4294</v>
      </c>
      <c r="Q4519" s="16">
        <v>3399</v>
      </c>
      <c r="R4519" s="17">
        <v>45</v>
      </c>
      <c r="S4519" s="18">
        <v>2149.8674999999998</v>
      </c>
      <c r="T4519" s="19" t="s">
        <v>117</v>
      </c>
      <c r="U4519" s="20" t="s">
        <v>37</v>
      </c>
      <c r="V4519" s="21">
        <v>128</v>
      </c>
      <c r="W4519" s="21">
        <v>2</v>
      </c>
      <c r="X4519" s="22"/>
    </row>
    <row r="4520" spans="1:24" s="1" customFormat="1" ht="11.1" customHeight="1" x14ac:dyDescent="0.3">
      <c r="A4520" s="23" t="s">
        <v>3029</v>
      </c>
      <c r="B4520" s="23" t="s">
        <v>606</v>
      </c>
      <c r="C4520" s="12" t="s">
        <v>4580</v>
      </c>
      <c r="D4520" s="84"/>
      <c r="E4520" s="69" t="str">
        <f t="shared" si="230"/>
        <v>Еще фото</v>
      </c>
      <c r="F4520" s="13"/>
      <c r="G4520" s="23" t="s">
        <v>608</v>
      </c>
      <c r="H4520" s="23" t="s">
        <v>27</v>
      </c>
      <c r="I4520" s="23" t="s">
        <v>569</v>
      </c>
      <c r="J4520" s="14" t="s">
        <v>29</v>
      </c>
      <c r="K4520" s="15" t="s">
        <v>30</v>
      </c>
      <c r="L4520" s="87"/>
      <c r="M4520" s="14"/>
      <c r="N4520" s="14" t="s">
        <v>242</v>
      </c>
      <c r="O4520" s="14"/>
      <c r="P4520" s="15" t="s">
        <v>4294</v>
      </c>
      <c r="Q4520" s="16">
        <v>3399</v>
      </c>
      <c r="R4520" s="17">
        <v>45</v>
      </c>
      <c r="S4520" s="18">
        <v>2149.8674999999998</v>
      </c>
      <c r="T4520" s="19" t="s">
        <v>117</v>
      </c>
      <c r="U4520" s="20" t="s">
        <v>91</v>
      </c>
      <c r="V4520" s="21">
        <v>134</v>
      </c>
      <c r="W4520" s="21">
        <v>3</v>
      </c>
      <c r="X4520" s="22"/>
    </row>
    <row r="4521" spans="1:24" s="1" customFormat="1" ht="11.1" customHeight="1" x14ac:dyDescent="0.3">
      <c r="A4521" s="14" t="s">
        <v>3029</v>
      </c>
      <c r="B4521" s="14" t="s">
        <v>606</v>
      </c>
      <c r="C4521" s="12" t="s">
        <v>4580</v>
      </c>
      <c r="D4521" s="85"/>
      <c r="E4521" s="69" t="str">
        <f t="shared" si="230"/>
        <v>Еще фото</v>
      </c>
      <c r="F4521" s="36"/>
      <c r="G4521" s="14" t="s">
        <v>608</v>
      </c>
      <c r="H4521" s="14" t="s">
        <v>27</v>
      </c>
      <c r="I4521" s="14" t="s">
        <v>569</v>
      </c>
      <c r="J4521" s="14" t="s">
        <v>29</v>
      </c>
      <c r="K4521" s="14" t="s">
        <v>30</v>
      </c>
      <c r="L4521" s="88"/>
      <c r="M4521" s="14"/>
      <c r="N4521" s="14" t="s">
        <v>242</v>
      </c>
      <c r="O4521" s="14"/>
      <c r="P4521" s="14" t="s">
        <v>4294</v>
      </c>
      <c r="Q4521" s="33">
        <v>3399</v>
      </c>
      <c r="R4521" s="34">
        <v>45</v>
      </c>
      <c r="S4521" s="35">
        <v>2149.8674999999998</v>
      </c>
      <c r="T4521" s="19" t="s">
        <v>117</v>
      </c>
      <c r="U4521" s="20" t="s">
        <v>290</v>
      </c>
      <c r="V4521" s="21">
        <v>140</v>
      </c>
      <c r="W4521" s="21">
        <v>2</v>
      </c>
      <c r="X4521" s="22"/>
    </row>
    <row r="4522" spans="1:24" s="1" customFormat="1" ht="14.1" customHeight="1" x14ac:dyDescent="0.3">
      <c r="A4522" s="11" t="s">
        <v>3029</v>
      </c>
      <c r="B4522" s="11" t="s">
        <v>572</v>
      </c>
      <c r="C4522" s="12" t="s">
        <v>4581</v>
      </c>
      <c r="D4522" s="83"/>
      <c r="E4522" s="69" t="str">
        <f t="shared" ref="E4522:E4528" si="231">HYPERLINK("https://www.google.ru/search?q=123420-5314&amp;newwindow=1&amp;tbm=isch","Еще фото")</f>
        <v>Еще фото</v>
      </c>
      <c r="F4522" s="13"/>
      <c r="G4522" s="11" t="s">
        <v>574</v>
      </c>
      <c r="H4522" s="11" t="s">
        <v>27</v>
      </c>
      <c r="I4522" s="14" t="s">
        <v>569</v>
      </c>
      <c r="J4522" s="14" t="s">
        <v>29</v>
      </c>
      <c r="K4522" s="15" t="s">
        <v>30</v>
      </c>
      <c r="L4522" s="86" t="s">
        <v>4582</v>
      </c>
      <c r="M4522" s="14"/>
      <c r="N4522" s="14" t="s">
        <v>154</v>
      </c>
      <c r="O4522" s="14"/>
      <c r="P4522" s="15" t="s">
        <v>3040</v>
      </c>
      <c r="Q4522" s="16">
        <v>3399</v>
      </c>
      <c r="R4522" s="17">
        <v>45</v>
      </c>
      <c r="S4522" s="18">
        <v>2149.8674999999998</v>
      </c>
      <c r="T4522" s="19" t="s">
        <v>117</v>
      </c>
      <c r="U4522" s="20" t="s">
        <v>77</v>
      </c>
      <c r="V4522" s="21">
        <v>92</v>
      </c>
      <c r="W4522" s="21">
        <v>2</v>
      </c>
      <c r="X4522" s="22"/>
    </row>
    <row r="4523" spans="1:24" s="1" customFormat="1" ht="14.1" customHeight="1" x14ac:dyDescent="0.3">
      <c r="A4523" s="23" t="s">
        <v>3029</v>
      </c>
      <c r="B4523" s="23" t="s">
        <v>572</v>
      </c>
      <c r="C4523" s="12" t="s">
        <v>4581</v>
      </c>
      <c r="D4523" s="84"/>
      <c r="E4523" s="69" t="str">
        <f t="shared" si="231"/>
        <v>Еще фото</v>
      </c>
      <c r="F4523" s="13"/>
      <c r="G4523" s="23" t="s">
        <v>574</v>
      </c>
      <c r="H4523" s="23" t="s">
        <v>27</v>
      </c>
      <c r="I4523" s="23" t="s">
        <v>569</v>
      </c>
      <c r="J4523" s="14" t="s">
        <v>29</v>
      </c>
      <c r="K4523" s="15" t="s">
        <v>30</v>
      </c>
      <c r="L4523" s="87"/>
      <c r="M4523" s="14"/>
      <c r="N4523" s="14" t="s">
        <v>154</v>
      </c>
      <c r="O4523" s="14"/>
      <c r="P4523" s="15" t="s">
        <v>3040</v>
      </c>
      <c r="Q4523" s="16">
        <v>3399</v>
      </c>
      <c r="R4523" s="17">
        <v>45</v>
      </c>
      <c r="S4523" s="18">
        <v>2149.8674999999998</v>
      </c>
      <c r="T4523" s="19" t="s">
        <v>117</v>
      </c>
      <c r="U4523" s="20" t="s">
        <v>78</v>
      </c>
      <c r="V4523" s="21">
        <v>98</v>
      </c>
      <c r="W4523" s="21">
        <v>2</v>
      </c>
      <c r="X4523" s="22"/>
    </row>
    <row r="4524" spans="1:24" s="1" customFormat="1" ht="14.1" customHeight="1" x14ac:dyDescent="0.3">
      <c r="A4524" s="23" t="s">
        <v>3029</v>
      </c>
      <c r="B4524" s="23" t="s">
        <v>572</v>
      </c>
      <c r="C4524" s="12" t="s">
        <v>4581</v>
      </c>
      <c r="D4524" s="84"/>
      <c r="E4524" s="69" t="str">
        <f t="shared" si="231"/>
        <v>Еще фото</v>
      </c>
      <c r="F4524" s="13"/>
      <c r="G4524" s="23" t="s">
        <v>574</v>
      </c>
      <c r="H4524" s="23" t="s">
        <v>27</v>
      </c>
      <c r="I4524" s="23" t="s">
        <v>569</v>
      </c>
      <c r="J4524" s="14" t="s">
        <v>29</v>
      </c>
      <c r="K4524" s="15" t="s">
        <v>30</v>
      </c>
      <c r="L4524" s="87"/>
      <c r="M4524" s="14"/>
      <c r="N4524" s="14" t="s">
        <v>154</v>
      </c>
      <c r="O4524" s="14"/>
      <c r="P4524" s="15" t="s">
        <v>3040</v>
      </c>
      <c r="Q4524" s="16">
        <v>3399</v>
      </c>
      <c r="R4524" s="17">
        <v>45</v>
      </c>
      <c r="S4524" s="18">
        <v>2149.8674999999998</v>
      </c>
      <c r="T4524" s="19" t="s">
        <v>117</v>
      </c>
      <c r="U4524" s="20" t="s">
        <v>94</v>
      </c>
      <c r="V4524" s="21">
        <v>104</v>
      </c>
      <c r="W4524" s="21">
        <v>1</v>
      </c>
      <c r="X4524" s="22"/>
    </row>
    <row r="4525" spans="1:24" s="1" customFormat="1" ht="14.1" customHeight="1" x14ac:dyDescent="0.3">
      <c r="A4525" s="23" t="s">
        <v>3029</v>
      </c>
      <c r="B4525" s="23" t="s">
        <v>572</v>
      </c>
      <c r="C4525" s="12" t="s">
        <v>4581</v>
      </c>
      <c r="D4525" s="84"/>
      <c r="E4525" s="69" t="str">
        <f t="shared" si="231"/>
        <v>Еще фото</v>
      </c>
      <c r="F4525" s="13"/>
      <c r="G4525" s="23" t="s">
        <v>574</v>
      </c>
      <c r="H4525" s="23" t="s">
        <v>27</v>
      </c>
      <c r="I4525" s="23" t="s">
        <v>569</v>
      </c>
      <c r="J4525" s="14" t="s">
        <v>29</v>
      </c>
      <c r="K4525" s="15" t="s">
        <v>30</v>
      </c>
      <c r="L4525" s="87"/>
      <c r="M4525" s="14"/>
      <c r="N4525" s="14" t="s">
        <v>154</v>
      </c>
      <c r="O4525" s="14"/>
      <c r="P4525" s="15" t="s">
        <v>3040</v>
      </c>
      <c r="Q4525" s="16">
        <v>3399</v>
      </c>
      <c r="R4525" s="17">
        <v>45</v>
      </c>
      <c r="S4525" s="18">
        <v>2149.8674999999998</v>
      </c>
      <c r="T4525" s="19" t="s">
        <v>117</v>
      </c>
      <c r="U4525" s="20" t="s">
        <v>43</v>
      </c>
      <c r="V4525" s="21">
        <v>110</v>
      </c>
      <c r="W4525" s="21">
        <v>3</v>
      </c>
      <c r="X4525" s="22"/>
    </row>
    <row r="4526" spans="1:24" s="1" customFormat="1" ht="14.1" customHeight="1" x14ac:dyDescent="0.3">
      <c r="A4526" s="23" t="s">
        <v>3029</v>
      </c>
      <c r="B4526" s="23" t="s">
        <v>572</v>
      </c>
      <c r="C4526" s="12" t="s">
        <v>4581</v>
      </c>
      <c r="D4526" s="84"/>
      <c r="E4526" s="69" t="str">
        <f t="shared" si="231"/>
        <v>Еще фото</v>
      </c>
      <c r="F4526" s="13"/>
      <c r="G4526" s="23" t="s">
        <v>574</v>
      </c>
      <c r="H4526" s="23" t="s">
        <v>27</v>
      </c>
      <c r="I4526" s="23" t="s">
        <v>569</v>
      </c>
      <c r="J4526" s="14" t="s">
        <v>29</v>
      </c>
      <c r="K4526" s="15" t="s">
        <v>30</v>
      </c>
      <c r="L4526" s="87"/>
      <c r="M4526" s="14"/>
      <c r="N4526" s="14" t="s">
        <v>154</v>
      </c>
      <c r="O4526" s="14"/>
      <c r="P4526" s="15" t="s">
        <v>3040</v>
      </c>
      <c r="Q4526" s="16">
        <v>3399</v>
      </c>
      <c r="R4526" s="17">
        <v>45</v>
      </c>
      <c r="S4526" s="18">
        <v>2149.8674999999998</v>
      </c>
      <c r="T4526" s="19" t="s">
        <v>117</v>
      </c>
      <c r="U4526" s="20" t="s">
        <v>35</v>
      </c>
      <c r="V4526" s="21">
        <v>116</v>
      </c>
      <c r="W4526" s="21">
        <v>2</v>
      </c>
      <c r="X4526" s="22"/>
    </row>
    <row r="4527" spans="1:24" s="1" customFormat="1" ht="14.1" customHeight="1" x14ac:dyDescent="0.3">
      <c r="A4527" s="23" t="s">
        <v>3029</v>
      </c>
      <c r="B4527" s="23" t="s">
        <v>572</v>
      </c>
      <c r="C4527" s="12" t="s">
        <v>4581</v>
      </c>
      <c r="D4527" s="84"/>
      <c r="E4527" s="69" t="str">
        <f t="shared" si="231"/>
        <v>Еще фото</v>
      </c>
      <c r="F4527" s="13"/>
      <c r="G4527" s="23" t="s">
        <v>574</v>
      </c>
      <c r="H4527" s="23" t="s">
        <v>27</v>
      </c>
      <c r="I4527" s="23" t="s">
        <v>569</v>
      </c>
      <c r="J4527" s="14" t="s">
        <v>29</v>
      </c>
      <c r="K4527" s="15" t="s">
        <v>30</v>
      </c>
      <c r="L4527" s="87"/>
      <c r="M4527" s="14"/>
      <c r="N4527" s="14" t="s">
        <v>154</v>
      </c>
      <c r="O4527" s="14"/>
      <c r="P4527" s="15" t="s">
        <v>3040</v>
      </c>
      <c r="Q4527" s="16">
        <v>3399</v>
      </c>
      <c r="R4527" s="17">
        <v>45</v>
      </c>
      <c r="S4527" s="18">
        <v>2149.8674999999998</v>
      </c>
      <c r="T4527" s="19" t="s">
        <v>117</v>
      </c>
      <c r="U4527" s="20" t="s">
        <v>37</v>
      </c>
      <c r="V4527" s="21">
        <v>128</v>
      </c>
      <c r="W4527" s="21">
        <v>2</v>
      </c>
      <c r="X4527" s="22"/>
    </row>
    <row r="4528" spans="1:24" s="1" customFormat="1" ht="17.100000000000001" customHeight="1" x14ac:dyDescent="0.3">
      <c r="A4528" s="23" t="s">
        <v>3029</v>
      </c>
      <c r="B4528" s="23" t="s">
        <v>572</v>
      </c>
      <c r="C4528" s="12" t="s">
        <v>4581</v>
      </c>
      <c r="D4528" s="85"/>
      <c r="E4528" s="69" t="str">
        <f t="shared" si="231"/>
        <v>Еще фото</v>
      </c>
      <c r="F4528" s="13"/>
      <c r="G4528" s="23" t="s">
        <v>574</v>
      </c>
      <c r="H4528" s="23" t="s">
        <v>27</v>
      </c>
      <c r="I4528" s="23" t="s">
        <v>569</v>
      </c>
      <c r="J4528" s="14" t="s">
        <v>29</v>
      </c>
      <c r="K4528" s="15" t="s">
        <v>30</v>
      </c>
      <c r="L4528" s="88"/>
      <c r="M4528" s="14"/>
      <c r="N4528" s="14" t="s">
        <v>154</v>
      </c>
      <c r="O4528" s="14"/>
      <c r="P4528" s="15" t="s">
        <v>3040</v>
      </c>
      <c r="Q4528" s="16">
        <v>3399</v>
      </c>
      <c r="R4528" s="17">
        <v>45</v>
      </c>
      <c r="S4528" s="18">
        <v>2149.8674999999998</v>
      </c>
      <c r="T4528" s="19" t="s">
        <v>117</v>
      </c>
      <c r="U4528" s="20" t="s">
        <v>91</v>
      </c>
      <c r="V4528" s="21">
        <v>134</v>
      </c>
      <c r="W4528" s="21">
        <v>2</v>
      </c>
      <c r="X4528" s="22"/>
    </row>
    <row r="4529" spans="1:24" s="1" customFormat="1" ht="17.100000000000001" customHeight="1" x14ac:dyDescent="0.3">
      <c r="A4529" s="11" t="s">
        <v>3029</v>
      </c>
      <c r="B4529" s="11" t="s">
        <v>572</v>
      </c>
      <c r="C4529" s="12" t="s">
        <v>4583</v>
      </c>
      <c r="D4529" s="83"/>
      <c r="E4529" s="69" t="str">
        <f t="shared" ref="E4529:E4534" si="232">HYPERLINK("https://www.google.ru/search?q=123421-4900&amp;newwindow=1&amp;tbm=isch","Еще фото")</f>
        <v>Еще фото</v>
      </c>
      <c r="F4529" s="13"/>
      <c r="G4529" s="11" t="s">
        <v>574</v>
      </c>
      <c r="H4529" s="11" t="s">
        <v>27</v>
      </c>
      <c r="I4529" s="14" t="s">
        <v>569</v>
      </c>
      <c r="J4529" s="14" t="s">
        <v>29</v>
      </c>
      <c r="K4529" s="15" t="s">
        <v>30</v>
      </c>
      <c r="L4529" s="86" t="s">
        <v>4584</v>
      </c>
      <c r="M4529" s="14"/>
      <c r="N4529" s="14" t="s">
        <v>275</v>
      </c>
      <c r="O4529" s="14"/>
      <c r="P4529" s="15" t="s">
        <v>3040</v>
      </c>
      <c r="Q4529" s="16">
        <v>3399</v>
      </c>
      <c r="R4529" s="17">
        <v>45</v>
      </c>
      <c r="S4529" s="18">
        <v>2149.8674999999998</v>
      </c>
      <c r="T4529" s="19" t="s">
        <v>117</v>
      </c>
      <c r="U4529" s="20" t="s">
        <v>94</v>
      </c>
      <c r="V4529" s="21">
        <v>104</v>
      </c>
      <c r="W4529" s="21">
        <v>3</v>
      </c>
      <c r="X4529" s="22"/>
    </row>
    <row r="4530" spans="1:24" s="1" customFormat="1" ht="17.100000000000001" customHeight="1" x14ac:dyDescent="0.3">
      <c r="A4530" s="23" t="s">
        <v>3029</v>
      </c>
      <c r="B4530" s="23" t="s">
        <v>572</v>
      </c>
      <c r="C4530" s="12" t="s">
        <v>4583</v>
      </c>
      <c r="D4530" s="84"/>
      <c r="E4530" s="69" t="str">
        <f t="shared" si="232"/>
        <v>Еще фото</v>
      </c>
      <c r="F4530" s="13"/>
      <c r="G4530" s="23" t="s">
        <v>574</v>
      </c>
      <c r="H4530" s="23" t="s">
        <v>27</v>
      </c>
      <c r="I4530" s="23" t="s">
        <v>569</v>
      </c>
      <c r="J4530" s="14" t="s">
        <v>29</v>
      </c>
      <c r="K4530" s="15" t="s">
        <v>30</v>
      </c>
      <c r="L4530" s="87"/>
      <c r="M4530" s="14"/>
      <c r="N4530" s="14" t="s">
        <v>275</v>
      </c>
      <c r="O4530" s="14"/>
      <c r="P4530" s="15" t="s">
        <v>3040</v>
      </c>
      <c r="Q4530" s="16">
        <v>3399</v>
      </c>
      <c r="R4530" s="17">
        <v>45</v>
      </c>
      <c r="S4530" s="18">
        <v>2149.8674999999998</v>
      </c>
      <c r="T4530" s="19" t="s">
        <v>117</v>
      </c>
      <c r="U4530" s="20" t="s">
        <v>43</v>
      </c>
      <c r="V4530" s="21">
        <v>110</v>
      </c>
      <c r="W4530" s="21">
        <v>2</v>
      </c>
      <c r="X4530" s="22"/>
    </row>
    <row r="4531" spans="1:24" s="1" customFormat="1" ht="17.100000000000001" customHeight="1" x14ac:dyDescent="0.3">
      <c r="A4531" s="23" t="s">
        <v>3029</v>
      </c>
      <c r="B4531" s="23" t="s">
        <v>572</v>
      </c>
      <c r="C4531" s="12" t="s">
        <v>4583</v>
      </c>
      <c r="D4531" s="84"/>
      <c r="E4531" s="69" t="str">
        <f t="shared" si="232"/>
        <v>Еще фото</v>
      </c>
      <c r="F4531" s="13"/>
      <c r="G4531" s="23" t="s">
        <v>574</v>
      </c>
      <c r="H4531" s="23" t="s">
        <v>27</v>
      </c>
      <c r="I4531" s="23" t="s">
        <v>569</v>
      </c>
      <c r="J4531" s="14" t="s">
        <v>29</v>
      </c>
      <c r="K4531" s="15" t="s">
        <v>30</v>
      </c>
      <c r="L4531" s="87"/>
      <c r="M4531" s="14"/>
      <c r="N4531" s="14" t="s">
        <v>275</v>
      </c>
      <c r="O4531" s="14"/>
      <c r="P4531" s="15" t="s">
        <v>3040</v>
      </c>
      <c r="Q4531" s="16">
        <v>3399</v>
      </c>
      <c r="R4531" s="17">
        <v>45</v>
      </c>
      <c r="S4531" s="18">
        <v>2149.8674999999998</v>
      </c>
      <c r="T4531" s="19" t="s">
        <v>117</v>
      </c>
      <c r="U4531" s="20" t="s">
        <v>35</v>
      </c>
      <c r="V4531" s="21">
        <v>116</v>
      </c>
      <c r="W4531" s="21">
        <v>3</v>
      </c>
      <c r="X4531" s="22"/>
    </row>
    <row r="4532" spans="1:24" s="1" customFormat="1" ht="17.100000000000001" customHeight="1" x14ac:dyDescent="0.3">
      <c r="A4532" s="23" t="s">
        <v>3029</v>
      </c>
      <c r="B4532" s="23" t="s">
        <v>572</v>
      </c>
      <c r="C4532" s="12" t="s">
        <v>4583</v>
      </c>
      <c r="D4532" s="84"/>
      <c r="E4532" s="69" t="str">
        <f t="shared" si="232"/>
        <v>Еще фото</v>
      </c>
      <c r="F4532" s="13"/>
      <c r="G4532" s="23" t="s">
        <v>574</v>
      </c>
      <c r="H4532" s="23" t="s">
        <v>27</v>
      </c>
      <c r="I4532" s="23" t="s">
        <v>569</v>
      </c>
      <c r="J4532" s="14" t="s">
        <v>29</v>
      </c>
      <c r="K4532" s="15" t="s">
        <v>30</v>
      </c>
      <c r="L4532" s="87"/>
      <c r="M4532" s="14"/>
      <c r="N4532" s="14" t="s">
        <v>275</v>
      </c>
      <c r="O4532" s="14"/>
      <c r="P4532" s="15" t="s">
        <v>3040</v>
      </c>
      <c r="Q4532" s="16">
        <v>3399</v>
      </c>
      <c r="R4532" s="17">
        <v>45</v>
      </c>
      <c r="S4532" s="18">
        <v>2149.8674999999998</v>
      </c>
      <c r="T4532" s="19" t="s">
        <v>117</v>
      </c>
      <c r="U4532" s="20" t="s">
        <v>36</v>
      </c>
      <c r="V4532" s="21">
        <v>122</v>
      </c>
      <c r="W4532" s="21">
        <v>1</v>
      </c>
      <c r="X4532" s="22"/>
    </row>
    <row r="4533" spans="1:24" s="1" customFormat="1" ht="17.100000000000001" customHeight="1" x14ac:dyDescent="0.3">
      <c r="A4533" s="23" t="s">
        <v>3029</v>
      </c>
      <c r="B4533" s="23" t="s">
        <v>572</v>
      </c>
      <c r="C4533" s="12" t="s">
        <v>4583</v>
      </c>
      <c r="D4533" s="84"/>
      <c r="E4533" s="69" t="str">
        <f t="shared" si="232"/>
        <v>Еще фото</v>
      </c>
      <c r="F4533" s="13"/>
      <c r="G4533" s="23" t="s">
        <v>574</v>
      </c>
      <c r="H4533" s="23" t="s">
        <v>27</v>
      </c>
      <c r="I4533" s="23" t="s">
        <v>569</v>
      </c>
      <c r="J4533" s="14" t="s">
        <v>29</v>
      </c>
      <c r="K4533" s="15" t="s">
        <v>30</v>
      </c>
      <c r="L4533" s="87"/>
      <c r="M4533" s="14"/>
      <c r="N4533" s="14" t="s">
        <v>275</v>
      </c>
      <c r="O4533" s="14"/>
      <c r="P4533" s="15" t="s">
        <v>3040</v>
      </c>
      <c r="Q4533" s="16">
        <v>3399</v>
      </c>
      <c r="R4533" s="17">
        <v>45</v>
      </c>
      <c r="S4533" s="18">
        <v>2149.8674999999998</v>
      </c>
      <c r="T4533" s="19" t="s">
        <v>117</v>
      </c>
      <c r="U4533" s="20" t="s">
        <v>37</v>
      </c>
      <c r="V4533" s="21">
        <v>128</v>
      </c>
      <c r="W4533" s="21">
        <v>3</v>
      </c>
      <c r="X4533" s="22"/>
    </row>
    <row r="4534" spans="1:24" s="1" customFormat="1" ht="21.95" customHeight="1" x14ac:dyDescent="0.3">
      <c r="A4534" s="23" t="s">
        <v>3029</v>
      </c>
      <c r="B4534" s="23" t="s">
        <v>572</v>
      </c>
      <c r="C4534" s="12" t="s">
        <v>4583</v>
      </c>
      <c r="D4534" s="85"/>
      <c r="E4534" s="69" t="str">
        <f t="shared" si="232"/>
        <v>Еще фото</v>
      </c>
      <c r="F4534" s="13"/>
      <c r="G4534" s="23" t="s">
        <v>574</v>
      </c>
      <c r="H4534" s="23" t="s">
        <v>27</v>
      </c>
      <c r="I4534" s="23" t="s">
        <v>569</v>
      </c>
      <c r="J4534" s="14" t="s">
        <v>29</v>
      </c>
      <c r="K4534" s="15" t="s">
        <v>30</v>
      </c>
      <c r="L4534" s="88"/>
      <c r="M4534" s="14"/>
      <c r="N4534" s="14" t="s">
        <v>275</v>
      </c>
      <c r="O4534" s="14"/>
      <c r="P4534" s="15" t="s">
        <v>3040</v>
      </c>
      <c r="Q4534" s="16">
        <v>3399</v>
      </c>
      <c r="R4534" s="17">
        <v>45</v>
      </c>
      <c r="S4534" s="18">
        <v>2149.8674999999998</v>
      </c>
      <c r="T4534" s="19" t="s">
        <v>117</v>
      </c>
      <c r="U4534" s="20" t="s">
        <v>290</v>
      </c>
      <c r="V4534" s="21">
        <v>140</v>
      </c>
      <c r="W4534" s="21">
        <v>1</v>
      </c>
      <c r="X4534" s="22"/>
    </row>
    <row r="4535" spans="1:24" s="1" customFormat="1" ht="14.1" customHeight="1" x14ac:dyDescent="0.3">
      <c r="A4535" s="11" t="s">
        <v>3029</v>
      </c>
      <c r="B4535" s="11" t="s">
        <v>572</v>
      </c>
      <c r="C4535" s="12" t="s">
        <v>4585</v>
      </c>
      <c r="D4535" s="83"/>
      <c r="E4535" s="69" t="str">
        <f t="shared" ref="E4535:E4541" si="233">HYPERLINK("https://www.google.ru/search?q=123421-5523&amp;newwindow=1&amp;tbm=isch","Еще фото")</f>
        <v>Еще фото</v>
      </c>
      <c r="F4535" s="13"/>
      <c r="G4535" s="11" t="s">
        <v>574</v>
      </c>
      <c r="H4535" s="11" t="s">
        <v>27</v>
      </c>
      <c r="I4535" s="14" t="s">
        <v>569</v>
      </c>
      <c r="J4535" s="14" t="s">
        <v>29</v>
      </c>
      <c r="K4535" s="15" t="s">
        <v>30</v>
      </c>
      <c r="L4535" s="86" t="s">
        <v>4584</v>
      </c>
      <c r="M4535" s="14"/>
      <c r="N4535" s="14" t="s">
        <v>275</v>
      </c>
      <c r="O4535" s="14"/>
      <c r="P4535" s="15" t="s">
        <v>3040</v>
      </c>
      <c r="Q4535" s="16">
        <v>3399</v>
      </c>
      <c r="R4535" s="17">
        <v>45</v>
      </c>
      <c r="S4535" s="18">
        <v>2149.8674999999998</v>
      </c>
      <c r="T4535" s="19" t="s">
        <v>117</v>
      </c>
      <c r="U4535" s="20" t="s">
        <v>196</v>
      </c>
      <c r="V4535" s="21">
        <v>86</v>
      </c>
      <c r="W4535" s="21">
        <v>2</v>
      </c>
      <c r="X4535" s="22"/>
    </row>
    <row r="4536" spans="1:24" s="1" customFormat="1" ht="14.1" customHeight="1" x14ac:dyDescent="0.3">
      <c r="A4536" s="23" t="s">
        <v>3029</v>
      </c>
      <c r="B4536" s="23" t="s">
        <v>572</v>
      </c>
      <c r="C4536" s="12" t="s">
        <v>4585</v>
      </c>
      <c r="D4536" s="84"/>
      <c r="E4536" s="69" t="str">
        <f t="shared" si="233"/>
        <v>Еще фото</v>
      </c>
      <c r="F4536" s="13"/>
      <c r="G4536" s="23" t="s">
        <v>574</v>
      </c>
      <c r="H4536" s="23" t="s">
        <v>27</v>
      </c>
      <c r="I4536" s="23" t="s">
        <v>569</v>
      </c>
      <c r="J4536" s="14" t="s">
        <v>29</v>
      </c>
      <c r="K4536" s="15" t="s">
        <v>30</v>
      </c>
      <c r="L4536" s="87"/>
      <c r="M4536" s="14"/>
      <c r="N4536" s="14" t="s">
        <v>275</v>
      </c>
      <c r="O4536" s="14"/>
      <c r="P4536" s="15" t="s">
        <v>3040</v>
      </c>
      <c r="Q4536" s="16">
        <v>3399</v>
      </c>
      <c r="R4536" s="17">
        <v>45</v>
      </c>
      <c r="S4536" s="18">
        <v>2149.8674999999998</v>
      </c>
      <c r="T4536" s="19" t="s">
        <v>117</v>
      </c>
      <c r="U4536" s="20" t="s">
        <v>77</v>
      </c>
      <c r="V4536" s="21">
        <v>92</v>
      </c>
      <c r="W4536" s="21">
        <v>1</v>
      </c>
      <c r="X4536" s="22"/>
    </row>
    <row r="4537" spans="1:24" s="1" customFormat="1" ht="14.1" customHeight="1" x14ac:dyDescent="0.3">
      <c r="A4537" s="23" t="s">
        <v>3029</v>
      </c>
      <c r="B4537" s="23" t="s">
        <v>572</v>
      </c>
      <c r="C4537" s="12" t="s">
        <v>4585</v>
      </c>
      <c r="D4537" s="84"/>
      <c r="E4537" s="69" t="str">
        <f t="shared" si="233"/>
        <v>Еще фото</v>
      </c>
      <c r="F4537" s="13"/>
      <c r="G4537" s="23" t="s">
        <v>574</v>
      </c>
      <c r="H4537" s="23" t="s">
        <v>27</v>
      </c>
      <c r="I4537" s="23" t="s">
        <v>569</v>
      </c>
      <c r="J4537" s="14" t="s">
        <v>29</v>
      </c>
      <c r="K4537" s="15" t="s">
        <v>30</v>
      </c>
      <c r="L4537" s="87"/>
      <c r="M4537" s="14"/>
      <c r="N4537" s="14" t="s">
        <v>275</v>
      </c>
      <c r="O4537" s="14"/>
      <c r="P4537" s="15" t="s">
        <v>3040</v>
      </c>
      <c r="Q4537" s="16">
        <v>3399</v>
      </c>
      <c r="R4537" s="17">
        <v>45</v>
      </c>
      <c r="S4537" s="18">
        <v>2149.8674999999998</v>
      </c>
      <c r="T4537" s="19" t="s">
        <v>117</v>
      </c>
      <c r="U4537" s="20" t="s">
        <v>43</v>
      </c>
      <c r="V4537" s="21">
        <v>110</v>
      </c>
      <c r="W4537" s="21">
        <v>3</v>
      </c>
      <c r="X4537" s="22"/>
    </row>
    <row r="4538" spans="1:24" s="1" customFormat="1" ht="14.1" customHeight="1" x14ac:dyDescent="0.3">
      <c r="A4538" s="23" t="s">
        <v>3029</v>
      </c>
      <c r="B4538" s="23" t="s">
        <v>572</v>
      </c>
      <c r="C4538" s="12" t="s">
        <v>4585</v>
      </c>
      <c r="D4538" s="84"/>
      <c r="E4538" s="69" t="str">
        <f t="shared" si="233"/>
        <v>Еще фото</v>
      </c>
      <c r="F4538" s="13"/>
      <c r="G4538" s="23" t="s">
        <v>574</v>
      </c>
      <c r="H4538" s="23" t="s">
        <v>27</v>
      </c>
      <c r="I4538" s="23" t="s">
        <v>569</v>
      </c>
      <c r="J4538" s="14" t="s">
        <v>29</v>
      </c>
      <c r="K4538" s="15" t="s">
        <v>30</v>
      </c>
      <c r="L4538" s="87"/>
      <c r="M4538" s="14"/>
      <c r="N4538" s="14" t="s">
        <v>275</v>
      </c>
      <c r="O4538" s="14"/>
      <c r="P4538" s="15" t="s">
        <v>3040</v>
      </c>
      <c r="Q4538" s="16">
        <v>3399</v>
      </c>
      <c r="R4538" s="17">
        <v>45</v>
      </c>
      <c r="S4538" s="18">
        <v>2149.8674999999998</v>
      </c>
      <c r="T4538" s="19" t="s">
        <v>117</v>
      </c>
      <c r="U4538" s="20" t="s">
        <v>37</v>
      </c>
      <c r="V4538" s="21">
        <v>128</v>
      </c>
      <c r="W4538" s="21">
        <v>4</v>
      </c>
      <c r="X4538" s="22"/>
    </row>
    <row r="4539" spans="1:24" s="1" customFormat="1" ht="14.1" customHeight="1" x14ac:dyDescent="0.3">
      <c r="A4539" s="23" t="s">
        <v>3029</v>
      </c>
      <c r="B4539" s="23" t="s">
        <v>572</v>
      </c>
      <c r="C4539" s="12" t="s">
        <v>4585</v>
      </c>
      <c r="D4539" s="84"/>
      <c r="E4539" s="69" t="str">
        <f t="shared" si="233"/>
        <v>Еще фото</v>
      </c>
      <c r="F4539" s="13"/>
      <c r="G4539" s="23" t="s">
        <v>574</v>
      </c>
      <c r="H4539" s="23" t="s">
        <v>27</v>
      </c>
      <c r="I4539" s="23" t="s">
        <v>569</v>
      </c>
      <c r="J4539" s="14" t="s">
        <v>29</v>
      </c>
      <c r="K4539" s="15" t="s">
        <v>30</v>
      </c>
      <c r="L4539" s="87"/>
      <c r="M4539" s="14"/>
      <c r="N4539" s="14" t="s">
        <v>275</v>
      </c>
      <c r="O4539" s="14"/>
      <c r="P4539" s="15" t="s">
        <v>3040</v>
      </c>
      <c r="Q4539" s="16">
        <v>3399</v>
      </c>
      <c r="R4539" s="17">
        <v>45</v>
      </c>
      <c r="S4539" s="18">
        <v>2149.8674999999998</v>
      </c>
      <c r="T4539" s="19" t="s">
        <v>117</v>
      </c>
      <c r="U4539" s="20" t="s">
        <v>91</v>
      </c>
      <c r="V4539" s="21">
        <v>134</v>
      </c>
      <c r="W4539" s="21">
        <v>3</v>
      </c>
      <c r="X4539" s="22"/>
    </row>
    <row r="4540" spans="1:24" s="1" customFormat="1" ht="14.1" customHeight="1" x14ac:dyDescent="0.3">
      <c r="A4540" s="23" t="s">
        <v>3029</v>
      </c>
      <c r="B4540" s="23" t="s">
        <v>572</v>
      </c>
      <c r="C4540" s="12" t="s">
        <v>4585</v>
      </c>
      <c r="D4540" s="84"/>
      <c r="E4540" s="69" t="str">
        <f t="shared" si="233"/>
        <v>Еще фото</v>
      </c>
      <c r="F4540" s="13"/>
      <c r="G4540" s="23" t="s">
        <v>574</v>
      </c>
      <c r="H4540" s="23" t="s">
        <v>27</v>
      </c>
      <c r="I4540" s="23" t="s">
        <v>569</v>
      </c>
      <c r="J4540" s="14" t="s">
        <v>29</v>
      </c>
      <c r="K4540" s="15" t="s">
        <v>30</v>
      </c>
      <c r="L4540" s="87"/>
      <c r="M4540" s="14"/>
      <c r="N4540" s="14" t="s">
        <v>275</v>
      </c>
      <c r="O4540" s="14"/>
      <c r="P4540" s="15" t="s">
        <v>3040</v>
      </c>
      <c r="Q4540" s="16">
        <v>3399</v>
      </c>
      <c r="R4540" s="17">
        <v>45</v>
      </c>
      <c r="S4540" s="18">
        <v>2149.8674999999998</v>
      </c>
      <c r="T4540" s="19" t="s">
        <v>117</v>
      </c>
      <c r="U4540" s="20" t="s">
        <v>290</v>
      </c>
      <c r="V4540" s="21">
        <v>140</v>
      </c>
      <c r="W4540" s="21">
        <v>4</v>
      </c>
      <c r="X4540" s="22"/>
    </row>
    <row r="4541" spans="1:24" s="1" customFormat="1" ht="17.100000000000001" customHeight="1" x14ac:dyDescent="0.3">
      <c r="A4541" s="23" t="s">
        <v>3029</v>
      </c>
      <c r="B4541" s="23" t="s">
        <v>572</v>
      </c>
      <c r="C4541" s="12" t="s">
        <v>4585</v>
      </c>
      <c r="D4541" s="85"/>
      <c r="E4541" s="69" t="str">
        <f t="shared" si="233"/>
        <v>Еще фото</v>
      </c>
      <c r="F4541" s="13"/>
      <c r="G4541" s="23" t="s">
        <v>574</v>
      </c>
      <c r="H4541" s="23" t="s">
        <v>27</v>
      </c>
      <c r="I4541" s="23" t="s">
        <v>569</v>
      </c>
      <c r="J4541" s="14" t="s">
        <v>29</v>
      </c>
      <c r="K4541" s="15" t="s">
        <v>30</v>
      </c>
      <c r="L4541" s="88"/>
      <c r="M4541" s="14"/>
      <c r="N4541" s="14" t="s">
        <v>275</v>
      </c>
      <c r="O4541" s="14"/>
      <c r="P4541" s="15" t="s">
        <v>3040</v>
      </c>
      <c r="Q4541" s="16">
        <v>3399</v>
      </c>
      <c r="R4541" s="17">
        <v>45</v>
      </c>
      <c r="S4541" s="18">
        <v>2149.8674999999998</v>
      </c>
      <c r="T4541" s="19" t="s">
        <v>117</v>
      </c>
      <c r="U4541" s="20" t="s">
        <v>2160</v>
      </c>
      <c r="V4541" s="21">
        <v>152</v>
      </c>
      <c r="W4541" s="21">
        <v>2</v>
      </c>
      <c r="X4541" s="22"/>
    </row>
    <row r="4542" spans="1:24" s="1" customFormat="1" ht="21" customHeight="1" x14ac:dyDescent="0.3">
      <c r="A4542" s="11" t="s">
        <v>3029</v>
      </c>
      <c r="B4542" s="11" t="s">
        <v>4560</v>
      </c>
      <c r="C4542" s="27" t="s">
        <v>4586</v>
      </c>
      <c r="D4542" s="83"/>
      <c r="E4542" s="69" t="str">
        <f>HYPERLINK("https://www.google.ru/search?q=123422-2315&amp;newwindow=1&amp;tbm=isch","Еще фото")</f>
        <v>Еще фото</v>
      </c>
      <c r="F4542" s="13"/>
      <c r="G4542" s="11" t="s">
        <v>4539</v>
      </c>
      <c r="H4542" s="11" t="s">
        <v>27</v>
      </c>
      <c r="I4542" s="14" t="s">
        <v>569</v>
      </c>
      <c r="J4542" s="14" t="s">
        <v>29</v>
      </c>
      <c r="K4542" s="15" t="s">
        <v>30</v>
      </c>
      <c r="L4542" s="86" t="s">
        <v>4587</v>
      </c>
      <c r="M4542" s="14"/>
      <c r="N4542" s="14" t="s">
        <v>154</v>
      </c>
      <c r="O4542" s="14"/>
      <c r="P4542" s="15" t="s">
        <v>4588</v>
      </c>
      <c r="Q4542" s="16">
        <v>3999</v>
      </c>
      <c r="R4542" s="17">
        <v>45</v>
      </c>
      <c r="S4542" s="18">
        <v>2529.3674999999994</v>
      </c>
      <c r="T4542" s="19" t="s">
        <v>117</v>
      </c>
      <c r="U4542" s="20" t="s">
        <v>94</v>
      </c>
      <c r="V4542" s="21">
        <v>104</v>
      </c>
      <c r="W4542" s="21">
        <v>2</v>
      </c>
      <c r="X4542" s="22"/>
    </row>
    <row r="4543" spans="1:24" s="1" customFormat="1" ht="21" customHeight="1" x14ac:dyDescent="0.3">
      <c r="A4543" s="23" t="s">
        <v>3029</v>
      </c>
      <c r="B4543" s="23" t="s">
        <v>4560</v>
      </c>
      <c r="C4543" s="28" t="s">
        <v>4586</v>
      </c>
      <c r="D4543" s="84"/>
      <c r="E4543" s="69" t="str">
        <f>HYPERLINK("https://www.google.ru/search?q=123422-2315&amp;newwindow=1&amp;tbm=isch","Еще фото")</f>
        <v>Еще фото</v>
      </c>
      <c r="F4543" s="13"/>
      <c r="G4543" s="23" t="s">
        <v>4539</v>
      </c>
      <c r="H4543" s="23" t="s">
        <v>27</v>
      </c>
      <c r="I4543" s="23" t="s">
        <v>569</v>
      </c>
      <c r="J4543" s="14" t="s">
        <v>29</v>
      </c>
      <c r="K4543" s="15" t="s">
        <v>30</v>
      </c>
      <c r="L4543" s="87"/>
      <c r="M4543" s="14"/>
      <c r="N4543" s="14" t="s">
        <v>154</v>
      </c>
      <c r="O4543" s="14"/>
      <c r="P4543" s="15" t="s">
        <v>4588</v>
      </c>
      <c r="Q4543" s="16">
        <v>3999</v>
      </c>
      <c r="R4543" s="17">
        <v>45</v>
      </c>
      <c r="S4543" s="18">
        <v>2529.3674999999994</v>
      </c>
      <c r="T4543" s="19" t="s">
        <v>117</v>
      </c>
      <c r="U4543" s="20" t="s">
        <v>43</v>
      </c>
      <c r="V4543" s="21">
        <v>110</v>
      </c>
      <c r="W4543" s="21">
        <v>2</v>
      </c>
      <c r="X4543" s="22"/>
    </row>
    <row r="4544" spans="1:24" s="1" customFormat="1" ht="21" customHeight="1" x14ac:dyDescent="0.3">
      <c r="A4544" s="23" t="s">
        <v>3029</v>
      </c>
      <c r="B4544" s="23" t="s">
        <v>4560</v>
      </c>
      <c r="C4544" s="28" t="s">
        <v>4586</v>
      </c>
      <c r="D4544" s="84"/>
      <c r="E4544" s="69" t="str">
        <f>HYPERLINK("https://www.google.ru/search?q=123422-2315&amp;newwindow=1&amp;tbm=isch","Еще фото")</f>
        <v>Еще фото</v>
      </c>
      <c r="F4544" s="13"/>
      <c r="G4544" s="23" t="s">
        <v>4539</v>
      </c>
      <c r="H4544" s="23" t="s">
        <v>27</v>
      </c>
      <c r="I4544" s="23" t="s">
        <v>569</v>
      </c>
      <c r="J4544" s="14" t="s">
        <v>29</v>
      </c>
      <c r="K4544" s="15" t="s">
        <v>30</v>
      </c>
      <c r="L4544" s="87"/>
      <c r="M4544" s="14"/>
      <c r="N4544" s="14" t="s">
        <v>154</v>
      </c>
      <c r="O4544" s="14"/>
      <c r="P4544" s="15" t="s">
        <v>4588</v>
      </c>
      <c r="Q4544" s="16">
        <v>3999</v>
      </c>
      <c r="R4544" s="17">
        <v>45</v>
      </c>
      <c r="S4544" s="18">
        <v>2529.3674999999994</v>
      </c>
      <c r="T4544" s="19" t="s">
        <v>117</v>
      </c>
      <c r="U4544" s="20" t="s">
        <v>35</v>
      </c>
      <c r="V4544" s="21">
        <v>116</v>
      </c>
      <c r="W4544" s="21">
        <v>2</v>
      </c>
      <c r="X4544" s="22"/>
    </row>
    <row r="4545" spans="1:24" s="1" customFormat="1" ht="21" customHeight="1" x14ac:dyDescent="0.3">
      <c r="A4545" s="23" t="s">
        <v>3029</v>
      </c>
      <c r="B4545" s="23" t="s">
        <v>4560</v>
      </c>
      <c r="C4545" s="28" t="s">
        <v>4586</v>
      </c>
      <c r="D4545" s="84"/>
      <c r="E4545" s="69" t="str">
        <f>HYPERLINK("https://www.google.ru/search?q=123422-2315&amp;newwindow=1&amp;tbm=isch","Еще фото")</f>
        <v>Еще фото</v>
      </c>
      <c r="F4545" s="13"/>
      <c r="G4545" s="23" t="s">
        <v>4539</v>
      </c>
      <c r="H4545" s="23" t="s">
        <v>27</v>
      </c>
      <c r="I4545" s="23" t="s">
        <v>569</v>
      </c>
      <c r="J4545" s="14" t="s">
        <v>29</v>
      </c>
      <c r="K4545" s="15" t="s">
        <v>30</v>
      </c>
      <c r="L4545" s="87"/>
      <c r="M4545" s="14"/>
      <c r="N4545" s="14" t="s">
        <v>154</v>
      </c>
      <c r="O4545" s="14"/>
      <c r="P4545" s="15" t="s">
        <v>4588</v>
      </c>
      <c r="Q4545" s="16">
        <v>3999</v>
      </c>
      <c r="R4545" s="17">
        <v>45</v>
      </c>
      <c r="S4545" s="18">
        <v>2529.3674999999994</v>
      </c>
      <c r="T4545" s="19" t="s">
        <v>117</v>
      </c>
      <c r="U4545" s="20" t="s">
        <v>36</v>
      </c>
      <c r="V4545" s="21">
        <v>122</v>
      </c>
      <c r="W4545" s="21">
        <v>4</v>
      </c>
      <c r="X4545" s="22"/>
    </row>
    <row r="4546" spans="1:24" s="1" customFormat="1" ht="32.1" customHeight="1" x14ac:dyDescent="0.3">
      <c r="A4546" s="23" t="s">
        <v>3029</v>
      </c>
      <c r="B4546" s="23" t="s">
        <v>4560</v>
      </c>
      <c r="C4546" s="28" t="s">
        <v>4586</v>
      </c>
      <c r="D4546" s="85"/>
      <c r="E4546" s="69" t="str">
        <f>HYPERLINK("https://www.google.ru/search?q=123422-2315&amp;newwindow=1&amp;tbm=isch","Еще фото")</f>
        <v>Еще фото</v>
      </c>
      <c r="F4546" s="13"/>
      <c r="G4546" s="23" t="s">
        <v>4539</v>
      </c>
      <c r="H4546" s="23" t="s">
        <v>27</v>
      </c>
      <c r="I4546" s="23" t="s">
        <v>569</v>
      </c>
      <c r="J4546" s="14" t="s">
        <v>29</v>
      </c>
      <c r="K4546" s="15" t="s">
        <v>30</v>
      </c>
      <c r="L4546" s="88"/>
      <c r="M4546" s="14"/>
      <c r="N4546" s="14" t="s">
        <v>154</v>
      </c>
      <c r="O4546" s="14"/>
      <c r="P4546" s="15" t="s">
        <v>4588</v>
      </c>
      <c r="Q4546" s="16">
        <v>3999</v>
      </c>
      <c r="R4546" s="17">
        <v>45</v>
      </c>
      <c r="S4546" s="18">
        <v>2529.3674999999994</v>
      </c>
      <c r="T4546" s="19" t="s">
        <v>117</v>
      </c>
      <c r="U4546" s="20" t="s">
        <v>37</v>
      </c>
      <c r="V4546" s="21">
        <v>128</v>
      </c>
      <c r="W4546" s="21">
        <v>1</v>
      </c>
      <c r="X4546" s="22"/>
    </row>
    <row r="4547" spans="1:24" s="1" customFormat="1" ht="14.1" customHeight="1" x14ac:dyDescent="0.3">
      <c r="A4547" s="11" t="s">
        <v>3029</v>
      </c>
      <c r="B4547" s="11" t="s">
        <v>4560</v>
      </c>
      <c r="C4547" s="12" t="s">
        <v>4589</v>
      </c>
      <c r="D4547" s="83"/>
      <c r="E4547" s="69" t="str">
        <f t="shared" ref="E4547:E4553" si="234">HYPERLINK("https://www.google.ru/search?q=123423-5314&amp;newwindow=1&amp;tbm=isch","Еще фото")</f>
        <v>Еще фото</v>
      </c>
      <c r="F4547" s="13"/>
      <c r="G4547" s="11" t="s">
        <v>4539</v>
      </c>
      <c r="H4547" s="11" t="s">
        <v>27</v>
      </c>
      <c r="I4547" s="14" t="s">
        <v>569</v>
      </c>
      <c r="J4547" s="14" t="s">
        <v>29</v>
      </c>
      <c r="K4547" s="15" t="s">
        <v>30</v>
      </c>
      <c r="L4547" s="86" t="s">
        <v>4590</v>
      </c>
      <c r="M4547" s="14"/>
      <c r="N4547" s="14" t="s">
        <v>154</v>
      </c>
      <c r="O4547" s="14"/>
      <c r="P4547" s="15" t="s">
        <v>4294</v>
      </c>
      <c r="Q4547" s="16">
        <v>3999</v>
      </c>
      <c r="R4547" s="17">
        <v>45</v>
      </c>
      <c r="S4547" s="18">
        <v>2529.3674999999994</v>
      </c>
      <c r="T4547" s="19" t="s">
        <v>117</v>
      </c>
      <c r="U4547" s="20" t="s">
        <v>43</v>
      </c>
      <c r="V4547" s="21">
        <v>110</v>
      </c>
      <c r="W4547" s="21">
        <v>2</v>
      </c>
      <c r="X4547" s="22"/>
    </row>
    <row r="4548" spans="1:24" s="1" customFormat="1" ht="14.1" customHeight="1" x14ac:dyDescent="0.3">
      <c r="A4548" s="23" t="s">
        <v>3029</v>
      </c>
      <c r="B4548" s="23" t="s">
        <v>4560</v>
      </c>
      <c r="C4548" s="12" t="s">
        <v>4589</v>
      </c>
      <c r="D4548" s="84"/>
      <c r="E4548" s="69" t="str">
        <f t="shared" si="234"/>
        <v>Еще фото</v>
      </c>
      <c r="F4548" s="13"/>
      <c r="G4548" s="23" t="s">
        <v>4539</v>
      </c>
      <c r="H4548" s="23" t="s">
        <v>27</v>
      </c>
      <c r="I4548" s="23" t="s">
        <v>569</v>
      </c>
      <c r="J4548" s="14" t="s">
        <v>29</v>
      </c>
      <c r="K4548" s="15" t="s">
        <v>30</v>
      </c>
      <c r="L4548" s="87"/>
      <c r="M4548" s="14"/>
      <c r="N4548" s="14" t="s">
        <v>154</v>
      </c>
      <c r="O4548" s="14"/>
      <c r="P4548" s="15" t="s">
        <v>4294</v>
      </c>
      <c r="Q4548" s="16">
        <v>3999</v>
      </c>
      <c r="R4548" s="17">
        <v>45</v>
      </c>
      <c r="S4548" s="18">
        <v>2529.3674999999994</v>
      </c>
      <c r="T4548" s="19" t="s">
        <v>117</v>
      </c>
      <c r="U4548" s="20" t="s">
        <v>35</v>
      </c>
      <c r="V4548" s="21">
        <v>116</v>
      </c>
      <c r="W4548" s="21">
        <v>2</v>
      </c>
      <c r="X4548" s="22"/>
    </row>
    <row r="4549" spans="1:24" s="1" customFormat="1" ht="14.1" customHeight="1" x14ac:dyDescent="0.3">
      <c r="A4549" s="23" t="s">
        <v>3029</v>
      </c>
      <c r="B4549" s="23" t="s">
        <v>4560</v>
      </c>
      <c r="C4549" s="12" t="s">
        <v>4589</v>
      </c>
      <c r="D4549" s="84"/>
      <c r="E4549" s="69" t="str">
        <f t="shared" si="234"/>
        <v>Еще фото</v>
      </c>
      <c r="F4549" s="13"/>
      <c r="G4549" s="23" t="s">
        <v>4539</v>
      </c>
      <c r="H4549" s="23" t="s">
        <v>27</v>
      </c>
      <c r="I4549" s="23" t="s">
        <v>569</v>
      </c>
      <c r="J4549" s="14" t="s">
        <v>29</v>
      </c>
      <c r="K4549" s="15" t="s">
        <v>30</v>
      </c>
      <c r="L4549" s="87"/>
      <c r="M4549" s="14"/>
      <c r="N4549" s="14" t="s">
        <v>154</v>
      </c>
      <c r="O4549" s="14"/>
      <c r="P4549" s="15" t="s">
        <v>4294</v>
      </c>
      <c r="Q4549" s="16">
        <v>3999</v>
      </c>
      <c r="R4549" s="17">
        <v>45</v>
      </c>
      <c r="S4549" s="18">
        <v>2529.3674999999994</v>
      </c>
      <c r="T4549" s="19" t="s">
        <v>117</v>
      </c>
      <c r="U4549" s="20" t="s">
        <v>36</v>
      </c>
      <c r="V4549" s="21">
        <v>122</v>
      </c>
      <c r="W4549" s="21">
        <v>4</v>
      </c>
      <c r="X4549" s="22"/>
    </row>
    <row r="4550" spans="1:24" s="1" customFormat="1" ht="14.1" customHeight="1" x14ac:dyDescent="0.3">
      <c r="A4550" s="23" t="s">
        <v>3029</v>
      </c>
      <c r="B4550" s="23" t="s">
        <v>4560</v>
      </c>
      <c r="C4550" s="12" t="s">
        <v>4589</v>
      </c>
      <c r="D4550" s="84"/>
      <c r="E4550" s="69" t="str">
        <f t="shared" si="234"/>
        <v>Еще фото</v>
      </c>
      <c r="F4550" s="13"/>
      <c r="G4550" s="23" t="s">
        <v>4539</v>
      </c>
      <c r="H4550" s="23" t="s">
        <v>27</v>
      </c>
      <c r="I4550" s="23" t="s">
        <v>569</v>
      </c>
      <c r="J4550" s="14" t="s">
        <v>29</v>
      </c>
      <c r="K4550" s="15" t="s">
        <v>30</v>
      </c>
      <c r="L4550" s="87"/>
      <c r="M4550" s="14"/>
      <c r="N4550" s="14" t="s">
        <v>154</v>
      </c>
      <c r="O4550" s="14"/>
      <c r="P4550" s="15" t="s">
        <v>4294</v>
      </c>
      <c r="Q4550" s="16">
        <v>3999</v>
      </c>
      <c r="R4550" s="17">
        <v>45</v>
      </c>
      <c r="S4550" s="18">
        <v>2529.3674999999994</v>
      </c>
      <c r="T4550" s="19" t="s">
        <v>117</v>
      </c>
      <c r="U4550" s="20" t="s">
        <v>37</v>
      </c>
      <c r="V4550" s="21">
        <v>128</v>
      </c>
      <c r="W4550" s="21">
        <v>3</v>
      </c>
      <c r="X4550" s="22"/>
    </row>
    <row r="4551" spans="1:24" s="1" customFormat="1" ht="14.1" customHeight="1" x14ac:dyDescent="0.3">
      <c r="A4551" s="23" t="s">
        <v>3029</v>
      </c>
      <c r="B4551" s="23" t="s">
        <v>4560</v>
      </c>
      <c r="C4551" s="12" t="s">
        <v>4589</v>
      </c>
      <c r="D4551" s="84"/>
      <c r="E4551" s="69" t="str">
        <f t="shared" si="234"/>
        <v>Еще фото</v>
      </c>
      <c r="F4551" s="13"/>
      <c r="G4551" s="23" t="s">
        <v>4539</v>
      </c>
      <c r="H4551" s="23" t="s">
        <v>27</v>
      </c>
      <c r="I4551" s="23" t="s">
        <v>569</v>
      </c>
      <c r="J4551" s="14" t="s">
        <v>29</v>
      </c>
      <c r="K4551" s="15" t="s">
        <v>30</v>
      </c>
      <c r="L4551" s="87"/>
      <c r="M4551" s="14"/>
      <c r="N4551" s="14" t="s">
        <v>154</v>
      </c>
      <c r="O4551" s="14"/>
      <c r="P4551" s="15" t="s">
        <v>4294</v>
      </c>
      <c r="Q4551" s="16">
        <v>3999</v>
      </c>
      <c r="R4551" s="17">
        <v>45</v>
      </c>
      <c r="S4551" s="18">
        <v>2529.3674999999994</v>
      </c>
      <c r="T4551" s="19" t="s">
        <v>117</v>
      </c>
      <c r="U4551" s="20" t="s">
        <v>91</v>
      </c>
      <c r="V4551" s="21">
        <v>134</v>
      </c>
      <c r="W4551" s="21">
        <v>2</v>
      </c>
      <c r="X4551" s="22"/>
    </row>
    <row r="4552" spans="1:24" s="1" customFormat="1" ht="14.1" customHeight="1" x14ac:dyDescent="0.3">
      <c r="A4552" s="23" t="s">
        <v>3029</v>
      </c>
      <c r="B4552" s="23" t="s">
        <v>4560</v>
      </c>
      <c r="C4552" s="12" t="s">
        <v>4589</v>
      </c>
      <c r="D4552" s="84"/>
      <c r="E4552" s="69" t="str">
        <f t="shared" si="234"/>
        <v>Еще фото</v>
      </c>
      <c r="F4552" s="13"/>
      <c r="G4552" s="23" t="s">
        <v>4539</v>
      </c>
      <c r="H4552" s="23" t="s">
        <v>27</v>
      </c>
      <c r="I4552" s="23" t="s">
        <v>569</v>
      </c>
      <c r="J4552" s="14" t="s">
        <v>29</v>
      </c>
      <c r="K4552" s="15" t="s">
        <v>30</v>
      </c>
      <c r="L4552" s="87"/>
      <c r="M4552" s="14"/>
      <c r="N4552" s="14" t="s">
        <v>154</v>
      </c>
      <c r="O4552" s="14"/>
      <c r="P4552" s="15" t="s">
        <v>4294</v>
      </c>
      <c r="Q4552" s="16">
        <v>3999</v>
      </c>
      <c r="R4552" s="17">
        <v>45</v>
      </c>
      <c r="S4552" s="18">
        <v>2529.3674999999994</v>
      </c>
      <c r="T4552" s="19" t="s">
        <v>117</v>
      </c>
      <c r="U4552" s="20" t="s">
        <v>290</v>
      </c>
      <c r="V4552" s="21">
        <v>140</v>
      </c>
      <c r="W4552" s="21">
        <v>1</v>
      </c>
      <c r="X4552" s="22"/>
    </row>
    <row r="4553" spans="1:24" s="1" customFormat="1" ht="17.100000000000001" customHeight="1" x14ac:dyDescent="0.3">
      <c r="A4553" s="23" t="s">
        <v>3029</v>
      </c>
      <c r="B4553" s="23" t="s">
        <v>4560</v>
      </c>
      <c r="C4553" s="12" t="s">
        <v>4589</v>
      </c>
      <c r="D4553" s="85"/>
      <c r="E4553" s="69" t="str">
        <f t="shared" si="234"/>
        <v>Еще фото</v>
      </c>
      <c r="F4553" s="13"/>
      <c r="G4553" s="23" t="s">
        <v>4539</v>
      </c>
      <c r="H4553" s="23" t="s">
        <v>27</v>
      </c>
      <c r="I4553" s="23" t="s">
        <v>569</v>
      </c>
      <c r="J4553" s="14" t="s">
        <v>29</v>
      </c>
      <c r="K4553" s="15" t="s">
        <v>30</v>
      </c>
      <c r="L4553" s="88"/>
      <c r="M4553" s="14"/>
      <c r="N4553" s="14" t="s">
        <v>154</v>
      </c>
      <c r="O4553" s="14"/>
      <c r="P4553" s="15" t="s">
        <v>4294</v>
      </c>
      <c r="Q4553" s="16">
        <v>3999</v>
      </c>
      <c r="R4553" s="17">
        <v>45</v>
      </c>
      <c r="S4553" s="18">
        <v>2529.3674999999994</v>
      </c>
      <c r="T4553" s="19" t="s">
        <v>117</v>
      </c>
      <c r="U4553" s="20" t="s">
        <v>2160</v>
      </c>
      <c r="V4553" s="21">
        <v>152</v>
      </c>
      <c r="W4553" s="21">
        <v>2</v>
      </c>
      <c r="X4553" s="22"/>
    </row>
    <row r="4554" spans="1:24" s="1" customFormat="1" ht="51.95" customHeight="1" x14ac:dyDescent="0.3">
      <c r="A4554" s="11" t="s">
        <v>3029</v>
      </c>
      <c r="B4554" s="11" t="s">
        <v>305</v>
      </c>
      <c r="C4554" s="12" t="s">
        <v>4591</v>
      </c>
      <c r="D4554" s="89"/>
      <c r="E4554" s="69" t="str">
        <f>HYPERLINK("https://www.google.ru/search?q=123435-7337&amp;newwindow=1&amp;tbm=isch","Еще фото")</f>
        <v>Еще фото</v>
      </c>
      <c r="F4554" s="13"/>
      <c r="G4554" s="11" t="s">
        <v>4592</v>
      </c>
      <c r="H4554" s="11" t="s">
        <v>27</v>
      </c>
      <c r="I4554" s="14" t="s">
        <v>569</v>
      </c>
      <c r="J4554" s="14" t="s">
        <v>29</v>
      </c>
      <c r="K4554" s="15" t="s">
        <v>30</v>
      </c>
      <c r="L4554" s="86" t="s">
        <v>4593</v>
      </c>
      <c r="M4554" s="14"/>
      <c r="N4554" s="14" t="s">
        <v>70</v>
      </c>
      <c r="O4554" s="14"/>
      <c r="P4554" s="15" t="s">
        <v>3174</v>
      </c>
      <c r="Q4554" s="16">
        <v>4299</v>
      </c>
      <c r="R4554" s="17">
        <v>45</v>
      </c>
      <c r="S4554" s="18">
        <v>2719.1174999999994</v>
      </c>
      <c r="T4554" s="19" t="s">
        <v>117</v>
      </c>
      <c r="U4554" s="20" t="s">
        <v>43</v>
      </c>
      <c r="V4554" s="21">
        <v>110</v>
      </c>
      <c r="W4554" s="21">
        <v>3</v>
      </c>
      <c r="X4554" s="22"/>
    </row>
    <row r="4555" spans="1:24" s="1" customFormat="1" ht="60.95" customHeight="1" x14ac:dyDescent="0.3">
      <c r="A4555" s="23" t="s">
        <v>3029</v>
      </c>
      <c r="B4555" s="23" t="s">
        <v>305</v>
      </c>
      <c r="C4555" s="12" t="s">
        <v>4591</v>
      </c>
      <c r="D4555" s="90"/>
      <c r="E4555" s="69" t="str">
        <f>HYPERLINK("https://www.google.ru/search?q=123435-7337&amp;newwindow=1&amp;tbm=isch","Еще фото")</f>
        <v>Еще фото</v>
      </c>
      <c r="F4555" s="13"/>
      <c r="G4555" s="23" t="s">
        <v>4592</v>
      </c>
      <c r="H4555" s="23" t="s">
        <v>27</v>
      </c>
      <c r="I4555" s="23" t="s">
        <v>569</v>
      </c>
      <c r="J4555" s="14" t="s">
        <v>29</v>
      </c>
      <c r="K4555" s="15" t="s">
        <v>30</v>
      </c>
      <c r="L4555" s="88"/>
      <c r="M4555" s="14"/>
      <c r="N4555" s="14" t="s">
        <v>70</v>
      </c>
      <c r="O4555" s="14"/>
      <c r="P4555" s="15" t="s">
        <v>3174</v>
      </c>
      <c r="Q4555" s="16">
        <v>4299</v>
      </c>
      <c r="R4555" s="17">
        <v>45</v>
      </c>
      <c r="S4555" s="18">
        <v>2719.1174999999994</v>
      </c>
      <c r="T4555" s="19" t="s">
        <v>117</v>
      </c>
      <c r="U4555" s="20" t="s">
        <v>35</v>
      </c>
      <c r="V4555" s="21">
        <v>116</v>
      </c>
      <c r="W4555" s="21">
        <v>3</v>
      </c>
      <c r="X4555" s="22"/>
    </row>
    <row r="4556" spans="1:24" s="1" customFormat="1" ht="21" customHeight="1" x14ac:dyDescent="0.3">
      <c r="A4556" s="11" t="s">
        <v>3029</v>
      </c>
      <c r="B4556" s="11" t="s">
        <v>572</v>
      </c>
      <c r="C4556" s="27" t="s">
        <v>4594</v>
      </c>
      <c r="D4556" s="83"/>
      <c r="E4556" s="69" t="str">
        <f>HYPERLINK("https://www.google.ru/search?q=133391-8404&amp;newwindow=1&amp;tbm=isch","Еще фото")</f>
        <v>Еще фото</v>
      </c>
      <c r="F4556" s="13"/>
      <c r="G4556" s="11" t="s">
        <v>574</v>
      </c>
      <c r="H4556" s="11" t="s">
        <v>27</v>
      </c>
      <c r="I4556" s="14" t="s">
        <v>569</v>
      </c>
      <c r="J4556" s="14" t="s">
        <v>29</v>
      </c>
      <c r="K4556" s="15" t="s">
        <v>30</v>
      </c>
      <c r="L4556" s="86" t="s">
        <v>4595</v>
      </c>
      <c r="M4556" s="14"/>
      <c r="N4556" s="14" t="s">
        <v>41</v>
      </c>
      <c r="O4556" s="14"/>
      <c r="P4556" s="15" t="s">
        <v>3040</v>
      </c>
      <c r="Q4556" s="16">
        <v>3399</v>
      </c>
      <c r="R4556" s="17">
        <v>45</v>
      </c>
      <c r="S4556" s="18">
        <v>2149.8674999999998</v>
      </c>
      <c r="T4556" s="19" t="s">
        <v>117</v>
      </c>
      <c r="U4556" s="20" t="s">
        <v>196</v>
      </c>
      <c r="V4556" s="21">
        <v>86</v>
      </c>
      <c r="W4556" s="21">
        <v>1</v>
      </c>
      <c r="X4556" s="22"/>
    </row>
    <row r="4557" spans="1:24" s="1" customFormat="1" ht="21" customHeight="1" x14ac:dyDescent="0.3">
      <c r="A4557" s="23" t="s">
        <v>3029</v>
      </c>
      <c r="B4557" s="23" t="s">
        <v>572</v>
      </c>
      <c r="C4557" s="28" t="s">
        <v>4594</v>
      </c>
      <c r="D4557" s="84"/>
      <c r="E4557" s="69" t="str">
        <f>HYPERLINK("https://www.google.ru/search?q=133391-8404&amp;newwindow=1&amp;tbm=isch","Еще фото")</f>
        <v>Еще фото</v>
      </c>
      <c r="F4557" s="13"/>
      <c r="G4557" s="23" t="s">
        <v>574</v>
      </c>
      <c r="H4557" s="23" t="s">
        <v>27</v>
      </c>
      <c r="I4557" s="23" t="s">
        <v>569</v>
      </c>
      <c r="J4557" s="14" t="s">
        <v>29</v>
      </c>
      <c r="K4557" s="15" t="s">
        <v>30</v>
      </c>
      <c r="L4557" s="87"/>
      <c r="M4557" s="14"/>
      <c r="N4557" s="14" t="s">
        <v>41</v>
      </c>
      <c r="O4557" s="14"/>
      <c r="P4557" s="15" t="s">
        <v>3040</v>
      </c>
      <c r="Q4557" s="16">
        <v>3399</v>
      </c>
      <c r="R4557" s="17">
        <v>45</v>
      </c>
      <c r="S4557" s="18">
        <v>2149.8674999999998</v>
      </c>
      <c r="T4557" s="19" t="s">
        <v>117</v>
      </c>
      <c r="U4557" s="20" t="s">
        <v>77</v>
      </c>
      <c r="V4557" s="21">
        <v>92</v>
      </c>
      <c r="W4557" s="21">
        <v>2</v>
      </c>
      <c r="X4557" s="22"/>
    </row>
    <row r="4558" spans="1:24" s="1" customFormat="1" ht="21" customHeight="1" x14ac:dyDescent="0.3">
      <c r="A4558" s="23" t="s">
        <v>3029</v>
      </c>
      <c r="B4558" s="23" t="s">
        <v>572</v>
      </c>
      <c r="C4558" s="28" t="s">
        <v>4594</v>
      </c>
      <c r="D4558" s="84"/>
      <c r="E4558" s="69" t="str">
        <f>HYPERLINK("https://www.google.ru/search?q=133391-8404&amp;newwindow=1&amp;tbm=isch","Еще фото")</f>
        <v>Еще фото</v>
      </c>
      <c r="F4558" s="13"/>
      <c r="G4558" s="23" t="s">
        <v>574</v>
      </c>
      <c r="H4558" s="23" t="s">
        <v>27</v>
      </c>
      <c r="I4558" s="23" t="s">
        <v>569</v>
      </c>
      <c r="J4558" s="14" t="s">
        <v>29</v>
      </c>
      <c r="K4558" s="15" t="s">
        <v>30</v>
      </c>
      <c r="L4558" s="87"/>
      <c r="M4558" s="14"/>
      <c r="N4558" s="14" t="s">
        <v>41</v>
      </c>
      <c r="O4558" s="14"/>
      <c r="P4558" s="15" t="s">
        <v>3040</v>
      </c>
      <c r="Q4558" s="16">
        <v>3399</v>
      </c>
      <c r="R4558" s="17">
        <v>45</v>
      </c>
      <c r="S4558" s="18">
        <v>2149.8674999999998</v>
      </c>
      <c r="T4558" s="19" t="s">
        <v>117</v>
      </c>
      <c r="U4558" s="20" t="s">
        <v>94</v>
      </c>
      <c r="V4558" s="21">
        <v>104</v>
      </c>
      <c r="W4558" s="21">
        <v>4</v>
      </c>
      <c r="X4558" s="22"/>
    </row>
    <row r="4559" spans="1:24" s="1" customFormat="1" ht="21" customHeight="1" x14ac:dyDescent="0.3">
      <c r="A4559" s="23" t="s">
        <v>3029</v>
      </c>
      <c r="B4559" s="23" t="s">
        <v>572</v>
      </c>
      <c r="C4559" s="28" t="s">
        <v>4594</v>
      </c>
      <c r="D4559" s="84"/>
      <c r="E4559" s="69" t="str">
        <f>HYPERLINK("https://www.google.ru/search?q=133391-8404&amp;newwindow=1&amp;tbm=isch","Еще фото")</f>
        <v>Еще фото</v>
      </c>
      <c r="F4559" s="13"/>
      <c r="G4559" s="23" t="s">
        <v>574</v>
      </c>
      <c r="H4559" s="23" t="s">
        <v>27</v>
      </c>
      <c r="I4559" s="23" t="s">
        <v>569</v>
      </c>
      <c r="J4559" s="14" t="s">
        <v>29</v>
      </c>
      <c r="K4559" s="15" t="s">
        <v>30</v>
      </c>
      <c r="L4559" s="87"/>
      <c r="M4559" s="14"/>
      <c r="N4559" s="14" t="s">
        <v>41</v>
      </c>
      <c r="O4559" s="14"/>
      <c r="P4559" s="15" t="s">
        <v>3040</v>
      </c>
      <c r="Q4559" s="16">
        <v>3399</v>
      </c>
      <c r="R4559" s="17">
        <v>45</v>
      </c>
      <c r="S4559" s="18">
        <v>2149.8674999999998</v>
      </c>
      <c r="T4559" s="19" t="s">
        <v>117</v>
      </c>
      <c r="U4559" s="20" t="s">
        <v>35</v>
      </c>
      <c r="V4559" s="21">
        <v>116</v>
      </c>
      <c r="W4559" s="21">
        <v>1</v>
      </c>
      <c r="X4559" s="22"/>
    </row>
    <row r="4560" spans="1:24" s="1" customFormat="1" ht="32.1" customHeight="1" x14ac:dyDescent="0.3">
      <c r="A4560" s="23" t="s">
        <v>3029</v>
      </c>
      <c r="B4560" s="23" t="s">
        <v>572</v>
      </c>
      <c r="C4560" s="28" t="s">
        <v>4594</v>
      </c>
      <c r="D4560" s="85"/>
      <c r="E4560" s="69" t="str">
        <f>HYPERLINK("https://www.google.ru/search?q=133391-8404&amp;newwindow=1&amp;tbm=isch","Еще фото")</f>
        <v>Еще фото</v>
      </c>
      <c r="F4560" s="13"/>
      <c r="G4560" s="23" t="s">
        <v>574</v>
      </c>
      <c r="H4560" s="23" t="s">
        <v>27</v>
      </c>
      <c r="I4560" s="23" t="s">
        <v>569</v>
      </c>
      <c r="J4560" s="14" t="s">
        <v>29</v>
      </c>
      <c r="K4560" s="15" t="s">
        <v>30</v>
      </c>
      <c r="L4560" s="88"/>
      <c r="M4560" s="14"/>
      <c r="N4560" s="14" t="s">
        <v>41</v>
      </c>
      <c r="O4560" s="14"/>
      <c r="P4560" s="15" t="s">
        <v>3040</v>
      </c>
      <c r="Q4560" s="16">
        <v>3399</v>
      </c>
      <c r="R4560" s="17">
        <v>45</v>
      </c>
      <c r="S4560" s="18">
        <v>2149.8674999999998</v>
      </c>
      <c r="T4560" s="19" t="s">
        <v>117</v>
      </c>
      <c r="U4560" s="20" t="s">
        <v>37</v>
      </c>
      <c r="V4560" s="21">
        <v>128</v>
      </c>
      <c r="W4560" s="21">
        <v>1</v>
      </c>
      <c r="X4560" s="22"/>
    </row>
    <row r="4561" spans="1:24" s="1" customFormat="1" ht="11.1" customHeight="1" x14ac:dyDescent="0.3">
      <c r="A4561" s="11" t="s">
        <v>3029</v>
      </c>
      <c r="B4561" s="11" t="s">
        <v>572</v>
      </c>
      <c r="C4561" s="12" t="s">
        <v>4596</v>
      </c>
      <c r="D4561" s="83"/>
      <c r="E4561" s="69" t="str">
        <f t="shared" ref="E4561:E4570" si="235">HYPERLINK("https://www.google.ru/search?q=133392-8404&amp;newwindow=1&amp;tbm=isch","Еще фото")</f>
        <v>Еще фото</v>
      </c>
      <c r="F4561" s="13"/>
      <c r="G4561" s="11" t="s">
        <v>574</v>
      </c>
      <c r="H4561" s="11" t="s">
        <v>27</v>
      </c>
      <c r="I4561" s="14" t="s">
        <v>569</v>
      </c>
      <c r="J4561" s="14" t="s">
        <v>29</v>
      </c>
      <c r="K4561" s="15" t="s">
        <v>30</v>
      </c>
      <c r="L4561" s="86" t="s">
        <v>4597</v>
      </c>
      <c r="M4561" s="14"/>
      <c r="N4561" s="14" t="s">
        <v>41</v>
      </c>
      <c r="O4561" s="14"/>
      <c r="P4561" s="15" t="s">
        <v>3040</v>
      </c>
      <c r="Q4561" s="16">
        <v>3099</v>
      </c>
      <c r="R4561" s="17">
        <v>45</v>
      </c>
      <c r="S4561" s="18">
        <v>1960.1174999999998</v>
      </c>
      <c r="T4561" s="19" t="s">
        <v>117</v>
      </c>
      <c r="U4561" s="20" t="s">
        <v>196</v>
      </c>
      <c r="V4561" s="21">
        <v>86</v>
      </c>
      <c r="W4561" s="21">
        <v>2</v>
      </c>
      <c r="X4561" s="22"/>
    </row>
    <row r="4562" spans="1:24" s="1" customFormat="1" ht="11.1" customHeight="1" x14ac:dyDescent="0.3">
      <c r="A4562" s="23" t="s">
        <v>3029</v>
      </c>
      <c r="B4562" s="23" t="s">
        <v>572</v>
      </c>
      <c r="C4562" s="12" t="s">
        <v>4596</v>
      </c>
      <c r="D4562" s="84"/>
      <c r="E4562" s="69" t="str">
        <f t="shared" si="235"/>
        <v>Еще фото</v>
      </c>
      <c r="F4562" s="13"/>
      <c r="G4562" s="23" t="s">
        <v>574</v>
      </c>
      <c r="H4562" s="23" t="s">
        <v>27</v>
      </c>
      <c r="I4562" s="23" t="s">
        <v>569</v>
      </c>
      <c r="J4562" s="14" t="s">
        <v>29</v>
      </c>
      <c r="K4562" s="15" t="s">
        <v>30</v>
      </c>
      <c r="L4562" s="87"/>
      <c r="M4562" s="14"/>
      <c r="N4562" s="14" t="s">
        <v>41</v>
      </c>
      <c r="O4562" s="14"/>
      <c r="P4562" s="15" t="s">
        <v>3040</v>
      </c>
      <c r="Q4562" s="16">
        <v>3099</v>
      </c>
      <c r="R4562" s="17">
        <v>45</v>
      </c>
      <c r="S4562" s="18">
        <v>1960.1174999999998</v>
      </c>
      <c r="T4562" s="19" t="s">
        <v>117</v>
      </c>
      <c r="U4562" s="20" t="s">
        <v>77</v>
      </c>
      <c r="V4562" s="21">
        <v>92</v>
      </c>
      <c r="W4562" s="21">
        <v>2</v>
      </c>
      <c r="X4562" s="22"/>
    </row>
    <row r="4563" spans="1:24" s="1" customFormat="1" ht="11.1" customHeight="1" x14ac:dyDescent="0.3">
      <c r="A4563" s="23" t="s">
        <v>3029</v>
      </c>
      <c r="B4563" s="23" t="s">
        <v>572</v>
      </c>
      <c r="C4563" s="12" t="s">
        <v>4596</v>
      </c>
      <c r="D4563" s="84"/>
      <c r="E4563" s="69" t="str">
        <f t="shared" si="235"/>
        <v>Еще фото</v>
      </c>
      <c r="F4563" s="13"/>
      <c r="G4563" s="23" t="s">
        <v>574</v>
      </c>
      <c r="H4563" s="23" t="s">
        <v>27</v>
      </c>
      <c r="I4563" s="23" t="s">
        <v>569</v>
      </c>
      <c r="J4563" s="14" t="s">
        <v>29</v>
      </c>
      <c r="K4563" s="15" t="s">
        <v>30</v>
      </c>
      <c r="L4563" s="87"/>
      <c r="M4563" s="14"/>
      <c r="N4563" s="14" t="s">
        <v>41</v>
      </c>
      <c r="O4563" s="14"/>
      <c r="P4563" s="15" t="s">
        <v>3040</v>
      </c>
      <c r="Q4563" s="16">
        <v>3099</v>
      </c>
      <c r="R4563" s="17">
        <v>45</v>
      </c>
      <c r="S4563" s="18">
        <v>1960.1174999999998</v>
      </c>
      <c r="T4563" s="19" t="s">
        <v>117</v>
      </c>
      <c r="U4563" s="20" t="s">
        <v>78</v>
      </c>
      <c r="V4563" s="21">
        <v>98</v>
      </c>
      <c r="W4563" s="21">
        <v>2</v>
      </c>
      <c r="X4563" s="22"/>
    </row>
    <row r="4564" spans="1:24" s="1" customFormat="1" ht="11.1" customHeight="1" x14ac:dyDescent="0.3">
      <c r="A4564" s="23" t="s">
        <v>3029</v>
      </c>
      <c r="B4564" s="23" t="s">
        <v>572</v>
      </c>
      <c r="C4564" s="12" t="s">
        <v>4596</v>
      </c>
      <c r="D4564" s="84"/>
      <c r="E4564" s="69" t="str">
        <f t="shared" si="235"/>
        <v>Еще фото</v>
      </c>
      <c r="F4564" s="13"/>
      <c r="G4564" s="23" t="s">
        <v>574</v>
      </c>
      <c r="H4564" s="23" t="s">
        <v>27</v>
      </c>
      <c r="I4564" s="23" t="s">
        <v>569</v>
      </c>
      <c r="J4564" s="14" t="s">
        <v>29</v>
      </c>
      <c r="K4564" s="15" t="s">
        <v>30</v>
      </c>
      <c r="L4564" s="87"/>
      <c r="M4564" s="14"/>
      <c r="N4564" s="14" t="s">
        <v>41</v>
      </c>
      <c r="O4564" s="14"/>
      <c r="P4564" s="15" t="s">
        <v>3040</v>
      </c>
      <c r="Q4564" s="16">
        <v>3099</v>
      </c>
      <c r="R4564" s="17">
        <v>45</v>
      </c>
      <c r="S4564" s="18">
        <v>1960.1174999999998</v>
      </c>
      <c r="T4564" s="19" t="s">
        <v>117</v>
      </c>
      <c r="U4564" s="20" t="s">
        <v>94</v>
      </c>
      <c r="V4564" s="21">
        <v>104</v>
      </c>
      <c r="W4564" s="21">
        <v>3</v>
      </c>
      <c r="X4564" s="22"/>
    </row>
    <row r="4565" spans="1:24" s="1" customFormat="1" ht="11.1" customHeight="1" x14ac:dyDescent="0.3">
      <c r="A4565" s="23" t="s">
        <v>3029</v>
      </c>
      <c r="B4565" s="23" t="s">
        <v>572</v>
      </c>
      <c r="C4565" s="12" t="s">
        <v>4596</v>
      </c>
      <c r="D4565" s="84"/>
      <c r="E4565" s="69" t="str">
        <f t="shared" si="235"/>
        <v>Еще фото</v>
      </c>
      <c r="F4565" s="13"/>
      <c r="G4565" s="23" t="s">
        <v>574</v>
      </c>
      <c r="H4565" s="23" t="s">
        <v>27</v>
      </c>
      <c r="I4565" s="23" t="s">
        <v>569</v>
      </c>
      <c r="J4565" s="14" t="s">
        <v>29</v>
      </c>
      <c r="K4565" s="15" t="s">
        <v>30</v>
      </c>
      <c r="L4565" s="87"/>
      <c r="M4565" s="14"/>
      <c r="N4565" s="14" t="s">
        <v>41</v>
      </c>
      <c r="O4565" s="14"/>
      <c r="P4565" s="15" t="s">
        <v>3040</v>
      </c>
      <c r="Q4565" s="16">
        <v>3099</v>
      </c>
      <c r="R4565" s="17">
        <v>45</v>
      </c>
      <c r="S4565" s="18">
        <v>1960.1174999999998</v>
      </c>
      <c r="T4565" s="19" t="s">
        <v>117</v>
      </c>
      <c r="U4565" s="20" t="s">
        <v>43</v>
      </c>
      <c r="V4565" s="21">
        <v>110</v>
      </c>
      <c r="W4565" s="21">
        <v>4</v>
      </c>
      <c r="X4565" s="22"/>
    </row>
    <row r="4566" spans="1:24" s="1" customFormat="1" ht="11.1" customHeight="1" x14ac:dyDescent="0.3">
      <c r="A4566" s="23" t="s">
        <v>3029</v>
      </c>
      <c r="B4566" s="23" t="s">
        <v>572</v>
      </c>
      <c r="C4566" s="12" t="s">
        <v>4596</v>
      </c>
      <c r="D4566" s="84"/>
      <c r="E4566" s="69" t="str">
        <f t="shared" si="235"/>
        <v>Еще фото</v>
      </c>
      <c r="F4566" s="13"/>
      <c r="G4566" s="23" t="s">
        <v>574</v>
      </c>
      <c r="H4566" s="23" t="s">
        <v>27</v>
      </c>
      <c r="I4566" s="23" t="s">
        <v>569</v>
      </c>
      <c r="J4566" s="14" t="s">
        <v>29</v>
      </c>
      <c r="K4566" s="15" t="s">
        <v>30</v>
      </c>
      <c r="L4566" s="87"/>
      <c r="M4566" s="14"/>
      <c r="N4566" s="14" t="s">
        <v>41</v>
      </c>
      <c r="O4566" s="14"/>
      <c r="P4566" s="15" t="s">
        <v>3040</v>
      </c>
      <c r="Q4566" s="16">
        <v>3099</v>
      </c>
      <c r="R4566" s="17">
        <v>45</v>
      </c>
      <c r="S4566" s="18">
        <v>1960.1174999999998</v>
      </c>
      <c r="T4566" s="19" t="s">
        <v>117</v>
      </c>
      <c r="U4566" s="20" t="s">
        <v>35</v>
      </c>
      <c r="V4566" s="21">
        <v>116</v>
      </c>
      <c r="W4566" s="21">
        <v>4</v>
      </c>
      <c r="X4566" s="22"/>
    </row>
    <row r="4567" spans="1:24" s="1" customFormat="1" ht="11.1" customHeight="1" x14ac:dyDescent="0.3">
      <c r="A4567" s="23" t="s">
        <v>3029</v>
      </c>
      <c r="B4567" s="23" t="s">
        <v>572</v>
      </c>
      <c r="C4567" s="12" t="s">
        <v>4596</v>
      </c>
      <c r="D4567" s="84"/>
      <c r="E4567" s="69" t="str">
        <f t="shared" si="235"/>
        <v>Еще фото</v>
      </c>
      <c r="F4567" s="13"/>
      <c r="G4567" s="23" t="s">
        <v>574</v>
      </c>
      <c r="H4567" s="23" t="s">
        <v>27</v>
      </c>
      <c r="I4567" s="23" t="s">
        <v>569</v>
      </c>
      <c r="J4567" s="14" t="s">
        <v>29</v>
      </c>
      <c r="K4567" s="15" t="s">
        <v>30</v>
      </c>
      <c r="L4567" s="87"/>
      <c r="M4567" s="14"/>
      <c r="N4567" s="14" t="s">
        <v>41</v>
      </c>
      <c r="O4567" s="14"/>
      <c r="P4567" s="15" t="s">
        <v>3040</v>
      </c>
      <c r="Q4567" s="16">
        <v>3099</v>
      </c>
      <c r="R4567" s="17">
        <v>45</v>
      </c>
      <c r="S4567" s="18">
        <v>1960.1174999999998</v>
      </c>
      <c r="T4567" s="19" t="s">
        <v>117</v>
      </c>
      <c r="U4567" s="20" t="s">
        <v>36</v>
      </c>
      <c r="V4567" s="21">
        <v>122</v>
      </c>
      <c r="W4567" s="21">
        <v>3</v>
      </c>
      <c r="X4567" s="22"/>
    </row>
    <row r="4568" spans="1:24" s="1" customFormat="1" ht="11.1" customHeight="1" x14ac:dyDescent="0.3">
      <c r="A4568" s="23" t="s">
        <v>3029</v>
      </c>
      <c r="B4568" s="23" t="s">
        <v>572</v>
      </c>
      <c r="C4568" s="12" t="s">
        <v>4596</v>
      </c>
      <c r="D4568" s="84"/>
      <c r="E4568" s="69" t="str">
        <f t="shared" si="235"/>
        <v>Еще фото</v>
      </c>
      <c r="F4568" s="13"/>
      <c r="G4568" s="23" t="s">
        <v>574</v>
      </c>
      <c r="H4568" s="23" t="s">
        <v>27</v>
      </c>
      <c r="I4568" s="23" t="s">
        <v>569</v>
      </c>
      <c r="J4568" s="14" t="s">
        <v>29</v>
      </c>
      <c r="K4568" s="15" t="s">
        <v>30</v>
      </c>
      <c r="L4568" s="87"/>
      <c r="M4568" s="14"/>
      <c r="N4568" s="14" t="s">
        <v>41</v>
      </c>
      <c r="O4568" s="14"/>
      <c r="P4568" s="15" t="s">
        <v>3040</v>
      </c>
      <c r="Q4568" s="16">
        <v>3099</v>
      </c>
      <c r="R4568" s="17">
        <v>45</v>
      </c>
      <c r="S4568" s="18">
        <v>1960.1174999999998</v>
      </c>
      <c r="T4568" s="19" t="s">
        <v>117</v>
      </c>
      <c r="U4568" s="20" t="s">
        <v>37</v>
      </c>
      <c r="V4568" s="21">
        <v>128</v>
      </c>
      <c r="W4568" s="21">
        <v>2</v>
      </c>
      <c r="X4568" s="22"/>
    </row>
    <row r="4569" spans="1:24" s="1" customFormat="1" ht="11.1" customHeight="1" x14ac:dyDescent="0.3">
      <c r="A4569" s="23" t="s">
        <v>3029</v>
      </c>
      <c r="B4569" s="23" t="s">
        <v>572</v>
      </c>
      <c r="C4569" s="12" t="s">
        <v>4596</v>
      </c>
      <c r="D4569" s="84"/>
      <c r="E4569" s="69" t="str">
        <f t="shared" si="235"/>
        <v>Еще фото</v>
      </c>
      <c r="F4569" s="13"/>
      <c r="G4569" s="23" t="s">
        <v>574</v>
      </c>
      <c r="H4569" s="23" t="s">
        <v>27</v>
      </c>
      <c r="I4569" s="23" t="s">
        <v>569</v>
      </c>
      <c r="J4569" s="14" t="s">
        <v>29</v>
      </c>
      <c r="K4569" s="15" t="s">
        <v>30</v>
      </c>
      <c r="L4569" s="87"/>
      <c r="M4569" s="14"/>
      <c r="N4569" s="14" t="s">
        <v>41</v>
      </c>
      <c r="O4569" s="14"/>
      <c r="P4569" s="15" t="s">
        <v>3040</v>
      </c>
      <c r="Q4569" s="16">
        <v>3099</v>
      </c>
      <c r="R4569" s="17">
        <v>45</v>
      </c>
      <c r="S4569" s="18">
        <v>1960.1174999999998</v>
      </c>
      <c r="T4569" s="19" t="s">
        <v>117</v>
      </c>
      <c r="U4569" s="20" t="s">
        <v>91</v>
      </c>
      <c r="V4569" s="21">
        <v>134</v>
      </c>
      <c r="W4569" s="21">
        <v>3</v>
      </c>
      <c r="X4569" s="22"/>
    </row>
    <row r="4570" spans="1:24" s="1" customFormat="1" ht="11.1" customHeight="1" x14ac:dyDescent="0.3">
      <c r="A4570" s="14" t="s">
        <v>3029</v>
      </c>
      <c r="B4570" s="14" t="s">
        <v>572</v>
      </c>
      <c r="C4570" s="12" t="s">
        <v>4596</v>
      </c>
      <c r="D4570" s="85"/>
      <c r="E4570" s="69" t="str">
        <f t="shared" si="235"/>
        <v>Еще фото</v>
      </c>
      <c r="F4570" s="36"/>
      <c r="G4570" s="14" t="s">
        <v>574</v>
      </c>
      <c r="H4570" s="14" t="s">
        <v>27</v>
      </c>
      <c r="I4570" s="14" t="s">
        <v>569</v>
      </c>
      <c r="J4570" s="14" t="s">
        <v>29</v>
      </c>
      <c r="K4570" s="14" t="s">
        <v>30</v>
      </c>
      <c r="L4570" s="88"/>
      <c r="M4570" s="14"/>
      <c r="N4570" s="14" t="s">
        <v>41</v>
      </c>
      <c r="O4570" s="14"/>
      <c r="P4570" s="14" t="s">
        <v>3040</v>
      </c>
      <c r="Q4570" s="33">
        <v>3099</v>
      </c>
      <c r="R4570" s="34">
        <v>45</v>
      </c>
      <c r="S4570" s="35">
        <v>1960.1174999999998</v>
      </c>
      <c r="T4570" s="19" t="s">
        <v>117</v>
      </c>
      <c r="U4570" s="20" t="s">
        <v>290</v>
      </c>
      <c r="V4570" s="21">
        <v>140</v>
      </c>
      <c r="W4570" s="21">
        <v>1</v>
      </c>
      <c r="X4570" s="22"/>
    </row>
    <row r="4571" spans="1:24" s="1" customFormat="1" ht="35.1" customHeight="1" x14ac:dyDescent="0.3">
      <c r="A4571" s="11" t="s">
        <v>3029</v>
      </c>
      <c r="B4571" s="11" t="s">
        <v>4560</v>
      </c>
      <c r="C4571" s="12" t="s">
        <v>4598</v>
      </c>
      <c r="D4571" s="83"/>
      <c r="E4571" s="69" t="str">
        <f>HYPERLINK("https://www.google.ru/search?q=133396-9113&amp;newwindow=1&amp;tbm=isch","Еще фото")</f>
        <v>Еще фото</v>
      </c>
      <c r="F4571" s="13"/>
      <c r="G4571" s="11" t="s">
        <v>4539</v>
      </c>
      <c r="H4571" s="11" t="s">
        <v>27</v>
      </c>
      <c r="I4571" s="14" t="s">
        <v>569</v>
      </c>
      <c r="J4571" s="14" t="s">
        <v>29</v>
      </c>
      <c r="K4571" s="15" t="s">
        <v>30</v>
      </c>
      <c r="L4571" s="86" t="s">
        <v>4599</v>
      </c>
      <c r="M4571" s="14"/>
      <c r="N4571" s="14" t="s">
        <v>242</v>
      </c>
      <c r="O4571" s="14"/>
      <c r="P4571" s="15" t="s">
        <v>4294</v>
      </c>
      <c r="Q4571" s="16">
        <v>3399</v>
      </c>
      <c r="R4571" s="17">
        <v>45</v>
      </c>
      <c r="S4571" s="18">
        <v>2149.8674999999998</v>
      </c>
      <c r="T4571" s="19" t="s">
        <v>117</v>
      </c>
      <c r="U4571" s="20" t="s">
        <v>196</v>
      </c>
      <c r="V4571" s="21">
        <v>86</v>
      </c>
      <c r="W4571" s="21">
        <v>1</v>
      </c>
      <c r="X4571" s="22"/>
    </row>
    <row r="4572" spans="1:24" s="1" customFormat="1" ht="35.1" customHeight="1" x14ac:dyDescent="0.3">
      <c r="A4572" s="23" t="s">
        <v>3029</v>
      </c>
      <c r="B4572" s="23" t="s">
        <v>4560</v>
      </c>
      <c r="C4572" s="12" t="s">
        <v>4598</v>
      </c>
      <c r="D4572" s="84"/>
      <c r="E4572" s="69" t="str">
        <f>HYPERLINK("https://www.google.ru/search?q=133396-9113&amp;newwindow=1&amp;tbm=isch","Еще фото")</f>
        <v>Еще фото</v>
      </c>
      <c r="F4572" s="13"/>
      <c r="G4572" s="23" t="s">
        <v>4539</v>
      </c>
      <c r="H4572" s="23" t="s">
        <v>27</v>
      </c>
      <c r="I4572" s="23" t="s">
        <v>569</v>
      </c>
      <c r="J4572" s="14" t="s">
        <v>29</v>
      </c>
      <c r="K4572" s="15" t="s">
        <v>30</v>
      </c>
      <c r="L4572" s="87"/>
      <c r="M4572" s="14"/>
      <c r="N4572" s="14" t="s">
        <v>242</v>
      </c>
      <c r="O4572" s="14"/>
      <c r="P4572" s="15" t="s">
        <v>4294</v>
      </c>
      <c r="Q4572" s="16">
        <v>3399</v>
      </c>
      <c r="R4572" s="17">
        <v>45</v>
      </c>
      <c r="S4572" s="18">
        <v>2149.8674999999998</v>
      </c>
      <c r="T4572" s="19" t="s">
        <v>117</v>
      </c>
      <c r="U4572" s="20" t="s">
        <v>94</v>
      </c>
      <c r="V4572" s="21">
        <v>104</v>
      </c>
      <c r="W4572" s="21">
        <v>3</v>
      </c>
      <c r="X4572" s="22"/>
    </row>
    <row r="4573" spans="1:24" s="1" customFormat="1" ht="36.950000000000003" customHeight="1" x14ac:dyDescent="0.3">
      <c r="A4573" s="23" t="s">
        <v>3029</v>
      </c>
      <c r="B4573" s="23" t="s">
        <v>4560</v>
      </c>
      <c r="C4573" s="12" t="s">
        <v>4598</v>
      </c>
      <c r="D4573" s="85"/>
      <c r="E4573" s="69" t="str">
        <f>HYPERLINK("https://www.google.ru/search?q=133396-9113&amp;newwindow=1&amp;tbm=isch","Еще фото")</f>
        <v>Еще фото</v>
      </c>
      <c r="F4573" s="13"/>
      <c r="G4573" s="23" t="s">
        <v>4539</v>
      </c>
      <c r="H4573" s="23" t="s">
        <v>27</v>
      </c>
      <c r="I4573" s="23" t="s">
        <v>569</v>
      </c>
      <c r="J4573" s="14" t="s">
        <v>29</v>
      </c>
      <c r="K4573" s="15" t="s">
        <v>30</v>
      </c>
      <c r="L4573" s="88"/>
      <c r="M4573" s="14"/>
      <c r="N4573" s="14" t="s">
        <v>242</v>
      </c>
      <c r="O4573" s="14"/>
      <c r="P4573" s="15" t="s">
        <v>4294</v>
      </c>
      <c r="Q4573" s="16">
        <v>3399</v>
      </c>
      <c r="R4573" s="17">
        <v>45</v>
      </c>
      <c r="S4573" s="18">
        <v>2149.8674999999998</v>
      </c>
      <c r="T4573" s="19" t="s">
        <v>117</v>
      </c>
      <c r="U4573" s="20" t="s">
        <v>43</v>
      </c>
      <c r="V4573" s="21">
        <v>110</v>
      </c>
      <c r="W4573" s="21">
        <v>1</v>
      </c>
      <c r="X4573" s="22"/>
    </row>
    <row r="4574" spans="1:24" s="1" customFormat="1" ht="35.1" customHeight="1" x14ac:dyDescent="0.3">
      <c r="A4574" s="11" t="s">
        <v>3029</v>
      </c>
      <c r="B4574" s="11" t="s">
        <v>572</v>
      </c>
      <c r="C4574" s="12" t="s">
        <v>4600</v>
      </c>
      <c r="D4574" s="83"/>
      <c r="E4574" s="69" t="str">
        <f>HYPERLINK("https://www.google.ru/search?q=133420-2055&amp;newwindow=1&amp;tbm=isch","Еще фото")</f>
        <v>Еще фото</v>
      </c>
      <c r="F4574" s="13"/>
      <c r="G4574" s="11" t="s">
        <v>574</v>
      </c>
      <c r="H4574" s="11" t="s">
        <v>27</v>
      </c>
      <c r="I4574" s="14" t="s">
        <v>569</v>
      </c>
      <c r="J4574" s="14" t="s">
        <v>29</v>
      </c>
      <c r="K4574" s="15" t="s">
        <v>30</v>
      </c>
      <c r="L4574" s="86" t="s">
        <v>4601</v>
      </c>
      <c r="M4574" s="14"/>
      <c r="N4574" s="14" t="s">
        <v>154</v>
      </c>
      <c r="O4574" s="14"/>
      <c r="P4574" s="15" t="s">
        <v>3053</v>
      </c>
      <c r="Q4574" s="16">
        <v>3099</v>
      </c>
      <c r="R4574" s="17">
        <v>45</v>
      </c>
      <c r="S4574" s="18">
        <v>1960.1174999999998</v>
      </c>
      <c r="T4574" s="19" t="s">
        <v>117</v>
      </c>
      <c r="U4574" s="20" t="s">
        <v>37</v>
      </c>
      <c r="V4574" s="21">
        <v>128</v>
      </c>
      <c r="W4574" s="21">
        <v>3</v>
      </c>
      <c r="X4574" s="22"/>
    </row>
    <row r="4575" spans="1:24" s="1" customFormat="1" ht="35.1" customHeight="1" x14ac:dyDescent="0.3">
      <c r="A4575" s="23" t="s">
        <v>3029</v>
      </c>
      <c r="B4575" s="23" t="s">
        <v>572</v>
      </c>
      <c r="C4575" s="12" t="s">
        <v>4600</v>
      </c>
      <c r="D4575" s="84"/>
      <c r="E4575" s="69" t="str">
        <f>HYPERLINK("https://www.google.ru/search?q=133420-2055&amp;newwindow=1&amp;tbm=isch","Еще фото")</f>
        <v>Еще фото</v>
      </c>
      <c r="F4575" s="13"/>
      <c r="G4575" s="23" t="s">
        <v>574</v>
      </c>
      <c r="H4575" s="23" t="s">
        <v>27</v>
      </c>
      <c r="I4575" s="23" t="s">
        <v>569</v>
      </c>
      <c r="J4575" s="14" t="s">
        <v>29</v>
      </c>
      <c r="K4575" s="15" t="s">
        <v>30</v>
      </c>
      <c r="L4575" s="87"/>
      <c r="M4575" s="14"/>
      <c r="N4575" s="14" t="s">
        <v>154</v>
      </c>
      <c r="O4575" s="14"/>
      <c r="P4575" s="15" t="s">
        <v>3053</v>
      </c>
      <c r="Q4575" s="16">
        <v>3099</v>
      </c>
      <c r="R4575" s="17">
        <v>45</v>
      </c>
      <c r="S4575" s="18">
        <v>1960.1174999999998</v>
      </c>
      <c r="T4575" s="19" t="s">
        <v>117</v>
      </c>
      <c r="U4575" s="20" t="s">
        <v>91</v>
      </c>
      <c r="V4575" s="21">
        <v>134</v>
      </c>
      <c r="W4575" s="21">
        <v>4</v>
      </c>
      <c r="X4575" s="22"/>
    </row>
    <row r="4576" spans="1:24" s="1" customFormat="1" ht="36.950000000000003" customHeight="1" x14ac:dyDescent="0.3">
      <c r="A4576" s="23" t="s">
        <v>3029</v>
      </c>
      <c r="B4576" s="23" t="s">
        <v>572</v>
      </c>
      <c r="C4576" s="12" t="s">
        <v>4600</v>
      </c>
      <c r="D4576" s="85"/>
      <c r="E4576" s="69" t="str">
        <f>HYPERLINK("https://www.google.ru/search?q=133420-2055&amp;newwindow=1&amp;tbm=isch","Еще фото")</f>
        <v>Еще фото</v>
      </c>
      <c r="F4576" s="13"/>
      <c r="G4576" s="23" t="s">
        <v>574</v>
      </c>
      <c r="H4576" s="23" t="s">
        <v>27</v>
      </c>
      <c r="I4576" s="23" t="s">
        <v>569</v>
      </c>
      <c r="J4576" s="14" t="s">
        <v>29</v>
      </c>
      <c r="K4576" s="15" t="s">
        <v>30</v>
      </c>
      <c r="L4576" s="88"/>
      <c r="M4576" s="14"/>
      <c r="N4576" s="14" t="s">
        <v>154</v>
      </c>
      <c r="O4576" s="14"/>
      <c r="P4576" s="15" t="s">
        <v>3053</v>
      </c>
      <c r="Q4576" s="16">
        <v>3099</v>
      </c>
      <c r="R4576" s="17">
        <v>45</v>
      </c>
      <c r="S4576" s="18">
        <v>1960.1174999999998</v>
      </c>
      <c r="T4576" s="19" t="s">
        <v>117</v>
      </c>
      <c r="U4576" s="20" t="s">
        <v>2160</v>
      </c>
      <c r="V4576" s="21">
        <v>152</v>
      </c>
      <c r="W4576" s="21">
        <v>2</v>
      </c>
      <c r="X4576" s="22"/>
    </row>
    <row r="4577" spans="1:24" s="1" customFormat="1" ht="108" customHeight="1" x14ac:dyDescent="0.3">
      <c r="A4577" s="11" t="s">
        <v>2957</v>
      </c>
      <c r="B4577" s="11" t="s">
        <v>4560</v>
      </c>
      <c r="C4577" s="12" t="s">
        <v>4602</v>
      </c>
      <c r="D4577" s="24"/>
      <c r="E4577" s="69" t="str">
        <f>HYPERLINK("https://www.google.ru/search?q=5200106A-6639&amp;newwindow=1&amp;tbm=isch","Еще фото")</f>
        <v>Еще фото</v>
      </c>
      <c r="F4577" s="13"/>
      <c r="G4577" s="11" t="s">
        <v>574</v>
      </c>
      <c r="H4577" s="11" t="s">
        <v>27</v>
      </c>
      <c r="I4577" s="14" t="s">
        <v>569</v>
      </c>
      <c r="J4577" s="14" t="s">
        <v>138</v>
      </c>
      <c r="K4577" s="15" t="s">
        <v>30</v>
      </c>
      <c r="L4577" s="14" t="s">
        <v>4603</v>
      </c>
      <c r="M4577" s="14"/>
      <c r="N4577" s="14" t="s">
        <v>70</v>
      </c>
      <c r="O4577" s="14"/>
      <c r="P4577" s="15" t="s">
        <v>76</v>
      </c>
      <c r="Q4577" s="16">
        <v>5899</v>
      </c>
      <c r="R4577" s="17">
        <v>45</v>
      </c>
      <c r="S4577" s="18">
        <v>3731.1174999999994</v>
      </c>
      <c r="T4577" s="19" t="s">
        <v>117</v>
      </c>
      <c r="U4577" s="20" t="s">
        <v>43</v>
      </c>
      <c r="V4577" s="21">
        <v>110</v>
      </c>
      <c r="W4577" s="21">
        <v>1</v>
      </c>
      <c r="X4577" s="22"/>
    </row>
    <row r="4578" spans="1:24" s="1" customFormat="1" ht="35.1" customHeight="1" x14ac:dyDescent="0.3">
      <c r="A4578" s="11" t="s">
        <v>2957</v>
      </c>
      <c r="B4578" s="11" t="s">
        <v>4529</v>
      </c>
      <c r="C4578" s="12" t="s">
        <v>4604</v>
      </c>
      <c r="D4578" s="83"/>
      <c r="E4578" s="69" t="str">
        <f>HYPERLINK("https://www.google.ru/search?q=531521-8130&amp;newwindow=1&amp;tbm=isch","Еще фото")</f>
        <v>Еще фото</v>
      </c>
      <c r="F4578" s="13"/>
      <c r="G4578" s="11" t="s">
        <v>599</v>
      </c>
      <c r="H4578" s="11" t="s">
        <v>27</v>
      </c>
      <c r="I4578" s="14" t="s">
        <v>569</v>
      </c>
      <c r="J4578" s="14" t="s">
        <v>29</v>
      </c>
      <c r="K4578" s="15" t="s">
        <v>30</v>
      </c>
      <c r="L4578" s="86" t="s">
        <v>4531</v>
      </c>
      <c r="M4578" s="14"/>
      <c r="N4578" s="14" t="s">
        <v>242</v>
      </c>
      <c r="O4578" s="14"/>
      <c r="P4578" s="15" t="s">
        <v>4502</v>
      </c>
      <c r="Q4578" s="16">
        <v>4399</v>
      </c>
      <c r="R4578" s="17">
        <v>45</v>
      </c>
      <c r="S4578" s="18">
        <v>2782.3674999999994</v>
      </c>
      <c r="T4578" s="19" t="s">
        <v>117</v>
      </c>
      <c r="U4578" s="20" t="s">
        <v>37</v>
      </c>
      <c r="V4578" s="21">
        <v>128</v>
      </c>
      <c r="W4578" s="21">
        <v>4</v>
      </c>
      <c r="X4578" s="22"/>
    </row>
    <row r="4579" spans="1:24" s="1" customFormat="1" ht="35.1" customHeight="1" x14ac:dyDescent="0.3">
      <c r="A4579" s="23" t="s">
        <v>2957</v>
      </c>
      <c r="B4579" s="23" t="s">
        <v>4529</v>
      </c>
      <c r="C4579" s="12" t="s">
        <v>4604</v>
      </c>
      <c r="D4579" s="84"/>
      <c r="E4579" s="69" t="str">
        <f>HYPERLINK("https://www.google.ru/search?q=531521-8130&amp;newwindow=1&amp;tbm=isch","Еще фото")</f>
        <v>Еще фото</v>
      </c>
      <c r="F4579" s="13"/>
      <c r="G4579" s="23" t="s">
        <v>599</v>
      </c>
      <c r="H4579" s="23" t="s">
        <v>27</v>
      </c>
      <c r="I4579" s="23" t="s">
        <v>569</v>
      </c>
      <c r="J4579" s="14" t="s">
        <v>29</v>
      </c>
      <c r="K4579" s="15" t="s">
        <v>30</v>
      </c>
      <c r="L4579" s="87"/>
      <c r="M4579" s="14"/>
      <c r="N4579" s="14" t="s">
        <v>242</v>
      </c>
      <c r="O4579" s="14"/>
      <c r="P4579" s="15" t="s">
        <v>4502</v>
      </c>
      <c r="Q4579" s="16">
        <v>4399</v>
      </c>
      <c r="R4579" s="17">
        <v>45</v>
      </c>
      <c r="S4579" s="18">
        <v>2782.3674999999994</v>
      </c>
      <c r="T4579" s="19" t="s">
        <v>117</v>
      </c>
      <c r="U4579" s="20" t="s">
        <v>2993</v>
      </c>
      <c r="V4579" s="21">
        <v>146</v>
      </c>
      <c r="W4579" s="21">
        <v>2</v>
      </c>
      <c r="X4579" s="22"/>
    </row>
    <row r="4580" spans="1:24" s="1" customFormat="1" ht="36.950000000000003" customHeight="1" x14ac:dyDescent="0.3">
      <c r="A4580" s="23" t="s">
        <v>2957</v>
      </c>
      <c r="B4580" s="23" t="s">
        <v>4529</v>
      </c>
      <c r="C4580" s="12" t="s">
        <v>4604</v>
      </c>
      <c r="D4580" s="85"/>
      <c r="E4580" s="69" t="str">
        <f>HYPERLINK("https://www.google.ru/search?q=531521-8130&amp;newwindow=1&amp;tbm=isch","Еще фото")</f>
        <v>Еще фото</v>
      </c>
      <c r="F4580" s="13"/>
      <c r="G4580" s="23" t="s">
        <v>599</v>
      </c>
      <c r="H4580" s="23" t="s">
        <v>27</v>
      </c>
      <c r="I4580" s="23" t="s">
        <v>569</v>
      </c>
      <c r="J4580" s="14" t="s">
        <v>29</v>
      </c>
      <c r="K4580" s="15" t="s">
        <v>30</v>
      </c>
      <c r="L4580" s="88"/>
      <c r="M4580" s="14"/>
      <c r="N4580" s="14" t="s">
        <v>242</v>
      </c>
      <c r="O4580" s="14"/>
      <c r="P4580" s="15" t="s">
        <v>4502</v>
      </c>
      <c r="Q4580" s="16">
        <v>4399</v>
      </c>
      <c r="R4580" s="17">
        <v>45</v>
      </c>
      <c r="S4580" s="18">
        <v>2782.3674999999994</v>
      </c>
      <c r="T4580" s="19" t="s">
        <v>117</v>
      </c>
      <c r="U4580" s="20" t="s">
        <v>2160</v>
      </c>
      <c r="V4580" s="21">
        <v>152</v>
      </c>
      <c r="W4580" s="21">
        <v>1</v>
      </c>
      <c r="X4580" s="22"/>
    </row>
    <row r="4581" spans="1:24" s="1" customFormat="1" ht="108" customHeight="1" x14ac:dyDescent="0.3">
      <c r="A4581" s="11" t="s">
        <v>2957</v>
      </c>
      <c r="B4581" s="11" t="s">
        <v>572</v>
      </c>
      <c r="C4581" s="12" t="s">
        <v>4605</v>
      </c>
      <c r="D4581" s="24"/>
      <c r="E4581" s="69" t="str">
        <f>HYPERLINK("https://www.google.ru/search?q=536348-3160&amp;newwindow=1&amp;tbm=isch","Еще фото")</f>
        <v>Еще фото</v>
      </c>
      <c r="F4581" s="13"/>
      <c r="G4581" s="11" t="s">
        <v>574</v>
      </c>
      <c r="H4581" s="11" t="s">
        <v>27</v>
      </c>
      <c r="I4581" s="14" t="s">
        <v>569</v>
      </c>
      <c r="J4581" s="14" t="s">
        <v>138</v>
      </c>
      <c r="K4581" s="15" t="s">
        <v>30</v>
      </c>
      <c r="L4581" s="14" t="s">
        <v>4606</v>
      </c>
      <c r="M4581" s="14"/>
      <c r="N4581" s="14" t="s">
        <v>636</v>
      </c>
      <c r="O4581" s="14"/>
      <c r="P4581" s="15" t="s">
        <v>2220</v>
      </c>
      <c r="Q4581" s="16">
        <v>3199</v>
      </c>
      <c r="R4581" s="17">
        <v>45</v>
      </c>
      <c r="S4581" s="18">
        <v>2023.3674999999998</v>
      </c>
      <c r="T4581" s="19" t="s">
        <v>117</v>
      </c>
      <c r="U4581" s="20" t="s">
        <v>94</v>
      </c>
      <c r="V4581" s="21">
        <v>104</v>
      </c>
      <c r="W4581" s="21">
        <v>1</v>
      </c>
      <c r="X4581" s="22"/>
    </row>
    <row r="4582" spans="1:24" s="1" customFormat="1" ht="108" customHeight="1" x14ac:dyDescent="0.3">
      <c r="A4582" s="11" t="s">
        <v>2957</v>
      </c>
      <c r="B4582" s="11" t="s">
        <v>4607</v>
      </c>
      <c r="C4582" s="12" t="s">
        <v>4608</v>
      </c>
      <c r="D4582" s="24"/>
      <c r="E4582" s="69" t="str">
        <f>HYPERLINK("https://www.google.ru/search?q=536353X-2370&amp;newwindow=1&amp;tbm=isch","Еще фото")</f>
        <v>Еще фото</v>
      </c>
      <c r="F4582" s="13"/>
      <c r="G4582" s="11" t="s">
        <v>4520</v>
      </c>
      <c r="H4582" s="11" t="s">
        <v>27</v>
      </c>
      <c r="I4582" s="14" t="s">
        <v>569</v>
      </c>
      <c r="J4582" s="14" t="s">
        <v>29</v>
      </c>
      <c r="K4582" s="15" t="s">
        <v>30</v>
      </c>
      <c r="L4582" s="14" t="s">
        <v>4522</v>
      </c>
      <c r="M4582" s="14"/>
      <c r="N4582" s="14" t="s">
        <v>313</v>
      </c>
      <c r="O4582" s="14"/>
      <c r="P4582" s="15" t="s">
        <v>4609</v>
      </c>
      <c r="Q4582" s="16">
        <v>2799</v>
      </c>
      <c r="R4582" s="17">
        <v>45</v>
      </c>
      <c r="S4582" s="18">
        <v>1770.3674999999998</v>
      </c>
      <c r="T4582" s="19" t="s">
        <v>117</v>
      </c>
      <c r="U4582" s="20" t="s">
        <v>36</v>
      </c>
      <c r="V4582" s="21">
        <v>122</v>
      </c>
      <c r="W4582" s="21">
        <v>1</v>
      </c>
      <c r="X4582" s="22"/>
    </row>
    <row r="4583" spans="1:24" s="1" customFormat="1" ht="108" customHeight="1" x14ac:dyDescent="0.3">
      <c r="A4583" s="11" t="s">
        <v>2957</v>
      </c>
      <c r="B4583" s="11" t="s">
        <v>579</v>
      </c>
      <c r="C4583" s="12" t="s">
        <v>4610</v>
      </c>
      <c r="D4583" s="24"/>
      <c r="E4583" s="69" t="str">
        <f>HYPERLINK("https://www.google.ru/search?q=536458-5810&amp;newwindow=1&amp;tbm=isch","Еще фото")</f>
        <v>Еще фото</v>
      </c>
      <c r="F4583" s="13"/>
      <c r="G4583" s="11" t="s">
        <v>574</v>
      </c>
      <c r="H4583" s="11" t="s">
        <v>27</v>
      </c>
      <c r="I4583" s="14" t="s">
        <v>569</v>
      </c>
      <c r="J4583" s="14" t="s">
        <v>138</v>
      </c>
      <c r="K4583" s="15" t="s">
        <v>30</v>
      </c>
      <c r="L4583" s="14" t="s">
        <v>4611</v>
      </c>
      <c r="M4583" s="14"/>
      <c r="N4583" s="14" t="s">
        <v>576</v>
      </c>
      <c r="O4583" s="14"/>
      <c r="P4583" s="15" t="s">
        <v>4612</v>
      </c>
      <c r="Q4583" s="16">
        <v>2699</v>
      </c>
      <c r="R4583" s="17">
        <v>45</v>
      </c>
      <c r="S4583" s="18">
        <v>1707.1174999999998</v>
      </c>
      <c r="T4583" s="19" t="s">
        <v>117</v>
      </c>
      <c r="U4583" s="20" t="s">
        <v>35</v>
      </c>
      <c r="V4583" s="21">
        <v>116</v>
      </c>
      <c r="W4583" s="21">
        <v>2</v>
      </c>
      <c r="X4583" s="22"/>
    </row>
    <row r="4584" spans="1:24" s="1" customFormat="1" ht="51.95" customHeight="1" x14ac:dyDescent="0.3">
      <c r="A4584" s="11" t="s">
        <v>3014</v>
      </c>
      <c r="B4584" s="11" t="s">
        <v>4613</v>
      </c>
      <c r="C4584" s="12" t="s">
        <v>4614</v>
      </c>
      <c r="D4584" s="89"/>
      <c r="E4584" s="69" t="str">
        <f>HYPERLINK("https://www.google.ru/search?q=71203304-5140&amp;newwindow=1&amp;tbm=isch","Еще фото")</f>
        <v>Еще фото</v>
      </c>
      <c r="F4584" s="13"/>
      <c r="G4584" s="11" t="s">
        <v>4615</v>
      </c>
      <c r="H4584" s="11" t="s">
        <v>27</v>
      </c>
      <c r="I4584" s="14" t="s">
        <v>569</v>
      </c>
      <c r="J4584" s="14" t="s">
        <v>138</v>
      </c>
      <c r="K4584" s="15" t="s">
        <v>30</v>
      </c>
      <c r="L4584" s="86" t="s">
        <v>4616</v>
      </c>
      <c r="M4584" s="14"/>
      <c r="N4584" s="14" t="s">
        <v>3302</v>
      </c>
      <c r="O4584" s="14"/>
      <c r="P4584" s="15" t="s">
        <v>108</v>
      </c>
      <c r="Q4584" s="16">
        <v>4499</v>
      </c>
      <c r="R4584" s="17">
        <v>45</v>
      </c>
      <c r="S4584" s="18">
        <v>2845.6174999999994</v>
      </c>
      <c r="T4584" s="19" t="s">
        <v>117</v>
      </c>
      <c r="U4584" s="20" t="s">
        <v>744</v>
      </c>
      <c r="V4584" s="21">
        <v>80</v>
      </c>
      <c r="W4584" s="21">
        <v>1</v>
      </c>
      <c r="X4584" s="22"/>
    </row>
    <row r="4585" spans="1:24" s="1" customFormat="1" ht="60.95" customHeight="1" x14ac:dyDescent="0.3">
      <c r="A4585" s="23" t="s">
        <v>3014</v>
      </c>
      <c r="B4585" s="23" t="s">
        <v>4613</v>
      </c>
      <c r="C4585" s="12" t="s">
        <v>4614</v>
      </c>
      <c r="D4585" s="90"/>
      <c r="E4585" s="69" t="str">
        <f>HYPERLINK("https://www.google.ru/search?q=71203304-5140&amp;newwindow=1&amp;tbm=isch","Еще фото")</f>
        <v>Еще фото</v>
      </c>
      <c r="F4585" s="13"/>
      <c r="G4585" s="23" t="s">
        <v>4615</v>
      </c>
      <c r="H4585" s="23" t="s">
        <v>27</v>
      </c>
      <c r="I4585" s="23" t="s">
        <v>569</v>
      </c>
      <c r="J4585" s="14" t="s">
        <v>138</v>
      </c>
      <c r="K4585" s="15" t="s">
        <v>30</v>
      </c>
      <c r="L4585" s="88"/>
      <c r="M4585" s="14"/>
      <c r="N4585" s="14" t="s">
        <v>3302</v>
      </c>
      <c r="O4585" s="14"/>
      <c r="P4585" s="15" t="s">
        <v>108</v>
      </c>
      <c r="Q4585" s="16">
        <v>4499</v>
      </c>
      <c r="R4585" s="17">
        <v>45</v>
      </c>
      <c r="S4585" s="18">
        <v>2845.6174999999994</v>
      </c>
      <c r="T4585" s="19" t="s">
        <v>117</v>
      </c>
      <c r="U4585" s="20" t="s">
        <v>2976</v>
      </c>
      <c r="V4585" s="21">
        <v>86</v>
      </c>
      <c r="W4585" s="21">
        <v>1</v>
      </c>
      <c r="X4585" s="22"/>
    </row>
    <row r="4586" spans="1:24" s="1" customFormat="1" ht="108" customHeight="1" x14ac:dyDescent="0.3">
      <c r="A4586" s="11" t="s">
        <v>3014</v>
      </c>
      <c r="B4586" s="11" t="s">
        <v>4613</v>
      </c>
      <c r="C4586" s="12" t="s">
        <v>4617</v>
      </c>
      <c r="D4586" s="24"/>
      <c r="E4586" s="69" t="str">
        <f>HYPERLINK("https://www.google.ru/search?q=71203304-6960&amp;newwindow=1&amp;tbm=isch","Еще фото")</f>
        <v>Еще фото</v>
      </c>
      <c r="F4586" s="13"/>
      <c r="G4586" s="11" t="s">
        <v>4615</v>
      </c>
      <c r="H4586" s="11" t="s">
        <v>27</v>
      </c>
      <c r="I4586" s="14" t="s">
        <v>569</v>
      </c>
      <c r="J4586" s="14" t="s">
        <v>138</v>
      </c>
      <c r="K4586" s="15" t="s">
        <v>30</v>
      </c>
      <c r="L4586" s="14" t="s">
        <v>4616</v>
      </c>
      <c r="M4586" s="14"/>
      <c r="N4586" s="14" t="s">
        <v>70</v>
      </c>
      <c r="O4586" s="14"/>
      <c r="P4586" s="15" t="s">
        <v>108</v>
      </c>
      <c r="Q4586" s="16">
        <v>4499</v>
      </c>
      <c r="R4586" s="17">
        <v>45</v>
      </c>
      <c r="S4586" s="18">
        <v>2845.6174999999994</v>
      </c>
      <c r="T4586" s="19" t="s">
        <v>117</v>
      </c>
      <c r="U4586" s="20" t="s">
        <v>744</v>
      </c>
      <c r="V4586" s="21">
        <v>80</v>
      </c>
      <c r="W4586" s="21">
        <v>2</v>
      </c>
      <c r="X4586" s="22"/>
    </row>
    <row r="4587" spans="1:24" s="1" customFormat="1" ht="17.100000000000001" customHeight="1" x14ac:dyDescent="0.3">
      <c r="A4587" s="11" t="s">
        <v>3014</v>
      </c>
      <c r="B4587" s="11" t="s">
        <v>4618</v>
      </c>
      <c r="C4587" s="12" t="s">
        <v>4619</v>
      </c>
      <c r="D4587" s="83"/>
      <c r="E4587" s="69" t="str">
        <f t="shared" ref="E4587:E4592" si="236">HYPERLINK("https://www.google.ru/search?q=71206105-3110&amp;newwindow=1&amp;tbm=isch","Еще фото")</f>
        <v>Еще фото</v>
      </c>
      <c r="F4587" s="13"/>
      <c r="G4587" s="11" t="s">
        <v>574</v>
      </c>
      <c r="H4587" s="11" t="s">
        <v>27</v>
      </c>
      <c r="I4587" s="14" t="s">
        <v>569</v>
      </c>
      <c r="J4587" s="14" t="s">
        <v>29</v>
      </c>
      <c r="K4587" s="15" t="s">
        <v>30</v>
      </c>
      <c r="L4587" s="86"/>
      <c r="M4587" s="14"/>
      <c r="N4587" s="14" t="s">
        <v>275</v>
      </c>
      <c r="O4587" s="14"/>
      <c r="P4587" s="15" t="s">
        <v>74</v>
      </c>
      <c r="Q4587" s="16">
        <v>3999</v>
      </c>
      <c r="R4587" s="17">
        <v>45</v>
      </c>
      <c r="S4587" s="18">
        <v>2529.3674999999994</v>
      </c>
      <c r="T4587" s="19" t="s">
        <v>117</v>
      </c>
      <c r="U4587" s="20" t="s">
        <v>2976</v>
      </c>
      <c r="V4587" s="21">
        <v>86</v>
      </c>
      <c r="W4587" s="21">
        <v>6</v>
      </c>
      <c r="X4587" s="22"/>
    </row>
    <row r="4588" spans="1:24" s="1" customFormat="1" ht="17.100000000000001" customHeight="1" x14ac:dyDescent="0.3">
      <c r="A4588" s="23" t="s">
        <v>3014</v>
      </c>
      <c r="B4588" s="23" t="s">
        <v>4618</v>
      </c>
      <c r="C4588" s="12" t="s">
        <v>4619</v>
      </c>
      <c r="D4588" s="84"/>
      <c r="E4588" s="69" t="str">
        <f t="shared" si="236"/>
        <v>Еще фото</v>
      </c>
      <c r="F4588" s="13"/>
      <c r="G4588" s="23" t="s">
        <v>574</v>
      </c>
      <c r="H4588" s="23" t="s">
        <v>27</v>
      </c>
      <c r="I4588" s="23" t="s">
        <v>569</v>
      </c>
      <c r="J4588" s="14" t="s">
        <v>29</v>
      </c>
      <c r="K4588" s="15" t="s">
        <v>30</v>
      </c>
      <c r="L4588" s="87"/>
      <c r="M4588" s="14"/>
      <c r="N4588" s="14" t="s">
        <v>275</v>
      </c>
      <c r="O4588" s="14"/>
      <c r="P4588" s="15" t="s">
        <v>74</v>
      </c>
      <c r="Q4588" s="16">
        <v>3999</v>
      </c>
      <c r="R4588" s="17">
        <v>45</v>
      </c>
      <c r="S4588" s="18">
        <v>2529.3674999999994</v>
      </c>
      <c r="T4588" s="19" t="s">
        <v>117</v>
      </c>
      <c r="U4588" s="20" t="s">
        <v>2977</v>
      </c>
      <c r="V4588" s="21">
        <v>92</v>
      </c>
      <c r="W4588" s="21">
        <v>6</v>
      </c>
      <c r="X4588" s="22"/>
    </row>
    <row r="4589" spans="1:24" s="1" customFormat="1" ht="17.100000000000001" customHeight="1" x14ac:dyDescent="0.3">
      <c r="A4589" s="23" t="s">
        <v>3014</v>
      </c>
      <c r="B4589" s="23" t="s">
        <v>4618</v>
      </c>
      <c r="C4589" s="12" t="s">
        <v>4619</v>
      </c>
      <c r="D4589" s="84"/>
      <c r="E4589" s="69" t="str">
        <f t="shared" si="236"/>
        <v>Еще фото</v>
      </c>
      <c r="F4589" s="13"/>
      <c r="G4589" s="23" t="s">
        <v>574</v>
      </c>
      <c r="H4589" s="23" t="s">
        <v>27</v>
      </c>
      <c r="I4589" s="23" t="s">
        <v>569</v>
      </c>
      <c r="J4589" s="14" t="s">
        <v>29</v>
      </c>
      <c r="K4589" s="15" t="s">
        <v>30</v>
      </c>
      <c r="L4589" s="87"/>
      <c r="M4589" s="14"/>
      <c r="N4589" s="14" t="s">
        <v>275</v>
      </c>
      <c r="O4589" s="14"/>
      <c r="P4589" s="15" t="s">
        <v>74</v>
      </c>
      <c r="Q4589" s="16">
        <v>3999</v>
      </c>
      <c r="R4589" s="17">
        <v>45</v>
      </c>
      <c r="S4589" s="18">
        <v>2529.3674999999994</v>
      </c>
      <c r="T4589" s="19" t="s">
        <v>117</v>
      </c>
      <c r="U4589" s="20" t="s">
        <v>2961</v>
      </c>
      <c r="V4589" s="21">
        <v>98</v>
      </c>
      <c r="W4589" s="21">
        <v>6</v>
      </c>
      <c r="X4589" s="22"/>
    </row>
    <row r="4590" spans="1:24" s="1" customFormat="1" ht="17.100000000000001" customHeight="1" x14ac:dyDescent="0.3">
      <c r="A4590" s="23" t="s">
        <v>3014</v>
      </c>
      <c r="B4590" s="23" t="s">
        <v>4618</v>
      </c>
      <c r="C4590" s="12" t="s">
        <v>4619</v>
      </c>
      <c r="D4590" s="84"/>
      <c r="E4590" s="69" t="str">
        <f t="shared" si="236"/>
        <v>Еще фото</v>
      </c>
      <c r="F4590" s="13"/>
      <c r="G4590" s="23" t="s">
        <v>574</v>
      </c>
      <c r="H4590" s="23" t="s">
        <v>27</v>
      </c>
      <c r="I4590" s="23" t="s">
        <v>569</v>
      </c>
      <c r="J4590" s="14" t="s">
        <v>29</v>
      </c>
      <c r="K4590" s="15" t="s">
        <v>30</v>
      </c>
      <c r="L4590" s="87"/>
      <c r="M4590" s="14"/>
      <c r="N4590" s="14" t="s">
        <v>275</v>
      </c>
      <c r="O4590" s="14"/>
      <c r="P4590" s="15" t="s">
        <v>74</v>
      </c>
      <c r="Q4590" s="16">
        <v>3999</v>
      </c>
      <c r="R4590" s="17">
        <v>45</v>
      </c>
      <c r="S4590" s="18">
        <v>2529.3674999999994</v>
      </c>
      <c r="T4590" s="19" t="s">
        <v>117</v>
      </c>
      <c r="U4590" s="20" t="s">
        <v>94</v>
      </c>
      <c r="V4590" s="21">
        <v>104</v>
      </c>
      <c r="W4590" s="21">
        <v>5</v>
      </c>
      <c r="X4590" s="22"/>
    </row>
    <row r="4591" spans="1:24" s="1" customFormat="1" ht="17.100000000000001" customHeight="1" x14ac:dyDescent="0.3">
      <c r="A4591" s="23" t="s">
        <v>3014</v>
      </c>
      <c r="B4591" s="23" t="s">
        <v>4618</v>
      </c>
      <c r="C4591" s="12" t="s">
        <v>4619</v>
      </c>
      <c r="D4591" s="84"/>
      <c r="E4591" s="69" t="str">
        <f t="shared" si="236"/>
        <v>Еще фото</v>
      </c>
      <c r="F4591" s="13"/>
      <c r="G4591" s="23" t="s">
        <v>574</v>
      </c>
      <c r="H4591" s="23" t="s">
        <v>27</v>
      </c>
      <c r="I4591" s="23" t="s">
        <v>569</v>
      </c>
      <c r="J4591" s="14" t="s">
        <v>29</v>
      </c>
      <c r="K4591" s="15" t="s">
        <v>30</v>
      </c>
      <c r="L4591" s="87"/>
      <c r="M4591" s="14"/>
      <c r="N4591" s="14" t="s">
        <v>275</v>
      </c>
      <c r="O4591" s="14"/>
      <c r="P4591" s="15" t="s">
        <v>74</v>
      </c>
      <c r="Q4591" s="16">
        <v>3999</v>
      </c>
      <c r="R4591" s="17">
        <v>45</v>
      </c>
      <c r="S4591" s="18">
        <v>2529.3674999999994</v>
      </c>
      <c r="T4591" s="19" t="s">
        <v>117</v>
      </c>
      <c r="U4591" s="20" t="s">
        <v>43</v>
      </c>
      <c r="V4591" s="21">
        <v>110</v>
      </c>
      <c r="W4591" s="21">
        <v>5</v>
      </c>
      <c r="X4591" s="22"/>
    </row>
    <row r="4592" spans="1:24" s="1" customFormat="1" ht="21.95" customHeight="1" x14ac:dyDescent="0.3">
      <c r="A4592" s="23" t="s">
        <v>3014</v>
      </c>
      <c r="B4592" s="23" t="s">
        <v>4618</v>
      </c>
      <c r="C4592" s="12" t="s">
        <v>4619</v>
      </c>
      <c r="D4592" s="85"/>
      <c r="E4592" s="69" t="str">
        <f t="shared" si="236"/>
        <v>Еще фото</v>
      </c>
      <c r="F4592" s="13"/>
      <c r="G4592" s="23" t="s">
        <v>574</v>
      </c>
      <c r="H4592" s="23" t="s">
        <v>27</v>
      </c>
      <c r="I4592" s="23" t="s">
        <v>569</v>
      </c>
      <c r="J4592" s="14" t="s">
        <v>29</v>
      </c>
      <c r="K4592" s="15" t="s">
        <v>30</v>
      </c>
      <c r="L4592" s="88"/>
      <c r="M4592" s="14"/>
      <c r="N4592" s="14" t="s">
        <v>275</v>
      </c>
      <c r="O4592" s="14"/>
      <c r="P4592" s="15" t="s">
        <v>74</v>
      </c>
      <c r="Q4592" s="16">
        <v>3999</v>
      </c>
      <c r="R4592" s="17">
        <v>45</v>
      </c>
      <c r="S4592" s="18">
        <v>2529.3674999999994</v>
      </c>
      <c r="T4592" s="19" t="s">
        <v>117</v>
      </c>
      <c r="U4592" s="20" t="s">
        <v>36</v>
      </c>
      <c r="V4592" s="21">
        <v>122</v>
      </c>
      <c r="W4592" s="21">
        <v>1</v>
      </c>
      <c r="X4592" s="22"/>
    </row>
    <row r="4593" spans="1:24" s="1" customFormat="1" ht="26.1" customHeight="1" x14ac:dyDescent="0.3">
      <c r="A4593" s="11" t="s">
        <v>3014</v>
      </c>
      <c r="B4593" s="11" t="s">
        <v>4620</v>
      </c>
      <c r="C4593" s="12" t="s">
        <v>4621</v>
      </c>
      <c r="D4593" s="83"/>
      <c r="E4593" s="69" t="str">
        <f>HYPERLINK("https://www.google.ru/search?q=7200004A-4160&amp;newwindow=1&amp;tbm=isch","Еще фото")</f>
        <v>Еще фото</v>
      </c>
      <c r="F4593" s="13"/>
      <c r="G4593" s="11" t="s">
        <v>568</v>
      </c>
      <c r="H4593" s="11" t="s">
        <v>27</v>
      </c>
      <c r="I4593" s="14" t="s">
        <v>569</v>
      </c>
      <c r="J4593" s="14" t="s">
        <v>29</v>
      </c>
      <c r="K4593" s="15" t="s">
        <v>30</v>
      </c>
      <c r="L4593" s="86" t="s">
        <v>4622</v>
      </c>
      <c r="M4593" s="14"/>
      <c r="N4593" s="14" t="s">
        <v>275</v>
      </c>
      <c r="O4593" s="14"/>
      <c r="P4593" s="15" t="s">
        <v>193</v>
      </c>
      <c r="Q4593" s="16">
        <v>3199</v>
      </c>
      <c r="R4593" s="17">
        <v>45</v>
      </c>
      <c r="S4593" s="18">
        <v>2023.3674999999998</v>
      </c>
      <c r="T4593" s="19" t="s">
        <v>117</v>
      </c>
      <c r="U4593" s="20" t="s">
        <v>35</v>
      </c>
      <c r="V4593" s="21">
        <v>116</v>
      </c>
      <c r="W4593" s="21">
        <v>1</v>
      </c>
      <c r="X4593" s="22"/>
    </row>
    <row r="4594" spans="1:24" s="1" customFormat="1" ht="26.1" customHeight="1" x14ac:dyDescent="0.3">
      <c r="A4594" s="23" t="s">
        <v>3014</v>
      </c>
      <c r="B4594" s="23" t="s">
        <v>4620</v>
      </c>
      <c r="C4594" s="12" t="s">
        <v>4621</v>
      </c>
      <c r="D4594" s="84"/>
      <c r="E4594" s="69" t="str">
        <f>HYPERLINK("https://www.google.ru/search?q=7200004A-4160&amp;newwindow=1&amp;tbm=isch","Еще фото")</f>
        <v>Еще фото</v>
      </c>
      <c r="F4594" s="13"/>
      <c r="G4594" s="23" t="s">
        <v>568</v>
      </c>
      <c r="H4594" s="23" t="s">
        <v>27</v>
      </c>
      <c r="I4594" s="23" t="s">
        <v>569</v>
      </c>
      <c r="J4594" s="14" t="s">
        <v>29</v>
      </c>
      <c r="K4594" s="15" t="s">
        <v>30</v>
      </c>
      <c r="L4594" s="87"/>
      <c r="M4594" s="14"/>
      <c r="N4594" s="14" t="s">
        <v>275</v>
      </c>
      <c r="O4594" s="14"/>
      <c r="P4594" s="15" t="s">
        <v>193</v>
      </c>
      <c r="Q4594" s="16">
        <v>3199</v>
      </c>
      <c r="R4594" s="17">
        <v>45</v>
      </c>
      <c r="S4594" s="18">
        <v>2023.3674999999998</v>
      </c>
      <c r="T4594" s="19" t="s">
        <v>117</v>
      </c>
      <c r="U4594" s="20" t="s">
        <v>36</v>
      </c>
      <c r="V4594" s="21">
        <v>122</v>
      </c>
      <c r="W4594" s="21">
        <v>2</v>
      </c>
      <c r="X4594" s="22"/>
    </row>
    <row r="4595" spans="1:24" s="1" customFormat="1" ht="26.1" customHeight="1" x14ac:dyDescent="0.3">
      <c r="A4595" s="23" t="s">
        <v>3014</v>
      </c>
      <c r="B4595" s="23" t="s">
        <v>4620</v>
      </c>
      <c r="C4595" s="12" t="s">
        <v>4621</v>
      </c>
      <c r="D4595" s="84"/>
      <c r="E4595" s="69" t="str">
        <f>HYPERLINK("https://www.google.ru/search?q=7200004A-4160&amp;newwindow=1&amp;tbm=isch","Еще фото")</f>
        <v>Еще фото</v>
      </c>
      <c r="F4595" s="13"/>
      <c r="G4595" s="23" t="s">
        <v>568</v>
      </c>
      <c r="H4595" s="23" t="s">
        <v>27</v>
      </c>
      <c r="I4595" s="23" t="s">
        <v>569</v>
      </c>
      <c r="J4595" s="14" t="s">
        <v>29</v>
      </c>
      <c r="K4595" s="15" t="s">
        <v>30</v>
      </c>
      <c r="L4595" s="87"/>
      <c r="M4595" s="14"/>
      <c r="N4595" s="14" t="s">
        <v>275</v>
      </c>
      <c r="O4595" s="14"/>
      <c r="P4595" s="15" t="s">
        <v>193</v>
      </c>
      <c r="Q4595" s="16">
        <v>3199</v>
      </c>
      <c r="R4595" s="17">
        <v>45</v>
      </c>
      <c r="S4595" s="18">
        <v>2023.3674999999998</v>
      </c>
      <c r="T4595" s="19" t="s">
        <v>117</v>
      </c>
      <c r="U4595" s="20" t="s">
        <v>37</v>
      </c>
      <c r="V4595" s="21">
        <v>128</v>
      </c>
      <c r="W4595" s="21">
        <v>4</v>
      </c>
      <c r="X4595" s="22"/>
    </row>
    <row r="4596" spans="1:24" s="1" customFormat="1" ht="26.1" customHeight="1" x14ac:dyDescent="0.3">
      <c r="A4596" s="23" t="s">
        <v>3014</v>
      </c>
      <c r="B4596" s="23" t="s">
        <v>4620</v>
      </c>
      <c r="C4596" s="12" t="s">
        <v>4621</v>
      </c>
      <c r="D4596" s="85"/>
      <c r="E4596" s="69" t="str">
        <f>HYPERLINK("https://www.google.ru/search?q=7200004A-4160&amp;newwindow=1&amp;tbm=isch","Еще фото")</f>
        <v>Еще фото</v>
      </c>
      <c r="F4596" s="13"/>
      <c r="G4596" s="23" t="s">
        <v>568</v>
      </c>
      <c r="H4596" s="23" t="s">
        <v>27</v>
      </c>
      <c r="I4596" s="23" t="s">
        <v>569</v>
      </c>
      <c r="J4596" s="14" t="s">
        <v>29</v>
      </c>
      <c r="K4596" s="15" t="s">
        <v>30</v>
      </c>
      <c r="L4596" s="88"/>
      <c r="M4596" s="14"/>
      <c r="N4596" s="14" t="s">
        <v>275</v>
      </c>
      <c r="O4596" s="14"/>
      <c r="P4596" s="15" t="s">
        <v>193</v>
      </c>
      <c r="Q4596" s="16">
        <v>3199</v>
      </c>
      <c r="R4596" s="17">
        <v>45</v>
      </c>
      <c r="S4596" s="18">
        <v>2023.3674999999998</v>
      </c>
      <c r="T4596" s="19" t="s">
        <v>117</v>
      </c>
      <c r="U4596" s="20" t="s">
        <v>2161</v>
      </c>
      <c r="V4596" s="21">
        <v>164</v>
      </c>
      <c r="W4596" s="21">
        <v>2</v>
      </c>
      <c r="X4596" s="22"/>
    </row>
    <row r="4597" spans="1:24" s="1" customFormat="1" ht="26.1" customHeight="1" x14ac:dyDescent="0.3">
      <c r="A4597" s="11" t="s">
        <v>3014</v>
      </c>
      <c r="B4597" s="11" t="s">
        <v>4620</v>
      </c>
      <c r="C4597" s="12" t="s">
        <v>4623</v>
      </c>
      <c r="D4597" s="83"/>
      <c r="E4597" s="69" t="str">
        <f>HYPERLINK("https://www.google.ru/search?q=7200004A-6961&amp;newwindow=1&amp;tbm=isch","Еще фото")</f>
        <v>Еще фото</v>
      </c>
      <c r="F4597" s="13"/>
      <c r="G4597" s="11" t="s">
        <v>568</v>
      </c>
      <c r="H4597" s="11" t="s">
        <v>27</v>
      </c>
      <c r="I4597" s="14" t="s">
        <v>569</v>
      </c>
      <c r="J4597" s="14" t="s">
        <v>29</v>
      </c>
      <c r="K4597" s="15" t="s">
        <v>30</v>
      </c>
      <c r="L4597" s="86" t="s">
        <v>4624</v>
      </c>
      <c r="M4597" s="14"/>
      <c r="N4597" s="14" t="s">
        <v>70</v>
      </c>
      <c r="O4597" s="14"/>
      <c r="P4597" s="15" t="s">
        <v>108</v>
      </c>
      <c r="Q4597" s="16">
        <v>3199</v>
      </c>
      <c r="R4597" s="17">
        <v>45</v>
      </c>
      <c r="S4597" s="18">
        <v>2023.3674999999998</v>
      </c>
      <c r="T4597" s="19" t="s">
        <v>117</v>
      </c>
      <c r="U4597" s="20" t="s">
        <v>94</v>
      </c>
      <c r="V4597" s="21">
        <v>104</v>
      </c>
      <c r="W4597" s="21">
        <v>1</v>
      </c>
      <c r="X4597" s="22"/>
    </row>
    <row r="4598" spans="1:24" s="1" customFormat="1" ht="26.1" customHeight="1" x14ac:dyDescent="0.3">
      <c r="A4598" s="23" t="s">
        <v>3014</v>
      </c>
      <c r="B4598" s="23" t="s">
        <v>4620</v>
      </c>
      <c r="C4598" s="12" t="s">
        <v>4623</v>
      </c>
      <c r="D4598" s="84"/>
      <c r="E4598" s="69" t="str">
        <f>HYPERLINK("https://www.google.ru/search?q=7200004A-6961&amp;newwindow=1&amp;tbm=isch","Еще фото")</f>
        <v>Еще фото</v>
      </c>
      <c r="F4598" s="13"/>
      <c r="G4598" s="23" t="s">
        <v>568</v>
      </c>
      <c r="H4598" s="23" t="s">
        <v>27</v>
      </c>
      <c r="I4598" s="23" t="s">
        <v>569</v>
      </c>
      <c r="J4598" s="14" t="s">
        <v>29</v>
      </c>
      <c r="K4598" s="15" t="s">
        <v>30</v>
      </c>
      <c r="L4598" s="87"/>
      <c r="M4598" s="14"/>
      <c r="N4598" s="14" t="s">
        <v>70</v>
      </c>
      <c r="O4598" s="14"/>
      <c r="P4598" s="15" t="s">
        <v>108</v>
      </c>
      <c r="Q4598" s="16">
        <v>3199</v>
      </c>
      <c r="R4598" s="17">
        <v>45</v>
      </c>
      <c r="S4598" s="18">
        <v>2023.3674999999998</v>
      </c>
      <c r="T4598" s="19" t="s">
        <v>117</v>
      </c>
      <c r="U4598" s="20" t="s">
        <v>43</v>
      </c>
      <c r="V4598" s="21">
        <v>110</v>
      </c>
      <c r="W4598" s="21">
        <v>5</v>
      </c>
      <c r="X4598" s="22"/>
    </row>
    <row r="4599" spans="1:24" s="1" customFormat="1" ht="26.1" customHeight="1" x14ac:dyDescent="0.3">
      <c r="A4599" s="23" t="s">
        <v>3014</v>
      </c>
      <c r="B4599" s="23" t="s">
        <v>4620</v>
      </c>
      <c r="C4599" s="12" t="s">
        <v>4623</v>
      </c>
      <c r="D4599" s="84"/>
      <c r="E4599" s="69" t="str">
        <f>HYPERLINK("https://www.google.ru/search?q=7200004A-6961&amp;newwindow=1&amp;tbm=isch","Еще фото")</f>
        <v>Еще фото</v>
      </c>
      <c r="F4599" s="13"/>
      <c r="G4599" s="23" t="s">
        <v>568</v>
      </c>
      <c r="H4599" s="23" t="s">
        <v>27</v>
      </c>
      <c r="I4599" s="23" t="s">
        <v>569</v>
      </c>
      <c r="J4599" s="14" t="s">
        <v>29</v>
      </c>
      <c r="K4599" s="15" t="s">
        <v>30</v>
      </c>
      <c r="L4599" s="87"/>
      <c r="M4599" s="14"/>
      <c r="N4599" s="14" t="s">
        <v>70</v>
      </c>
      <c r="O4599" s="14"/>
      <c r="P4599" s="15" t="s">
        <v>108</v>
      </c>
      <c r="Q4599" s="16">
        <v>3199</v>
      </c>
      <c r="R4599" s="17">
        <v>45</v>
      </c>
      <c r="S4599" s="18">
        <v>2023.3674999999998</v>
      </c>
      <c r="T4599" s="19" t="s">
        <v>117</v>
      </c>
      <c r="U4599" s="20" t="s">
        <v>35</v>
      </c>
      <c r="V4599" s="21">
        <v>116</v>
      </c>
      <c r="W4599" s="21">
        <v>4</v>
      </c>
      <c r="X4599" s="22"/>
    </row>
    <row r="4600" spans="1:24" s="1" customFormat="1" ht="26.1" customHeight="1" x14ac:dyDescent="0.3">
      <c r="A4600" s="23" t="s">
        <v>3014</v>
      </c>
      <c r="B4600" s="23" t="s">
        <v>4620</v>
      </c>
      <c r="C4600" s="12" t="s">
        <v>4623</v>
      </c>
      <c r="D4600" s="85"/>
      <c r="E4600" s="69" t="str">
        <f>HYPERLINK("https://www.google.ru/search?q=7200004A-6961&amp;newwindow=1&amp;tbm=isch","Еще фото")</f>
        <v>Еще фото</v>
      </c>
      <c r="F4600" s="13"/>
      <c r="G4600" s="23" t="s">
        <v>568</v>
      </c>
      <c r="H4600" s="23" t="s">
        <v>27</v>
      </c>
      <c r="I4600" s="23" t="s">
        <v>569</v>
      </c>
      <c r="J4600" s="14" t="s">
        <v>29</v>
      </c>
      <c r="K4600" s="15" t="s">
        <v>30</v>
      </c>
      <c r="L4600" s="88"/>
      <c r="M4600" s="14"/>
      <c r="N4600" s="14" t="s">
        <v>70</v>
      </c>
      <c r="O4600" s="14"/>
      <c r="P4600" s="15" t="s">
        <v>108</v>
      </c>
      <c r="Q4600" s="16">
        <v>3199</v>
      </c>
      <c r="R4600" s="17">
        <v>45</v>
      </c>
      <c r="S4600" s="18">
        <v>2023.3674999999998</v>
      </c>
      <c r="T4600" s="19" t="s">
        <v>117</v>
      </c>
      <c r="U4600" s="20" t="s">
        <v>37</v>
      </c>
      <c r="V4600" s="21">
        <v>128</v>
      </c>
      <c r="W4600" s="21">
        <v>2</v>
      </c>
      <c r="X4600" s="22"/>
    </row>
    <row r="4601" spans="1:24" s="1" customFormat="1" ht="11.1" customHeight="1" x14ac:dyDescent="0.3">
      <c r="A4601" s="11" t="s">
        <v>3014</v>
      </c>
      <c r="B4601" s="11" t="s">
        <v>4625</v>
      </c>
      <c r="C4601" s="12" t="s">
        <v>4626</v>
      </c>
      <c r="D4601" s="83"/>
      <c r="E4601" s="69" t="str">
        <f t="shared" ref="E4601:E4611" si="237">HYPERLINK("https://www.google.ru/search?q=7200024A-4672&amp;newwindow=1&amp;tbm=isch","Еще фото")</f>
        <v>Еще фото</v>
      </c>
      <c r="F4601" s="13"/>
      <c r="G4601" s="11" t="s">
        <v>574</v>
      </c>
      <c r="H4601" s="11" t="s">
        <v>27</v>
      </c>
      <c r="I4601" s="14" t="s">
        <v>569</v>
      </c>
      <c r="J4601" s="14" t="s">
        <v>29</v>
      </c>
      <c r="K4601" s="15" t="s">
        <v>30</v>
      </c>
      <c r="L4601" s="86" t="s">
        <v>4627</v>
      </c>
      <c r="M4601" s="14"/>
      <c r="N4601" s="14" t="s">
        <v>275</v>
      </c>
      <c r="O4601" s="14"/>
      <c r="P4601" s="15" t="s">
        <v>193</v>
      </c>
      <c r="Q4601" s="16">
        <v>4999</v>
      </c>
      <c r="R4601" s="17">
        <v>45</v>
      </c>
      <c r="S4601" s="18">
        <v>3161.8674999999994</v>
      </c>
      <c r="T4601" s="19" t="s">
        <v>117</v>
      </c>
      <c r="U4601" s="20" t="s">
        <v>94</v>
      </c>
      <c r="V4601" s="21">
        <v>104</v>
      </c>
      <c r="W4601" s="21">
        <v>4</v>
      </c>
      <c r="X4601" s="22"/>
    </row>
    <row r="4602" spans="1:24" s="1" customFormat="1" ht="11.1" customHeight="1" x14ac:dyDescent="0.3">
      <c r="A4602" s="23" t="s">
        <v>3014</v>
      </c>
      <c r="B4602" s="23" t="s">
        <v>4625</v>
      </c>
      <c r="C4602" s="12" t="s">
        <v>4626</v>
      </c>
      <c r="D4602" s="84"/>
      <c r="E4602" s="69" t="str">
        <f t="shared" si="237"/>
        <v>Еще фото</v>
      </c>
      <c r="F4602" s="13"/>
      <c r="G4602" s="23" t="s">
        <v>574</v>
      </c>
      <c r="H4602" s="23" t="s">
        <v>27</v>
      </c>
      <c r="I4602" s="23" t="s">
        <v>569</v>
      </c>
      <c r="J4602" s="14" t="s">
        <v>29</v>
      </c>
      <c r="K4602" s="15" t="s">
        <v>30</v>
      </c>
      <c r="L4602" s="87"/>
      <c r="M4602" s="14"/>
      <c r="N4602" s="14" t="s">
        <v>275</v>
      </c>
      <c r="O4602" s="14"/>
      <c r="P4602" s="15" t="s">
        <v>193</v>
      </c>
      <c r="Q4602" s="16">
        <v>4999</v>
      </c>
      <c r="R4602" s="17">
        <v>45</v>
      </c>
      <c r="S4602" s="18">
        <v>3161.8674999999994</v>
      </c>
      <c r="T4602" s="19" t="s">
        <v>117</v>
      </c>
      <c r="U4602" s="20" t="s">
        <v>43</v>
      </c>
      <c r="V4602" s="21">
        <v>110</v>
      </c>
      <c r="W4602" s="21">
        <v>5</v>
      </c>
      <c r="X4602" s="22"/>
    </row>
    <row r="4603" spans="1:24" s="1" customFormat="1" ht="11.1" customHeight="1" x14ac:dyDescent="0.3">
      <c r="A4603" s="23" t="s">
        <v>3014</v>
      </c>
      <c r="B4603" s="23" t="s">
        <v>4625</v>
      </c>
      <c r="C4603" s="12" t="s">
        <v>4626</v>
      </c>
      <c r="D4603" s="84"/>
      <c r="E4603" s="69" t="str">
        <f t="shared" si="237"/>
        <v>Еще фото</v>
      </c>
      <c r="F4603" s="13"/>
      <c r="G4603" s="23" t="s">
        <v>574</v>
      </c>
      <c r="H4603" s="23" t="s">
        <v>27</v>
      </c>
      <c r="I4603" s="23" t="s">
        <v>569</v>
      </c>
      <c r="J4603" s="14" t="s">
        <v>29</v>
      </c>
      <c r="K4603" s="15" t="s">
        <v>30</v>
      </c>
      <c r="L4603" s="87"/>
      <c r="M4603" s="14"/>
      <c r="N4603" s="14" t="s">
        <v>275</v>
      </c>
      <c r="O4603" s="14"/>
      <c r="P4603" s="15" t="s">
        <v>193</v>
      </c>
      <c r="Q4603" s="16">
        <v>4999</v>
      </c>
      <c r="R4603" s="17">
        <v>45</v>
      </c>
      <c r="S4603" s="18">
        <v>3161.8674999999994</v>
      </c>
      <c r="T4603" s="19" t="s">
        <v>117</v>
      </c>
      <c r="U4603" s="20" t="s">
        <v>35</v>
      </c>
      <c r="V4603" s="21">
        <v>116</v>
      </c>
      <c r="W4603" s="21">
        <v>5</v>
      </c>
      <c r="X4603" s="22"/>
    </row>
    <row r="4604" spans="1:24" s="1" customFormat="1" ht="11.1" customHeight="1" x14ac:dyDescent="0.3">
      <c r="A4604" s="23" t="s">
        <v>3014</v>
      </c>
      <c r="B4604" s="23" t="s">
        <v>4625</v>
      </c>
      <c r="C4604" s="12" t="s">
        <v>4626</v>
      </c>
      <c r="D4604" s="84"/>
      <c r="E4604" s="69" t="str">
        <f t="shared" si="237"/>
        <v>Еще фото</v>
      </c>
      <c r="F4604" s="13"/>
      <c r="G4604" s="23" t="s">
        <v>574</v>
      </c>
      <c r="H4604" s="23" t="s">
        <v>27</v>
      </c>
      <c r="I4604" s="23" t="s">
        <v>569</v>
      </c>
      <c r="J4604" s="14" t="s">
        <v>29</v>
      </c>
      <c r="K4604" s="15" t="s">
        <v>30</v>
      </c>
      <c r="L4604" s="87"/>
      <c r="M4604" s="14"/>
      <c r="N4604" s="14" t="s">
        <v>275</v>
      </c>
      <c r="O4604" s="14"/>
      <c r="P4604" s="15" t="s">
        <v>193</v>
      </c>
      <c r="Q4604" s="16">
        <v>4999</v>
      </c>
      <c r="R4604" s="17">
        <v>45</v>
      </c>
      <c r="S4604" s="18">
        <v>3161.8674999999994</v>
      </c>
      <c r="T4604" s="19" t="s">
        <v>117</v>
      </c>
      <c r="U4604" s="20" t="s">
        <v>36</v>
      </c>
      <c r="V4604" s="21">
        <v>122</v>
      </c>
      <c r="W4604" s="21">
        <v>3</v>
      </c>
      <c r="X4604" s="22"/>
    </row>
    <row r="4605" spans="1:24" s="1" customFormat="1" ht="11.1" customHeight="1" x14ac:dyDescent="0.3">
      <c r="A4605" s="23" t="s">
        <v>3014</v>
      </c>
      <c r="B4605" s="23" t="s">
        <v>4625</v>
      </c>
      <c r="C4605" s="12" t="s">
        <v>4626</v>
      </c>
      <c r="D4605" s="84"/>
      <c r="E4605" s="69" t="str">
        <f t="shared" si="237"/>
        <v>Еще фото</v>
      </c>
      <c r="F4605" s="13"/>
      <c r="G4605" s="23" t="s">
        <v>574</v>
      </c>
      <c r="H4605" s="23" t="s">
        <v>27</v>
      </c>
      <c r="I4605" s="23" t="s">
        <v>569</v>
      </c>
      <c r="J4605" s="14" t="s">
        <v>29</v>
      </c>
      <c r="K4605" s="15" t="s">
        <v>30</v>
      </c>
      <c r="L4605" s="87"/>
      <c r="M4605" s="14"/>
      <c r="N4605" s="14" t="s">
        <v>275</v>
      </c>
      <c r="O4605" s="14"/>
      <c r="P4605" s="15" t="s">
        <v>193</v>
      </c>
      <c r="Q4605" s="16">
        <v>4999</v>
      </c>
      <c r="R4605" s="17">
        <v>45</v>
      </c>
      <c r="S4605" s="18">
        <v>3161.8674999999994</v>
      </c>
      <c r="T4605" s="19" t="s">
        <v>117</v>
      </c>
      <c r="U4605" s="20" t="s">
        <v>37</v>
      </c>
      <c r="V4605" s="21">
        <v>128</v>
      </c>
      <c r="W4605" s="21">
        <v>4</v>
      </c>
      <c r="X4605" s="22"/>
    </row>
    <row r="4606" spans="1:24" s="1" customFormat="1" ht="11.1" customHeight="1" x14ac:dyDescent="0.3">
      <c r="A4606" s="23" t="s">
        <v>3014</v>
      </c>
      <c r="B4606" s="23" t="s">
        <v>4625</v>
      </c>
      <c r="C4606" s="12" t="s">
        <v>4626</v>
      </c>
      <c r="D4606" s="84"/>
      <c r="E4606" s="69" t="str">
        <f t="shared" si="237"/>
        <v>Еще фото</v>
      </c>
      <c r="F4606" s="13"/>
      <c r="G4606" s="23" t="s">
        <v>574</v>
      </c>
      <c r="H4606" s="23" t="s">
        <v>27</v>
      </c>
      <c r="I4606" s="23" t="s">
        <v>569</v>
      </c>
      <c r="J4606" s="14" t="s">
        <v>29</v>
      </c>
      <c r="K4606" s="15" t="s">
        <v>30</v>
      </c>
      <c r="L4606" s="87"/>
      <c r="M4606" s="14"/>
      <c r="N4606" s="14" t="s">
        <v>275</v>
      </c>
      <c r="O4606" s="14"/>
      <c r="P4606" s="15" t="s">
        <v>193</v>
      </c>
      <c r="Q4606" s="16">
        <v>4999</v>
      </c>
      <c r="R4606" s="17">
        <v>45</v>
      </c>
      <c r="S4606" s="18">
        <v>3161.8674999999994</v>
      </c>
      <c r="T4606" s="19" t="s">
        <v>117</v>
      </c>
      <c r="U4606" s="20" t="s">
        <v>91</v>
      </c>
      <c r="V4606" s="21">
        <v>134</v>
      </c>
      <c r="W4606" s="21">
        <v>3</v>
      </c>
      <c r="X4606" s="22"/>
    </row>
    <row r="4607" spans="1:24" s="1" customFormat="1" ht="11.1" customHeight="1" x14ac:dyDescent="0.3">
      <c r="A4607" s="23" t="s">
        <v>3014</v>
      </c>
      <c r="B4607" s="23" t="s">
        <v>4625</v>
      </c>
      <c r="C4607" s="12" t="s">
        <v>4626</v>
      </c>
      <c r="D4607" s="84"/>
      <c r="E4607" s="69" t="str">
        <f t="shared" si="237"/>
        <v>Еще фото</v>
      </c>
      <c r="F4607" s="13"/>
      <c r="G4607" s="23" t="s">
        <v>574</v>
      </c>
      <c r="H4607" s="23" t="s">
        <v>27</v>
      </c>
      <c r="I4607" s="23" t="s">
        <v>569</v>
      </c>
      <c r="J4607" s="14" t="s">
        <v>29</v>
      </c>
      <c r="K4607" s="15" t="s">
        <v>30</v>
      </c>
      <c r="L4607" s="87"/>
      <c r="M4607" s="14"/>
      <c r="N4607" s="14" t="s">
        <v>275</v>
      </c>
      <c r="O4607" s="14"/>
      <c r="P4607" s="15" t="s">
        <v>193</v>
      </c>
      <c r="Q4607" s="16">
        <v>4999</v>
      </c>
      <c r="R4607" s="17">
        <v>45</v>
      </c>
      <c r="S4607" s="18">
        <v>3161.8674999999994</v>
      </c>
      <c r="T4607" s="19" t="s">
        <v>117</v>
      </c>
      <c r="U4607" s="20" t="s">
        <v>290</v>
      </c>
      <c r="V4607" s="21">
        <v>140</v>
      </c>
      <c r="W4607" s="21">
        <v>4</v>
      </c>
      <c r="X4607" s="22"/>
    </row>
    <row r="4608" spans="1:24" s="1" customFormat="1" ht="11.1" customHeight="1" x14ac:dyDescent="0.3">
      <c r="A4608" s="23" t="s">
        <v>3014</v>
      </c>
      <c r="B4608" s="23" t="s">
        <v>4625</v>
      </c>
      <c r="C4608" s="12" t="s">
        <v>4626</v>
      </c>
      <c r="D4608" s="84"/>
      <c r="E4608" s="69" t="str">
        <f t="shared" si="237"/>
        <v>Еще фото</v>
      </c>
      <c r="F4608" s="13"/>
      <c r="G4608" s="23" t="s">
        <v>574</v>
      </c>
      <c r="H4608" s="23" t="s">
        <v>27</v>
      </c>
      <c r="I4608" s="23" t="s">
        <v>569</v>
      </c>
      <c r="J4608" s="14" t="s">
        <v>29</v>
      </c>
      <c r="K4608" s="15" t="s">
        <v>30</v>
      </c>
      <c r="L4608" s="87"/>
      <c r="M4608" s="14"/>
      <c r="N4608" s="14" t="s">
        <v>275</v>
      </c>
      <c r="O4608" s="14"/>
      <c r="P4608" s="15" t="s">
        <v>193</v>
      </c>
      <c r="Q4608" s="16">
        <v>4999</v>
      </c>
      <c r="R4608" s="17">
        <v>45</v>
      </c>
      <c r="S4608" s="18">
        <v>3161.8674999999994</v>
      </c>
      <c r="T4608" s="19" t="s">
        <v>117</v>
      </c>
      <c r="U4608" s="20" t="s">
        <v>2993</v>
      </c>
      <c r="V4608" s="21">
        <v>146</v>
      </c>
      <c r="W4608" s="21">
        <v>5</v>
      </c>
      <c r="X4608" s="22"/>
    </row>
    <row r="4609" spans="1:24" s="1" customFormat="1" ht="11.1" customHeight="1" x14ac:dyDescent="0.3">
      <c r="A4609" s="23" t="s">
        <v>3014</v>
      </c>
      <c r="B4609" s="23" t="s">
        <v>4625</v>
      </c>
      <c r="C4609" s="12" t="s">
        <v>4626</v>
      </c>
      <c r="D4609" s="84"/>
      <c r="E4609" s="69" t="str">
        <f t="shared" si="237"/>
        <v>Еще фото</v>
      </c>
      <c r="F4609" s="13"/>
      <c r="G4609" s="23" t="s">
        <v>574</v>
      </c>
      <c r="H4609" s="23" t="s">
        <v>27</v>
      </c>
      <c r="I4609" s="23" t="s">
        <v>569</v>
      </c>
      <c r="J4609" s="14" t="s">
        <v>29</v>
      </c>
      <c r="K4609" s="15" t="s">
        <v>30</v>
      </c>
      <c r="L4609" s="87"/>
      <c r="M4609" s="14"/>
      <c r="N4609" s="14" t="s">
        <v>275</v>
      </c>
      <c r="O4609" s="14"/>
      <c r="P4609" s="15" t="s">
        <v>193</v>
      </c>
      <c r="Q4609" s="16">
        <v>4999</v>
      </c>
      <c r="R4609" s="17">
        <v>45</v>
      </c>
      <c r="S4609" s="18">
        <v>3161.8674999999994</v>
      </c>
      <c r="T4609" s="19" t="s">
        <v>117</v>
      </c>
      <c r="U4609" s="20" t="s">
        <v>2160</v>
      </c>
      <c r="V4609" s="21">
        <v>152</v>
      </c>
      <c r="W4609" s="21">
        <v>1</v>
      </c>
      <c r="X4609" s="22"/>
    </row>
    <row r="4610" spans="1:24" s="1" customFormat="1" ht="11.1" customHeight="1" x14ac:dyDescent="0.3">
      <c r="A4610" s="14" t="s">
        <v>3014</v>
      </c>
      <c r="B4610" s="14" t="s">
        <v>4625</v>
      </c>
      <c r="C4610" s="12" t="s">
        <v>4626</v>
      </c>
      <c r="D4610" s="84"/>
      <c r="E4610" s="69" t="str">
        <f t="shared" si="237"/>
        <v>Еще фото</v>
      </c>
      <c r="F4610" s="36"/>
      <c r="G4610" s="14" t="s">
        <v>574</v>
      </c>
      <c r="H4610" s="14" t="s">
        <v>27</v>
      </c>
      <c r="I4610" s="14" t="s">
        <v>569</v>
      </c>
      <c r="J4610" s="14" t="s">
        <v>29</v>
      </c>
      <c r="K4610" s="14" t="s">
        <v>30</v>
      </c>
      <c r="L4610" s="87"/>
      <c r="M4610" s="14"/>
      <c r="N4610" s="14" t="s">
        <v>275</v>
      </c>
      <c r="O4610" s="14"/>
      <c r="P4610" s="14" t="s">
        <v>193</v>
      </c>
      <c r="Q4610" s="33">
        <v>4999</v>
      </c>
      <c r="R4610" s="34">
        <v>45</v>
      </c>
      <c r="S4610" s="35">
        <v>3161.8674999999994</v>
      </c>
      <c r="T4610" s="19" t="s">
        <v>117</v>
      </c>
      <c r="U4610" s="20" t="s">
        <v>3088</v>
      </c>
      <c r="V4610" s="21">
        <v>158</v>
      </c>
      <c r="W4610" s="21">
        <v>1</v>
      </c>
      <c r="X4610" s="22"/>
    </row>
    <row r="4611" spans="1:24" s="1" customFormat="1" ht="11.1" customHeight="1" x14ac:dyDescent="0.3">
      <c r="A4611" s="14" t="s">
        <v>3014</v>
      </c>
      <c r="B4611" s="14" t="s">
        <v>4625</v>
      </c>
      <c r="C4611" s="12" t="s">
        <v>4626</v>
      </c>
      <c r="D4611" s="85"/>
      <c r="E4611" s="69" t="str">
        <f t="shared" si="237"/>
        <v>Еще фото</v>
      </c>
      <c r="F4611" s="36"/>
      <c r="G4611" s="14" t="s">
        <v>574</v>
      </c>
      <c r="H4611" s="14" t="s">
        <v>27</v>
      </c>
      <c r="I4611" s="14" t="s">
        <v>569</v>
      </c>
      <c r="J4611" s="14" t="s">
        <v>29</v>
      </c>
      <c r="K4611" s="14" t="s">
        <v>30</v>
      </c>
      <c r="L4611" s="88"/>
      <c r="M4611" s="14"/>
      <c r="N4611" s="14" t="s">
        <v>275</v>
      </c>
      <c r="O4611" s="14"/>
      <c r="P4611" s="14" t="s">
        <v>193</v>
      </c>
      <c r="Q4611" s="33">
        <v>4999</v>
      </c>
      <c r="R4611" s="34">
        <v>45</v>
      </c>
      <c r="S4611" s="35">
        <v>3161.8674999999994</v>
      </c>
      <c r="T4611" s="19" t="s">
        <v>117</v>
      </c>
      <c r="U4611" s="20" t="s">
        <v>2161</v>
      </c>
      <c r="V4611" s="21">
        <v>164</v>
      </c>
      <c r="W4611" s="21">
        <v>2</v>
      </c>
      <c r="X4611" s="22"/>
    </row>
    <row r="4612" spans="1:24" s="1" customFormat="1" ht="11.1" customHeight="1" x14ac:dyDescent="0.3">
      <c r="A4612" s="11" t="s">
        <v>3014</v>
      </c>
      <c r="B4612" s="11" t="s">
        <v>4628</v>
      </c>
      <c r="C4612" s="12" t="s">
        <v>4629</v>
      </c>
      <c r="D4612" s="83"/>
      <c r="E4612" s="69" t="str">
        <f t="shared" ref="E4612:E4621" si="238">HYPERLINK("https://www.google.ru/search?q=7200029A-1920&amp;newwindow=1&amp;tbm=isch","Еще фото")</f>
        <v>Еще фото</v>
      </c>
      <c r="F4612" s="13"/>
      <c r="G4612" s="11" t="s">
        <v>574</v>
      </c>
      <c r="H4612" s="11" t="s">
        <v>27</v>
      </c>
      <c r="I4612" s="14" t="s">
        <v>569</v>
      </c>
      <c r="J4612" s="14" t="s">
        <v>29</v>
      </c>
      <c r="K4612" s="15" t="s">
        <v>30</v>
      </c>
      <c r="L4612" s="86" t="s">
        <v>4630</v>
      </c>
      <c r="M4612" s="14"/>
      <c r="N4612" s="14" t="s">
        <v>41</v>
      </c>
      <c r="O4612" s="14"/>
      <c r="P4612" s="15" t="s">
        <v>4631</v>
      </c>
      <c r="Q4612" s="16">
        <v>3999</v>
      </c>
      <c r="R4612" s="17">
        <v>45</v>
      </c>
      <c r="S4612" s="18">
        <v>2529.3674999999994</v>
      </c>
      <c r="T4612" s="19" t="s">
        <v>117</v>
      </c>
      <c r="U4612" s="20" t="s">
        <v>94</v>
      </c>
      <c r="V4612" s="21">
        <v>104</v>
      </c>
      <c r="W4612" s="21">
        <v>1</v>
      </c>
      <c r="X4612" s="22"/>
    </row>
    <row r="4613" spans="1:24" s="1" customFormat="1" ht="11.1" customHeight="1" x14ac:dyDescent="0.3">
      <c r="A4613" s="23" t="s">
        <v>3014</v>
      </c>
      <c r="B4613" s="23" t="s">
        <v>4628</v>
      </c>
      <c r="C4613" s="12" t="s">
        <v>4629</v>
      </c>
      <c r="D4613" s="84"/>
      <c r="E4613" s="69" t="str">
        <f t="shared" si="238"/>
        <v>Еще фото</v>
      </c>
      <c r="F4613" s="13"/>
      <c r="G4613" s="23" t="s">
        <v>574</v>
      </c>
      <c r="H4613" s="23" t="s">
        <v>27</v>
      </c>
      <c r="I4613" s="23" t="s">
        <v>569</v>
      </c>
      <c r="J4613" s="14" t="s">
        <v>29</v>
      </c>
      <c r="K4613" s="15" t="s">
        <v>30</v>
      </c>
      <c r="L4613" s="87"/>
      <c r="M4613" s="14"/>
      <c r="N4613" s="14" t="s">
        <v>41</v>
      </c>
      <c r="O4613" s="14"/>
      <c r="P4613" s="15" t="s">
        <v>4631</v>
      </c>
      <c r="Q4613" s="16">
        <v>3999</v>
      </c>
      <c r="R4613" s="17">
        <v>45</v>
      </c>
      <c r="S4613" s="18">
        <v>2529.3674999999994</v>
      </c>
      <c r="T4613" s="19" t="s">
        <v>117</v>
      </c>
      <c r="U4613" s="20" t="s">
        <v>43</v>
      </c>
      <c r="V4613" s="21">
        <v>110</v>
      </c>
      <c r="W4613" s="21">
        <v>2</v>
      </c>
      <c r="X4613" s="22"/>
    </row>
    <row r="4614" spans="1:24" s="1" customFormat="1" ht="11.1" customHeight="1" x14ac:dyDescent="0.3">
      <c r="A4614" s="23" t="s">
        <v>3014</v>
      </c>
      <c r="B4614" s="23" t="s">
        <v>4628</v>
      </c>
      <c r="C4614" s="12" t="s">
        <v>4629</v>
      </c>
      <c r="D4614" s="84"/>
      <c r="E4614" s="69" t="str">
        <f t="shared" si="238"/>
        <v>Еще фото</v>
      </c>
      <c r="F4614" s="13"/>
      <c r="G4614" s="23" t="s">
        <v>574</v>
      </c>
      <c r="H4614" s="23" t="s">
        <v>27</v>
      </c>
      <c r="I4614" s="23" t="s">
        <v>569</v>
      </c>
      <c r="J4614" s="14" t="s">
        <v>29</v>
      </c>
      <c r="K4614" s="15" t="s">
        <v>30</v>
      </c>
      <c r="L4614" s="87"/>
      <c r="M4614" s="14"/>
      <c r="N4614" s="14" t="s">
        <v>41</v>
      </c>
      <c r="O4614" s="14"/>
      <c r="P4614" s="15" t="s">
        <v>4631</v>
      </c>
      <c r="Q4614" s="16">
        <v>3999</v>
      </c>
      <c r="R4614" s="17">
        <v>45</v>
      </c>
      <c r="S4614" s="18">
        <v>2529.3674999999994</v>
      </c>
      <c r="T4614" s="19" t="s">
        <v>117</v>
      </c>
      <c r="U4614" s="20" t="s">
        <v>35</v>
      </c>
      <c r="V4614" s="21">
        <v>116</v>
      </c>
      <c r="W4614" s="21">
        <v>2</v>
      </c>
      <c r="X4614" s="22"/>
    </row>
    <row r="4615" spans="1:24" s="1" customFormat="1" ht="11.1" customHeight="1" x14ac:dyDescent="0.3">
      <c r="A4615" s="23" t="s">
        <v>3014</v>
      </c>
      <c r="B4615" s="23" t="s">
        <v>4628</v>
      </c>
      <c r="C4615" s="12" t="s">
        <v>4629</v>
      </c>
      <c r="D4615" s="84"/>
      <c r="E4615" s="69" t="str">
        <f t="shared" si="238"/>
        <v>Еще фото</v>
      </c>
      <c r="F4615" s="13"/>
      <c r="G4615" s="23" t="s">
        <v>574</v>
      </c>
      <c r="H4615" s="23" t="s">
        <v>27</v>
      </c>
      <c r="I4615" s="23" t="s">
        <v>569</v>
      </c>
      <c r="J4615" s="14" t="s">
        <v>29</v>
      </c>
      <c r="K4615" s="15" t="s">
        <v>30</v>
      </c>
      <c r="L4615" s="87"/>
      <c r="M4615" s="14"/>
      <c r="N4615" s="14" t="s">
        <v>41</v>
      </c>
      <c r="O4615" s="14"/>
      <c r="P4615" s="15" t="s">
        <v>4631</v>
      </c>
      <c r="Q4615" s="16">
        <v>3999</v>
      </c>
      <c r="R4615" s="17">
        <v>45</v>
      </c>
      <c r="S4615" s="18">
        <v>2529.3674999999994</v>
      </c>
      <c r="T4615" s="19" t="s">
        <v>117</v>
      </c>
      <c r="U4615" s="20" t="s">
        <v>36</v>
      </c>
      <c r="V4615" s="21">
        <v>122</v>
      </c>
      <c r="W4615" s="21">
        <v>1</v>
      </c>
      <c r="X4615" s="22"/>
    </row>
    <row r="4616" spans="1:24" s="1" customFormat="1" ht="11.1" customHeight="1" x14ac:dyDescent="0.3">
      <c r="A4616" s="23" t="s">
        <v>3014</v>
      </c>
      <c r="B4616" s="23" t="s">
        <v>4628</v>
      </c>
      <c r="C4616" s="12" t="s">
        <v>4629</v>
      </c>
      <c r="D4616" s="84"/>
      <c r="E4616" s="69" t="str">
        <f t="shared" si="238"/>
        <v>Еще фото</v>
      </c>
      <c r="F4616" s="13"/>
      <c r="G4616" s="23" t="s">
        <v>574</v>
      </c>
      <c r="H4616" s="23" t="s">
        <v>27</v>
      </c>
      <c r="I4616" s="23" t="s">
        <v>569</v>
      </c>
      <c r="J4616" s="14" t="s">
        <v>29</v>
      </c>
      <c r="K4616" s="15" t="s">
        <v>30</v>
      </c>
      <c r="L4616" s="87"/>
      <c r="M4616" s="14"/>
      <c r="N4616" s="14" t="s">
        <v>41</v>
      </c>
      <c r="O4616" s="14"/>
      <c r="P4616" s="15" t="s">
        <v>4631</v>
      </c>
      <c r="Q4616" s="16">
        <v>3999</v>
      </c>
      <c r="R4616" s="17">
        <v>45</v>
      </c>
      <c r="S4616" s="18">
        <v>2529.3674999999994</v>
      </c>
      <c r="T4616" s="19" t="s">
        <v>117</v>
      </c>
      <c r="U4616" s="20" t="s">
        <v>91</v>
      </c>
      <c r="V4616" s="21">
        <v>134</v>
      </c>
      <c r="W4616" s="21">
        <v>4</v>
      </c>
      <c r="X4616" s="22"/>
    </row>
    <row r="4617" spans="1:24" s="1" customFormat="1" ht="11.1" customHeight="1" x14ac:dyDescent="0.3">
      <c r="A4617" s="23" t="s">
        <v>3014</v>
      </c>
      <c r="B4617" s="23" t="s">
        <v>4628</v>
      </c>
      <c r="C4617" s="12" t="s">
        <v>4629</v>
      </c>
      <c r="D4617" s="84"/>
      <c r="E4617" s="69" t="str">
        <f t="shared" si="238"/>
        <v>Еще фото</v>
      </c>
      <c r="F4617" s="13"/>
      <c r="G4617" s="23" t="s">
        <v>574</v>
      </c>
      <c r="H4617" s="23" t="s">
        <v>27</v>
      </c>
      <c r="I4617" s="23" t="s">
        <v>569</v>
      </c>
      <c r="J4617" s="14" t="s">
        <v>29</v>
      </c>
      <c r="K4617" s="15" t="s">
        <v>30</v>
      </c>
      <c r="L4617" s="87"/>
      <c r="M4617" s="14"/>
      <c r="N4617" s="14" t="s">
        <v>41</v>
      </c>
      <c r="O4617" s="14"/>
      <c r="P4617" s="15" t="s">
        <v>4631</v>
      </c>
      <c r="Q4617" s="16">
        <v>3999</v>
      </c>
      <c r="R4617" s="17">
        <v>45</v>
      </c>
      <c r="S4617" s="18">
        <v>2529.3674999999994</v>
      </c>
      <c r="T4617" s="19" t="s">
        <v>117</v>
      </c>
      <c r="U4617" s="20" t="s">
        <v>290</v>
      </c>
      <c r="V4617" s="21">
        <v>140</v>
      </c>
      <c r="W4617" s="21">
        <v>4</v>
      </c>
      <c r="X4617" s="22"/>
    </row>
    <row r="4618" spans="1:24" s="1" customFormat="1" ht="11.1" customHeight="1" x14ac:dyDescent="0.3">
      <c r="A4618" s="23" t="s">
        <v>3014</v>
      </c>
      <c r="B4618" s="23" t="s">
        <v>4628</v>
      </c>
      <c r="C4618" s="12" t="s">
        <v>4629</v>
      </c>
      <c r="D4618" s="84"/>
      <c r="E4618" s="69" t="str">
        <f t="shared" si="238"/>
        <v>Еще фото</v>
      </c>
      <c r="F4618" s="13"/>
      <c r="G4618" s="23" t="s">
        <v>574</v>
      </c>
      <c r="H4618" s="23" t="s">
        <v>27</v>
      </c>
      <c r="I4618" s="23" t="s">
        <v>569</v>
      </c>
      <c r="J4618" s="14" t="s">
        <v>29</v>
      </c>
      <c r="K4618" s="15" t="s">
        <v>30</v>
      </c>
      <c r="L4618" s="87"/>
      <c r="M4618" s="14"/>
      <c r="N4618" s="14" t="s">
        <v>41</v>
      </c>
      <c r="O4618" s="14"/>
      <c r="P4618" s="15" t="s">
        <v>4631</v>
      </c>
      <c r="Q4618" s="16">
        <v>3999</v>
      </c>
      <c r="R4618" s="17">
        <v>45</v>
      </c>
      <c r="S4618" s="18">
        <v>2529.3674999999994</v>
      </c>
      <c r="T4618" s="19" t="s">
        <v>117</v>
      </c>
      <c r="U4618" s="20" t="s">
        <v>2993</v>
      </c>
      <c r="V4618" s="21">
        <v>146</v>
      </c>
      <c r="W4618" s="21">
        <v>1</v>
      </c>
      <c r="X4618" s="22"/>
    </row>
    <row r="4619" spans="1:24" s="1" customFormat="1" ht="11.1" customHeight="1" x14ac:dyDescent="0.3">
      <c r="A4619" s="23" t="s">
        <v>3014</v>
      </c>
      <c r="B4619" s="23" t="s">
        <v>4628</v>
      </c>
      <c r="C4619" s="12" t="s">
        <v>4629</v>
      </c>
      <c r="D4619" s="84"/>
      <c r="E4619" s="69" t="str">
        <f t="shared" si="238"/>
        <v>Еще фото</v>
      </c>
      <c r="F4619" s="13"/>
      <c r="G4619" s="23" t="s">
        <v>574</v>
      </c>
      <c r="H4619" s="23" t="s">
        <v>27</v>
      </c>
      <c r="I4619" s="23" t="s">
        <v>569</v>
      </c>
      <c r="J4619" s="14" t="s">
        <v>29</v>
      </c>
      <c r="K4619" s="15" t="s">
        <v>30</v>
      </c>
      <c r="L4619" s="87"/>
      <c r="M4619" s="14"/>
      <c r="N4619" s="14" t="s">
        <v>41</v>
      </c>
      <c r="O4619" s="14"/>
      <c r="P4619" s="15" t="s">
        <v>4631</v>
      </c>
      <c r="Q4619" s="16">
        <v>3999</v>
      </c>
      <c r="R4619" s="17">
        <v>45</v>
      </c>
      <c r="S4619" s="18">
        <v>2529.3674999999994</v>
      </c>
      <c r="T4619" s="19" t="s">
        <v>117</v>
      </c>
      <c r="U4619" s="20" t="s">
        <v>2160</v>
      </c>
      <c r="V4619" s="21">
        <v>152</v>
      </c>
      <c r="W4619" s="21">
        <v>3</v>
      </c>
      <c r="X4619" s="22"/>
    </row>
    <row r="4620" spans="1:24" s="1" customFormat="1" ht="11.1" customHeight="1" x14ac:dyDescent="0.3">
      <c r="A4620" s="23" t="s">
        <v>3014</v>
      </c>
      <c r="B4620" s="23" t="s">
        <v>4628</v>
      </c>
      <c r="C4620" s="12" t="s">
        <v>4629</v>
      </c>
      <c r="D4620" s="84"/>
      <c r="E4620" s="69" t="str">
        <f t="shared" si="238"/>
        <v>Еще фото</v>
      </c>
      <c r="F4620" s="13"/>
      <c r="G4620" s="23" t="s">
        <v>574</v>
      </c>
      <c r="H4620" s="23" t="s">
        <v>27</v>
      </c>
      <c r="I4620" s="23" t="s">
        <v>569</v>
      </c>
      <c r="J4620" s="14" t="s">
        <v>29</v>
      </c>
      <c r="K4620" s="15" t="s">
        <v>30</v>
      </c>
      <c r="L4620" s="87"/>
      <c r="M4620" s="14"/>
      <c r="N4620" s="14" t="s">
        <v>41</v>
      </c>
      <c r="O4620" s="14"/>
      <c r="P4620" s="15" t="s">
        <v>4631</v>
      </c>
      <c r="Q4620" s="16">
        <v>3999</v>
      </c>
      <c r="R4620" s="17">
        <v>45</v>
      </c>
      <c r="S4620" s="18">
        <v>2529.3674999999994</v>
      </c>
      <c r="T4620" s="19" t="s">
        <v>117</v>
      </c>
      <c r="U4620" s="20" t="s">
        <v>3088</v>
      </c>
      <c r="V4620" s="21">
        <v>158</v>
      </c>
      <c r="W4620" s="21">
        <v>2</v>
      </c>
      <c r="X4620" s="22"/>
    </row>
    <row r="4621" spans="1:24" s="1" customFormat="1" ht="11.1" customHeight="1" x14ac:dyDescent="0.3">
      <c r="A4621" s="14" t="s">
        <v>3014</v>
      </c>
      <c r="B4621" s="14" t="s">
        <v>4628</v>
      </c>
      <c r="C4621" s="12" t="s">
        <v>4629</v>
      </c>
      <c r="D4621" s="85"/>
      <c r="E4621" s="69" t="str">
        <f t="shared" si="238"/>
        <v>Еще фото</v>
      </c>
      <c r="F4621" s="36"/>
      <c r="G4621" s="14" t="s">
        <v>574</v>
      </c>
      <c r="H4621" s="14" t="s">
        <v>27</v>
      </c>
      <c r="I4621" s="14" t="s">
        <v>569</v>
      </c>
      <c r="J4621" s="14" t="s">
        <v>29</v>
      </c>
      <c r="K4621" s="14" t="s">
        <v>30</v>
      </c>
      <c r="L4621" s="88"/>
      <c r="M4621" s="14"/>
      <c r="N4621" s="14" t="s">
        <v>41</v>
      </c>
      <c r="O4621" s="14"/>
      <c r="P4621" s="14" t="s">
        <v>4631</v>
      </c>
      <c r="Q4621" s="33">
        <v>3999</v>
      </c>
      <c r="R4621" s="34">
        <v>45</v>
      </c>
      <c r="S4621" s="35">
        <v>2529.3674999999994</v>
      </c>
      <c r="T4621" s="19" t="s">
        <v>117</v>
      </c>
      <c r="U4621" s="20" t="s">
        <v>2161</v>
      </c>
      <c r="V4621" s="21">
        <v>164</v>
      </c>
      <c r="W4621" s="21">
        <v>4</v>
      </c>
      <c r="X4621" s="22"/>
    </row>
    <row r="4622" spans="1:24" s="1" customFormat="1" ht="11.1" customHeight="1" x14ac:dyDescent="0.3">
      <c r="A4622" s="11" t="s">
        <v>3014</v>
      </c>
      <c r="B4622" s="11" t="s">
        <v>4628</v>
      </c>
      <c r="C4622" s="12" t="s">
        <v>4632</v>
      </c>
      <c r="D4622" s="83"/>
      <c r="E4622" s="69" t="str">
        <f t="shared" ref="E4622:E4631" si="239">HYPERLINK("https://www.google.ru/search?q=7200029A-2151&amp;newwindow=1&amp;tbm=isch","Еще фото")</f>
        <v>Еще фото</v>
      </c>
      <c r="F4622" s="13"/>
      <c r="G4622" s="11" t="s">
        <v>574</v>
      </c>
      <c r="H4622" s="11" t="s">
        <v>27</v>
      </c>
      <c r="I4622" s="14" t="s">
        <v>569</v>
      </c>
      <c r="J4622" s="14" t="s">
        <v>29</v>
      </c>
      <c r="K4622" s="15" t="s">
        <v>30</v>
      </c>
      <c r="L4622" s="86" t="s">
        <v>4630</v>
      </c>
      <c r="M4622" s="14"/>
      <c r="N4622" s="14" t="s">
        <v>313</v>
      </c>
      <c r="O4622" s="14"/>
      <c r="P4622" s="15" t="s">
        <v>4631</v>
      </c>
      <c r="Q4622" s="16">
        <v>3999</v>
      </c>
      <c r="R4622" s="17">
        <v>45</v>
      </c>
      <c r="S4622" s="18">
        <v>2529.3674999999994</v>
      </c>
      <c r="T4622" s="19" t="s">
        <v>117</v>
      </c>
      <c r="U4622" s="20" t="s">
        <v>94</v>
      </c>
      <c r="V4622" s="21">
        <v>104</v>
      </c>
      <c r="W4622" s="21">
        <v>2</v>
      </c>
      <c r="X4622" s="22"/>
    </row>
    <row r="4623" spans="1:24" s="1" customFormat="1" ht="11.1" customHeight="1" x14ac:dyDescent="0.3">
      <c r="A4623" s="23" t="s">
        <v>3014</v>
      </c>
      <c r="B4623" s="23" t="s">
        <v>4628</v>
      </c>
      <c r="C4623" s="12" t="s">
        <v>4632</v>
      </c>
      <c r="D4623" s="84"/>
      <c r="E4623" s="69" t="str">
        <f t="shared" si="239"/>
        <v>Еще фото</v>
      </c>
      <c r="F4623" s="13"/>
      <c r="G4623" s="23" t="s">
        <v>574</v>
      </c>
      <c r="H4623" s="23" t="s">
        <v>27</v>
      </c>
      <c r="I4623" s="23" t="s">
        <v>569</v>
      </c>
      <c r="J4623" s="14" t="s">
        <v>29</v>
      </c>
      <c r="K4623" s="15" t="s">
        <v>30</v>
      </c>
      <c r="L4623" s="87"/>
      <c r="M4623" s="14"/>
      <c r="N4623" s="14" t="s">
        <v>313</v>
      </c>
      <c r="O4623" s="14"/>
      <c r="P4623" s="15" t="s">
        <v>4631</v>
      </c>
      <c r="Q4623" s="16">
        <v>3999</v>
      </c>
      <c r="R4623" s="17">
        <v>45</v>
      </c>
      <c r="S4623" s="18">
        <v>2529.3674999999994</v>
      </c>
      <c r="T4623" s="19" t="s">
        <v>117</v>
      </c>
      <c r="U4623" s="20" t="s">
        <v>43</v>
      </c>
      <c r="V4623" s="21">
        <v>110</v>
      </c>
      <c r="W4623" s="21">
        <v>1</v>
      </c>
      <c r="X4623" s="22"/>
    </row>
    <row r="4624" spans="1:24" s="1" customFormat="1" ht="11.1" customHeight="1" x14ac:dyDescent="0.3">
      <c r="A4624" s="23" t="s">
        <v>3014</v>
      </c>
      <c r="B4624" s="23" t="s">
        <v>4628</v>
      </c>
      <c r="C4624" s="12" t="s">
        <v>4632</v>
      </c>
      <c r="D4624" s="84"/>
      <c r="E4624" s="69" t="str">
        <f t="shared" si="239"/>
        <v>Еще фото</v>
      </c>
      <c r="F4624" s="13"/>
      <c r="G4624" s="23" t="s">
        <v>574</v>
      </c>
      <c r="H4624" s="23" t="s">
        <v>27</v>
      </c>
      <c r="I4624" s="23" t="s">
        <v>569</v>
      </c>
      <c r="J4624" s="14" t="s">
        <v>29</v>
      </c>
      <c r="K4624" s="15" t="s">
        <v>30</v>
      </c>
      <c r="L4624" s="87"/>
      <c r="M4624" s="14"/>
      <c r="N4624" s="14" t="s">
        <v>313</v>
      </c>
      <c r="O4624" s="14"/>
      <c r="P4624" s="15" t="s">
        <v>4631</v>
      </c>
      <c r="Q4624" s="16">
        <v>3999</v>
      </c>
      <c r="R4624" s="17">
        <v>45</v>
      </c>
      <c r="S4624" s="18">
        <v>2529.3674999999994</v>
      </c>
      <c r="T4624" s="19" t="s">
        <v>117</v>
      </c>
      <c r="U4624" s="20" t="s">
        <v>35</v>
      </c>
      <c r="V4624" s="21">
        <v>116</v>
      </c>
      <c r="W4624" s="21">
        <v>2</v>
      </c>
      <c r="X4624" s="22"/>
    </row>
    <row r="4625" spans="1:24" s="1" customFormat="1" ht="11.1" customHeight="1" x14ac:dyDescent="0.3">
      <c r="A4625" s="23" t="s">
        <v>3014</v>
      </c>
      <c r="B4625" s="23" t="s">
        <v>4628</v>
      </c>
      <c r="C4625" s="12" t="s">
        <v>4632</v>
      </c>
      <c r="D4625" s="84"/>
      <c r="E4625" s="69" t="str">
        <f t="shared" si="239"/>
        <v>Еще фото</v>
      </c>
      <c r="F4625" s="13"/>
      <c r="G4625" s="23" t="s">
        <v>574</v>
      </c>
      <c r="H4625" s="23" t="s">
        <v>27</v>
      </c>
      <c r="I4625" s="23" t="s">
        <v>569</v>
      </c>
      <c r="J4625" s="14" t="s">
        <v>29</v>
      </c>
      <c r="K4625" s="15" t="s">
        <v>30</v>
      </c>
      <c r="L4625" s="87"/>
      <c r="M4625" s="14"/>
      <c r="N4625" s="14" t="s">
        <v>313</v>
      </c>
      <c r="O4625" s="14"/>
      <c r="P4625" s="15" t="s">
        <v>4631</v>
      </c>
      <c r="Q4625" s="16">
        <v>3999</v>
      </c>
      <c r="R4625" s="17">
        <v>45</v>
      </c>
      <c r="S4625" s="18">
        <v>2529.3674999999994</v>
      </c>
      <c r="T4625" s="19" t="s">
        <v>117</v>
      </c>
      <c r="U4625" s="20" t="s">
        <v>36</v>
      </c>
      <c r="V4625" s="21">
        <v>122</v>
      </c>
      <c r="W4625" s="21">
        <v>2</v>
      </c>
      <c r="X4625" s="22"/>
    </row>
    <row r="4626" spans="1:24" s="1" customFormat="1" ht="11.1" customHeight="1" x14ac:dyDescent="0.3">
      <c r="A4626" s="23" t="s">
        <v>3014</v>
      </c>
      <c r="B4626" s="23" t="s">
        <v>4628</v>
      </c>
      <c r="C4626" s="12" t="s">
        <v>4632</v>
      </c>
      <c r="D4626" s="84"/>
      <c r="E4626" s="69" t="str">
        <f t="shared" si="239"/>
        <v>Еще фото</v>
      </c>
      <c r="F4626" s="13"/>
      <c r="G4626" s="23" t="s">
        <v>574</v>
      </c>
      <c r="H4626" s="23" t="s">
        <v>27</v>
      </c>
      <c r="I4626" s="23" t="s">
        <v>569</v>
      </c>
      <c r="J4626" s="14" t="s">
        <v>29</v>
      </c>
      <c r="K4626" s="15" t="s">
        <v>30</v>
      </c>
      <c r="L4626" s="87"/>
      <c r="M4626" s="14"/>
      <c r="N4626" s="14" t="s">
        <v>313</v>
      </c>
      <c r="O4626" s="14"/>
      <c r="P4626" s="15" t="s">
        <v>4631</v>
      </c>
      <c r="Q4626" s="16">
        <v>3999</v>
      </c>
      <c r="R4626" s="17">
        <v>45</v>
      </c>
      <c r="S4626" s="18">
        <v>2529.3674999999994</v>
      </c>
      <c r="T4626" s="19" t="s">
        <v>117</v>
      </c>
      <c r="U4626" s="20" t="s">
        <v>37</v>
      </c>
      <c r="V4626" s="21">
        <v>128</v>
      </c>
      <c r="W4626" s="21">
        <v>4</v>
      </c>
      <c r="X4626" s="22"/>
    </row>
    <row r="4627" spans="1:24" s="1" customFormat="1" ht="11.1" customHeight="1" x14ac:dyDescent="0.3">
      <c r="A4627" s="23" t="s">
        <v>3014</v>
      </c>
      <c r="B4627" s="23" t="s">
        <v>4628</v>
      </c>
      <c r="C4627" s="12" t="s">
        <v>4632</v>
      </c>
      <c r="D4627" s="84"/>
      <c r="E4627" s="69" t="str">
        <f t="shared" si="239"/>
        <v>Еще фото</v>
      </c>
      <c r="F4627" s="13"/>
      <c r="G4627" s="23" t="s">
        <v>574</v>
      </c>
      <c r="H4627" s="23" t="s">
        <v>27</v>
      </c>
      <c r="I4627" s="23" t="s">
        <v>569</v>
      </c>
      <c r="J4627" s="14" t="s">
        <v>29</v>
      </c>
      <c r="K4627" s="15" t="s">
        <v>30</v>
      </c>
      <c r="L4627" s="87"/>
      <c r="M4627" s="14"/>
      <c r="N4627" s="14" t="s">
        <v>313</v>
      </c>
      <c r="O4627" s="14"/>
      <c r="P4627" s="15" t="s">
        <v>4631</v>
      </c>
      <c r="Q4627" s="16">
        <v>3999</v>
      </c>
      <c r="R4627" s="17">
        <v>45</v>
      </c>
      <c r="S4627" s="18">
        <v>2529.3674999999994</v>
      </c>
      <c r="T4627" s="19" t="s">
        <v>117</v>
      </c>
      <c r="U4627" s="20" t="s">
        <v>290</v>
      </c>
      <c r="V4627" s="21">
        <v>140</v>
      </c>
      <c r="W4627" s="21">
        <v>3</v>
      </c>
      <c r="X4627" s="22"/>
    </row>
    <row r="4628" spans="1:24" s="1" customFormat="1" ht="11.1" customHeight="1" x14ac:dyDescent="0.3">
      <c r="A4628" s="23" t="s">
        <v>3014</v>
      </c>
      <c r="B4628" s="23" t="s">
        <v>4628</v>
      </c>
      <c r="C4628" s="12" t="s">
        <v>4632</v>
      </c>
      <c r="D4628" s="84"/>
      <c r="E4628" s="69" t="str">
        <f t="shared" si="239"/>
        <v>Еще фото</v>
      </c>
      <c r="F4628" s="13"/>
      <c r="G4628" s="23" t="s">
        <v>574</v>
      </c>
      <c r="H4628" s="23" t="s">
        <v>27</v>
      </c>
      <c r="I4628" s="23" t="s">
        <v>569</v>
      </c>
      <c r="J4628" s="14" t="s">
        <v>29</v>
      </c>
      <c r="K4628" s="15" t="s">
        <v>30</v>
      </c>
      <c r="L4628" s="87"/>
      <c r="M4628" s="14"/>
      <c r="N4628" s="14" t="s">
        <v>313</v>
      </c>
      <c r="O4628" s="14"/>
      <c r="P4628" s="15" t="s">
        <v>4631</v>
      </c>
      <c r="Q4628" s="16">
        <v>3999</v>
      </c>
      <c r="R4628" s="17">
        <v>45</v>
      </c>
      <c r="S4628" s="18">
        <v>2529.3674999999994</v>
      </c>
      <c r="T4628" s="19" t="s">
        <v>117</v>
      </c>
      <c r="U4628" s="20" t="s">
        <v>2993</v>
      </c>
      <c r="V4628" s="21">
        <v>146</v>
      </c>
      <c r="W4628" s="21">
        <v>3</v>
      </c>
      <c r="X4628" s="22"/>
    </row>
    <row r="4629" spans="1:24" s="1" customFormat="1" ht="11.1" customHeight="1" x14ac:dyDescent="0.3">
      <c r="A4629" s="23" t="s">
        <v>3014</v>
      </c>
      <c r="B4629" s="23" t="s">
        <v>4628</v>
      </c>
      <c r="C4629" s="12" t="s">
        <v>4632</v>
      </c>
      <c r="D4629" s="84"/>
      <c r="E4629" s="69" t="str">
        <f t="shared" si="239"/>
        <v>Еще фото</v>
      </c>
      <c r="F4629" s="13"/>
      <c r="G4629" s="23" t="s">
        <v>574</v>
      </c>
      <c r="H4629" s="23" t="s">
        <v>27</v>
      </c>
      <c r="I4629" s="23" t="s">
        <v>569</v>
      </c>
      <c r="J4629" s="14" t="s">
        <v>29</v>
      </c>
      <c r="K4629" s="15" t="s">
        <v>30</v>
      </c>
      <c r="L4629" s="87"/>
      <c r="M4629" s="14"/>
      <c r="N4629" s="14" t="s">
        <v>313</v>
      </c>
      <c r="O4629" s="14"/>
      <c r="P4629" s="15" t="s">
        <v>4631</v>
      </c>
      <c r="Q4629" s="16">
        <v>3999</v>
      </c>
      <c r="R4629" s="17">
        <v>45</v>
      </c>
      <c r="S4629" s="18">
        <v>2529.3674999999994</v>
      </c>
      <c r="T4629" s="19" t="s">
        <v>117</v>
      </c>
      <c r="U4629" s="20" t="s">
        <v>2160</v>
      </c>
      <c r="V4629" s="21">
        <v>152</v>
      </c>
      <c r="W4629" s="21">
        <v>4</v>
      </c>
      <c r="X4629" s="22"/>
    </row>
    <row r="4630" spans="1:24" s="1" customFormat="1" ht="11.1" customHeight="1" x14ac:dyDescent="0.3">
      <c r="A4630" s="23" t="s">
        <v>3014</v>
      </c>
      <c r="B4630" s="23" t="s">
        <v>4628</v>
      </c>
      <c r="C4630" s="12" t="s">
        <v>4632</v>
      </c>
      <c r="D4630" s="84"/>
      <c r="E4630" s="69" t="str">
        <f t="shared" si="239"/>
        <v>Еще фото</v>
      </c>
      <c r="F4630" s="13"/>
      <c r="G4630" s="23" t="s">
        <v>574</v>
      </c>
      <c r="H4630" s="23" t="s">
        <v>27</v>
      </c>
      <c r="I4630" s="23" t="s">
        <v>569</v>
      </c>
      <c r="J4630" s="14" t="s">
        <v>29</v>
      </c>
      <c r="K4630" s="15" t="s">
        <v>30</v>
      </c>
      <c r="L4630" s="87"/>
      <c r="M4630" s="14"/>
      <c r="N4630" s="14" t="s">
        <v>313</v>
      </c>
      <c r="O4630" s="14"/>
      <c r="P4630" s="15" t="s">
        <v>4631</v>
      </c>
      <c r="Q4630" s="16">
        <v>3999</v>
      </c>
      <c r="R4630" s="17">
        <v>45</v>
      </c>
      <c r="S4630" s="18">
        <v>2529.3674999999994</v>
      </c>
      <c r="T4630" s="19" t="s">
        <v>117</v>
      </c>
      <c r="U4630" s="20" t="s">
        <v>3088</v>
      </c>
      <c r="V4630" s="21">
        <v>158</v>
      </c>
      <c r="W4630" s="21">
        <v>2</v>
      </c>
      <c r="X4630" s="22"/>
    </row>
    <row r="4631" spans="1:24" s="1" customFormat="1" ht="11.1" customHeight="1" x14ac:dyDescent="0.3">
      <c r="A4631" s="14" t="s">
        <v>3014</v>
      </c>
      <c r="B4631" s="14" t="s">
        <v>4628</v>
      </c>
      <c r="C4631" s="12" t="s">
        <v>4632</v>
      </c>
      <c r="D4631" s="85"/>
      <c r="E4631" s="69" t="str">
        <f t="shared" si="239"/>
        <v>Еще фото</v>
      </c>
      <c r="F4631" s="36"/>
      <c r="G4631" s="14" t="s">
        <v>574</v>
      </c>
      <c r="H4631" s="14" t="s">
        <v>27</v>
      </c>
      <c r="I4631" s="14" t="s">
        <v>569</v>
      </c>
      <c r="J4631" s="14" t="s">
        <v>29</v>
      </c>
      <c r="K4631" s="14" t="s">
        <v>30</v>
      </c>
      <c r="L4631" s="88"/>
      <c r="M4631" s="14"/>
      <c r="N4631" s="14" t="s">
        <v>313</v>
      </c>
      <c r="O4631" s="14"/>
      <c r="P4631" s="14" t="s">
        <v>4631</v>
      </c>
      <c r="Q4631" s="33">
        <v>3999</v>
      </c>
      <c r="R4631" s="34">
        <v>45</v>
      </c>
      <c r="S4631" s="35">
        <v>2529.3674999999994</v>
      </c>
      <c r="T4631" s="19" t="s">
        <v>117</v>
      </c>
      <c r="U4631" s="20" t="s">
        <v>2161</v>
      </c>
      <c r="V4631" s="21">
        <v>164</v>
      </c>
      <c r="W4631" s="21">
        <v>4</v>
      </c>
      <c r="X4631" s="22"/>
    </row>
    <row r="4632" spans="1:24" s="1" customFormat="1" ht="11.1" customHeight="1" x14ac:dyDescent="0.3">
      <c r="A4632" s="11" t="s">
        <v>3014</v>
      </c>
      <c r="B4632" s="11" t="s">
        <v>4628</v>
      </c>
      <c r="C4632" s="12" t="s">
        <v>4633</v>
      </c>
      <c r="D4632" s="83"/>
      <c r="E4632" s="69" t="str">
        <f t="shared" ref="E4632:E4642" si="240">HYPERLINK("https://www.google.ru/search?q=7200029A-5451&amp;newwindow=1&amp;tbm=isch","Еще фото")</f>
        <v>Еще фото</v>
      </c>
      <c r="F4632" s="13"/>
      <c r="G4632" s="11" t="s">
        <v>574</v>
      </c>
      <c r="H4632" s="11" t="s">
        <v>27</v>
      </c>
      <c r="I4632" s="14" t="s">
        <v>569</v>
      </c>
      <c r="J4632" s="14" t="s">
        <v>29</v>
      </c>
      <c r="K4632" s="15" t="s">
        <v>30</v>
      </c>
      <c r="L4632" s="86" t="s">
        <v>4630</v>
      </c>
      <c r="M4632" s="14"/>
      <c r="N4632" s="14" t="s">
        <v>576</v>
      </c>
      <c r="O4632" s="14"/>
      <c r="P4632" s="15" t="s">
        <v>4631</v>
      </c>
      <c r="Q4632" s="16">
        <v>3999</v>
      </c>
      <c r="R4632" s="17">
        <v>45</v>
      </c>
      <c r="S4632" s="18">
        <v>2529.3674999999994</v>
      </c>
      <c r="T4632" s="19" t="s">
        <v>117</v>
      </c>
      <c r="U4632" s="20" t="s">
        <v>94</v>
      </c>
      <c r="V4632" s="21">
        <v>104</v>
      </c>
      <c r="W4632" s="21">
        <v>1</v>
      </c>
      <c r="X4632" s="22"/>
    </row>
    <row r="4633" spans="1:24" s="1" customFormat="1" ht="11.1" customHeight="1" x14ac:dyDescent="0.3">
      <c r="A4633" s="23" t="s">
        <v>3014</v>
      </c>
      <c r="B4633" s="23" t="s">
        <v>4628</v>
      </c>
      <c r="C4633" s="12" t="s">
        <v>4633</v>
      </c>
      <c r="D4633" s="84"/>
      <c r="E4633" s="69" t="str">
        <f t="shared" si="240"/>
        <v>Еще фото</v>
      </c>
      <c r="F4633" s="13"/>
      <c r="G4633" s="23" t="s">
        <v>574</v>
      </c>
      <c r="H4633" s="23" t="s">
        <v>27</v>
      </c>
      <c r="I4633" s="23" t="s">
        <v>569</v>
      </c>
      <c r="J4633" s="14" t="s">
        <v>29</v>
      </c>
      <c r="K4633" s="15" t="s">
        <v>30</v>
      </c>
      <c r="L4633" s="87"/>
      <c r="M4633" s="14"/>
      <c r="N4633" s="14" t="s">
        <v>576</v>
      </c>
      <c r="O4633" s="14"/>
      <c r="P4633" s="15" t="s">
        <v>4631</v>
      </c>
      <c r="Q4633" s="16">
        <v>3999</v>
      </c>
      <c r="R4633" s="17">
        <v>45</v>
      </c>
      <c r="S4633" s="18">
        <v>2529.3674999999994</v>
      </c>
      <c r="T4633" s="19" t="s">
        <v>117</v>
      </c>
      <c r="U4633" s="20" t="s">
        <v>43</v>
      </c>
      <c r="V4633" s="21">
        <v>110</v>
      </c>
      <c r="W4633" s="21">
        <v>2</v>
      </c>
      <c r="X4633" s="22"/>
    </row>
    <row r="4634" spans="1:24" s="1" customFormat="1" ht="11.1" customHeight="1" x14ac:dyDescent="0.3">
      <c r="A4634" s="23" t="s">
        <v>3014</v>
      </c>
      <c r="B4634" s="23" t="s">
        <v>4628</v>
      </c>
      <c r="C4634" s="12" t="s">
        <v>4633</v>
      </c>
      <c r="D4634" s="84"/>
      <c r="E4634" s="69" t="str">
        <f t="shared" si="240"/>
        <v>Еще фото</v>
      </c>
      <c r="F4634" s="13"/>
      <c r="G4634" s="23" t="s">
        <v>574</v>
      </c>
      <c r="H4634" s="23" t="s">
        <v>27</v>
      </c>
      <c r="I4634" s="23" t="s">
        <v>569</v>
      </c>
      <c r="J4634" s="14" t="s">
        <v>29</v>
      </c>
      <c r="K4634" s="15" t="s">
        <v>30</v>
      </c>
      <c r="L4634" s="87"/>
      <c r="M4634" s="14"/>
      <c r="N4634" s="14" t="s">
        <v>576</v>
      </c>
      <c r="O4634" s="14"/>
      <c r="P4634" s="15" t="s">
        <v>4631</v>
      </c>
      <c r="Q4634" s="16">
        <v>3999</v>
      </c>
      <c r="R4634" s="17">
        <v>45</v>
      </c>
      <c r="S4634" s="18">
        <v>2529.3674999999994</v>
      </c>
      <c r="T4634" s="19" t="s">
        <v>117</v>
      </c>
      <c r="U4634" s="20" t="s">
        <v>35</v>
      </c>
      <c r="V4634" s="21">
        <v>116</v>
      </c>
      <c r="W4634" s="21">
        <v>2</v>
      </c>
      <c r="X4634" s="22"/>
    </row>
    <row r="4635" spans="1:24" s="1" customFormat="1" ht="11.1" customHeight="1" x14ac:dyDescent="0.3">
      <c r="A4635" s="23" t="s">
        <v>3014</v>
      </c>
      <c r="B4635" s="23" t="s">
        <v>4628</v>
      </c>
      <c r="C4635" s="12" t="s">
        <v>4633</v>
      </c>
      <c r="D4635" s="84"/>
      <c r="E4635" s="69" t="str">
        <f t="shared" si="240"/>
        <v>Еще фото</v>
      </c>
      <c r="F4635" s="13"/>
      <c r="G4635" s="23" t="s">
        <v>574</v>
      </c>
      <c r="H4635" s="23" t="s">
        <v>27</v>
      </c>
      <c r="I4635" s="23" t="s">
        <v>569</v>
      </c>
      <c r="J4635" s="14" t="s">
        <v>29</v>
      </c>
      <c r="K4635" s="15" t="s">
        <v>30</v>
      </c>
      <c r="L4635" s="87"/>
      <c r="M4635" s="14"/>
      <c r="N4635" s="14" t="s">
        <v>576</v>
      </c>
      <c r="O4635" s="14"/>
      <c r="P4635" s="15" t="s">
        <v>4631</v>
      </c>
      <c r="Q4635" s="16">
        <v>3999</v>
      </c>
      <c r="R4635" s="17">
        <v>45</v>
      </c>
      <c r="S4635" s="18">
        <v>2529.3674999999994</v>
      </c>
      <c r="T4635" s="19" t="s">
        <v>117</v>
      </c>
      <c r="U4635" s="20" t="s">
        <v>36</v>
      </c>
      <c r="V4635" s="21">
        <v>122</v>
      </c>
      <c r="W4635" s="21">
        <v>2</v>
      </c>
      <c r="X4635" s="22"/>
    </row>
    <row r="4636" spans="1:24" s="1" customFormat="1" ht="11.1" customHeight="1" x14ac:dyDescent="0.3">
      <c r="A4636" s="23" t="s">
        <v>3014</v>
      </c>
      <c r="B4636" s="23" t="s">
        <v>4628</v>
      </c>
      <c r="C4636" s="12" t="s">
        <v>4633</v>
      </c>
      <c r="D4636" s="84"/>
      <c r="E4636" s="69" t="str">
        <f t="shared" si="240"/>
        <v>Еще фото</v>
      </c>
      <c r="F4636" s="13"/>
      <c r="G4636" s="23" t="s">
        <v>574</v>
      </c>
      <c r="H4636" s="23" t="s">
        <v>27</v>
      </c>
      <c r="I4636" s="23" t="s">
        <v>569</v>
      </c>
      <c r="J4636" s="14" t="s">
        <v>29</v>
      </c>
      <c r="K4636" s="15" t="s">
        <v>30</v>
      </c>
      <c r="L4636" s="87"/>
      <c r="M4636" s="14"/>
      <c r="N4636" s="14" t="s">
        <v>576</v>
      </c>
      <c r="O4636" s="14"/>
      <c r="P4636" s="15" t="s">
        <v>4631</v>
      </c>
      <c r="Q4636" s="16">
        <v>3999</v>
      </c>
      <c r="R4636" s="17">
        <v>45</v>
      </c>
      <c r="S4636" s="18">
        <v>2529.3674999999994</v>
      </c>
      <c r="T4636" s="19" t="s">
        <v>117</v>
      </c>
      <c r="U4636" s="20" t="s">
        <v>37</v>
      </c>
      <c r="V4636" s="21">
        <v>128</v>
      </c>
      <c r="W4636" s="21">
        <v>4</v>
      </c>
      <c r="X4636" s="22"/>
    </row>
    <row r="4637" spans="1:24" s="1" customFormat="1" ht="11.1" customHeight="1" x14ac:dyDescent="0.3">
      <c r="A4637" s="23" t="s">
        <v>3014</v>
      </c>
      <c r="B4637" s="23" t="s">
        <v>4628</v>
      </c>
      <c r="C4637" s="12" t="s">
        <v>4633</v>
      </c>
      <c r="D4637" s="84"/>
      <c r="E4637" s="69" t="str">
        <f t="shared" si="240"/>
        <v>Еще фото</v>
      </c>
      <c r="F4637" s="13"/>
      <c r="G4637" s="23" t="s">
        <v>574</v>
      </c>
      <c r="H4637" s="23" t="s">
        <v>27</v>
      </c>
      <c r="I4637" s="23" t="s">
        <v>569</v>
      </c>
      <c r="J4637" s="14" t="s">
        <v>29</v>
      </c>
      <c r="K4637" s="15" t="s">
        <v>30</v>
      </c>
      <c r="L4637" s="87"/>
      <c r="M4637" s="14"/>
      <c r="N4637" s="14" t="s">
        <v>576</v>
      </c>
      <c r="O4637" s="14"/>
      <c r="P4637" s="15" t="s">
        <v>4631</v>
      </c>
      <c r="Q4637" s="16">
        <v>3999</v>
      </c>
      <c r="R4637" s="17">
        <v>45</v>
      </c>
      <c r="S4637" s="18">
        <v>2529.3674999999994</v>
      </c>
      <c r="T4637" s="19" t="s">
        <v>117</v>
      </c>
      <c r="U4637" s="20" t="s">
        <v>91</v>
      </c>
      <c r="V4637" s="21">
        <v>134</v>
      </c>
      <c r="W4637" s="21">
        <v>1</v>
      </c>
      <c r="X4637" s="22"/>
    </row>
    <row r="4638" spans="1:24" s="1" customFormat="1" ht="11.1" customHeight="1" x14ac:dyDescent="0.3">
      <c r="A4638" s="23" t="s">
        <v>3014</v>
      </c>
      <c r="B4638" s="23" t="s">
        <v>4628</v>
      </c>
      <c r="C4638" s="12" t="s">
        <v>4633</v>
      </c>
      <c r="D4638" s="84"/>
      <c r="E4638" s="69" t="str">
        <f t="shared" si="240"/>
        <v>Еще фото</v>
      </c>
      <c r="F4638" s="13"/>
      <c r="G4638" s="23" t="s">
        <v>574</v>
      </c>
      <c r="H4638" s="23" t="s">
        <v>27</v>
      </c>
      <c r="I4638" s="23" t="s">
        <v>569</v>
      </c>
      <c r="J4638" s="14" t="s">
        <v>29</v>
      </c>
      <c r="K4638" s="15" t="s">
        <v>30</v>
      </c>
      <c r="L4638" s="87"/>
      <c r="M4638" s="14"/>
      <c r="N4638" s="14" t="s">
        <v>576</v>
      </c>
      <c r="O4638" s="14"/>
      <c r="P4638" s="15" t="s">
        <v>4631</v>
      </c>
      <c r="Q4638" s="16">
        <v>3999</v>
      </c>
      <c r="R4638" s="17">
        <v>45</v>
      </c>
      <c r="S4638" s="18">
        <v>2529.3674999999994</v>
      </c>
      <c r="T4638" s="19" t="s">
        <v>117</v>
      </c>
      <c r="U4638" s="20" t="s">
        <v>290</v>
      </c>
      <c r="V4638" s="21">
        <v>140</v>
      </c>
      <c r="W4638" s="21">
        <v>3</v>
      </c>
      <c r="X4638" s="22"/>
    </row>
    <row r="4639" spans="1:24" s="1" customFormat="1" ht="11.1" customHeight="1" x14ac:dyDescent="0.3">
      <c r="A4639" s="23" t="s">
        <v>3014</v>
      </c>
      <c r="B4639" s="23" t="s">
        <v>4628</v>
      </c>
      <c r="C4639" s="12" t="s">
        <v>4633</v>
      </c>
      <c r="D4639" s="84"/>
      <c r="E4639" s="69" t="str">
        <f t="shared" si="240"/>
        <v>Еще фото</v>
      </c>
      <c r="F4639" s="13"/>
      <c r="G4639" s="23" t="s">
        <v>574</v>
      </c>
      <c r="H4639" s="23" t="s">
        <v>27</v>
      </c>
      <c r="I4639" s="23" t="s">
        <v>569</v>
      </c>
      <c r="J4639" s="14" t="s">
        <v>29</v>
      </c>
      <c r="K4639" s="15" t="s">
        <v>30</v>
      </c>
      <c r="L4639" s="87"/>
      <c r="M4639" s="14"/>
      <c r="N4639" s="14" t="s">
        <v>576</v>
      </c>
      <c r="O4639" s="14"/>
      <c r="P4639" s="15" t="s">
        <v>4631</v>
      </c>
      <c r="Q4639" s="16">
        <v>3999</v>
      </c>
      <c r="R4639" s="17">
        <v>45</v>
      </c>
      <c r="S4639" s="18">
        <v>2529.3674999999994</v>
      </c>
      <c r="T4639" s="19" t="s">
        <v>117</v>
      </c>
      <c r="U4639" s="20" t="s">
        <v>2993</v>
      </c>
      <c r="V4639" s="21">
        <v>146</v>
      </c>
      <c r="W4639" s="21">
        <v>2</v>
      </c>
      <c r="X4639" s="22"/>
    </row>
    <row r="4640" spans="1:24" s="1" customFormat="1" ht="11.1" customHeight="1" x14ac:dyDescent="0.3">
      <c r="A4640" s="23" t="s">
        <v>3014</v>
      </c>
      <c r="B4640" s="23" t="s">
        <v>4628</v>
      </c>
      <c r="C4640" s="12" t="s">
        <v>4633</v>
      </c>
      <c r="D4640" s="84"/>
      <c r="E4640" s="69" t="str">
        <f t="shared" si="240"/>
        <v>Еще фото</v>
      </c>
      <c r="F4640" s="13"/>
      <c r="G4640" s="23" t="s">
        <v>574</v>
      </c>
      <c r="H4640" s="23" t="s">
        <v>27</v>
      </c>
      <c r="I4640" s="23" t="s">
        <v>569</v>
      </c>
      <c r="J4640" s="14" t="s">
        <v>29</v>
      </c>
      <c r="K4640" s="15" t="s">
        <v>30</v>
      </c>
      <c r="L4640" s="87"/>
      <c r="M4640" s="14"/>
      <c r="N4640" s="14" t="s">
        <v>576</v>
      </c>
      <c r="O4640" s="14"/>
      <c r="P4640" s="15" t="s">
        <v>4631</v>
      </c>
      <c r="Q4640" s="16">
        <v>3999</v>
      </c>
      <c r="R4640" s="17">
        <v>45</v>
      </c>
      <c r="S4640" s="18">
        <v>2529.3674999999994</v>
      </c>
      <c r="T4640" s="19" t="s">
        <v>117</v>
      </c>
      <c r="U4640" s="20" t="s">
        <v>2160</v>
      </c>
      <c r="V4640" s="21">
        <v>152</v>
      </c>
      <c r="W4640" s="21">
        <v>4</v>
      </c>
      <c r="X4640" s="22"/>
    </row>
    <row r="4641" spans="1:24" s="1" customFormat="1" ht="11.1" customHeight="1" x14ac:dyDescent="0.3">
      <c r="A4641" s="14" t="s">
        <v>3014</v>
      </c>
      <c r="B4641" s="14" t="s">
        <v>4628</v>
      </c>
      <c r="C4641" s="12" t="s">
        <v>4633</v>
      </c>
      <c r="D4641" s="84"/>
      <c r="E4641" s="69" t="str">
        <f t="shared" si="240"/>
        <v>Еще фото</v>
      </c>
      <c r="F4641" s="36"/>
      <c r="G4641" s="14" t="s">
        <v>574</v>
      </c>
      <c r="H4641" s="14" t="s">
        <v>27</v>
      </c>
      <c r="I4641" s="14" t="s">
        <v>569</v>
      </c>
      <c r="J4641" s="14" t="s">
        <v>29</v>
      </c>
      <c r="K4641" s="14" t="s">
        <v>30</v>
      </c>
      <c r="L4641" s="87"/>
      <c r="M4641" s="14"/>
      <c r="N4641" s="14" t="s">
        <v>576</v>
      </c>
      <c r="O4641" s="14"/>
      <c r="P4641" s="14" t="s">
        <v>4631</v>
      </c>
      <c r="Q4641" s="33">
        <v>3999</v>
      </c>
      <c r="R4641" s="34">
        <v>45</v>
      </c>
      <c r="S4641" s="35">
        <v>2529.3674999999994</v>
      </c>
      <c r="T4641" s="19" t="s">
        <v>117</v>
      </c>
      <c r="U4641" s="20" t="s">
        <v>3088</v>
      </c>
      <c r="V4641" s="21">
        <v>158</v>
      </c>
      <c r="W4641" s="21">
        <v>1</v>
      </c>
      <c r="X4641" s="22"/>
    </row>
    <row r="4642" spans="1:24" s="1" customFormat="1" ht="11.1" customHeight="1" x14ac:dyDescent="0.3">
      <c r="A4642" s="14" t="s">
        <v>3014</v>
      </c>
      <c r="B4642" s="14" t="s">
        <v>4628</v>
      </c>
      <c r="C4642" s="12" t="s">
        <v>4633</v>
      </c>
      <c r="D4642" s="85"/>
      <c r="E4642" s="69" t="str">
        <f t="shared" si="240"/>
        <v>Еще фото</v>
      </c>
      <c r="F4642" s="36"/>
      <c r="G4642" s="14" t="s">
        <v>574</v>
      </c>
      <c r="H4642" s="14" t="s">
        <v>27</v>
      </c>
      <c r="I4642" s="14" t="s">
        <v>569</v>
      </c>
      <c r="J4642" s="14" t="s">
        <v>29</v>
      </c>
      <c r="K4642" s="14" t="s">
        <v>30</v>
      </c>
      <c r="L4642" s="88"/>
      <c r="M4642" s="14"/>
      <c r="N4642" s="14" t="s">
        <v>576</v>
      </c>
      <c r="O4642" s="14"/>
      <c r="P4642" s="14" t="s">
        <v>4631</v>
      </c>
      <c r="Q4642" s="33">
        <v>3999</v>
      </c>
      <c r="R4642" s="34">
        <v>45</v>
      </c>
      <c r="S4642" s="35">
        <v>2529.3674999999994</v>
      </c>
      <c r="T4642" s="19" t="s">
        <v>117</v>
      </c>
      <c r="U4642" s="20" t="s">
        <v>2161</v>
      </c>
      <c r="V4642" s="21">
        <v>164</v>
      </c>
      <c r="W4642" s="21">
        <v>3</v>
      </c>
      <c r="X4642" s="22"/>
    </row>
    <row r="4643" spans="1:24" s="1" customFormat="1" ht="26.1" customHeight="1" x14ac:dyDescent="0.3">
      <c r="A4643" s="11" t="s">
        <v>3014</v>
      </c>
      <c r="B4643" s="11" t="s">
        <v>4634</v>
      </c>
      <c r="C4643" s="12" t="s">
        <v>4635</v>
      </c>
      <c r="D4643" s="83"/>
      <c r="E4643" s="69" t="str">
        <f>HYPERLINK("https://www.google.ru/search?q=72103221-2390&amp;newwindow=1&amp;tbm=isch","Еще фото")</f>
        <v>Еще фото</v>
      </c>
      <c r="F4643" s="13"/>
      <c r="G4643" s="11" t="s">
        <v>4636</v>
      </c>
      <c r="H4643" s="11" t="s">
        <v>27</v>
      </c>
      <c r="I4643" s="14" t="s">
        <v>569</v>
      </c>
      <c r="J4643" s="14" t="s">
        <v>138</v>
      </c>
      <c r="K4643" s="15" t="s">
        <v>30</v>
      </c>
      <c r="L4643" s="86" t="s">
        <v>4637</v>
      </c>
      <c r="M4643" s="14"/>
      <c r="N4643" s="14" t="s">
        <v>313</v>
      </c>
      <c r="O4643" s="14"/>
      <c r="P4643" s="15" t="s">
        <v>108</v>
      </c>
      <c r="Q4643" s="16">
        <v>5999</v>
      </c>
      <c r="R4643" s="17">
        <v>45</v>
      </c>
      <c r="S4643" s="18">
        <v>3794.3674999999994</v>
      </c>
      <c r="T4643" s="19" t="s">
        <v>117</v>
      </c>
      <c r="U4643" s="20" t="s">
        <v>94</v>
      </c>
      <c r="V4643" s="21">
        <v>104</v>
      </c>
      <c r="W4643" s="21">
        <v>2</v>
      </c>
      <c r="X4643" s="22"/>
    </row>
    <row r="4644" spans="1:24" s="1" customFormat="1" ht="26.1" customHeight="1" x14ac:dyDescent="0.3">
      <c r="A4644" s="23" t="s">
        <v>3014</v>
      </c>
      <c r="B4644" s="23" t="s">
        <v>4634</v>
      </c>
      <c r="C4644" s="12" t="s">
        <v>4635</v>
      </c>
      <c r="D4644" s="84"/>
      <c r="E4644" s="69" t="str">
        <f>HYPERLINK("https://www.google.ru/search?q=72103221-2390&amp;newwindow=1&amp;tbm=isch","Еще фото")</f>
        <v>Еще фото</v>
      </c>
      <c r="F4644" s="13"/>
      <c r="G4644" s="23" t="s">
        <v>4636</v>
      </c>
      <c r="H4644" s="23" t="s">
        <v>27</v>
      </c>
      <c r="I4644" s="23" t="s">
        <v>569</v>
      </c>
      <c r="J4644" s="14" t="s">
        <v>138</v>
      </c>
      <c r="K4644" s="15" t="s">
        <v>30</v>
      </c>
      <c r="L4644" s="87"/>
      <c r="M4644" s="14"/>
      <c r="N4644" s="14" t="s">
        <v>313</v>
      </c>
      <c r="O4644" s="14"/>
      <c r="P4644" s="15" t="s">
        <v>108</v>
      </c>
      <c r="Q4644" s="16">
        <v>5999</v>
      </c>
      <c r="R4644" s="17">
        <v>45</v>
      </c>
      <c r="S4644" s="18">
        <v>3794.3674999999994</v>
      </c>
      <c r="T4644" s="19" t="s">
        <v>117</v>
      </c>
      <c r="U4644" s="20" t="s">
        <v>43</v>
      </c>
      <c r="V4644" s="21">
        <v>110</v>
      </c>
      <c r="W4644" s="21">
        <v>5</v>
      </c>
      <c r="X4644" s="22"/>
    </row>
    <row r="4645" spans="1:24" s="1" customFormat="1" ht="26.1" customHeight="1" x14ac:dyDescent="0.3">
      <c r="A4645" s="23" t="s">
        <v>3014</v>
      </c>
      <c r="B4645" s="23" t="s">
        <v>4634</v>
      </c>
      <c r="C4645" s="12" t="s">
        <v>4635</v>
      </c>
      <c r="D4645" s="84"/>
      <c r="E4645" s="69" t="str">
        <f>HYPERLINK("https://www.google.ru/search?q=72103221-2390&amp;newwindow=1&amp;tbm=isch","Еще фото")</f>
        <v>Еще фото</v>
      </c>
      <c r="F4645" s="13"/>
      <c r="G4645" s="23" t="s">
        <v>4636</v>
      </c>
      <c r="H4645" s="23" t="s">
        <v>27</v>
      </c>
      <c r="I4645" s="23" t="s">
        <v>569</v>
      </c>
      <c r="J4645" s="14" t="s">
        <v>138</v>
      </c>
      <c r="K4645" s="15" t="s">
        <v>30</v>
      </c>
      <c r="L4645" s="87"/>
      <c r="M4645" s="14"/>
      <c r="N4645" s="14" t="s">
        <v>313</v>
      </c>
      <c r="O4645" s="14"/>
      <c r="P4645" s="15" t="s">
        <v>108</v>
      </c>
      <c r="Q4645" s="16">
        <v>5999</v>
      </c>
      <c r="R4645" s="17">
        <v>45</v>
      </c>
      <c r="S4645" s="18">
        <v>3794.3674999999994</v>
      </c>
      <c r="T4645" s="19" t="s">
        <v>117</v>
      </c>
      <c r="U4645" s="20" t="s">
        <v>35</v>
      </c>
      <c r="V4645" s="21">
        <v>116</v>
      </c>
      <c r="W4645" s="21">
        <v>6</v>
      </c>
      <c r="X4645" s="22"/>
    </row>
    <row r="4646" spans="1:24" s="1" customFormat="1" ht="26.1" customHeight="1" x14ac:dyDescent="0.3">
      <c r="A4646" s="23" t="s">
        <v>3014</v>
      </c>
      <c r="B4646" s="23" t="s">
        <v>4634</v>
      </c>
      <c r="C4646" s="12" t="s">
        <v>4635</v>
      </c>
      <c r="D4646" s="85"/>
      <c r="E4646" s="69" t="str">
        <f>HYPERLINK("https://www.google.ru/search?q=72103221-2390&amp;newwindow=1&amp;tbm=isch","Еще фото")</f>
        <v>Еще фото</v>
      </c>
      <c r="F4646" s="13"/>
      <c r="G4646" s="23" t="s">
        <v>4636</v>
      </c>
      <c r="H4646" s="23" t="s">
        <v>27</v>
      </c>
      <c r="I4646" s="23" t="s">
        <v>569</v>
      </c>
      <c r="J4646" s="14" t="s">
        <v>138</v>
      </c>
      <c r="K4646" s="15" t="s">
        <v>30</v>
      </c>
      <c r="L4646" s="88"/>
      <c r="M4646" s="14"/>
      <c r="N4646" s="14" t="s">
        <v>313</v>
      </c>
      <c r="O4646" s="14"/>
      <c r="P4646" s="15" t="s">
        <v>108</v>
      </c>
      <c r="Q4646" s="16">
        <v>5999</v>
      </c>
      <c r="R4646" s="17">
        <v>45</v>
      </c>
      <c r="S4646" s="18">
        <v>3794.3674999999994</v>
      </c>
      <c r="T4646" s="19" t="s">
        <v>117</v>
      </c>
      <c r="U4646" s="20" t="s">
        <v>36</v>
      </c>
      <c r="V4646" s="21">
        <v>122</v>
      </c>
      <c r="W4646" s="21">
        <v>4</v>
      </c>
      <c r="X4646" s="22"/>
    </row>
    <row r="4647" spans="1:24" s="1" customFormat="1" ht="26.1" customHeight="1" x14ac:dyDescent="0.3">
      <c r="A4647" s="11" t="s">
        <v>3014</v>
      </c>
      <c r="B4647" s="11" t="s">
        <v>4634</v>
      </c>
      <c r="C4647" s="12" t="s">
        <v>4638</v>
      </c>
      <c r="D4647" s="83"/>
      <c r="E4647" s="69" t="str">
        <f>HYPERLINK("https://www.google.ru/search?q=72103221-6590&amp;newwindow=1&amp;tbm=isch","Еще фото")</f>
        <v>Еще фото</v>
      </c>
      <c r="F4647" s="13"/>
      <c r="G4647" s="11" t="s">
        <v>4636</v>
      </c>
      <c r="H4647" s="11" t="s">
        <v>27</v>
      </c>
      <c r="I4647" s="14" t="s">
        <v>569</v>
      </c>
      <c r="J4647" s="14" t="s">
        <v>138</v>
      </c>
      <c r="K4647" s="15" t="s">
        <v>30</v>
      </c>
      <c r="L4647" s="86" t="s">
        <v>4637</v>
      </c>
      <c r="M4647" s="14"/>
      <c r="N4647" s="14" t="s">
        <v>70</v>
      </c>
      <c r="O4647" s="14"/>
      <c r="P4647" s="15" t="s">
        <v>108</v>
      </c>
      <c r="Q4647" s="16">
        <v>5999</v>
      </c>
      <c r="R4647" s="17">
        <v>45</v>
      </c>
      <c r="S4647" s="18">
        <v>3794.3674999999994</v>
      </c>
      <c r="T4647" s="19" t="s">
        <v>117</v>
      </c>
      <c r="U4647" s="20" t="s">
        <v>94</v>
      </c>
      <c r="V4647" s="21">
        <v>104</v>
      </c>
      <c r="W4647" s="21">
        <v>1</v>
      </c>
      <c r="X4647" s="22"/>
    </row>
    <row r="4648" spans="1:24" s="1" customFormat="1" ht="26.1" customHeight="1" x14ac:dyDescent="0.3">
      <c r="A4648" s="23" t="s">
        <v>3014</v>
      </c>
      <c r="B4648" s="23" t="s">
        <v>4634</v>
      </c>
      <c r="C4648" s="12" t="s">
        <v>4638</v>
      </c>
      <c r="D4648" s="84"/>
      <c r="E4648" s="69" t="str">
        <f>HYPERLINK("https://www.google.ru/search?q=72103221-6590&amp;newwindow=1&amp;tbm=isch","Еще фото")</f>
        <v>Еще фото</v>
      </c>
      <c r="F4648" s="13"/>
      <c r="G4648" s="23" t="s">
        <v>4636</v>
      </c>
      <c r="H4648" s="23" t="s">
        <v>27</v>
      </c>
      <c r="I4648" s="23" t="s">
        <v>569</v>
      </c>
      <c r="J4648" s="14" t="s">
        <v>138</v>
      </c>
      <c r="K4648" s="15" t="s">
        <v>30</v>
      </c>
      <c r="L4648" s="87"/>
      <c r="M4648" s="14"/>
      <c r="N4648" s="14" t="s">
        <v>70</v>
      </c>
      <c r="O4648" s="14"/>
      <c r="P4648" s="15" t="s">
        <v>108</v>
      </c>
      <c r="Q4648" s="16">
        <v>5999</v>
      </c>
      <c r="R4648" s="17">
        <v>45</v>
      </c>
      <c r="S4648" s="18">
        <v>3794.3674999999994</v>
      </c>
      <c r="T4648" s="19" t="s">
        <v>117</v>
      </c>
      <c r="U4648" s="20" t="s">
        <v>43</v>
      </c>
      <c r="V4648" s="21">
        <v>110</v>
      </c>
      <c r="W4648" s="21">
        <v>4</v>
      </c>
      <c r="X4648" s="22"/>
    </row>
    <row r="4649" spans="1:24" s="1" customFormat="1" ht="26.1" customHeight="1" x14ac:dyDescent="0.3">
      <c r="A4649" s="23" t="s">
        <v>3014</v>
      </c>
      <c r="B4649" s="23" t="s">
        <v>4634</v>
      </c>
      <c r="C4649" s="12" t="s">
        <v>4638</v>
      </c>
      <c r="D4649" s="84"/>
      <c r="E4649" s="69" t="str">
        <f>HYPERLINK("https://www.google.ru/search?q=72103221-6590&amp;newwindow=1&amp;tbm=isch","Еще фото")</f>
        <v>Еще фото</v>
      </c>
      <c r="F4649" s="13"/>
      <c r="G4649" s="23" t="s">
        <v>4636</v>
      </c>
      <c r="H4649" s="23" t="s">
        <v>27</v>
      </c>
      <c r="I4649" s="23" t="s">
        <v>569</v>
      </c>
      <c r="J4649" s="14" t="s">
        <v>138</v>
      </c>
      <c r="K4649" s="15" t="s">
        <v>30</v>
      </c>
      <c r="L4649" s="87"/>
      <c r="M4649" s="14"/>
      <c r="N4649" s="14" t="s">
        <v>70</v>
      </c>
      <c r="O4649" s="14"/>
      <c r="P4649" s="15" t="s">
        <v>108</v>
      </c>
      <c r="Q4649" s="16">
        <v>5999</v>
      </c>
      <c r="R4649" s="17">
        <v>45</v>
      </c>
      <c r="S4649" s="18">
        <v>3794.3674999999994</v>
      </c>
      <c r="T4649" s="19" t="s">
        <v>117</v>
      </c>
      <c r="U4649" s="20" t="s">
        <v>35</v>
      </c>
      <c r="V4649" s="21">
        <v>116</v>
      </c>
      <c r="W4649" s="21">
        <v>4</v>
      </c>
      <c r="X4649" s="22"/>
    </row>
    <row r="4650" spans="1:24" s="1" customFormat="1" ht="26.1" customHeight="1" x14ac:dyDescent="0.3">
      <c r="A4650" s="23" t="s">
        <v>3014</v>
      </c>
      <c r="B4650" s="23" t="s">
        <v>4634</v>
      </c>
      <c r="C4650" s="12" t="s">
        <v>4638</v>
      </c>
      <c r="D4650" s="85"/>
      <c r="E4650" s="69" t="str">
        <f>HYPERLINK("https://www.google.ru/search?q=72103221-6590&amp;newwindow=1&amp;tbm=isch","Еще фото")</f>
        <v>Еще фото</v>
      </c>
      <c r="F4650" s="13"/>
      <c r="G4650" s="23" t="s">
        <v>4636</v>
      </c>
      <c r="H4650" s="23" t="s">
        <v>27</v>
      </c>
      <c r="I4650" s="23" t="s">
        <v>569</v>
      </c>
      <c r="J4650" s="14" t="s">
        <v>138</v>
      </c>
      <c r="K4650" s="15" t="s">
        <v>30</v>
      </c>
      <c r="L4650" s="88"/>
      <c r="M4650" s="14"/>
      <c r="N4650" s="14" t="s">
        <v>70</v>
      </c>
      <c r="O4650" s="14"/>
      <c r="P4650" s="15" t="s">
        <v>108</v>
      </c>
      <c r="Q4650" s="16">
        <v>5999</v>
      </c>
      <c r="R4650" s="17">
        <v>45</v>
      </c>
      <c r="S4650" s="18">
        <v>3794.3674999999994</v>
      </c>
      <c r="T4650" s="19" t="s">
        <v>117</v>
      </c>
      <c r="U4650" s="20" t="s">
        <v>36</v>
      </c>
      <c r="V4650" s="21">
        <v>122</v>
      </c>
      <c r="W4650" s="21">
        <v>4</v>
      </c>
      <c r="X4650" s="22"/>
    </row>
    <row r="4651" spans="1:24" s="1" customFormat="1" ht="108" customHeight="1" x14ac:dyDescent="0.3">
      <c r="A4651" s="11" t="s">
        <v>3014</v>
      </c>
      <c r="B4651" s="11" t="s">
        <v>4639</v>
      </c>
      <c r="C4651" s="12" t="s">
        <v>4640</v>
      </c>
      <c r="D4651" s="24"/>
      <c r="E4651" s="69" t="str">
        <f>HYPERLINK("https://www.google.ru/search?q=72106107-9000&amp;newwindow=1&amp;tbm=isch","Еще фото")</f>
        <v>Еще фото</v>
      </c>
      <c r="F4651" s="13"/>
      <c r="G4651" s="11" t="s">
        <v>599</v>
      </c>
      <c r="H4651" s="11" t="s">
        <v>27</v>
      </c>
      <c r="I4651" s="14" t="s">
        <v>569</v>
      </c>
      <c r="J4651" s="14" t="s">
        <v>29</v>
      </c>
      <c r="K4651" s="15" t="s">
        <v>30</v>
      </c>
      <c r="L4651" s="14"/>
      <c r="M4651" s="14"/>
      <c r="N4651" s="14" t="s">
        <v>41</v>
      </c>
      <c r="O4651" s="14"/>
      <c r="P4651" s="15" t="s">
        <v>4641</v>
      </c>
      <c r="Q4651" s="16">
        <v>3599</v>
      </c>
      <c r="R4651" s="17">
        <v>45</v>
      </c>
      <c r="S4651" s="18">
        <v>2276.3674999999998</v>
      </c>
      <c r="T4651" s="19" t="s">
        <v>117</v>
      </c>
      <c r="U4651" s="20" t="s">
        <v>37</v>
      </c>
      <c r="V4651" s="21">
        <v>128</v>
      </c>
      <c r="W4651" s="21">
        <v>1</v>
      </c>
      <c r="X4651" s="22"/>
    </row>
    <row r="4652" spans="1:24" s="1" customFormat="1" ht="26.1" customHeight="1" x14ac:dyDescent="0.3">
      <c r="A4652" s="11" t="s">
        <v>3014</v>
      </c>
      <c r="B4652" s="11" t="s">
        <v>4642</v>
      </c>
      <c r="C4652" s="12" t="s">
        <v>4643</v>
      </c>
      <c r="D4652" s="83"/>
      <c r="E4652" s="69" t="str">
        <f>HYPERLINK("https://www.google.ru/search?q=72204106-0160&amp;newwindow=1&amp;tbm=isch","Еще фото")</f>
        <v>Еще фото</v>
      </c>
      <c r="F4652" s="13"/>
      <c r="G4652" s="11" t="s">
        <v>574</v>
      </c>
      <c r="H4652" s="11" t="s">
        <v>27</v>
      </c>
      <c r="I4652" s="14" t="s">
        <v>569</v>
      </c>
      <c r="J4652" s="14" t="s">
        <v>29</v>
      </c>
      <c r="K4652" s="15" t="s">
        <v>30</v>
      </c>
      <c r="L4652" s="86"/>
      <c r="M4652" s="14"/>
      <c r="N4652" s="14" t="s">
        <v>4644</v>
      </c>
      <c r="O4652" s="14"/>
      <c r="P4652" s="15" t="s">
        <v>4645</v>
      </c>
      <c r="Q4652" s="16">
        <v>5999</v>
      </c>
      <c r="R4652" s="17">
        <v>45</v>
      </c>
      <c r="S4652" s="18">
        <v>3794.3674999999994</v>
      </c>
      <c r="T4652" s="19" t="s">
        <v>117</v>
      </c>
      <c r="U4652" s="20" t="s">
        <v>94</v>
      </c>
      <c r="V4652" s="21">
        <v>104</v>
      </c>
      <c r="W4652" s="21">
        <v>5</v>
      </c>
      <c r="X4652" s="22"/>
    </row>
    <row r="4653" spans="1:24" s="1" customFormat="1" ht="26.1" customHeight="1" x14ac:dyDescent="0.3">
      <c r="A4653" s="23" t="s">
        <v>3014</v>
      </c>
      <c r="B4653" s="23" t="s">
        <v>4642</v>
      </c>
      <c r="C4653" s="12" t="s">
        <v>4643</v>
      </c>
      <c r="D4653" s="84"/>
      <c r="E4653" s="69" t="str">
        <f>HYPERLINK("https://www.google.ru/search?q=72204106-0160&amp;newwindow=1&amp;tbm=isch","Еще фото")</f>
        <v>Еще фото</v>
      </c>
      <c r="F4653" s="13"/>
      <c r="G4653" s="23" t="s">
        <v>574</v>
      </c>
      <c r="H4653" s="23" t="s">
        <v>27</v>
      </c>
      <c r="I4653" s="23" t="s">
        <v>569</v>
      </c>
      <c r="J4653" s="14" t="s">
        <v>29</v>
      </c>
      <c r="K4653" s="15" t="s">
        <v>30</v>
      </c>
      <c r="L4653" s="87"/>
      <c r="M4653" s="14"/>
      <c r="N4653" s="14" t="s">
        <v>4644</v>
      </c>
      <c r="O4653" s="14"/>
      <c r="P4653" s="15" t="s">
        <v>4645</v>
      </c>
      <c r="Q4653" s="16">
        <v>5999</v>
      </c>
      <c r="R4653" s="17">
        <v>45</v>
      </c>
      <c r="S4653" s="18">
        <v>3794.3674999999994</v>
      </c>
      <c r="T4653" s="19" t="s">
        <v>117</v>
      </c>
      <c r="U4653" s="20" t="s">
        <v>43</v>
      </c>
      <c r="V4653" s="21">
        <v>110</v>
      </c>
      <c r="W4653" s="21">
        <v>5</v>
      </c>
      <c r="X4653" s="22"/>
    </row>
    <row r="4654" spans="1:24" s="1" customFormat="1" ht="26.1" customHeight="1" x14ac:dyDescent="0.3">
      <c r="A4654" s="23" t="s">
        <v>3014</v>
      </c>
      <c r="B4654" s="23" t="s">
        <v>4642</v>
      </c>
      <c r="C4654" s="12" t="s">
        <v>4643</v>
      </c>
      <c r="D4654" s="84"/>
      <c r="E4654" s="69" t="str">
        <f>HYPERLINK("https://www.google.ru/search?q=72204106-0160&amp;newwindow=1&amp;tbm=isch","Еще фото")</f>
        <v>Еще фото</v>
      </c>
      <c r="F4654" s="13"/>
      <c r="G4654" s="23" t="s">
        <v>574</v>
      </c>
      <c r="H4654" s="23" t="s">
        <v>27</v>
      </c>
      <c r="I4654" s="23" t="s">
        <v>569</v>
      </c>
      <c r="J4654" s="14" t="s">
        <v>29</v>
      </c>
      <c r="K4654" s="15" t="s">
        <v>30</v>
      </c>
      <c r="L4654" s="87"/>
      <c r="M4654" s="14"/>
      <c r="N4654" s="14" t="s">
        <v>4644</v>
      </c>
      <c r="O4654" s="14"/>
      <c r="P4654" s="15" t="s">
        <v>4645</v>
      </c>
      <c r="Q4654" s="16">
        <v>5999</v>
      </c>
      <c r="R4654" s="17">
        <v>45</v>
      </c>
      <c r="S4654" s="18">
        <v>3794.3674999999994</v>
      </c>
      <c r="T4654" s="19" t="s">
        <v>117</v>
      </c>
      <c r="U4654" s="20" t="s">
        <v>35</v>
      </c>
      <c r="V4654" s="21">
        <v>116</v>
      </c>
      <c r="W4654" s="21">
        <v>3</v>
      </c>
      <c r="X4654" s="22"/>
    </row>
    <row r="4655" spans="1:24" s="1" customFormat="1" ht="26.1" customHeight="1" x14ac:dyDescent="0.3">
      <c r="A4655" s="23" t="s">
        <v>3014</v>
      </c>
      <c r="B4655" s="23" t="s">
        <v>4642</v>
      </c>
      <c r="C4655" s="12" t="s">
        <v>4643</v>
      </c>
      <c r="D4655" s="85"/>
      <c r="E4655" s="69" t="str">
        <f>HYPERLINK("https://www.google.ru/search?q=72204106-0160&amp;newwindow=1&amp;tbm=isch","Еще фото")</f>
        <v>Еще фото</v>
      </c>
      <c r="F4655" s="13"/>
      <c r="G4655" s="23" t="s">
        <v>574</v>
      </c>
      <c r="H4655" s="23" t="s">
        <v>27</v>
      </c>
      <c r="I4655" s="23" t="s">
        <v>569</v>
      </c>
      <c r="J4655" s="14" t="s">
        <v>29</v>
      </c>
      <c r="K4655" s="15" t="s">
        <v>30</v>
      </c>
      <c r="L4655" s="88"/>
      <c r="M4655" s="14"/>
      <c r="N4655" s="14" t="s">
        <v>4644</v>
      </c>
      <c r="O4655" s="14"/>
      <c r="P4655" s="15" t="s">
        <v>4645</v>
      </c>
      <c r="Q4655" s="16">
        <v>5999</v>
      </c>
      <c r="R4655" s="17">
        <v>45</v>
      </c>
      <c r="S4655" s="18">
        <v>3794.3674999999994</v>
      </c>
      <c r="T4655" s="19" t="s">
        <v>117</v>
      </c>
      <c r="U4655" s="20" t="s">
        <v>36</v>
      </c>
      <c r="V4655" s="21">
        <v>122</v>
      </c>
      <c r="W4655" s="21">
        <v>4</v>
      </c>
      <c r="X4655" s="22"/>
    </row>
    <row r="4656" spans="1:24" s="1" customFormat="1" ht="35.1" customHeight="1" x14ac:dyDescent="0.3">
      <c r="A4656" s="11" t="s">
        <v>3014</v>
      </c>
      <c r="B4656" s="11" t="s">
        <v>4646</v>
      </c>
      <c r="C4656" s="12" t="s">
        <v>4647</v>
      </c>
      <c r="D4656" s="83"/>
      <c r="E4656" s="69" t="str">
        <f>HYPERLINK("https://www.google.ru/search?q=72205203-0100&amp;newwindow=1&amp;tbm=isch","Еще фото")</f>
        <v>Еще фото</v>
      </c>
      <c r="F4656" s="13"/>
      <c r="G4656" s="11" t="s">
        <v>2831</v>
      </c>
      <c r="H4656" s="11" t="s">
        <v>27</v>
      </c>
      <c r="I4656" s="14" t="s">
        <v>569</v>
      </c>
      <c r="J4656" s="14" t="s">
        <v>29</v>
      </c>
      <c r="K4656" s="15" t="s">
        <v>30</v>
      </c>
      <c r="L4656" s="86"/>
      <c r="M4656" s="14"/>
      <c r="N4656" s="14" t="s">
        <v>41</v>
      </c>
      <c r="O4656" s="14"/>
      <c r="P4656" s="15" t="s">
        <v>74</v>
      </c>
      <c r="Q4656" s="16">
        <v>4499</v>
      </c>
      <c r="R4656" s="17">
        <v>45</v>
      </c>
      <c r="S4656" s="18">
        <v>2845.6174999999994</v>
      </c>
      <c r="T4656" s="19" t="s">
        <v>117</v>
      </c>
      <c r="U4656" s="20" t="s">
        <v>43</v>
      </c>
      <c r="V4656" s="21">
        <v>110</v>
      </c>
      <c r="W4656" s="21">
        <v>4</v>
      </c>
      <c r="X4656" s="22"/>
    </row>
    <row r="4657" spans="1:24" s="1" customFormat="1" ht="35.1" customHeight="1" x14ac:dyDescent="0.3">
      <c r="A4657" s="23" t="s">
        <v>3014</v>
      </c>
      <c r="B4657" s="23" t="s">
        <v>4646</v>
      </c>
      <c r="C4657" s="12" t="s">
        <v>4647</v>
      </c>
      <c r="D4657" s="84"/>
      <c r="E4657" s="69" t="str">
        <f>HYPERLINK("https://www.google.ru/search?q=72205203-0100&amp;newwindow=1&amp;tbm=isch","Еще фото")</f>
        <v>Еще фото</v>
      </c>
      <c r="F4657" s="13"/>
      <c r="G4657" s="23" t="s">
        <v>2831</v>
      </c>
      <c r="H4657" s="23" t="s">
        <v>27</v>
      </c>
      <c r="I4657" s="23" t="s">
        <v>569</v>
      </c>
      <c r="J4657" s="14" t="s">
        <v>29</v>
      </c>
      <c r="K4657" s="15" t="s">
        <v>30</v>
      </c>
      <c r="L4657" s="87"/>
      <c r="M4657" s="14"/>
      <c r="N4657" s="14" t="s">
        <v>41</v>
      </c>
      <c r="O4657" s="14"/>
      <c r="P4657" s="15" t="s">
        <v>74</v>
      </c>
      <c r="Q4657" s="16">
        <v>4499</v>
      </c>
      <c r="R4657" s="17">
        <v>45</v>
      </c>
      <c r="S4657" s="18">
        <v>2845.6174999999994</v>
      </c>
      <c r="T4657" s="19" t="s">
        <v>117</v>
      </c>
      <c r="U4657" s="20" t="s">
        <v>35</v>
      </c>
      <c r="V4657" s="21">
        <v>116</v>
      </c>
      <c r="W4657" s="21">
        <v>4</v>
      </c>
      <c r="X4657" s="22"/>
    </row>
    <row r="4658" spans="1:24" s="1" customFormat="1" ht="36.950000000000003" customHeight="1" x14ac:dyDescent="0.3">
      <c r="A4658" s="23" t="s">
        <v>3014</v>
      </c>
      <c r="B4658" s="23" t="s">
        <v>4646</v>
      </c>
      <c r="C4658" s="12" t="s">
        <v>4647</v>
      </c>
      <c r="D4658" s="85"/>
      <c r="E4658" s="69" t="str">
        <f>HYPERLINK("https://www.google.ru/search?q=72205203-0100&amp;newwindow=1&amp;tbm=isch","Еще фото")</f>
        <v>Еще фото</v>
      </c>
      <c r="F4658" s="13"/>
      <c r="G4658" s="23" t="s">
        <v>2831</v>
      </c>
      <c r="H4658" s="23" t="s">
        <v>27</v>
      </c>
      <c r="I4658" s="23" t="s">
        <v>569</v>
      </c>
      <c r="J4658" s="14" t="s">
        <v>29</v>
      </c>
      <c r="K4658" s="15" t="s">
        <v>30</v>
      </c>
      <c r="L4658" s="88"/>
      <c r="M4658" s="14"/>
      <c r="N4658" s="14" t="s">
        <v>41</v>
      </c>
      <c r="O4658" s="14"/>
      <c r="P4658" s="15" t="s">
        <v>74</v>
      </c>
      <c r="Q4658" s="16">
        <v>4499</v>
      </c>
      <c r="R4658" s="17">
        <v>45</v>
      </c>
      <c r="S4658" s="18">
        <v>2845.6174999999994</v>
      </c>
      <c r="T4658" s="19" t="s">
        <v>117</v>
      </c>
      <c r="U4658" s="20" t="s">
        <v>36</v>
      </c>
      <c r="V4658" s="21">
        <v>122</v>
      </c>
      <c r="W4658" s="21">
        <v>4</v>
      </c>
      <c r="X4658" s="22"/>
    </row>
    <row r="4659" spans="1:24" s="1" customFormat="1" ht="14.1" customHeight="1" x14ac:dyDescent="0.3">
      <c r="A4659" s="11" t="s">
        <v>3014</v>
      </c>
      <c r="B4659" s="11" t="s">
        <v>4648</v>
      </c>
      <c r="C4659" s="12" t="s">
        <v>4649</v>
      </c>
      <c r="D4659" s="83"/>
      <c r="E4659" s="69" t="str">
        <f t="shared" ref="E4659:E4665" si="241">HYPERLINK("https://www.google.ru/search?q=72205206-4510&amp;newwindow=1&amp;tbm=isch","Еще фото")</f>
        <v>Еще фото</v>
      </c>
      <c r="F4659" s="13"/>
      <c r="G4659" s="11" t="s">
        <v>574</v>
      </c>
      <c r="H4659" s="11" t="s">
        <v>27</v>
      </c>
      <c r="I4659" s="14" t="s">
        <v>569</v>
      </c>
      <c r="J4659" s="14" t="s">
        <v>29</v>
      </c>
      <c r="K4659" s="15" t="s">
        <v>30</v>
      </c>
      <c r="L4659" s="86"/>
      <c r="M4659" s="14"/>
      <c r="N4659" s="14" t="s">
        <v>275</v>
      </c>
      <c r="O4659" s="14"/>
      <c r="P4659" s="15" t="s">
        <v>4650</v>
      </c>
      <c r="Q4659" s="16">
        <v>5999</v>
      </c>
      <c r="R4659" s="17">
        <v>45</v>
      </c>
      <c r="S4659" s="18">
        <v>3794.3674999999994</v>
      </c>
      <c r="T4659" s="19" t="s">
        <v>117</v>
      </c>
      <c r="U4659" s="20" t="s">
        <v>35</v>
      </c>
      <c r="V4659" s="21">
        <v>116</v>
      </c>
      <c r="W4659" s="21">
        <v>2</v>
      </c>
      <c r="X4659" s="22"/>
    </row>
    <row r="4660" spans="1:24" s="1" customFormat="1" ht="14.1" customHeight="1" x14ac:dyDescent="0.3">
      <c r="A4660" s="23" t="s">
        <v>3014</v>
      </c>
      <c r="B4660" s="23" t="s">
        <v>4648</v>
      </c>
      <c r="C4660" s="12" t="s">
        <v>4649</v>
      </c>
      <c r="D4660" s="84"/>
      <c r="E4660" s="69" t="str">
        <f t="shared" si="241"/>
        <v>Еще фото</v>
      </c>
      <c r="F4660" s="13"/>
      <c r="G4660" s="23" t="s">
        <v>574</v>
      </c>
      <c r="H4660" s="23" t="s">
        <v>27</v>
      </c>
      <c r="I4660" s="23" t="s">
        <v>569</v>
      </c>
      <c r="J4660" s="14" t="s">
        <v>29</v>
      </c>
      <c r="K4660" s="15" t="s">
        <v>30</v>
      </c>
      <c r="L4660" s="87"/>
      <c r="M4660" s="14"/>
      <c r="N4660" s="14" t="s">
        <v>275</v>
      </c>
      <c r="O4660" s="14"/>
      <c r="P4660" s="15" t="s">
        <v>4650</v>
      </c>
      <c r="Q4660" s="16">
        <v>5999</v>
      </c>
      <c r="R4660" s="17">
        <v>45</v>
      </c>
      <c r="S4660" s="18">
        <v>3794.3674999999994</v>
      </c>
      <c r="T4660" s="19" t="s">
        <v>117</v>
      </c>
      <c r="U4660" s="20" t="s">
        <v>36</v>
      </c>
      <c r="V4660" s="21">
        <v>122</v>
      </c>
      <c r="W4660" s="21">
        <v>2</v>
      </c>
      <c r="X4660" s="22"/>
    </row>
    <row r="4661" spans="1:24" s="1" customFormat="1" ht="14.1" customHeight="1" x14ac:dyDescent="0.3">
      <c r="A4661" s="23" t="s">
        <v>3014</v>
      </c>
      <c r="B4661" s="23" t="s">
        <v>4648</v>
      </c>
      <c r="C4661" s="12" t="s">
        <v>4649</v>
      </c>
      <c r="D4661" s="84"/>
      <c r="E4661" s="69" t="str">
        <f t="shared" si="241"/>
        <v>Еще фото</v>
      </c>
      <c r="F4661" s="13"/>
      <c r="G4661" s="23" t="s">
        <v>574</v>
      </c>
      <c r="H4661" s="23" t="s">
        <v>27</v>
      </c>
      <c r="I4661" s="23" t="s">
        <v>569</v>
      </c>
      <c r="J4661" s="14" t="s">
        <v>29</v>
      </c>
      <c r="K4661" s="15" t="s">
        <v>30</v>
      </c>
      <c r="L4661" s="87"/>
      <c r="M4661" s="14"/>
      <c r="N4661" s="14" t="s">
        <v>275</v>
      </c>
      <c r="O4661" s="14"/>
      <c r="P4661" s="15" t="s">
        <v>4650</v>
      </c>
      <c r="Q4661" s="16">
        <v>5999</v>
      </c>
      <c r="R4661" s="17">
        <v>45</v>
      </c>
      <c r="S4661" s="18">
        <v>3794.3674999999994</v>
      </c>
      <c r="T4661" s="19" t="s">
        <v>117</v>
      </c>
      <c r="U4661" s="20" t="s">
        <v>37</v>
      </c>
      <c r="V4661" s="21">
        <v>128</v>
      </c>
      <c r="W4661" s="21">
        <v>3</v>
      </c>
      <c r="X4661" s="22"/>
    </row>
    <row r="4662" spans="1:24" s="1" customFormat="1" ht="14.1" customHeight="1" x14ac:dyDescent="0.3">
      <c r="A4662" s="23" t="s">
        <v>3014</v>
      </c>
      <c r="B4662" s="23" t="s">
        <v>4648</v>
      </c>
      <c r="C4662" s="12" t="s">
        <v>4649</v>
      </c>
      <c r="D4662" s="84"/>
      <c r="E4662" s="69" t="str">
        <f t="shared" si="241"/>
        <v>Еще фото</v>
      </c>
      <c r="F4662" s="13"/>
      <c r="G4662" s="23" t="s">
        <v>574</v>
      </c>
      <c r="H4662" s="23" t="s">
        <v>27</v>
      </c>
      <c r="I4662" s="23" t="s">
        <v>569</v>
      </c>
      <c r="J4662" s="14" t="s">
        <v>29</v>
      </c>
      <c r="K4662" s="15" t="s">
        <v>30</v>
      </c>
      <c r="L4662" s="87"/>
      <c r="M4662" s="14"/>
      <c r="N4662" s="14" t="s">
        <v>275</v>
      </c>
      <c r="O4662" s="14"/>
      <c r="P4662" s="15" t="s">
        <v>4650</v>
      </c>
      <c r="Q4662" s="16">
        <v>5999</v>
      </c>
      <c r="R4662" s="17">
        <v>45</v>
      </c>
      <c r="S4662" s="18">
        <v>3794.3674999999994</v>
      </c>
      <c r="T4662" s="19" t="s">
        <v>117</v>
      </c>
      <c r="U4662" s="20" t="s">
        <v>91</v>
      </c>
      <c r="V4662" s="21">
        <v>134</v>
      </c>
      <c r="W4662" s="21">
        <v>2</v>
      </c>
      <c r="X4662" s="22"/>
    </row>
    <row r="4663" spans="1:24" s="1" customFormat="1" ht="14.1" customHeight="1" x14ac:dyDescent="0.3">
      <c r="A4663" s="23" t="s">
        <v>3014</v>
      </c>
      <c r="B4663" s="23" t="s">
        <v>4648</v>
      </c>
      <c r="C4663" s="12" t="s">
        <v>4649</v>
      </c>
      <c r="D4663" s="84"/>
      <c r="E4663" s="69" t="str">
        <f t="shared" si="241"/>
        <v>Еще фото</v>
      </c>
      <c r="F4663" s="13"/>
      <c r="G4663" s="23" t="s">
        <v>574</v>
      </c>
      <c r="H4663" s="23" t="s">
        <v>27</v>
      </c>
      <c r="I4663" s="23" t="s">
        <v>569</v>
      </c>
      <c r="J4663" s="14" t="s">
        <v>29</v>
      </c>
      <c r="K4663" s="15" t="s">
        <v>30</v>
      </c>
      <c r="L4663" s="87"/>
      <c r="M4663" s="14"/>
      <c r="N4663" s="14" t="s">
        <v>275</v>
      </c>
      <c r="O4663" s="14"/>
      <c r="P4663" s="15" t="s">
        <v>4650</v>
      </c>
      <c r="Q4663" s="16">
        <v>5999</v>
      </c>
      <c r="R4663" s="17">
        <v>45</v>
      </c>
      <c r="S4663" s="18">
        <v>3794.3674999999994</v>
      </c>
      <c r="T4663" s="19" t="s">
        <v>117</v>
      </c>
      <c r="U4663" s="20" t="s">
        <v>290</v>
      </c>
      <c r="V4663" s="21">
        <v>140</v>
      </c>
      <c r="W4663" s="21">
        <v>2</v>
      </c>
      <c r="X4663" s="22"/>
    </row>
    <row r="4664" spans="1:24" s="1" customFormat="1" ht="14.1" customHeight="1" x14ac:dyDescent="0.3">
      <c r="A4664" s="23" t="s">
        <v>3014</v>
      </c>
      <c r="B4664" s="23" t="s">
        <v>4648</v>
      </c>
      <c r="C4664" s="12" t="s">
        <v>4649</v>
      </c>
      <c r="D4664" s="84"/>
      <c r="E4664" s="69" t="str">
        <f t="shared" si="241"/>
        <v>Еще фото</v>
      </c>
      <c r="F4664" s="13"/>
      <c r="G4664" s="23" t="s">
        <v>574</v>
      </c>
      <c r="H4664" s="23" t="s">
        <v>27</v>
      </c>
      <c r="I4664" s="23" t="s">
        <v>569</v>
      </c>
      <c r="J4664" s="14" t="s">
        <v>29</v>
      </c>
      <c r="K4664" s="15" t="s">
        <v>30</v>
      </c>
      <c r="L4664" s="87"/>
      <c r="M4664" s="14"/>
      <c r="N4664" s="14" t="s">
        <v>275</v>
      </c>
      <c r="O4664" s="14"/>
      <c r="P4664" s="15" t="s">
        <v>4650</v>
      </c>
      <c r="Q4664" s="16">
        <v>5999</v>
      </c>
      <c r="R4664" s="17">
        <v>45</v>
      </c>
      <c r="S4664" s="18">
        <v>3794.3674999999994</v>
      </c>
      <c r="T4664" s="19" t="s">
        <v>117</v>
      </c>
      <c r="U4664" s="20" t="s">
        <v>2993</v>
      </c>
      <c r="V4664" s="21">
        <v>146</v>
      </c>
      <c r="W4664" s="21">
        <v>4</v>
      </c>
      <c r="X4664" s="22"/>
    </row>
    <row r="4665" spans="1:24" s="1" customFormat="1" ht="17.100000000000001" customHeight="1" x14ac:dyDescent="0.3">
      <c r="A4665" s="23" t="s">
        <v>3014</v>
      </c>
      <c r="B4665" s="23" t="s">
        <v>4648</v>
      </c>
      <c r="C4665" s="12" t="s">
        <v>4649</v>
      </c>
      <c r="D4665" s="85"/>
      <c r="E4665" s="69" t="str">
        <f t="shared" si="241"/>
        <v>Еще фото</v>
      </c>
      <c r="F4665" s="13"/>
      <c r="G4665" s="23" t="s">
        <v>574</v>
      </c>
      <c r="H4665" s="23" t="s">
        <v>27</v>
      </c>
      <c r="I4665" s="23" t="s">
        <v>569</v>
      </c>
      <c r="J4665" s="14" t="s">
        <v>29</v>
      </c>
      <c r="K4665" s="15" t="s">
        <v>30</v>
      </c>
      <c r="L4665" s="88"/>
      <c r="M4665" s="14"/>
      <c r="N4665" s="14" t="s">
        <v>275</v>
      </c>
      <c r="O4665" s="14"/>
      <c r="P4665" s="15" t="s">
        <v>4650</v>
      </c>
      <c r="Q4665" s="16">
        <v>5999</v>
      </c>
      <c r="R4665" s="17">
        <v>45</v>
      </c>
      <c r="S4665" s="18">
        <v>3794.3674999999994</v>
      </c>
      <c r="T4665" s="19" t="s">
        <v>117</v>
      </c>
      <c r="U4665" s="20" t="s">
        <v>2160</v>
      </c>
      <c r="V4665" s="21">
        <v>152</v>
      </c>
      <c r="W4665" s="21">
        <v>5</v>
      </c>
      <c r="X4665" s="22"/>
    </row>
    <row r="4666" spans="1:24" s="1" customFormat="1" ht="17.100000000000001" customHeight="1" x14ac:dyDescent="0.3">
      <c r="A4666" s="11" t="s">
        <v>3014</v>
      </c>
      <c r="B4666" s="11" t="s">
        <v>4646</v>
      </c>
      <c r="C4666" s="12" t="s">
        <v>4651</v>
      </c>
      <c r="D4666" s="83"/>
      <c r="E4666" s="69" t="str">
        <f t="shared" ref="E4666:E4671" si="242">HYPERLINK("https://www.google.ru/search?q=72206101-6140&amp;newwindow=1&amp;tbm=isch","Еще фото")</f>
        <v>Еще фото</v>
      </c>
      <c r="F4666" s="13"/>
      <c r="G4666" s="11" t="s">
        <v>574</v>
      </c>
      <c r="H4666" s="11" t="s">
        <v>27</v>
      </c>
      <c r="I4666" s="14" t="s">
        <v>569</v>
      </c>
      <c r="J4666" s="14" t="s">
        <v>29</v>
      </c>
      <c r="K4666" s="15" t="s">
        <v>30</v>
      </c>
      <c r="L4666" s="86"/>
      <c r="M4666" s="14"/>
      <c r="N4666" s="14" t="s">
        <v>265</v>
      </c>
      <c r="O4666" s="14"/>
      <c r="P4666" s="15" t="s">
        <v>74</v>
      </c>
      <c r="Q4666" s="16">
        <v>4499</v>
      </c>
      <c r="R4666" s="17">
        <v>45</v>
      </c>
      <c r="S4666" s="18">
        <v>2845.6174999999994</v>
      </c>
      <c r="T4666" s="19" t="s">
        <v>117</v>
      </c>
      <c r="U4666" s="20" t="s">
        <v>35</v>
      </c>
      <c r="V4666" s="21">
        <v>116</v>
      </c>
      <c r="W4666" s="21">
        <v>2</v>
      </c>
      <c r="X4666" s="22"/>
    </row>
    <row r="4667" spans="1:24" s="1" customFormat="1" ht="17.100000000000001" customHeight="1" x14ac:dyDescent="0.3">
      <c r="A4667" s="23" t="s">
        <v>3014</v>
      </c>
      <c r="B4667" s="23" t="s">
        <v>4646</v>
      </c>
      <c r="C4667" s="12" t="s">
        <v>4651</v>
      </c>
      <c r="D4667" s="84"/>
      <c r="E4667" s="69" t="str">
        <f t="shared" si="242"/>
        <v>Еще фото</v>
      </c>
      <c r="F4667" s="13"/>
      <c r="G4667" s="23" t="s">
        <v>574</v>
      </c>
      <c r="H4667" s="23" t="s">
        <v>27</v>
      </c>
      <c r="I4667" s="23" t="s">
        <v>569</v>
      </c>
      <c r="J4667" s="14" t="s">
        <v>29</v>
      </c>
      <c r="K4667" s="15" t="s">
        <v>30</v>
      </c>
      <c r="L4667" s="87"/>
      <c r="M4667" s="14"/>
      <c r="N4667" s="14" t="s">
        <v>265</v>
      </c>
      <c r="O4667" s="14"/>
      <c r="P4667" s="15" t="s">
        <v>74</v>
      </c>
      <c r="Q4667" s="16">
        <v>4499</v>
      </c>
      <c r="R4667" s="17">
        <v>45</v>
      </c>
      <c r="S4667" s="18">
        <v>2845.6174999999994</v>
      </c>
      <c r="T4667" s="19" t="s">
        <v>117</v>
      </c>
      <c r="U4667" s="20" t="s">
        <v>36</v>
      </c>
      <c r="V4667" s="21">
        <v>122</v>
      </c>
      <c r="W4667" s="21">
        <v>2</v>
      </c>
      <c r="X4667" s="22"/>
    </row>
    <row r="4668" spans="1:24" s="1" customFormat="1" ht="17.100000000000001" customHeight="1" x14ac:dyDescent="0.3">
      <c r="A4668" s="23" t="s">
        <v>3014</v>
      </c>
      <c r="B4668" s="23" t="s">
        <v>4646</v>
      </c>
      <c r="C4668" s="12" t="s">
        <v>4651</v>
      </c>
      <c r="D4668" s="84"/>
      <c r="E4668" s="69" t="str">
        <f t="shared" si="242"/>
        <v>Еще фото</v>
      </c>
      <c r="F4668" s="13"/>
      <c r="G4668" s="23" t="s">
        <v>574</v>
      </c>
      <c r="H4668" s="23" t="s">
        <v>27</v>
      </c>
      <c r="I4668" s="23" t="s">
        <v>569</v>
      </c>
      <c r="J4668" s="14" t="s">
        <v>29</v>
      </c>
      <c r="K4668" s="15" t="s">
        <v>30</v>
      </c>
      <c r="L4668" s="87"/>
      <c r="M4668" s="14"/>
      <c r="N4668" s="14" t="s">
        <v>265</v>
      </c>
      <c r="O4668" s="14"/>
      <c r="P4668" s="15" t="s">
        <v>74</v>
      </c>
      <c r="Q4668" s="16">
        <v>4499</v>
      </c>
      <c r="R4668" s="17">
        <v>45</v>
      </c>
      <c r="S4668" s="18">
        <v>2845.6174999999994</v>
      </c>
      <c r="T4668" s="19" t="s">
        <v>117</v>
      </c>
      <c r="U4668" s="20" t="s">
        <v>37</v>
      </c>
      <c r="V4668" s="21">
        <v>128</v>
      </c>
      <c r="W4668" s="21">
        <v>1</v>
      </c>
      <c r="X4668" s="22"/>
    </row>
    <row r="4669" spans="1:24" s="1" customFormat="1" ht="17.100000000000001" customHeight="1" x14ac:dyDescent="0.3">
      <c r="A4669" s="23" t="s">
        <v>3014</v>
      </c>
      <c r="B4669" s="23" t="s">
        <v>4646</v>
      </c>
      <c r="C4669" s="12" t="s">
        <v>4651</v>
      </c>
      <c r="D4669" s="84"/>
      <c r="E4669" s="69" t="str">
        <f t="shared" si="242"/>
        <v>Еще фото</v>
      </c>
      <c r="F4669" s="13"/>
      <c r="G4669" s="23" t="s">
        <v>574</v>
      </c>
      <c r="H4669" s="23" t="s">
        <v>27</v>
      </c>
      <c r="I4669" s="23" t="s">
        <v>569</v>
      </c>
      <c r="J4669" s="14" t="s">
        <v>29</v>
      </c>
      <c r="K4669" s="15" t="s">
        <v>30</v>
      </c>
      <c r="L4669" s="87"/>
      <c r="M4669" s="14"/>
      <c r="N4669" s="14" t="s">
        <v>265</v>
      </c>
      <c r="O4669" s="14"/>
      <c r="P4669" s="15" t="s">
        <v>74</v>
      </c>
      <c r="Q4669" s="16">
        <v>4499</v>
      </c>
      <c r="R4669" s="17">
        <v>45</v>
      </c>
      <c r="S4669" s="18">
        <v>2845.6174999999994</v>
      </c>
      <c r="T4669" s="19" t="s">
        <v>117</v>
      </c>
      <c r="U4669" s="20" t="s">
        <v>91</v>
      </c>
      <c r="V4669" s="21">
        <v>134</v>
      </c>
      <c r="W4669" s="21">
        <v>1</v>
      </c>
      <c r="X4669" s="22"/>
    </row>
    <row r="4670" spans="1:24" s="1" customFormat="1" ht="17.100000000000001" customHeight="1" x14ac:dyDescent="0.3">
      <c r="A4670" s="23" t="s">
        <v>3014</v>
      </c>
      <c r="B4670" s="23" t="s">
        <v>4646</v>
      </c>
      <c r="C4670" s="12" t="s">
        <v>4651</v>
      </c>
      <c r="D4670" s="84"/>
      <c r="E4670" s="69" t="str">
        <f t="shared" si="242"/>
        <v>Еще фото</v>
      </c>
      <c r="F4670" s="13"/>
      <c r="G4670" s="23" t="s">
        <v>574</v>
      </c>
      <c r="H4670" s="23" t="s">
        <v>27</v>
      </c>
      <c r="I4670" s="23" t="s">
        <v>569</v>
      </c>
      <c r="J4670" s="14" t="s">
        <v>29</v>
      </c>
      <c r="K4670" s="15" t="s">
        <v>30</v>
      </c>
      <c r="L4670" s="87"/>
      <c r="M4670" s="14"/>
      <c r="N4670" s="14" t="s">
        <v>265</v>
      </c>
      <c r="O4670" s="14"/>
      <c r="P4670" s="15" t="s">
        <v>74</v>
      </c>
      <c r="Q4670" s="16">
        <v>4499</v>
      </c>
      <c r="R4670" s="17">
        <v>45</v>
      </c>
      <c r="S4670" s="18">
        <v>2845.6174999999994</v>
      </c>
      <c r="T4670" s="19" t="s">
        <v>117</v>
      </c>
      <c r="U4670" s="20" t="s">
        <v>290</v>
      </c>
      <c r="V4670" s="21">
        <v>140</v>
      </c>
      <c r="W4670" s="21">
        <v>1</v>
      </c>
      <c r="X4670" s="22"/>
    </row>
    <row r="4671" spans="1:24" s="1" customFormat="1" ht="21.95" customHeight="1" x14ac:dyDescent="0.3">
      <c r="A4671" s="23" t="s">
        <v>3014</v>
      </c>
      <c r="B4671" s="23" t="s">
        <v>4646</v>
      </c>
      <c r="C4671" s="12" t="s">
        <v>4651</v>
      </c>
      <c r="D4671" s="85"/>
      <c r="E4671" s="69" t="str">
        <f t="shared" si="242"/>
        <v>Еще фото</v>
      </c>
      <c r="F4671" s="13"/>
      <c r="G4671" s="23" t="s">
        <v>574</v>
      </c>
      <c r="H4671" s="23" t="s">
        <v>27</v>
      </c>
      <c r="I4671" s="23" t="s">
        <v>569</v>
      </c>
      <c r="J4671" s="14" t="s">
        <v>29</v>
      </c>
      <c r="K4671" s="15" t="s">
        <v>30</v>
      </c>
      <c r="L4671" s="88"/>
      <c r="M4671" s="14"/>
      <c r="N4671" s="14" t="s">
        <v>265</v>
      </c>
      <c r="O4671" s="14"/>
      <c r="P4671" s="15" t="s">
        <v>74</v>
      </c>
      <c r="Q4671" s="16">
        <v>4499</v>
      </c>
      <c r="R4671" s="17">
        <v>45</v>
      </c>
      <c r="S4671" s="18">
        <v>2845.6174999999994</v>
      </c>
      <c r="T4671" s="19" t="s">
        <v>117</v>
      </c>
      <c r="U4671" s="20" t="s">
        <v>2993</v>
      </c>
      <c r="V4671" s="21">
        <v>146</v>
      </c>
      <c r="W4671" s="21">
        <v>1</v>
      </c>
      <c r="X4671" s="22"/>
    </row>
    <row r="4672" spans="1:24" s="1" customFormat="1" ht="11.1" customHeight="1" x14ac:dyDescent="0.3">
      <c r="A4672" s="11" t="s">
        <v>3014</v>
      </c>
      <c r="B4672" s="11" t="s">
        <v>4646</v>
      </c>
      <c r="C4672" s="12" t="s">
        <v>4652</v>
      </c>
      <c r="D4672" s="83"/>
      <c r="E4672" s="69" t="str">
        <f t="shared" ref="E4672:E4680" si="243">HYPERLINK("https://www.google.ru/search?q=72206101-9470&amp;newwindow=1&amp;tbm=isch","Еще фото")</f>
        <v>Еще фото</v>
      </c>
      <c r="F4672" s="13"/>
      <c r="G4672" s="11" t="s">
        <v>574</v>
      </c>
      <c r="H4672" s="11" t="s">
        <v>27</v>
      </c>
      <c r="I4672" s="14" t="s">
        <v>569</v>
      </c>
      <c r="J4672" s="14" t="s">
        <v>29</v>
      </c>
      <c r="K4672" s="15" t="s">
        <v>30</v>
      </c>
      <c r="L4672" s="86"/>
      <c r="M4672" s="14"/>
      <c r="N4672" s="14" t="s">
        <v>49</v>
      </c>
      <c r="O4672" s="14"/>
      <c r="P4672" s="15" t="s">
        <v>74</v>
      </c>
      <c r="Q4672" s="16">
        <v>4499</v>
      </c>
      <c r="R4672" s="17">
        <v>45</v>
      </c>
      <c r="S4672" s="18">
        <v>2845.6174999999994</v>
      </c>
      <c r="T4672" s="19" t="s">
        <v>117</v>
      </c>
      <c r="U4672" s="20" t="s">
        <v>94</v>
      </c>
      <c r="V4672" s="21">
        <v>104</v>
      </c>
      <c r="W4672" s="21">
        <v>1</v>
      </c>
      <c r="X4672" s="22"/>
    </row>
    <row r="4673" spans="1:24" s="1" customFormat="1" ht="11.1" customHeight="1" x14ac:dyDescent="0.3">
      <c r="A4673" s="23" t="s">
        <v>3014</v>
      </c>
      <c r="B4673" s="23" t="s">
        <v>4646</v>
      </c>
      <c r="C4673" s="12" t="s">
        <v>4652</v>
      </c>
      <c r="D4673" s="84"/>
      <c r="E4673" s="69" t="str">
        <f t="shared" si="243"/>
        <v>Еще фото</v>
      </c>
      <c r="F4673" s="13"/>
      <c r="G4673" s="23" t="s">
        <v>574</v>
      </c>
      <c r="H4673" s="23" t="s">
        <v>27</v>
      </c>
      <c r="I4673" s="23" t="s">
        <v>569</v>
      </c>
      <c r="J4673" s="14" t="s">
        <v>29</v>
      </c>
      <c r="K4673" s="15" t="s">
        <v>30</v>
      </c>
      <c r="L4673" s="87"/>
      <c r="M4673" s="14"/>
      <c r="N4673" s="14" t="s">
        <v>49</v>
      </c>
      <c r="O4673" s="14"/>
      <c r="P4673" s="15" t="s">
        <v>74</v>
      </c>
      <c r="Q4673" s="16">
        <v>4499</v>
      </c>
      <c r="R4673" s="17">
        <v>45</v>
      </c>
      <c r="S4673" s="18">
        <v>2845.6174999999994</v>
      </c>
      <c r="T4673" s="19" t="s">
        <v>117</v>
      </c>
      <c r="U4673" s="20" t="s">
        <v>43</v>
      </c>
      <c r="V4673" s="21">
        <v>110</v>
      </c>
      <c r="W4673" s="21">
        <v>5</v>
      </c>
      <c r="X4673" s="22"/>
    </row>
    <row r="4674" spans="1:24" s="1" customFormat="1" ht="11.1" customHeight="1" x14ac:dyDescent="0.3">
      <c r="A4674" s="23" t="s">
        <v>3014</v>
      </c>
      <c r="B4674" s="23" t="s">
        <v>4646</v>
      </c>
      <c r="C4674" s="12" t="s">
        <v>4652</v>
      </c>
      <c r="D4674" s="84"/>
      <c r="E4674" s="69" t="str">
        <f t="shared" si="243"/>
        <v>Еще фото</v>
      </c>
      <c r="F4674" s="13"/>
      <c r="G4674" s="23" t="s">
        <v>574</v>
      </c>
      <c r="H4674" s="23" t="s">
        <v>27</v>
      </c>
      <c r="I4674" s="23" t="s">
        <v>569</v>
      </c>
      <c r="J4674" s="14" t="s">
        <v>29</v>
      </c>
      <c r="K4674" s="15" t="s">
        <v>30</v>
      </c>
      <c r="L4674" s="87"/>
      <c r="M4674" s="14"/>
      <c r="N4674" s="14" t="s">
        <v>49</v>
      </c>
      <c r="O4674" s="14"/>
      <c r="P4674" s="15" t="s">
        <v>74</v>
      </c>
      <c r="Q4674" s="16">
        <v>4499</v>
      </c>
      <c r="R4674" s="17">
        <v>45</v>
      </c>
      <c r="S4674" s="18">
        <v>2845.6174999999994</v>
      </c>
      <c r="T4674" s="19" t="s">
        <v>117</v>
      </c>
      <c r="U4674" s="20" t="s">
        <v>35</v>
      </c>
      <c r="V4674" s="21">
        <v>116</v>
      </c>
      <c r="W4674" s="21">
        <v>5</v>
      </c>
      <c r="X4674" s="22"/>
    </row>
    <row r="4675" spans="1:24" s="1" customFormat="1" ht="11.1" customHeight="1" x14ac:dyDescent="0.3">
      <c r="A4675" s="23" t="s">
        <v>3014</v>
      </c>
      <c r="B4675" s="23" t="s">
        <v>4646</v>
      </c>
      <c r="C4675" s="12" t="s">
        <v>4652</v>
      </c>
      <c r="D4675" s="84"/>
      <c r="E4675" s="69" t="str">
        <f t="shared" si="243"/>
        <v>Еще фото</v>
      </c>
      <c r="F4675" s="13"/>
      <c r="G4675" s="23" t="s">
        <v>574</v>
      </c>
      <c r="H4675" s="23" t="s">
        <v>27</v>
      </c>
      <c r="I4675" s="23" t="s">
        <v>569</v>
      </c>
      <c r="J4675" s="14" t="s">
        <v>29</v>
      </c>
      <c r="K4675" s="15" t="s">
        <v>30</v>
      </c>
      <c r="L4675" s="87"/>
      <c r="M4675" s="14"/>
      <c r="N4675" s="14" t="s">
        <v>49</v>
      </c>
      <c r="O4675" s="14"/>
      <c r="P4675" s="15" t="s">
        <v>74</v>
      </c>
      <c r="Q4675" s="16">
        <v>4499</v>
      </c>
      <c r="R4675" s="17">
        <v>45</v>
      </c>
      <c r="S4675" s="18">
        <v>2845.6174999999994</v>
      </c>
      <c r="T4675" s="19" t="s">
        <v>117</v>
      </c>
      <c r="U4675" s="20" t="s">
        <v>36</v>
      </c>
      <c r="V4675" s="21">
        <v>122</v>
      </c>
      <c r="W4675" s="21">
        <v>5</v>
      </c>
      <c r="X4675" s="22"/>
    </row>
    <row r="4676" spans="1:24" s="1" customFormat="1" ht="11.1" customHeight="1" x14ac:dyDescent="0.3">
      <c r="A4676" s="23" t="s">
        <v>3014</v>
      </c>
      <c r="B4676" s="23" t="s">
        <v>4646</v>
      </c>
      <c r="C4676" s="12" t="s">
        <v>4652</v>
      </c>
      <c r="D4676" s="84"/>
      <c r="E4676" s="69" t="str">
        <f t="shared" si="243"/>
        <v>Еще фото</v>
      </c>
      <c r="F4676" s="13"/>
      <c r="G4676" s="23" t="s">
        <v>574</v>
      </c>
      <c r="H4676" s="23" t="s">
        <v>27</v>
      </c>
      <c r="I4676" s="23" t="s">
        <v>569</v>
      </c>
      <c r="J4676" s="14" t="s">
        <v>29</v>
      </c>
      <c r="K4676" s="15" t="s">
        <v>30</v>
      </c>
      <c r="L4676" s="87"/>
      <c r="M4676" s="14"/>
      <c r="N4676" s="14" t="s">
        <v>49</v>
      </c>
      <c r="O4676" s="14"/>
      <c r="P4676" s="15" t="s">
        <v>74</v>
      </c>
      <c r="Q4676" s="16">
        <v>4499</v>
      </c>
      <c r="R4676" s="17">
        <v>45</v>
      </c>
      <c r="S4676" s="18">
        <v>2845.6174999999994</v>
      </c>
      <c r="T4676" s="19" t="s">
        <v>117</v>
      </c>
      <c r="U4676" s="20" t="s">
        <v>37</v>
      </c>
      <c r="V4676" s="21">
        <v>128</v>
      </c>
      <c r="W4676" s="21">
        <v>1</v>
      </c>
      <c r="X4676" s="22"/>
    </row>
    <row r="4677" spans="1:24" s="1" customFormat="1" ht="11.1" customHeight="1" x14ac:dyDescent="0.3">
      <c r="A4677" s="23" t="s">
        <v>3014</v>
      </c>
      <c r="B4677" s="23" t="s">
        <v>4646</v>
      </c>
      <c r="C4677" s="12" t="s">
        <v>4652</v>
      </c>
      <c r="D4677" s="84"/>
      <c r="E4677" s="69" t="str">
        <f t="shared" si="243"/>
        <v>Еще фото</v>
      </c>
      <c r="F4677" s="13"/>
      <c r="G4677" s="23" t="s">
        <v>574</v>
      </c>
      <c r="H4677" s="23" t="s">
        <v>27</v>
      </c>
      <c r="I4677" s="23" t="s">
        <v>569</v>
      </c>
      <c r="J4677" s="14" t="s">
        <v>29</v>
      </c>
      <c r="K4677" s="15" t="s">
        <v>30</v>
      </c>
      <c r="L4677" s="87"/>
      <c r="M4677" s="14"/>
      <c r="N4677" s="14" t="s">
        <v>49</v>
      </c>
      <c r="O4677" s="14"/>
      <c r="P4677" s="15" t="s">
        <v>74</v>
      </c>
      <c r="Q4677" s="16">
        <v>4499</v>
      </c>
      <c r="R4677" s="17">
        <v>45</v>
      </c>
      <c r="S4677" s="18">
        <v>2845.6174999999994</v>
      </c>
      <c r="T4677" s="19" t="s">
        <v>117</v>
      </c>
      <c r="U4677" s="20" t="s">
        <v>2993</v>
      </c>
      <c r="V4677" s="21">
        <v>146</v>
      </c>
      <c r="W4677" s="21">
        <v>3</v>
      </c>
      <c r="X4677" s="22"/>
    </row>
    <row r="4678" spans="1:24" s="1" customFormat="1" ht="11.1" customHeight="1" x14ac:dyDescent="0.3">
      <c r="A4678" s="23" t="s">
        <v>3014</v>
      </c>
      <c r="B4678" s="23" t="s">
        <v>4646</v>
      </c>
      <c r="C4678" s="12" t="s">
        <v>4652</v>
      </c>
      <c r="D4678" s="84"/>
      <c r="E4678" s="69" t="str">
        <f t="shared" si="243"/>
        <v>Еще фото</v>
      </c>
      <c r="F4678" s="13"/>
      <c r="G4678" s="23" t="s">
        <v>574</v>
      </c>
      <c r="H4678" s="23" t="s">
        <v>27</v>
      </c>
      <c r="I4678" s="23" t="s">
        <v>569</v>
      </c>
      <c r="J4678" s="14" t="s">
        <v>29</v>
      </c>
      <c r="K4678" s="15" t="s">
        <v>30</v>
      </c>
      <c r="L4678" s="87"/>
      <c r="M4678" s="14"/>
      <c r="N4678" s="14" t="s">
        <v>49</v>
      </c>
      <c r="O4678" s="14"/>
      <c r="P4678" s="15" t="s">
        <v>74</v>
      </c>
      <c r="Q4678" s="16">
        <v>4499</v>
      </c>
      <c r="R4678" s="17">
        <v>45</v>
      </c>
      <c r="S4678" s="18">
        <v>2845.6174999999994</v>
      </c>
      <c r="T4678" s="19" t="s">
        <v>117</v>
      </c>
      <c r="U4678" s="20" t="s">
        <v>2160</v>
      </c>
      <c r="V4678" s="21">
        <v>152</v>
      </c>
      <c r="W4678" s="21">
        <v>1</v>
      </c>
      <c r="X4678" s="22"/>
    </row>
    <row r="4679" spans="1:24" s="1" customFormat="1" ht="11.1" customHeight="1" x14ac:dyDescent="0.3">
      <c r="A4679" s="23" t="s">
        <v>3014</v>
      </c>
      <c r="B4679" s="23" t="s">
        <v>4646</v>
      </c>
      <c r="C4679" s="12" t="s">
        <v>4652</v>
      </c>
      <c r="D4679" s="84"/>
      <c r="E4679" s="69" t="str">
        <f t="shared" si="243"/>
        <v>Еще фото</v>
      </c>
      <c r="F4679" s="13"/>
      <c r="G4679" s="23" t="s">
        <v>574</v>
      </c>
      <c r="H4679" s="23" t="s">
        <v>27</v>
      </c>
      <c r="I4679" s="23" t="s">
        <v>569</v>
      </c>
      <c r="J4679" s="14" t="s">
        <v>29</v>
      </c>
      <c r="K4679" s="15" t="s">
        <v>30</v>
      </c>
      <c r="L4679" s="87"/>
      <c r="M4679" s="14"/>
      <c r="N4679" s="14" t="s">
        <v>49</v>
      </c>
      <c r="O4679" s="14"/>
      <c r="P4679" s="15" t="s">
        <v>74</v>
      </c>
      <c r="Q4679" s="16">
        <v>4499</v>
      </c>
      <c r="R4679" s="17">
        <v>45</v>
      </c>
      <c r="S4679" s="18">
        <v>2845.6174999999994</v>
      </c>
      <c r="T4679" s="19" t="s">
        <v>117</v>
      </c>
      <c r="U4679" s="20" t="s">
        <v>3088</v>
      </c>
      <c r="V4679" s="21">
        <v>158</v>
      </c>
      <c r="W4679" s="21">
        <v>2</v>
      </c>
      <c r="X4679" s="22"/>
    </row>
    <row r="4680" spans="1:24" s="1" customFormat="1" ht="11.1" customHeight="1" x14ac:dyDescent="0.3">
      <c r="A4680" s="23" t="s">
        <v>3014</v>
      </c>
      <c r="B4680" s="23" t="s">
        <v>4646</v>
      </c>
      <c r="C4680" s="12" t="s">
        <v>4652</v>
      </c>
      <c r="D4680" s="85"/>
      <c r="E4680" s="69" t="str">
        <f t="shared" si="243"/>
        <v>Еще фото</v>
      </c>
      <c r="F4680" s="13"/>
      <c r="G4680" s="23" t="s">
        <v>574</v>
      </c>
      <c r="H4680" s="23" t="s">
        <v>27</v>
      </c>
      <c r="I4680" s="23" t="s">
        <v>569</v>
      </c>
      <c r="J4680" s="14" t="s">
        <v>29</v>
      </c>
      <c r="K4680" s="15" t="s">
        <v>30</v>
      </c>
      <c r="L4680" s="88"/>
      <c r="M4680" s="14"/>
      <c r="N4680" s="14" t="s">
        <v>49</v>
      </c>
      <c r="O4680" s="14"/>
      <c r="P4680" s="15" t="s">
        <v>74</v>
      </c>
      <c r="Q4680" s="16">
        <v>4499</v>
      </c>
      <c r="R4680" s="17">
        <v>45</v>
      </c>
      <c r="S4680" s="18">
        <v>2845.6174999999994</v>
      </c>
      <c r="T4680" s="19" t="s">
        <v>117</v>
      </c>
      <c r="U4680" s="20" t="s">
        <v>2161</v>
      </c>
      <c r="V4680" s="21">
        <v>164</v>
      </c>
      <c r="W4680" s="21">
        <v>2</v>
      </c>
      <c r="X4680" s="22"/>
    </row>
    <row r="4681" spans="1:24" s="1" customFormat="1" ht="26.1" customHeight="1" x14ac:dyDescent="0.3">
      <c r="A4681" s="11" t="s">
        <v>3014</v>
      </c>
      <c r="B4681" s="11" t="s">
        <v>4653</v>
      </c>
      <c r="C4681" s="12" t="s">
        <v>4654</v>
      </c>
      <c r="D4681" s="83"/>
      <c r="E4681" s="69" t="str">
        <f>HYPERLINK("https://www.google.ru/search?q=72206106-6960&amp;newwindow=1&amp;tbm=isch","Еще фото")</f>
        <v>Еще фото</v>
      </c>
      <c r="F4681" s="13"/>
      <c r="G4681" s="11" t="s">
        <v>574</v>
      </c>
      <c r="H4681" s="11" t="s">
        <v>27</v>
      </c>
      <c r="I4681" s="14" t="s">
        <v>569</v>
      </c>
      <c r="J4681" s="14" t="s">
        <v>29</v>
      </c>
      <c r="K4681" s="15" t="s">
        <v>30</v>
      </c>
      <c r="L4681" s="86"/>
      <c r="M4681" s="14"/>
      <c r="N4681" s="14" t="s">
        <v>70</v>
      </c>
      <c r="O4681" s="14"/>
      <c r="P4681" s="15" t="s">
        <v>108</v>
      </c>
      <c r="Q4681" s="16">
        <v>4499</v>
      </c>
      <c r="R4681" s="17">
        <v>45</v>
      </c>
      <c r="S4681" s="18">
        <v>2845.6174999999994</v>
      </c>
      <c r="T4681" s="19" t="s">
        <v>117</v>
      </c>
      <c r="U4681" s="20" t="s">
        <v>94</v>
      </c>
      <c r="V4681" s="21">
        <v>104</v>
      </c>
      <c r="W4681" s="21">
        <v>6</v>
      </c>
      <c r="X4681" s="22"/>
    </row>
    <row r="4682" spans="1:24" s="1" customFormat="1" ht="26.1" customHeight="1" x14ac:dyDescent="0.3">
      <c r="A4682" s="23" t="s">
        <v>3014</v>
      </c>
      <c r="B4682" s="23" t="s">
        <v>4653</v>
      </c>
      <c r="C4682" s="12" t="s">
        <v>4654</v>
      </c>
      <c r="D4682" s="84"/>
      <c r="E4682" s="69" t="str">
        <f>HYPERLINK("https://www.google.ru/search?q=72206106-6960&amp;newwindow=1&amp;tbm=isch","Еще фото")</f>
        <v>Еще фото</v>
      </c>
      <c r="F4682" s="13"/>
      <c r="G4682" s="23" t="s">
        <v>574</v>
      </c>
      <c r="H4682" s="23" t="s">
        <v>27</v>
      </c>
      <c r="I4682" s="23" t="s">
        <v>569</v>
      </c>
      <c r="J4682" s="14" t="s">
        <v>29</v>
      </c>
      <c r="K4682" s="15" t="s">
        <v>30</v>
      </c>
      <c r="L4682" s="87"/>
      <c r="M4682" s="14"/>
      <c r="N4682" s="14" t="s">
        <v>70</v>
      </c>
      <c r="O4682" s="14"/>
      <c r="P4682" s="15" t="s">
        <v>108</v>
      </c>
      <c r="Q4682" s="16">
        <v>4499</v>
      </c>
      <c r="R4682" s="17">
        <v>45</v>
      </c>
      <c r="S4682" s="18">
        <v>2845.6174999999994</v>
      </c>
      <c r="T4682" s="19" t="s">
        <v>117</v>
      </c>
      <c r="U4682" s="20" t="s">
        <v>43</v>
      </c>
      <c r="V4682" s="21">
        <v>110</v>
      </c>
      <c r="W4682" s="21">
        <v>6</v>
      </c>
      <c r="X4682" s="22"/>
    </row>
    <row r="4683" spans="1:24" s="1" customFormat="1" ht="26.1" customHeight="1" x14ac:dyDescent="0.3">
      <c r="A4683" s="23" t="s">
        <v>3014</v>
      </c>
      <c r="B4683" s="23" t="s">
        <v>4653</v>
      </c>
      <c r="C4683" s="12" t="s">
        <v>4654</v>
      </c>
      <c r="D4683" s="84"/>
      <c r="E4683" s="69" t="str">
        <f>HYPERLINK("https://www.google.ru/search?q=72206106-6960&amp;newwindow=1&amp;tbm=isch","Еще фото")</f>
        <v>Еще фото</v>
      </c>
      <c r="F4683" s="13"/>
      <c r="G4683" s="23" t="s">
        <v>574</v>
      </c>
      <c r="H4683" s="23" t="s">
        <v>27</v>
      </c>
      <c r="I4683" s="23" t="s">
        <v>569</v>
      </c>
      <c r="J4683" s="14" t="s">
        <v>29</v>
      </c>
      <c r="K4683" s="15" t="s">
        <v>30</v>
      </c>
      <c r="L4683" s="87"/>
      <c r="M4683" s="14"/>
      <c r="N4683" s="14" t="s">
        <v>70</v>
      </c>
      <c r="O4683" s="14"/>
      <c r="P4683" s="15" t="s">
        <v>108</v>
      </c>
      <c r="Q4683" s="16">
        <v>4499</v>
      </c>
      <c r="R4683" s="17">
        <v>45</v>
      </c>
      <c r="S4683" s="18">
        <v>2845.6174999999994</v>
      </c>
      <c r="T4683" s="19" t="s">
        <v>117</v>
      </c>
      <c r="U4683" s="20" t="s">
        <v>35</v>
      </c>
      <c r="V4683" s="21">
        <v>116</v>
      </c>
      <c r="W4683" s="21">
        <v>6</v>
      </c>
      <c r="X4683" s="22"/>
    </row>
    <row r="4684" spans="1:24" s="1" customFormat="1" ht="26.1" customHeight="1" x14ac:dyDescent="0.3">
      <c r="A4684" s="23" t="s">
        <v>3014</v>
      </c>
      <c r="B4684" s="23" t="s">
        <v>4653</v>
      </c>
      <c r="C4684" s="12" t="s">
        <v>4654</v>
      </c>
      <c r="D4684" s="85"/>
      <c r="E4684" s="69" t="str">
        <f>HYPERLINK("https://www.google.ru/search?q=72206106-6960&amp;newwindow=1&amp;tbm=isch","Еще фото")</f>
        <v>Еще фото</v>
      </c>
      <c r="F4684" s="13"/>
      <c r="G4684" s="23" t="s">
        <v>574</v>
      </c>
      <c r="H4684" s="23" t="s">
        <v>27</v>
      </c>
      <c r="I4684" s="23" t="s">
        <v>569</v>
      </c>
      <c r="J4684" s="14" t="s">
        <v>29</v>
      </c>
      <c r="K4684" s="15" t="s">
        <v>30</v>
      </c>
      <c r="L4684" s="88"/>
      <c r="M4684" s="14"/>
      <c r="N4684" s="14" t="s">
        <v>70</v>
      </c>
      <c r="O4684" s="14"/>
      <c r="P4684" s="15" t="s">
        <v>108</v>
      </c>
      <c r="Q4684" s="16">
        <v>4499</v>
      </c>
      <c r="R4684" s="17">
        <v>45</v>
      </c>
      <c r="S4684" s="18">
        <v>2845.6174999999994</v>
      </c>
      <c r="T4684" s="19" t="s">
        <v>117</v>
      </c>
      <c r="U4684" s="20" t="s">
        <v>36</v>
      </c>
      <c r="V4684" s="21">
        <v>122</v>
      </c>
      <c r="W4684" s="21">
        <v>7</v>
      </c>
      <c r="X4684" s="22"/>
    </row>
    <row r="4685" spans="1:24" s="1" customFormat="1" ht="26.1" customHeight="1" x14ac:dyDescent="0.3">
      <c r="A4685" s="11" t="s">
        <v>3014</v>
      </c>
      <c r="B4685" s="11" t="s">
        <v>4653</v>
      </c>
      <c r="C4685" s="12" t="s">
        <v>4655</v>
      </c>
      <c r="D4685" s="83"/>
      <c r="E4685" s="69" t="str">
        <f>HYPERLINK("https://www.google.ru/search?q=72206106-8070&amp;newwindow=1&amp;tbm=isch","Еще фото")</f>
        <v>Еще фото</v>
      </c>
      <c r="F4685" s="13"/>
      <c r="G4685" s="11" t="s">
        <v>574</v>
      </c>
      <c r="H4685" s="11" t="s">
        <v>27</v>
      </c>
      <c r="I4685" s="14" t="s">
        <v>569</v>
      </c>
      <c r="J4685" s="14" t="s">
        <v>29</v>
      </c>
      <c r="K4685" s="15" t="s">
        <v>30</v>
      </c>
      <c r="L4685" s="86"/>
      <c r="M4685" s="14"/>
      <c r="N4685" s="14" t="s">
        <v>242</v>
      </c>
      <c r="O4685" s="14"/>
      <c r="P4685" s="15" t="s">
        <v>108</v>
      </c>
      <c r="Q4685" s="16">
        <v>4499</v>
      </c>
      <c r="R4685" s="17">
        <v>45</v>
      </c>
      <c r="S4685" s="18">
        <v>2845.6174999999994</v>
      </c>
      <c r="T4685" s="19" t="s">
        <v>117</v>
      </c>
      <c r="U4685" s="20" t="s">
        <v>94</v>
      </c>
      <c r="V4685" s="21">
        <v>104</v>
      </c>
      <c r="W4685" s="21">
        <v>5</v>
      </c>
      <c r="X4685" s="22"/>
    </row>
    <row r="4686" spans="1:24" s="1" customFormat="1" ht="26.1" customHeight="1" x14ac:dyDescent="0.3">
      <c r="A4686" s="23" t="s">
        <v>3014</v>
      </c>
      <c r="B4686" s="23" t="s">
        <v>4653</v>
      </c>
      <c r="C4686" s="12" t="s">
        <v>4655</v>
      </c>
      <c r="D4686" s="84"/>
      <c r="E4686" s="69" t="str">
        <f>HYPERLINK("https://www.google.ru/search?q=72206106-8070&amp;newwindow=1&amp;tbm=isch","Еще фото")</f>
        <v>Еще фото</v>
      </c>
      <c r="F4686" s="13"/>
      <c r="G4686" s="23" t="s">
        <v>574</v>
      </c>
      <c r="H4686" s="23" t="s">
        <v>27</v>
      </c>
      <c r="I4686" s="23" t="s">
        <v>569</v>
      </c>
      <c r="J4686" s="14" t="s">
        <v>29</v>
      </c>
      <c r="K4686" s="15" t="s">
        <v>30</v>
      </c>
      <c r="L4686" s="87"/>
      <c r="M4686" s="14"/>
      <c r="N4686" s="14" t="s">
        <v>242</v>
      </c>
      <c r="O4686" s="14"/>
      <c r="P4686" s="15" t="s">
        <v>108</v>
      </c>
      <c r="Q4686" s="16">
        <v>4499</v>
      </c>
      <c r="R4686" s="17">
        <v>45</v>
      </c>
      <c r="S4686" s="18">
        <v>2845.6174999999994</v>
      </c>
      <c r="T4686" s="19" t="s">
        <v>117</v>
      </c>
      <c r="U4686" s="20" t="s">
        <v>43</v>
      </c>
      <c r="V4686" s="21">
        <v>110</v>
      </c>
      <c r="W4686" s="21">
        <v>5</v>
      </c>
      <c r="X4686" s="22"/>
    </row>
    <row r="4687" spans="1:24" s="1" customFormat="1" ht="26.1" customHeight="1" x14ac:dyDescent="0.3">
      <c r="A4687" s="23" t="s">
        <v>3014</v>
      </c>
      <c r="B4687" s="23" t="s">
        <v>4653</v>
      </c>
      <c r="C4687" s="12" t="s">
        <v>4655</v>
      </c>
      <c r="D4687" s="84"/>
      <c r="E4687" s="69" t="str">
        <f>HYPERLINK("https://www.google.ru/search?q=72206106-8070&amp;newwindow=1&amp;tbm=isch","Еще фото")</f>
        <v>Еще фото</v>
      </c>
      <c r="F4687" s="13"/>
      <c r="G4687" s="23" t="s">
        <v>574</v>
      </c>
      <c r="H4687" s="23" t="s">
        <v>27</v>
      </c>
      <c r="I4687" s="23" t="s">
        <v>569</v>
      </c>
      <c r="J4687" s="14" t="s">
        <v>29</v>
      </c>
      <c r="K4687" s="15" t="s">
        <v>30</v>
      </c>
      <c r="L4687" s="87"/>
      <c r="M4687" s="14"/>
      <c r="N4687" s="14" t="s">
        <v>242</v>
      </c>
      <c r="O4687" s="14"/>
      <c r="P4687" s="15" t="s">
        <v>108</v>
      </c>
      <c r="Q4687" s="16">
        <v>4499</v>
      </c>
      <c r="R4687" s="17">
        <v>45</v>
      </c>
      <c r="S4687" s="18">
        <v>2845.6174999999994</v>
      </c>
      <c r="T4687" s="19" t="s">
        <v>117</v>
      </c>
      <c r="U4687" s="20" t="s">
        <v>35</v>
      </c>
      <c r="V4687" s="21">
        <v>116</v>
      </c>
      <c r="W4687" s="21">
        <v>5</v>
      </c>
      <c r="X4687" s="22"/>
    </row>
    <row r="4688" spans="1:24" s="1" customFormat="1" ht="26.1" customHeight="1" x14ac:dyDescent="0.3">
      <c r="A4688" s="23" t="s">
        <v>3014</v>
      </c>
      <c r="B4688" s="23" t="s">
        <v>4653</v>
      </c>
      <c r="C4688" s="12" t="s">
        <v>4655</v>
      </c>
      <c r="D4688" s="85"/>
      <c r="E4688" s="69" t="str">
        <f>HYPERLINK("https://www.google.ru/search?q=72206106-8070&amp;newwindow=1&amp;tbm=isch","Еще фото")</f>
        <v>Еще фото</v>
      </c>
      <c r="F4688" s="13"/>
      <c r="G4688" s="23" t="s">
        <v>574</v>
      </c>
      <c r="H4688" s="23" t="s">
        <v>27</v>
      </c>
      <c r="I4688" s="23" t="s">
        <v>569</v>
      </c>
      <c r="J4688" s="14" t="s">
        <v>29</v>
      </c>
      <c r="K4688" s="15" t="s">
        <v>30</v>
      </c>
      <c r="L4688" s="88"/>
      <c r="M4688" s="14"/>
      <c r="N4688" s="14" t="s">
        <v>242</v>
      </c>
      <c r="O4688" s="14"/>
      <c r="P4688" s="15" t="s">
        <v>108</v>
      </c>
      <c r="Q4688" s="16">
        <v>4499</v>
      </c>
      <c r="R4688" s="17">
        <v>45</v>
      </c>
      <c r="S4688" s="18">
        <v>2845.6174999999994</v>
      </c>
      <c r="T4688" s="19" t="s">
        <v>117</v>
      </c>
      <c r="U4688" s="20" t="s">
        <v>36</v>
      </c>
      <c r="V4688" s="21">
        <v>122</v>
      </c>
      <c r="W4688" s="21">
        <v>1</v>
      </c>
      <c r="X4688" s="22"/>
    </row>
    <row r="4689" spans="1:24" s="1" customFormat="1" ht="21" customHeight="1" x14ac:dyDescent="0.3">
      <c r="A4689" s="11" t="s">
        <v>3014</v>
      </c>
      <c r="B4689" s="11" t="s">
        <v>4646</v>
      </c>
      <c r="C4689" s="27" t="s">
        <v>4656</v>
      </c>
      <c r="D4689" s="83"/>
      <c r="E4689" s="69" t="str">
        <f>HYPERLINK("https://www.google.ru/search?q=73204108-9990&amp;newwindow=1&amp;tbm=isch","Еще фото")</f>
        <v>Еще фото</v>
      </c>
      <c r="F4689" s="13"/>
      <c r="G4689" s="11" t="s">
        <v>2831</v>
      </c>
      <c r="H4689" s="11" t="s">
        <v>27</v>
      </c>
      <c r="I4689" s="14" t="s">
        <v>569</v>
      </c>
      <c r="J4689" s="14" t="s">
        <v>29</v>
      </c>
      <c r="K4689" s="15" t="s">
        <v>30</v>
      </c>
      <c r="L4689" s="86" t="s">
        <v>4657</v>
      </c>
      <c r="M4689" s="14"/>
      <c r="N4689" s="14" t="s">
        <v>49</v>
      </c>
      <c r="O4689" s="14"/>
      <c r="P4689" s="15" t="s">
        <v>76</v>
      </c>
      <c r="Q4689" s="16">
        <v>2999</v>
      </c>
      <c r="R4689" s="17">
        <v>45</v>
      </c>
      <c r="S4689" s="18">
        <v>1896.8674999999998</v>
      </c>
      <c r="T4689" s="19" t="s">
        <v>117</v>
      </c>
      <c r="U4689" s="20" t="s">
        <v>37</v>
      </c>
      <c r="V4689" s="21">
        <v>128</v>
      </c>
      <c r="W4689" s="21">
        <v>3</v>
      </c>
      <c r="X4689" s="22"/>
    </row>
    <row r="4690" spans="1:24" s="1" customFormat="1" ht="21" customHeight="1" x14ac:dyDescent="0.3">
      <c r="A4690" s="23" t="s">
        <v>3014</v>
      </c>
      <c r="B4690" s="23" t="s">
        <v>4646</v>
      </c>
      <c r="C4690" s="28" t="s">
        <v>4656</v>
      </c>
      <c r="D4690" s="84"/>
      <c r="E4690" s="69" t="str">
        <f>HYPERLINK("https://www.google.ru/search?q=73204108-9990&amp;newwindow=1&amp;tbm=isch","Еще фото")</f>
        <v>Еще фото</v>
      </c>
      <c r="F4690" s="13"/>
      <c r="G4690" s="23" t="s">
        <v>2831</v>
      </c>
      <c r="H4690" s="23" t="s">
        <v>27</v>
      </c>
      <c r="I4690" s="23" t="s">
        <v>569</v>
      </c>
      <c r="J4690" s="14" t="s">
        <v>29</v>
      </c>
      <c r="K4690" s="15" t="s">
        <v>30</v>
      </c>
      <c r="L4690" s="87"/>
      <c r="M4690" s="14"/>
      <c r="N4690" s="14" t="s">
        <v>49</v>
      </c>
      <c r="O4690" s="14"/>
      <c r="P4690" s="15" t="s">
        <v>76</v>
      </c>
      <c r="Q4690" s="16">
        <v>2999</v>
      </c>
      <c r="R4690" s="17">
        <v>45</v>
      </c>
      <c r="S4690" s="18">
        <v>1896.8674999999998</v>
      </c>
      <c r="T4690" s="19" t="s">
        <v>117</v>
      </c>
      <c r="U4690" s="20" t="s">
        <v>91</v>
      </c>
      <c r="V4690" s="21">
        <v>134</v>
      </c>
      <c r="W4690" s="21">
        <v>4</v>
      </c>
      <c r="X4690" s="22"/>
    </row>
    <row r="4691" spans="1:24" s="1" customFormat="1" ht="21" customHeight="1" x14ac:dyDescent="0.3">
      <c r="A4691" s="23" t="s">
        <v>3014</v>
      </c>
      <c r="B4691" s="23" t="s">
        <v>4646</v>
      </c>
      <c r="C4691" s="28" t="s">
        <v>4656</v>
      </c>
      <c r="D4691" s="84"/>
      <c r="E4691" s="69" t="str">
        <f>HYPERLINK("https://www.google.ru/search?q=73204108-9990&amp;newwindow=1&amp;tbm=isch","Еще фото")</f>
        <v>Еще фото</v>
      </c>
      <c r="F4691" s="13"/>
      <c r="G4691" s="23" t="s">
        <v>2831</v>
      </c>
      <c r="H4691" s="23" t="s">
        <v>27</v>
      </c>
      <c r="I4691" s="23" t="s">
        <v>569</v>
      </c>
      <c r="J4691" s="14" t="s">
        <v>29</v>
      </c>
      <c r="K4691" s="15" t="s">
        <v>30</v>
      </c>
      <c r="L4691" s="87"/>
      <c r="M4691" s="14"/>
      <c r="N4691" s="14" t="s">
        <v>49</v>
      </c>
      <c r="O4691" s="14"/>
      <c r="P4691" s="15" t="s">
        <v>76</v>
      </c>
      <c r="Q4691" s="16">
        <v>2999</v>
      </c>
      <c r="R4691" s="17">
        <v>45</v>
      </c>
      <c r="S4691" s="18">
        <v>1896.8674999999998</v>
      </c>
      <c r="T4691" s="19" t="s">
        <v>117</v>
      </c>
      <c r="U4691" s="20" t="s">
        <v>290</v>
      </c>
      <c r="V4691" s="21">
        <v>140</v>
      </c>
      <c r="W4691" s="21">
        <v>4</v>
      </c>
      <c r="X4691" s="22"/>
    </row>
    <row r="4692" spans="1:24" s="1" customFormat="1" ht="21" customHeight="1" x14ac:dyDescent="0.3">
      <c r="A4692" s="23" t="s">
        <v>3014</v>
      </c>
      <c r="B4692" s="23" t="s">
        <v>4646</v>
      </c>
      <c r="C4692" s="28" t="s">
        <v>4656</v>
      </c>
      <c r="D4692" s="84"/>
      <c r="E4692" s="69" t="str">
        <f>HYPERLINK("https://www.google.ru/search?q=73204108-9990&amp;newwindow=1&amp;tbm=isch","Еще фото")</f>
        <v>Еще фото</v>
      </c>
      <c r="F4692" s="13"/>
      <c r="G4692" s="23" t="s">
        <v>2831</v>
      </c>
      <c r="H4692" s="23" t="s">
        <v>27</v>
      </c>
      <c r="I4692" s="23" t="s">
        <v>569</v>
      </c>
      <c r="J4692" s="14" t="s">
        <v>29</v>
      </c>
      <c r="K4692" s="15" t="s">
        <v>30</v>
      </c>
      <c r="L4692" s="87"/>
      <c r="M4692" s="14"/>
      <c r="N4692" s="14" t="s">
        <v>49</v>
      </c>
      <c r="O4692" s="14"/>
      <c r="P4692" s="15" t="s">
        <v>76</v>
      </c>
      <c r="Q4692" s="16">
        <v>2999</v>
      </c>
      <c r="R4692" s="17">
        <v>45</v>
      </c>
      <c r="S4692" s="18">
        <v>1896.8674999999998</v>
      </c>
      <c r="T4692" s="19" t="s">
        <v>117</v>
      </c>
      <c r="U4692" s="20" t="s">
        <v>2993</v>
      </c>
      <c r="V4692" s="21">
        <v>146</v>
      </c>
      <c r="W4692" s="21">
        <v>4</v>
      </c>
      <c r="X4692" s="22"/>
    </row>
    <row r="4693" spans="1:24" s="1" customFormat="1" ht="32.1" customHeight="1" x14ac:dyDescent="0.3">
      <c r="A4693" s="23" t="s">
        <v>3014</v>
      </c>
      <c r="B4693" s="23" t="s">
        <v>4646</v>
      </c>
      <c r="C4693" s="28" t="s">
        <v>4656</v>
      </c>
      <c r="D4693" s="85"/>
      <c r="E4693" s="69" t="str">
        <f>HYPERLINK("https://www.google.ru/search?q=73204108-9990&amp;newwindow=1&amp;tbm=isch","Еще фото")</f>
        <v>Еще фото</v>
      </c>
      <c r="F4693" s="13"/>
      <c r="G4693" s="23" t="s">
        <v>2831</v>
      </c>
      <c r="H4693" s="23" t="s">
        <v>27</v>
      </c>
      <c r="I4693" s="23" t="s">
        <v>569</v>
      </c>
      <c r="J4693" s="14" t="s">
        <v>29</v>
      </c>
      <c r="K4693" s="15" t="s">
        <v>30</v>
      </c>
      <c r="L4693" s="88"/>
      <c r="M4693" s="14"/>
      <c r="N4693" s="14" t="s">
        <v>49</v>
      </c>
      <c r="O4693" s="14"/>
      <c r="P4693" s="15" t="s">
        <v>76</v>
      </c>
      <c r="Q4693" s="16">
        <v>2999</v>
      </c>
      <c r="R4693" s="17">
        <v>45</v>
      </c>
      <c r="S4693" s="18">
        <v>1896.8674999999998</v>
      </c>
      <c r="T4693" s="19" t="s">
        <v>117</v>
      </c>
      <c r="U4693" s="20" t="s">
        <v>2160</v>
      </c>
      <c r="V4693" s="21">
        <v>152</v>
      </c>
      <c r="W4693" s="21">
        <v>3</v>
      </c>
      <c r="X4693" s="22"/>
    </row>
    <row r="4694" spans="1:24" s="1" customFormat="1" ht="21" customHeight="1" x14ac:dyDescent="0.3">
      <c r="A4694" s="11" t="s">
        <v>3014</v>
      </c>
      <c r="B4694" s="11" t="s">
        <v>4658</v>
      </c>
      <c r="C4694" s="27" t="s">
        <v>4659</v>
      </c>
      <c r="D4694" s="83"/>
      <c r="E4694" s="69" t="str">
        <f>HYPERLINK("https://www.google.ru/search?q=73205213-5091&amp;newwindow=1&amp;tbm=isch","Еще фото")</f>
        <v>Еще фото</v>
      </c>
      <c r="F4694" s="13"/>
      <c r="G4694" s="11" t="s">
        <v>4539</v>
      </c>
      <c r="H4694" s="11" t="s">
        <v>27</v>
      </c>
      <c r="I4694" s="14" t="s">
        <v>569</v>
      </c>
      <c r="J4694" s="14" t="s">
        <v>29</v>
      </c>
      <c r="K4694" s="15" t="s">
        <v>30</v>
      </c>
      <c r="L4694" s="86"/>
      <c r="M4694" s="14"/>
      <c r="N4694" s="14" t="s">
        <v>275</v>
      </c>
      <c r="O4694" s="14"/>
      <c r="P4694" s="15" t="s">
        <v>4660</v>
      </c>
      <c r="Q4694" s="16">
        <v>3599</v>
      </c>
      <c r="R4694" s="17">
        <v>45</v>
      </c>
      <c r="S4694" s="18">
        <v>2276.3674999999998</v>
      </c>
      <c r="T4694" s="19" t="s">
        <v>117</v>
      </c>
      <c r="U4694" s="20" t="s">
        <v>290</v>
      </c>
      <c r="V4694" s="21">
        <v>140</v>
      </c>
      <c r="W4694" s="21">
        <v>4</v>
      </c>
      <c r="X4694" s="22"/>
    </row>
    <row r="4695" spans="1:24" s="1" customFormat="1" ht="21" customHeight="1" x14ac:dyDescent="0.3">
      <c r="A4695" s="23" t="s">
        <v>3014</v>
      </c>
      <c r="B4695" s="23" t="s">
        <v>4658</v>
      </c>
      <c r="C4695" s="28" t="s">
        <v>4659</v>
      </c>
      <c r="D4695" s="84"/>
      <c r="E4695" s="69" t="str">
        <f>HYPERLINK("https://www.google.ru/search?q=73205213-5091&amp;newwindow=1&amp;tbm=isch","Еще фото")</f>
        <v>Еще фото</v>
      </c>
      <c r="F4695" s="13"/>
      <c r="G4695" s="23" t="s">
        <v>4539</v>
      </c>
      <c r="H4695" s="23" t="s">
        <v>27</v>
      </c>
      <c r="I4695" s="23" t="s">
        <v>569</v>
      </c>
      <c r="J4695" s="14" t="s">
        <v>29</v>
      </c>
      <c r="K4695" s="15" t="s">
        <v>30</v>
      </c>
      <c r="L4695" s="87"/>
      <c r="M4695" s="14"/>
      <c r="N4695" s="14" t="s">
        <v>275</v>
      </c>
      <c r="O4695" s="14"/>
      <c r="P4695" s="15" t="s">
        <v>4660</v>
      </c>
      <c r="Q4695" s="16">
        <v>3599</v>
      </c>
      <c r="R4695" s="17">
        <v>45</v>
      </c>
      <c r="S4695" s="18">
        <v>2276.3674999999998</v>
      </c>
      <c r="T4695" s="19" t="s">
        <v>117</v>
      </c>
      <c r="U4695" s="20" t="s">
        <v>2993</v>
      </c>
      <c r="V4695" s="21">
        <v>146</v>
      </c>
      <c r="W4695" s="21">
        <v>4</v>
      </c>
      <c r="X4695" s="22"/>
    </row>
    <row r="4696" spans="1:24" s="1" customFormat="1" ht="21" customHeight="1" x14ac:dyDescent="0.3">
      <c r="A4696" s="23" t="s">
        <v>3014</v>
      </c>
      <c r="B4696" s="23" t="s">
        <v>4658</v>
      </c>
      <c r="C4696" s="28" t="s">
        <v>4659</v>
      </c>
      <c r="D4696" s="84"/>
      <c r="E4696" s="69" t="str">
        <f>HYPERLINK("https://www.google.ru/search?q=73205213-5091&amp;newwindow=1&amp;tbm=isch","Еще фото")</f>
        <v>Еще фото</v>
      </c>
      <c r="F4696" s="13"/>
      <c r="G4696" s="23" t="s">
        <v>4539</v>
      </c>
      <c r="H4696" s="23" t="s">
        <v>27</v>
      </c>
      <c r="I4696" s="23" t="s">
        <v>569</v>
      </c>
      <c r="J4696" s="14" t="s">
        <v>29</v>
      </c>
      <c r="K4696" s="15" t="s">
        <v>30</v>
      </c>
      <c r="L4696" s="87"/>
      <c r="M4696" s="14"/>
      <c r="N4696" s="14" t="s">
        <v>275</v>
      </c>
      <c r="O4696" s="14"/>
      <c r="P4696" s="15" t="s">
        <v>4660</v>
      </c>
      <c r="Q4696" s="16">
        <v>3599</v>
      </c>
      <c r="R4696" s="17">
        <v>45</v>
      </c>
      <c r="S4696" s="18">
        <v>2276.3674999999998</v>
      </c>
      <c r="T4696" s="19" t="s">
        <v>117</v>
      </c>
      <c r="U4696" s="20" t="s">
        <v>2160</v>
      </c>
      <c r="V4696" s="21">
        <v>152</v>
      </c>
      <c r="W4696" s="21">
        <v>4</v>
      </c>
      <c r="X4696" s="22"/>
    </row>
    <row r="4697" spans="1:24" s="1" customFormat="1" ht="21" customHeight="1" x14ac:dyDescent="0.3">
      <c r="A4697" s="23" t="s">
        <v>3014</v>
      </c>
      <c r="B4697" s="23" t="s">
        <v>4658</v>
      </c>
      <c r="C4697" s="28" t="s">
        <v>4659</v>
      </c>
      <c r="D4697" s="84"/>
      <c r="E4697" s="69" t="str">
        <f>HYPERLINK("https://www.google.ru/search?q=73205213-5091&amp;newwindow=1&amp;tbm=isch","Еще фото")</f>
        <v>Еще фото</v>
      </c>
      <c r="F4697" s="13"/>
      <c r="G4697" s="23" t="s">
        <v>4539</v>
      </c>
      <c r="H4697" s="23" t="s">
        <v>27</v>
      </c>
      <c r="I4697" s="23" t="s">
        <v>569</v>
      </c>
      <c r="J4697" s="14" t="s">
        <v>29</v>
      </c>
      <c r="K4697" s="15" t="s">
        <v>30</v>
      </c>
      <c r="L4697" s="87"/>
      <c r="M4697" s="14"/>
      <c r="N4697" s="14" t="s">
        <v>275</v>
      </c>
      <c r="O4697" s="14"/>
      <c r="P4697" s="15" t="s">
        <v>4660</v>
      </c>
      <c r="Q4697" s="16">
        <v>3599</v>
      </c>
      <c r="R4697" s="17">
        <v>45</v>
      </c>
      <c r="S4697" s="18">
        <v>2276.3674999999998</v>
      </c>
      <c r="T4697" s="19" t="s">
        <v>117</v>
      </c>
      <c r="U4697" s="20" t="s">
        <v>3088</v>
      </c>
      <c r="V4697" s="21">
        <v>158</v>
      </c>
      <c r="W4697" s="21">
        <v>4</v>
      </c>
      <c r="X4697" s="22"/>
    </row>
    <row r="4698" spans="1:24" s="1" customFormat="1" ht="32.1" customHeight="1" x14ac:dyDescent="0.3">
      <c r="A4698" s="23" t="s">
        <v>3014</v>
      </c>
      <c r="B4698" s="23" t="s">
        <v>4658</v>
      </c>
      <c r="C4698" s="28" t="s">
        <v>4659</v>
      </c>
      <c r="D4698" s="85"/>
      <c r="E4698" s="69" t="str">
        <f>HYPERLINK("https://www.google.ru/search?q=73205213-5091&amp;newwindow=1&amp;tbm=isch","Еще фото")</f>
        <v>Еще фото</v>
      </c>
      <c r="F4698" s="13"/>
      <c r="G4698" s="23" t="s">
        <v>4539</v>
      </c>
      <c r="H4698" s="23" t="s">
        <v>27</v>
      </c>
      <c r="I4698" s="23" t="s">
        <v>569</v>
      </c>
      <c r="J4698" s="14" t="s">
        <v>29</v>
      </c>
      <c r="K4698" s="15" t="s">
        <v>30</v>
      </c>
      <c r="L4698" s="88"/>
      <c r="M4698" s="14"/>
      <c r="N4698" s="14" t="s">
        <v>275</v>
      </c>
      <c r="O4698" s="14"/>
      <c r="P4698" s="15" t="s">
        <v>4660</v>
      </c>
      <c r="Q4698" s="16">
        <v>3599</v>
      </c>
      <c r="R4698" s="17">
        <v>45</v>
      </c>
      <c r="S4698" s="18">
        <v>2276.3674999999998</v>
      </c>
      <c r="T4698" s="19" t="s">
        <v>117</v>
      </c>
      <c r="U4698" s="20" t="s">
        <v>2161</v>
      </c>
      <c r="V4698" s="21">
        <v>164</v>
      </c>
      <c r="W4698" s="21">
        <v>4</v>
      </c>
      <c r="X4698" s="22"/>
    </row>
    <row r="4699" spans="1:24" s="1" customFormat="1" ht="14.1" customHeight="1" x14ac:dyDescent="0.3">
      <c r="A4699" s="11" t="s">
        <v>3014</v>
      </c>
      <c r="B4699" s="11" t="s">
        <v>4658</v>
      </c>
      <c r="C4699" s="12" t="s">
        <v>4661</v>
      </c>
      <c r="D4699" s="83"/>
      <c r="E4699" s="69" t="str">
        <f t="shared" ref="E4699:E4705" si="244">HYPERLINK("https://www.google.ru/search?q=73205213-6910&amp;newwindow=1&amp;tbm=isch","Еще фото")</f>
        <v>Еще фото</v>
      </c>
      <c r="F4699" s="13"/>
      <c r="G4699" s="11" t="s">
        <v>4539</v>
      </c>
      <c r="H4699" s="11" t="s">
        <v>27</v>
      </c>
      <c r="I4699" s="14" t="s">
        <v>569</v>
      </c>
      <c r="J4699" s="14" t="s">
        <v>29</v>
      </c>
      <c r="K4699" s="15" t="s">
        <v>30</v>
      </c>
      <c r="L4699" s="86"/>
      <c r="M4699" s="14"/>
      <c r="N4699" s="14" t="s">
        <v>70</v>
      </c>
      <c r="O4699" s="14"/>
      <c r="P4699" s="15" t="s">
        <v>4660</v>
      </c>
      <c r="Q4699" s="16">
        <v>3599</v>
      </c>
      <c r="R4699" s="17">
        <v>45</v>
      </c>
      <c r="S4699" s="18">
        <v>2276.3674999999998</v>
      </c>
      <c r="T4699" s="19" t="s">
        <v>117</v>
      </c>
      <c r="U4699" s="20" t="s">
        <v>37</v>
      </c>
      <c r="V4699" s="21">
        <v>128</v>
      </c>
      <c r="W4699" s="21">
        <v>3</v>
      </c>
      <c r="X4699" s="22"/>
    </row>
    <row r="4700" spans="1:24" s="1" customFormat="1" ht="14.1" customHeight="1" x14ac:dyDescent="0.3">
      <c r="A4700" s="23" t="s">
        <v>3014</v>
      </c>
      <c r="B4700" s="23" t="s">
        <v>4658</v>
      </c>
      <c r="C4700" s="12" t="s">
        <v>4661</v>
      </c>
      <c r="D4700" s="84"/>
      <c r="E4700" s="69" t="str">
        <f t="shared" si="244"/>
        <v>Еще фото</v>
      </c>
      <c r="F4700" s="13"/>
      <c r="G4700" s="23" t="s">
        <v>4539</v>
      </c>
      <c r="H4700" s="23" t="s">
        <v>27</v>
      </c>
      <c r="I4700" s="23" t="s">
        <v>569</v>
      </c>
      <c r="J4700" s="14" t="s">
        <v>29</v>
      </c>
      <c r="K4700" s="15" t="s">
        <v>30</v>
      </c>
      <c r="L4700" s="87"/>
      <c r="M4700" s="14"/>
      <c r="N4700" s="14" t="s">
        <v>70</v>
      </c>
      <c r="O4700" s="14"/>
      <c r="P4700" s="15" t="s">
        <v>4660</v>
      </c>
      <c r="Q4700" s="16">
        <v>3599</v>
      </c>
      <c r="R4700" s="17">
        <v>45</v>
      </c>
      <c r="S4700" s="18">
        <v>2276.3674999999998</v>
      </c>
      <c r="T4700" s="19" t="s">
        <v>117</v>
      </c>
      <c r="U4700" s="20" t="s">
        <v>91</v>
      </c>
      <c r="V4700" s="21">
        <v>134</v>
      </c>
      <c r="W4700" s="21">
        <v>3</v>
      </c>
      <c r="X4700" s="22"/>
    </row>
    <row r="4701" spans="1:24" s="1" customFormat="1" ht="14.1" customHeight="1" x14ac:dyDescent="0.3">
      <c r="A4701" s="23" t="s">
        <v>3014</v>
      </c>
      <c r="B4701" s="23" t="s">
        <v>4658</v>
      </c>
      <c r="C4701" s="12" t="s">
        <v>4661</v>
      </c>
      <c r="D4701" s="84"/>
      <c r="E4701" s="69" t="str">
        <f t="shared" si="244"/>
        <v>Еще фото</v>
      </c>
      <c r="F4701" s="13"/>
      <c r="G4701" s="23" t="s">
        <v>4539</v>
      </c>
      <c r="H4701" s="23" t="s">
        <v>27</v>
      </c>
      <c r="I4701" s="23" t="s">
        <v>569</v>
      </c>
      <c r="J4701" s="14" t="s">
        <v>29</v>
      </c>
      <c r="K4701" s="15" t="s">
        <v>30</v>
      </c>
      <c r="L4701" s="87"/>
      <c r="M4701" s="14"/>
      <c r="N4701" s="14" t="s">
        <v>70</v>
      </c>
      <c r="O4701" s="14"/>
      <c r="P4701" s="15" t="s">
        <v>4660</v>
      </c>
      <c r="Q4701" s="16">
        <v>3599</v>
      </c>
      <c r="R4701" s="17">
        <v>45</v>
      </c>
      <c r="S4701" s="18">
        <v>2276.3674999999998</v>
      </c>
      <c r="T4701" s="19" t="s">
        <v>117</v>
      </c>
      <c r="U4701" s="20" t="s">
        <v>290</v>
      </c>
      <c r="V4701" s="21">
        <v>140</v>
      </c>
      <c r="W4701" s="21">
        <v>3</v>
      </c>
      <c r="X4701" s="22"/>
    </row>
    <row r="4702" spans="1:24" s="1" customFormat="1" ht="14.1" customHeight="1" x14ac:dyDescent="0.3">
      <c r="A4702" s="23" t="s">
        <v>3014</v>
      </c>
      <c r="B4702" s="23" t="s">
        <v>4658</v>
      </c>
      <c r="C4702" s="12" t="s">
        <v>4661</v>
      </c>
      <c r="D4702" s="84"/>
      <c r="E4702" s="69" t="str">
        <f t="shared" si="244"/>
        <v>Еще фото</v>
      </c>
      <c r="F4702" s="13"/>
      <c r="G4702" s="23" t="s">
        <v>4539</v>
      </c>
      <c r="H4702" s="23" t="s">
        <v>27</v>
      </c>
      <c r="I4702" s="23" t="s">
        <v>569</v>
      </c>
      <c r="J4702" s="14" t="s">
        <v>29</v>
      </c>
      <c r="K4702" s="15" t="s">
        <v>30</v>
      </c>
      <c r="L4702" s="87"/>
      <c r="M4702" s="14"/>
      <c r="N4702" s="14" t="s">
        <v>70</v>
      </c>
      <c r="O4702" s="14"/>
      <c r="P4702" s="15" t="s">
        <v>4660</v>
      </c>
      <c r="Q4702" s="16">
        <v>3599</v>
      </c>
      <c r="R4702" s="17">
        <v>45</v>
      </c>
      <c r="S4702" s="18">
        <v>2276.3674999999998</v>
      </c>
      <c r="T4702" s="19" t="s">
        <v>117</v>
      </c>
      <c r="U4702" s="20" t="s">
        <v>2993</v>
      </c>
      <c r="V4702" s="21">
        <v>146</v>
      </c>
      <c r="W4702" s="21">
        <v>3</v>
      </c>
      <c r="X4702" s="22"/>
    </row>
    <row r="4703" spans="1:24" s="1" customFormat="1" ht="14.1" customHeight="1" x14ac:dyDescent="0.3">
      <c r="A4703" s="23" t="s">
        <v>3014</v>
      </c>
      <c r="B4703" s="23" t="s">
        <v>4658</v>
      </c>
      <c r="C4703" s="12" t="s">
        <v>4661</v>
      </c>
      <c r="D4703" s="84"/>
      <c r="E4703" s="69" t="str">
        <f t="shared" si="244"/>
        <v>Еще фото</v>
      </c>
      <c r="F4703" s="13"/>
      <c r="G4703" s="23" t="s">
        <v>4539</v>
      </c>
      <c r="H4703" s="23" t="s">
        <v>27</v>
      </c>
      <c r="I4703" s="23" t="s">
        <v>569</v>
      </c>
      <c r="J4703" s="14" t="s">
        <v>29</v>
      </c>
      <c r="K4703" s="15" t="s">
        <v>30</v>
      </c>
      <c r="L4703" s="87"/>
      <c r="M4703" s="14"/>
      <c r="N4703" s="14" t="s">
        <v>70</v>
      </c>
      <c r="O4703" s="14"/>
      <c r="P4703" s="15" t="s">
        <v>4660</v>
      </c>
      <c r="Q4703" s="16">
        <v>3599</v>
      </c>
      <c r="R4703" s="17">
        <v>45</v>
      </c>
      <c r="S4703" s="18">
        <v>2276.3674999999998</v>
      </c>
      <c r="T4703" s="19" t="s">
        <v>117</v>
      </c>
      <c r="U4703" s="20" t="s">
        <v>2160</v>
      </c>
      <c r="V4703" s="21">
        <v>152</v>
      </c>
      <c r="W4703" s="21">
        <v>3</v>
      </c>
      <c r="X4703" s="22"/>
    </row>
    <row r="4704" spans="1:24" s="1" customFormat="1" ht="14.1" customHeight="1" x14ac:dyDescent="0.3">
      <c r="A4704" s="23" t="s">
        <v>3014</v>
      </c>
      <c r="B4704" s="23" t="s">
        <v>4658</v>
      </c>
      <c r="C4704" s="12" t="s">
        <v>4661</v>
      </c>
      <c r="D4704" s="84"/>
      <c r="E4704" s="69" t="str">
        <f t="shared" si="244"/>
        <v>Еще фото</v>
      </c>
      <c r="F4704" s="13"/>
      <c r="G4704" s="23" t="s">
        <v>4539</v>
      </c>
      <c r="H4704" s="23" t="s">
        <v>27</v>
      </c>
      <c r="I4704" s="23" t="s">
        <v>569</v>
      </c>
      <c r="J4704" s="14" t="s">
        <v>29</v>
      </c>
      <c r="K4704" s="15" t="s">
        <v>30</v>
      </c>
      <c r="L4704" s="87"/>
      <c r="M4704" s="14"/>
      <c r="N4704" s="14" t="s">
        <v>70</v>
      </c>
      <c r="O4704" s="14"/>
      <c r="P4704" s="15" t="s">
        <v>4660</v>
      </c>
      <c r="Q4704" s="16">
        <v>3599</v>
      </c>
      <c r="R4704" s="17">
        <v>45</v>
      </c>
      <c r="S4704" s="18">
        <v>2276.3674999999998</v>
      </c>
      <c r="T4704" s="19" t="s">
        <v>117</v>
      </c>
      <c r="U4704" s="20" t="s">
        <v>3088</v>
      </c>
      <c r="V4704" s="21">
        <v>158</v>
      </c>
      <c r="W4704" s="21">
        <v>3</v>
      </c>
      <c r="X4704" s="22"/>
    </row>
    <row r="4705" spans="1:24" s="1" customFormat="1" ht="17.100000000000001" customHeight="1" x14ac:dyDescent="0.3">
      <c r="A4705" s="23" t="s">
        <v>3014</v>
      </c>
      <c r="B4705" s="23" t="s">
        <v>4658</v>
      </c>
      <c r="C4705" s="12" t="s">
        <v>4661</v>
      </c>
      <c r="D4705" s="85"/>
      <c r="E4705" s="69" t="str">
        <f t="shared" si="244"/>
        <v>Еще фото</v>
      </c>
      <c r="F4705" s="13"/>
      <c r="G4705" s="23" t="s">
        <v>4539</v>
      </c>
      <c r="H4705" s="23" t="s">
        <v>27</v>
      </c>
      <c r="I4705" s="23" t="s">
        <v>569</v>
      </c>
      <c r="J4705" s="14" t="s">
        <v>29</v>
      </c>
      <c r="K4705" s="15" t="s">
        <v>30</v>
      </c>
      <c r="L4705" s="88"/>
      <c r="M4705" s="14"/>
      <c r="N4705" s="14" t="s">
        <v>70</v>
      </c>
      <c r="O4705" s="14"/>
      <c r="P4705" s="15" t="s">
        <v>4660</v>
      </c>
      <c r="Q4705" s="16">
        <v>3599</v>
      </c>
      <c r="R4705" s="17">
        <v>45</v>
      </c>
      <c r="S4705" s="18">
        <v>2276.3674999999998</v>
      </c>
      <c r="T4705" s="19" t="s">
        <v>117</v>
      </c>
      <c r="U4705" s="20" t="s">
        <v>2161</v>
      </c>
      <c r="V4705" s="21">
        <v>164</v>
      </c>
      <c r="W4705" s="21">
        <v>3</v>
      </c>
      <c r="X4705" s="22"/>
    </row>
    <row r="4706" spans="1:24" s="1" customFormat="1" ht="26.1" customHeight="1" x14ac:dyDescent="0.3">
      <c r="A4706" s="11" t="s">
        <v>3014</v>
      </c>
      <c r="B4706" s="11" t="s">
        <v>4662</v>
      </c>
      <c r="C4706" s="12" t="s">
        <v>4663</v>
      </c>
      <c r="D4706" s="83"/>
      <c r="E4706" s="69" t="str">
        <f>HYPERLINK("https://www.google.ru/search?q=73206111-8070&amp;newwindow=1&amp;tbm=isch","Еще фото")</f>
        <v>Еще фото</v>
      </c>
      <c r="F4706" s="13"/>
      <c r="G4706" s="11" t="s">
        <v>574</v>
      </c>
      <c r="H4706" s="11" t="s">
        <v>27</v>
      </c>
      <c r="I4706" s="14" t="s">
        <v>569</v>
      </c>
      <c r="J4706" s="14" t="s">
        <v>29</v>
      </c>
      <c r="K4706" s="15" t="s">
        <v>30</v>
      </c>
      <c r="L4706" s="86"/>
      <c r="M4706" s="14"/>
      <c r="N4706" s="14" t="s">
        <v>242</v>
      </c>
      <c r="O4706" s="14"/>
      <c r="P4706" s="15" t="s">
        <v>74</v>
      </c>
      <c r="Q4706" s="16">
        <v>4999</v>
      </c>
      <c r="R4706" s="17">
        <v>45</v>
      </c>
      <c r="S4706" s="18">
        <v>3161.8674999999994</v>
      </c>
      <c r="T4706" s="19" t="s">
        <v>117</v>
      </c>
      <c r="U4706" s="20" t="s">
        <v>91</v>
      </c>
      <c r="V4706" s="21">
        <v>134</v>
      </c>
      <c r="W4706" s="21">
        <v>2</v>
      </c>
      <c r="X4706" s="22"/>
    </row>
    <row r="4707" spans="1:24" s="1" customFormat="1" ht="26.1" customHeight="1" x14ac:dyDescent="0.3">
      <c r="A4707" s="23" t="s">
        <v>3014</v>
      </c>
      <c r="B4707" s="23" t="s">
        <v>4662</v>
      </c>
      <c r="C4707" s="12" t="s">
        <v>4663</v>
      </c>
      <c r="D4707" s="84"/>
      <c r="E4707" s="69" t="str">
        <f>HYPERLINK("https://www.google.ru/search?q=73206111-8070&amp;newwindow=1&amp;tbm=isch","Еще фото")</f>
        <v>Еще фото</v>
      </c>
      <c r="F4707" s="13"/>
      <c r="G4707" s="23" t="s">
        <v>574</v>
      </c>
      <c r="H4707" s="23" t="s">
        <v>27</v>
      </c>
      <c r="I4707" s="23" t="s">
        <v>569</v>
      </c>
      <c r="J4707" s="14" t="s">
        <v>29</v>
      </c>
      <c r="K4707" s="15" t="s">
        <v>30</v>
      </c>
      <c r="L4707" s="87"/>
      <c r="M4707" s="14"/>
      <c r="N4707" s="14" t="s">
        <v>242</v>
      </c>
      <c r="O4707" s="14"/>
      <c r="P4707" s="15" t="s">
        <v>74</v>
      </c>
      <c r="Q4707" s="16">
        <v>4999</v>
      </c>
      <c r="R4707" s="17">
        <v>45</v>
      </c>
      <c r="S4707" s="18">
        <v>3161.8674999999994</v>
      </c>
      <c r="T4707" s="19" t="s">
        <v>117</v>
      </c>
      <c r="U4707" s="20" t="s">
        <v>290</v>
      </c>
      <c r="V4707" s="21">
        <v>140</v>
      </c>
      <c r="W4707" s="21">
        <v>2</v>
      </c>
      <c r="X4707" s="22"/>
    </row>
    <row r="4708" spans="1:24" s="1" customFormat="1" ht="26.1" customHeight="1" x14ac:dyDescent="0.3">
      <c r="A4708" s="23" t="s">
        <v>3014</v>
      </c>
      <c r="B4708" s="23" t="s">
        <v>4662</v>
      </c>
      <c r="C4708" s="12" t="s">
        <v>4663</v>
      </c>
      <c r="D4708" s="84"/>
      <c r="E4708" s="69" t="str">
        <f>HYPERLINK("https://www.google.ru/search?q=73206111-8070&amp;newwindow=1&amp;tbm=isch","Еще фото")</f>
        <v>Еще фото</v>
      </c>
      <c r="F4708" s="13"/>
      <c r="G4708" s="23" t="s">
        <v>574</v>
      </c>
      <c r="H4708" s="23" t="s">
        <v>27</v>
      </c>
      <c r="I4708" s="23" t="s">
        <v>569</v>
      </c>
      <c r="J4708" s="14" t="s">
        <v>29</v>
      </c>
      <c r="K4708" s="15" t="s">
        <v>30</v>
      </c>
      <c r="L4708" s="87"/>
      <c r="M4708" s="14"/>
      <c r="N4708" s="14" t="s">
        <v>242</v>
      </c>
      <c r="O4708" s="14"/>
      <c r="P4708" s="15" t="s">
        <v>74</v>
      </c>
      <c r="Q4708" s="16">
        <v>4999</v>
      </c>
      <c r="R4708" s="17">
        <v>45</v>
      </c>
      <c r="S4708" s="18">
        <v>3161.8674999999994</v>
      </c>
      <c r="T4708" s="19" t="s">
        <v>117</v>
      </c>
      <c r="U4708" s="20" t="s">
        <v>2993</v>
      </c>
      <c r="V4708" s="21">
        <v>146</v>
      </c>
      <c r="W4708" s="21">
        <v>1</v>
      </c>
      <c r="X4708" s="22"/>
    </row>
    <row r="4709" spans="1:24" s="1" customFormat="1" ht="26.1" customHeight="1" x14ac:dyDescent="0.3">
      <c r="A4709" s="23" t="s">
        <v>3014</v>
      </c>
      <c r="B4709" s="23" t="s">
        <v>4662</v>
      </c>
      <c r="C4709" s="12" t="s">
        <v>4663</v>
      </c>
      <c r="D4709" s="85"/>
      <c r="E4709" s="69" t="str">
        <f>HYPERLINK("https://www.google.ru/search?q=73206111-8070&amp;newwindow=1&amp;tbm=isch","Еще фото")</f>
        <v>Еще фото</v>
      </c>
      <c r="F4709" s="13"/>
      <c r="G4709" s="23" t="s">
        <v>574</v>
      </c>
      <c r="H4709" s="23" t="s">
        <v>27</v>
      </c>
      <c r="I4709" s="23" t="s">
        <v>569</v>
      </c>
      <c r="J4709" s="14" t="s">
        <v>29</v>
      </c>
      <c r="K4709" s="15" t="s">
        <v>30</v>
      </c>
      <c r="L4709" s="88"/>
      <c r="M4709" s="14"/>
      <c r="N4709" s="14" t="s">
        <v>242</v>
      </c>
      <c r="O4709" s="14"/>
      <c r="P4709" s="15" t="s">
        <v>74</v>
      </c>
      <c r="Q4709" s="16">
        <v>4999</v>
      </c>
      <c r="R4709" s="17">
        <v>45</v>
      </c>
      <c r="S4709" s="18">
        <v>3161.8674999999994</v>
      </c>
      <c r="T4709" s="19" t="s">
        <v>117</v>
      </c>
      <c r="U4709" s="20" t="s">
        <v>2160</v>
      </c>
      <c r="V4709" s="21">
        <v>152</v>
      </c>
      <c r="W4709" s="21">
        <v>1</v>
      </c>
      <c r="X4709" s="22"/>
    </row>
    <row r="4710" spans="1:24" s="1" customFormat="1" ht="35.1" customHeight="1" x14ac:dyDescent="0.3">
      <c r="A4710" s="11" t="s">
        <v>3014</v>
      </c>
      <c r="B4710" s="11" t="s">
        <v>4664</v>
      </c>
      <c r="C4710" s="12" t="s">
        <v>4665</v>
      </c>
      <c r="D4710" s="83"/>
      <c r="E4710" s="69" t="str">
        <f>HYPERLINK("https://www.google.ru/search?q=73206116-3110&amp;newwindow=1&amp;tbm=isch","Еще фото")</f>
        <v>Еще фото</v>
      </c>
      <c r="F4710" s="13"/>
      <c r="G4710" s="11" t="s">
        <v>4539</v>
      </c>
      <c r="H4710" s="11" t="s">
        <v>27</v>
      </c>
      <c r="I4710" s="14" t="s">
        <v>569</v>
      </c>
      <c r="J4710" s="14" t="s">
        <v>29</v>
      </c>
      <c r="K4710" s="15" t="s">
        <v>30</v>
      </c>
      <c r="L4710" s="86"/>
      <c r="M4710" s="14"/>
      <c r="N4710" s="14" t="s">
        <v>275</v>
      </c>
      <c r="O4710" s="14"/>
      <c r="P4710" s="15" t="s">
        <v>1294</v>
      </c>
      <c r="Q4710" s="16">
        <v>3299</v>
      </c>
      <c r="R4710" s="17">
        <v>45</v>
      </c>
      <c r="S4710" s="18">
        <v>2086.6174999999998</v>
      </c>
      <c r="T4710" s="19" t="s">
        <v>117</v>
      </c>
      <c r="U4710" s="20" t="s">
        <v>36</v>
      </c>
      <c r="V4710" s="21">
        <v>122</v>
      </c>
      <c r="W4710" s="21">
        <v>2</v>
      </c>
      <c r="X4710" s="22"/>
    </row>
    <row r="4711" spans="1:24" s="1" customFormat="1" ht="35.1" customHeight="1" x14ac:dyDescent="0.3">
      <c r="A4711" s="23" t="s">
        <v>3014</v>
      </c>
      <c r="B4711" s="23" t="s">
        <v>4664</v>
      </c>
      <c r="C4711" s="12" t="s">
        <v>4665</v>
      </c>
      <c r="D4711" s="84"/>
      <c r="E4711" s="69" t="str">
        <f>HYPERLINK("https://www.google.ru/search?q=73206116-3110&amp;newwindow=1&amp;tbm=isch","Еще фото")</f>
        <v>Еще фото</v>
      </c>
      <c r="F4711" s="13"/>
      <c r="G4711" s="23" t="s">
        <v>4539</v>
      </c>
      <c r="H4711" s="23" t="s">
        <v>27</v>
      </c>
      <c r="I4711" s="23" t="s">
        <v>569</v>
      </c>
      <c r="J4711" s="14" t="s">
        <v>29</v>
      </c>
      <c r="K4711" s="15" t="s">
        <v>30</v>
      </c>
      <c r="L4711" s="87"/>
      <c r="M4711" s="14"/>
      <c r="N4711" s="14" t="s">
        <v>275</v>
      </c>
      <c r="O4711" s="14"/>
      <c r="P4711" s="15" t="s">
        <v>1294</v>
      </c>
      <c r="Q4711" s="16">
        <v>3299</v>
      </c>
      <c r="R4711" s="17">
        <v>45</v>
      </c>
      <c r="S4711" s="18">
        <v>2086.6174999999998</v>
      </c>
      <c r="T4711" s="19" t="s">
        <v>117</v>
      </c>
      <c r="U4711" s="20" t="s">
        <v>37</v>
      </c>
      <c r="V4711" s="21">
        <v>128</v>
      </c>
      <c r="W4711" s="21">
        <v>3</v>
      </c>
      <c r="X4711" s="22"/>
    </row>
    <row r="4712" spans="1:24" s="1" customFormat="1" ht="36.950000000000003" customHeight="1" x14ac:dyDescent="0.3">
      <c r="A4712" s="23" t="s">
        <v>3014</v>
      </c>
      <c r="B4712" s="23" t="s">
        <v>4664</v>
      </c>
      <c r="C4712" s="12" t="s">
        <v>4665</v>
      </c>
      <c r="D4712" s="85"/>
      <c r="E4712" s="69" t="str">
        <f>HYPERLINK("https://www.google.ru/search?q=73206116-3110&amp;newwindow=1&amp;tbm=isch","Еще фото")</f>
        <v>Еще фото</v>
      </c>
      <c r="F4712" s="13"/>
      <c r="G4712" s="23" t="s">
        <v>4539</v>
      </c>
      <c r="H4712" s="23" t="s">
        <v>27</v>
      </c>
      <c r="I4712" s="23" t="s">
        <v>569</v>
      </c>
      <c r="J4712" s="14" t="s">
        <v>29</v>
      </c>
      <c r="K4712" s="15" t="s">
        <v>30</v>
      </c>
      <c r="L4712" s="88"/>
      <c r="M4712" s="14"/>
      <c r="N4712" s="14" t="s">
        <v>275</v>
      </c>
      <c r="O4712" s="14"/>
      <c r="P4712" s="15" t="s">
        <v>1294</v>
      </c>
      <c r="Q4712" s="16">
        <v>3299</v>
      </c>
      <c r="R4712" s="17">
        <v>45</v>
      </c>
      <c r="S4712" s="18">
        <v>2086.6174999999998</v>
      </c>
      <c r="T4712" s="19" t="s">
        <v>117</v>
      </c>
      <c r="U4712" s="20" t="s">
        <v>290</v>
      </c>
      <c r="V4712" s="21">
        <v>140</v>
      </c>
      <c r="W4712" s="21">
        <v>3</v>
      </c>
      <c r="X4712" s="22"/>
    </row>
    <row r="4713" spans="1:24" s="1" customFormat="1" ht="21" customHeight="1" x14ac:dyDescent="0.3">
      <c r="A4713" s="11" t="s">
        <v>3014</v>
      </c>
      <c r="B4713" s="11" t="s">
        <v>4664</v>
      </c>
      <c r="C4713" s="27" t="s">
        <v>4666</v>
      </c>
      <c r="D4713" s="83"/>
      <c r="E4713" s="69" t="str">
        <f>HYPERLINK("https://www.google.ru/search?q=73206116-9340&amp;newwindow=1&amp;tbm=isch","Еще фото")</f>
        <v>Еще фото</v>
      </c>
      <c r="F4713" s="13"/>
      <c r="G4713" s="11" t="s">
        <v>4539</v>
      </c>
      <c r="H4713" s="11" t="s">
        <v>27</v>
      </c>
      <c r="I4713" s="14" t="s">
        <v>569</v>
      </c>
      <c r="J4713" s="14" t="s">
        <v>29</v>
      </c>
      <c r="K4713" s="15" t="s">
        <v>30</v>
      </c>
      <c r="L4713" s="86"/>
      <c r="M4713" s="14"/>
      <c r="N4713" s="14" t="s">
        <v>41</v>
      </c>
      <c r="O4713" s="14"/>
      <c r="P4713" s="15" t="s">
        <v>1294</v>
      </c>
      <c r="Q4713" s="16">
        <v>3299</v>
      </c>
      <c r="R4713" s="17">
        <v>45</v>
      </c>
      <c r="S4713" s="18">
        <v>2086.6174999999998</v>
      </c>
      <c r="T4713" s="19" t="s">
        <v>117</v>
      </c>
      <c r="U4713" s="20" t="s">
        <v>37</v>
      </c>
      <c r="V4713" s="21">
        <v>128</v>
      </c>
      <c r="W4713" s="21">
        <v>5</v>
      </c>
      <c r="X4713" s="22"/>
    </row>
    <row r="4714" spans="1:24" s="1" customFormat="1" ht="21" customHeight="1" x14ac:dyDescent="0.3">
      <c r="A4714" s="23" t="s">
        <v>3014</v>
      </c>
      <c r="B4714" s="23" t="s">
        <v>4664</v>
      </c>
      <c r="C4714" s="28" t="s">
        <v>4666</v>
      </c>
      <c r="D4714" s="84"/>
      <c r="E4714" s="69" t="str">
        <f>HYPERLINK("https://www.google.ru/search?q=73206116-9340&amp;newwindow=1&amp;tbm=isch","Еще фото")</f>
        <v>Еще фото</v>
      </c>
      <c r="F4714" s="13"/>
      <c r="G4714" s="23" t="s">
        <v>4539</v>
      </c>
      <c r="H4714" s="23" t="s">
        <v>27</v>
      </c>
      <c r="I4714" s="23" t="s">
        <v>569</v>
      </c>
      <c r="J4714" s="14" t="s">
        <v>29</v>
      </c>
      <c r="K4714" s="15" t="s">
        <v>30</v>
      </c>
      <c r="L4714" s="87"/>
      <c r="M4714" s="14"/>
      <c r="N4714" s="14" t="s">
        <v>41</v>
      </c>
      <c r="O4714" s="14"/>
      <c r="P4714" s="15" t="s">
        <v>1294</v>
      </c>
      <c r="Q4714" s="16">
        <v>3299</v>
      </c>
      <c r="R4714" s="17">
        <v>45</v>
      </c>
      <c r="S4714" s="18">
        <v>2086.6174999999998</v>
      </c>
      <c r="T4714" s="19" t="s">
        <v>117</v>
      </c>
      <c r="U4714" s="20" t="s">
        <v>91</v>
      </c>
      <c r="V4714" s="21">
        <v>134</v>
      </c>
      <c r="W4714" s="21">
        <v>5</v>
      </c>
      <c r="X4714" s="22"/>
    </row>
    <row r="4715" spans="1:24" s="1" customFormat="1" ht="21" customHeight="1" x14ac:dyDescent="0.3">
      <c r="A4715" s="23" t="s">
        <v>3014</v>
      </c>
      <c r="B4715" s="23" t="s">
        <v>4664</v>
      </c>
      <c r="C4715" s="28" t="s">
        <v>4666</v>
      </c>
      <c r="D4715" s="84"/>
      <c r="E4715" s="69" t="str">
        <f>HYPERLINK("https://www.google.ru/search?q=73206116-9340&amp;newwindow=1&amp;tbm=isch","Еще фото")</f>
        <v>Еще фото</v>
      </c>
      <c r="F4715" s="13"/>
      <c r="G4715" s="23" t="s">
        <v>4539</v>
      </c>
      <c r="H4715" s="23" t="s">
        <v>27</v>
      </c>
      <c r="I4715" s="23" t="s">
        <v>569</v>
      </c>
      <c r="J4715" s="14" t="s">
        <v>29</v>
      </c>
      <c r="K4715" s="15" t="s">
        <v>30</v>
      </c>
      <c r="L4715" s="87"/>
      <c r="M4715" s="14"/>
      <c r="N4715" s="14" t="s">
        <v>41</v>
      </c>
      <c r="O4715" s="14"/>
      <c r="P4715" s="15" t="s">
        <v>1294</v>
      </c>
      <c r="Q4715" s="16">
        <v>3299</v>
      </c>
      <c r="R4715" s="17">
        <v>45</v>
      </c>
      <c r="S4715" s="18">
        <v>2086.6174999999998</v>
      </c>
      <c r="T4715" s="19" t="s">
        <v>117</v>
      </c>
      <c r="U4715" s="20" t="s">
        <v>290</v>
      </c>
      <c r="V4715" s="21">
        <v>140</v>
      </c>
      <c r="W4715" s="21">
        <v>5</v>
      </c>
      <c r="X4715" s="22"/>
    </row>
    <row r="4716" spans="1:24" s="1" customFormat="1" ht="21" customHeight="1" x14ac:dyDescent="0.3">
      <c r="A4716" s="23" t="s">
        <v>3014</v>
      </c>
      <c r="B4716" s="23" t="s">
        <v>4664</v>
      </c>
      <c r="C4716" s="28" t="s">
        <v>4666</v>
      </c>
      <c r="D4716" s="84"/>
      <c r="E4716" s="69" t="str">
        <f>HYPERLINK("https://www.google.ru/search?q=73206116-9340&amp;newwindow=1&amp;tbm=isch","Еще фото")</f>
        <v>Еще фото</v>
      </c>
      <c r="F4716" s="13"/>
      <c r="G4716" s="23" t="s">
        <v>4539</v>
      </c>
      <c r="H4716" s="23" t="s">
        <v>27</v>
      </c>
      <c r="I4716" s="23" t="s">
        <v>569</v>
      </c>
      <c r="J4716" s="14" t="s">
        <v>29</v>
      </c>
      <c r="K4716" s="15" t="s">
        <v>30</v>
      </c>
      <c r="L4716" s="87"/>
      <c r="M4716" s="14"/>
      <c r="N4716" s="14" t="s">
        <v>41</v>
      </c>
      <c r="O4716" s="14"/>
      <c r="P4716" s="15" t="s">
        <v>1294</v>
      </c>
      <c r="Q4716" s="16">
        <v>3299</v>
      </c>
      <c r="R4716" s="17">
        <v>45</v>
      </c>
      <c r="S4716" s="18">
        <v>2086.6174999999998</v>
      </c>
      <c r="T4716" s="19" t="s">
        <v>117</v>
      </c>
      <c r="U4716" s="20" t="s">
        <v>2993</v>
      </c>
      <c r="V4716" s="21">
        <v>146</v>
      </c>
      <c r="W4716" s="21">
        <v>5</v>
      </c>
      <c r="X4716" s="22"/>
    </row>
    <row r="4717" spans="1:24" s="1" customFormat="1" ht="32.1" customHeight="1" x14ac:dyDescent="0.3">
      <c r="A4717" s="23" t="s">
        <v>3014</v>
      </c>
      <c r="B4717" s="23" t="s">
        <v>4664</v>
      </c>
      <c r="C4717" s="28" t="s">
        <v>4666</v>
      </c>
      <c r="D4717" s="85"/>
      <c r="E4717" s="69" t="str">
        <f>HYPERLINK("https://www.google.ru/search?q=73206116-9340&amp;newwindow=1&amp;tbm=isch","Еще фото")</f>
        <v>Еще фото</v>
      </c>
      <c r="F4717" s="13"/>
      <c r="G4717" s="23" t="s">
        <v>4539</v>
      </c>
      <c r="H4717" s="23" t="s">
        <v>27</v>
      </c>
      <c r="I4717" s="23" t="s">
        <v>569</v>
      </c>
      <c r="J4717" s="14" t="s">
        <v>29</v>
      </c>
      <c r="K4717" s="15" t="s">
        <v>30</v>
      </c>
      <c r="L4717" s="88"/>
      <c r="M4717" s="14"/>
      <c r="N4717" s="14" t="s">
        <v>41</v>
      </c>
      <c r="O4717" s="14"/>
      <c r="P4717" s="15" t="s">
        <v>1294</v>
      </c>
      <c r="Q4717" s="16">
        <v>3299</v>
      </c>
      <c r="R4717" s="17">
        <v>45</v>
      </c>
      <c r="S4717" s="18">
        <v>2086.6174999999998</v>
      </c>
      <c r="T4717" s="19" t="s">
        <v>117</v>
      </c>
      <c r="U4717" s="20" t="s">
        <v>2160</v>
      </c>
      <c r="V4717" s="21">
        <v>152</v>
      </c>
      <c r="W4717" s="21">
        <v>6</v>
      </c>
      <c r="X4717" s="22"/>
    </row>
    <row r="4718" spans="1:24" s="1" customFormat="1" ht="14.1" customHeight="1" x14ac:dyDescent="0.3">
      <c r="A4718" s="11" t="s">
        <v>3014</v>
      </c>
      <c r="B4718" s="11" t="s">
        <v>4664</v>
      </c>
      <c r="C4718" s="12" t="s">
        <v>4667</v>
      </c>
      <c r="D4718" s="83"/>
      <c r="E4718" s="69" t="str">
        <f t="shared" ref="E4718:E4724" si="245">HYPERLINK("https://www.google.ru/search?q=73206116-9370&amp;newwindow=1&amp;tbm=isch","Еще фото")</f>
        <v>Еще фото</v>
      </c>
      <c r="F4718" s="13"/>
      <c r="G4718" s="11" t="s">
        <v>4539</v>
      </c>
      <c r="H4718" s="11" t="s">
        <v>27</v>
      </c>
      <c r="I4718" s="14" t="s">
        <v>569</v>
      </c>
      <c r="J4718" s="14" t="s">
        <v>29</v>
      </c>
      <c r="K4718" s="15" t="s">
        <v>30</v>
      </c>
      <c r="L4718" s="86"/>
      <c r="M4718" s="14"/>
      <c r="N4718" s="14" t="s">
        <v>41</v>
      </c>
      <c r="O4718" s="14"/>
      <c r="P4718" s="15" t="s">
        <v>1294</v>
      </c>
      <c r="Q4718" s="16">
        <v>3299</v>
      </c>
      <c r="R4718" s="17">
        <v>45</v>
      </c>
      <c r="S4718" s="18">
        <v>2086.6174999999998</v>
      </c>
      <c r="T4718" s="19" t="s">
        <v>117</v>
      </c>
      <c r="U4718" s="20" t="s">
        <v>35</v>
      </c>
      <c r="V4718" s="21">
        <v>116</v>
      </c>
      <c r="W4718" s="21">
        <v>2</v>
      </c>
      <c r="X4718" s="22"/>
    </row>
    <row r="4719" spans="1:24" s="1" customFormat="1" ht="14.1" customHeight="1" x14ac:dyDescent="0.3">
      <c r="A4719" s="23" t="s">
        <v>3014</v>
      </c>
      <c r="B4719" s="23" t="s">
        <v>4664</v>
      </c>
      <c r="C4719" s="12" t="s">
        <v>4667</v>
      </c>
      <c r="D4719" s="84"/>
      <c r="E4719" s="69" t="str">
        <f t="shared" si="245"/>
        <v>Еще фото</v>
      </c>
      <c r="F4719" s="13"/>
      <c r="G4719" s="23" t="s">
        <v>4539</v>
      </c>
      <c r="H4719" s="23" t="s">
        <v>27</v>
      </c>
      <c r="I4719" s="23" t="s">
        <v>569</v>
      </c>
      <c r="J4719" s="14" t="s">
        <v>29</v>
      </c>
      <c r="K4719" s="15" t="s">
        <v>30</v>
      </c>
      <c r="L4719" s="87"/>
      <c r="M4719" s="14"/>
      <c r="N4719" s="14" t="s">
        <v>41</v>
      </c>
      <c r="O4719" s="14"/>
      <c r="P4719" s="15" t="s">
        <v>1294</v>
      </c>
      <c r="Q4719" s="16">
        <v>3299</v>
      </c>
      <c r="R4719" s="17">
        <v>45</v>
      </c>
      <c r="S4719" s="18">
        <v>2086.6174999999998</v>
      </c>
      <c r="T4719" s="19" t="s">
        <v>117</v>
      </c>
      <c r="U4719" s="20" t="s">
        <v>36</v>
      </c>
      <c r="V4719" s="21">
        <v>122</v>
      </c>
      <c r="W4719" s="21">
        <v>3</v>
      </c>
      <c r="X4719" s="22"/>
    </row>
    <row r="4720" spans="1:24" s="1" customFormat="1" ht="14.1" customHeight="1" x14ac:dyDescent="0.3">
      <c r="A4720" s="23" t="s">
        <v>3014</v>
      </c>
      <c r="B4720" s="23" t="s">
        <v>4664</v>
      </c>
      <c r="C4720" s="12" t="s">
        <v>4667</v>
      </c>
      <c r="D4720" s="84"/>
      <c r="E4720" s="69" t="str">
        <f t="shared" si="245"/>
        <v>Еще фото</v>
      </c>
      <c r="F4720" s="13"/>
      <c r="G4720" s="23" t="s">
        <v>4539</v>
      </c>
      <c r="H4720" s="23" t="s">
        <v>27</v>
      </c>
      <c r="I4720" s="23" t="s">
        <v>569</v>
      </c>
      <c r="J4720" s="14" t="s">
        <v>29</v>
      </c>
      <c r="K4720" s="15" t="s">
        <v>30</v>
      </c>
      <c r="L4720" s="87"/>
      <c r="M4720" s="14"/>
      <c r="N4720" s="14" t="s">
        <v>41</v>
      </c>
      <c r="O4720" s="14"/>
      <c r="P4720" s="15" t="s">
        <v>1294</v>
      </c>
      <c r="Q4720" s="16">
        <v>3299</v>
      </c>
      <c r="R4720" s="17">
        <v>45</v>
      </c>
      <c r="S4720" s="18">
        <v>2086.6174999999998</v>
      </c>
      <c r="T4720" s="19" t="s">
        <v>117</v>
      </c>
      <c r="U4720" s="20" t="s">
        <v>37</v>
      </c>
      <c r="V4720" s="21">
        <v>128</v>
      </c>
      <c r="W4720" s="21">
        <v>7</v>
      </c>
      <c r="X4720" s="22"/>
    </row>
    <row r="4721" spans="1:24" s="1" customFormat="1" ht="14.1" customHeight="1" x14ac:dyDescent="0.3">
      <c r="A4721" s="23" t="s">
        <v>3014</v>
      </c>
      <c r="B4721" s="23" t="s">
        <v>4664</v>
      </c>
      <c r="C4721" s="12" t="s">
        <v>4667</v>
      </c>
      <c r="D4721" s="84"/>
      <c r="E4721" s="69" t="str">
        <f t="shared" si="245"/>
        <v>Еще фото</v>
      </c>
      <c r="F4721" s="13"/>
      <c r="G4721" s="23" t="s">
        <v>4539</v>
      </c>
      <c r="H4721" s="23" t="s">
        <v>27</v>
      </c>
      <c r="I4721" s="23" t="s">
        <v>569</v>
      </c>
      <c r="J4721" s="14" t="s">
        <v>29</v>
      </c>
      <c r="K4721" s="15" t="s">
        <v>30</v>
      </c>
      <c r="L4721" s="87"/>
      <c r="M4721" s="14"/>
      <c r="N4721" s="14" t="s">
        <v>41</v>
      </c>
      <c r="O4721" s="14"/>
      <c r="P4721" s="15" t="s">
        <v>1294</v>
      </c>
      <c r="Q4721" s="16">
        <v>3299</v>
      </c>
      <c r="R4721" s="17">
        <v>45</v>
      </c>
      <c r="S4721" s="18">
        <v>2086.6174999999998</v>
      </c>
      <c r="T4721" s="19" t="s">
        <v>117</v>
      </c>
      <c r="U4721" s="20" t="s">
        <v>91</v>
      </c>
      <c r="V4721" s="21">
        <v>134</v>
      </c>
      <c r="W4721" s="21">
        <v>4</v>
      </c>
      <c r="X4721" s="22"/>
    </row>
    <row r="4722" spans="1:24" s="1" customFormat="1" ht="14.1" customHeight="1" x14ac:dyDescent="0.3">
      <c r="A4722" s="23" t="s">
        <v>3014</v>
      </c>
      <c r="B4722" s="23" t="s">
        <v>4664</v>
      </c>
      <c r="C4722" s="12" t="s">
        <v>4667</v>
      </c>
      <c r="D4722" s="84"/>
      <c r="E4722" s="69" t="str">
        <f t="shared" si="245"/>
        <v>Еще фото</v>
      </c>
      <c r="F4722" s="13"/>
      <c r="G4722" s="23" t="s">
        <v>4539</v>
      </c>
      <c r="H4722" s="23" t="s">
        <v>27</v>
      </c>
      <c r="I4722" s="23" t="s">
        <v>569</v>
      </c>
      <c r="J4722" s="14" t="s">
        <v>29</v>
      </c>
      <c r="K4722" s="15" t="s">
        <v>30</v>
      </c>
      <c r="L4722" s="87"/>
      <c r="M4722" s="14"/>
      <c r="N4722" s="14" t="s">
        <v>41</v>
      </c>
      <c r="O4722" s="14"/>
      <c r="P4722" s="15" t="s">
        <v>1294</v>
      </c>
      <c r="Q4722" s="16">
        <v>3299</v>
      </c>
      <c r="R4722" s="17">
        <v>45</v>
      </c>
      <c r="S4722" s="18">
        <v>2086.6174999999998</v>
      </c>
      <c r="T4722" s="19" t="s">
        <v>117</v>
      </c>
      <c r="U4722" s="20" t="s">
        <v>290</v>
      </c>
      <c r="V4722" s="21">
        <v>140</v>
      </c>
      <c r="W4722" s="21">
        <v>8</v>
      </c>
      <c r="X4722" s="22"/>
    </row>
    <row r="4723" spans="1:24" s="1" customFormat="1" ht="14.1" customHeight="1" x14ac:dyDescent="0.3">
      <c r="A4723" s="23" t="s">
        <v>3014</v>
      </c>
      <c r="B4723" s="23" t="s">
        <v>4664</v>
      </c>
      <c r="C4723" s="12" t="s">
        <v>4667</v>
      </c>
      <c r="D4723" s="84"/>
      <c r="E4723" s="69" t="str">
        <f t="shared" si="245"/>
        <v>Еще фото</v>
      </c>
      <c r="F4723" s="13"/>
      <c r="G4723" s="23" t="s">
        <v>4539</v>
      </c>
      <c r="H4723" s="23" t="s">
        <v>27</v>
      </c>
      <c r="I4723" s="23" t="s">
        <v>569</v>
      </c>
      <c r="J4723" s="14" t="s">
        <v>29</v>
      </c>
      <c r="K4723" s="15" t="s">
        <v>30</v>
      </c>
      <c r="L4723" s="87"/>
      <c r="M4723" s="14"/>
      <c r="N4723" s="14" t="s">
        <v>41</v>
      </c>
      <c r="O4723" s="14"/>
      <c r="P4723" s="15" t="s">
        <v>1294</v>
      </c>
      <c r="Q4723" s="16">
        <v>3299</v>
      </c>
      <c r="R4723" s="17">
        <v>45</v>
      </c>
      <c r="S4723" s="18">
        <v>2086.6174999999998</v>
      </c>
      <c r="T4723" s="19" t="s">
        <v>117</v>
      </c>
      <c r="U4723" s="20" t="s">
        <v>2993</v>
      </c>
      <c r="V4723" s="21">
        <v>146</v>
      </c>
      <c r="W4723" s="21">
        <v>3</v>
      </c>
      <c r="X4723" s="22"/>
    </row>
    <row r="4724" spans="1:24" s="1" customFormat="1" ht="17.100000000000001" customHeight="1" x14ac:dyDescent="0.3">
      <c r="A4724" s="23" t="s">
        <v>3014</v>
      </c>
      <c r="B4724" s="23" t="s">
        <v>4664</v>
      </c>
      <c r="C4724" s="12" t="s">
        <v>4667</v>
      </c>
      <c r="D4724" s="85"/>
      <c r="E4724" s="69" t="str">
        <f t="shared" si="245"/>
        <v>Еще фото</v>
      </c>
      <c r="F4724" s="13"/>
      <c r="G4724" s="23" t="s">
        <v>4539</v>
      </c>
      <c r="H4724" s="23" t="s">
        <v>27</v>
      </c>
      <c r="I4724" s="23" t="s">
        <v>569</v>
      </c>
      <c r="J4724" s="14" t="s">
        <v>29</v>
      </c>
      <c r="K4724" s="15" t="s">
        <v>30</v>
      </c>
      <c r="L4724" s="88"/>
      <c r="M4724" s="14"/>
      <c r="N4724" s="14" t="s">
        <v>41</v>
      </c>
      <c r="O4724" s="14"/>
      <c r="P4724" s="15" t="s">
        <v>1294</v>
      </c>
      <c r="Q4724" s="16">
        <v>3299</v>
      </c>
      <c r="R4724" s="17">
        <v>45</v>
      </c>
      <c r="S4724" s="18">
        <v>2086.6174999999998</v>
      </c>
      <c r="T4724" s="19" t="s">
        <v>117</v>
      </c>
      <c r="U4724" s="20" t="s">
        <v>2160</v>
      </c>
      <c r="V4724" s="21">
        <v>152</v>
      </c>
      <c r="W4724" s="21">
        <v>5</v>
      </c>
      <c r="X4724" s="22"/>
    </row>
    <row r="4725" spans="1:24" s="1" customFormat="1" ht="26.1" customHeight="1" x14ac:dyDescent="0.3">
      <c r="A4725" s="11" t="s">
        <v>3129</v>
      </c>
      <c r="B4725" s="11" t="s">
        <v>4668</v>
      </c>
      <c r="C4725" s="12" t="s">
        <v>4669</v>
      </c>
      <c r="D4725" s="83"/>
      <c r="E4725" s="69" t="str">
        <f>HYPERLINK("https://www.google.ru/search?q=741400-5005&amp;newwindow=1&amp;tbm=isch","Еще фото")</f>
        <v>Еще фото</v>
      </c>
      <c r="F4725" s="13"/>
      <c r="G4725" s="11" t="s">
        <v>574</v>
      </c>
      <c r="H4725" s="11" t="s">
        <v>27</v>
      </c>
      <c r="I4725" s="14" t="s">
        <v>569</v>
      </c>
      <c r="J4725" s="14" t="s">
        <v>29</v>
      </c>
      <c r="K4725" s="15" t="s">
        <v>30</v>
      </c>
      <c r="L4725" s="86" t="s">
        <v>4670</v>
      </c>
      <c r="M4725" s="14"/>
      <c r="N4725" s="14" t="s">
        <v>275</v>
      </c>
      <c r="O4725" s="14"/>
      <c r="P4725" s="15" t="s">
        <v>3140</v>
      </c>
      <c r="Q4725" s="16">
        <v>4499</v>
      </c>
      <c r="R4725" s="17">
        <v>45</v>
      </c>
      <c r="S4725" s="18">
        <v>2845.6174999999994</v>
      </c>
      <c r="T4725" s="19" t="s">
        <v>117</v>
      </c>
      <c r="U4725" s="20" t="s">
        <v>94</v>
      </c>
      <c r="V4725" s="21">
        <v>104</v>
      </c>
      <c r="W4725" s="21">
        <v>2</v>
      </c>
      <c r="X4725" s="22"/>
    </row>
    <row r="4726" spans="1:24" s="1" customFormat="1" ht="26.1" customHeight="1" x14ac:dyDescent="0.3">
      <c r="A4726" s="23" t="s">
        <v>3129</v>
      </c>
      <c r="B4726" s="23" t="s">
        <v>4668</v>
      </c>
      <c r="C4726" s="12" t="s">
        <v>4669</v>
      </c>
      <c r="D4726" s="84"/>
      <c r="E4726" s="69" t="str">
        <f>HYPERLINK("https://www.google.ru/search?q=741400-5005&amp;newwindow=1&amp;tbm=isch","Еще фото")</f>
        <v>Еще фото</v>
      </c>
      <c r="F4726" s="13"/>
      <c r="G4726" s="23" t="s">
        <v>574</v>
      </c>
      <c r="H4726" s="23" t="s">
        <v>27</v>
      </c>
      <c r="I4726" s="23" t="s">
        <v>569</v>
      </c>
      <c r="J4726" s="14" t="s">
        <v>29</v>
      </c>
      <c r="K4726" s="15" t="s">
        <v>30</v>
      </c>
      <c r="L4726" s="87"/>
      <c r="M4726" s="14"/>
      <c r="N4726" s="14" t="s">
        <v>275</v>
      </c>
      <c r="O4726" s="14"/>
      <c r="P4726" s="15" t="s">
        <v>3140</v>
      </c>
      <c r="Q4726" s="16">
        <v>4499</v>
      </c>
      <c r="R4726" s="17">
        <v>45</v>
      </c>
      <c r="S4726" s="18">
        <v>2845.6174999999994</v>
      </c>
      <c r="T4726" s="19" t="s">
        <v>117</v>
      </c>
      <c r="U4726" s="20" t="s">
        <v>36</v>
      </c>
      <c r="V4726" s="21">
        <v>122</v>
      </c>
      <c r="W4726" s="21">
        <v>2</v>
      </c>
      <c r="X4726" s="22"/>
    </row>
    <row r="4727" spans="1:24" s="1" customFormat="1" ht="26.1" customHeight="1" x14ac:dyDescent="0.3">
      <c r="A4727" s="23" t="s">
        <v>3129</v>
      </c>
      <c r="B4727" s="23" t="s">
        <v>4668</v>
      </c>
      <c r="C4727" s="12" t="s">
        <v>4669</v>
      </c>
      <c r="D4727" s="84"/>
      <c r="E4727" s="69" t="str">
        <f>HYPERLINK("https://www.google.ru/search?q=741400-5005&amp;newwindow=1&amp;tbm=isch","Еще фото")</f>
        <v>Еще фото</v>
      </c>
      <c r="F4727" s="13"/>
      <c r="G4727" s="23" t="s">
        <v>574</v>
      </c>
      <c r="H4727" s="23" t="s">
        <v>27</v>
      </c>
      <c r="I4727" s="23" t="s">
        <v>569</v>
      </c>
      <c r="J4727" s="14" t="s">
        <v>29</v>
      </c>
      <c r="K4727" s="15" t="s">
        <v>30</v>
      </c>
      <c r="L4727" s="87"/>
      <c r="M4727" s="14"/>
      <c r="N4727" s="14" t="s">
        <v>275</v>
      </c>
      <c r="O4727" s="14"/>
      <c r="P4727" s="15" t="s">
        <v>3140</v>
      </c>
      <c r="Q4727" s="16">
        <v>4499</v>
      </c>
      <c r="R4727" s="17">
        <v>45</v>
      </c>
      <c r="S4727" s="18">
        <v>2845.6174999999994</v>
      </c>
      <c r="T4727" s="19" t="s">
        <v>117</v>
      </c>
      <c r="U4727" s="20" t="s">
        <v>37</v>
      </c>
      <c r="V4727" s="21">
        <v>128</v>
      </c>
      <c r="W4727" s="21">
        <v>4</v>
      </c>
      <c r="X4727" s="22"/>
    </row>
    <row r="4728" spans="1:24" s="1" customFormat="1" ht="26.1" customHeight="1" x14ac:dyDescent="0.3">
      <c r="A4728" s="23" t="s">
        <v>3129</v>
      </c>
      <c r="B4728" s="23" t="s">
        <v>4668</v>
      </c>
      <c r="C4728" s="12" t="s">
        <v>4669</v>
      </c>
      <c r="D4728" s="85"/>
      <c r="E4728" s="69" t="str">
        <f>HYPERLINK("https://www.google.ru/search?q=741400-5005&amp;newwindow=1&amp;tbm=isch","Еще фото")</f>
        <v>Еще фото</v>
      </c>
      <c r="F4728" s="13"/>
      <c r="G4728" s="23" t="s">
        <v>574</v>
      </c>
      <c r="H4728" s="23" t="s">
        <v>27</v>
      </c>
      <c r="I4728" s="23" t="s">
        <v>569</v>
      </c>
      <c r="J4728" s="14" t="s">
        <v>29</v>
      </c>
      <c r="K4728" s="15" t="s">
        <v>30</v>
      </c>
      <c r="L4728" s="88"/>
      <c r="M4728" s="14"/>
      <c r="N4728" s="14" t="s">
        <v>275</v>
      </c>
      <c r="O4728" s="14"/>
      <c r="P4728" s="15" t="s">
        <v>3140</v>
      </c>
      <c r="Q4728" s="16">
        <v>4499</v>
      </c>
      <c r="R4728" s="17">
        <v>45</v>
      </c>
      <c r="S4728" s="18">
        <v>2845.6174999999994</v>
      </c>
      <c r="T4728" s="19" t="s">
        <v>117</v>
      </c>
      <c r="U4728" s="20" t="s">
        <v>91</v>
      </c>
      <c r="V4728" s="21">
        <v>134</v>
      </c>
      <c r="W4728" s="21">
        <v>2</v>
      </c>
      <c r="X4728" s="22"/>
    </row>
    <row r="4729" spans="1:24" s="1" customFormat="1" ht="11.1" customHeight="1" x14ac:dyDescent="0.3">
      <c r="A4729" s="11" t="s">
        <v>3129</v>
      </c>
      <c r="B4729" s="11" t="s">
        <v>4668</v>
      </c>
      <c r="C4729" s="12" t="s">
        <v>4671</v>
      </c>
      <c r="D4729" s="83"/>
      <c r="E4729" s="69" t="str">
        <f t="shared" ref="E4729:E4737" si="246">HYPERLINK("https://www.google.ru/search?q=741400-7850&amp;newwindow=1&amp;tbm=isch","Еще фото")</f>
        <v>Еще фото</v>
      </c>
      <c r="F4729" s="13"/>
      <c r="G4729" s="11" t="s">
        <v>574</v>
      </c>
      <c r="H4729" s="11" t="s">
        <v>27</v>
      </c>
      <c r="I4729" s="14" t="s">
        <v>569</v>
      </c>
      <c r="J4729" s="14" t="s">
        <v>29</v>
      </c>
      <c r="K4729" s="15" t="s">
        <v>30</v>
      </c>
      <c r="L4729" s="86" t="s">
        <v>4670</v>
      </c>
      <c r="M4729" s="14"/>
      <c r="N4729" s="14" t="s">
        <v>70</v>
      </c>
      <c r="O4729" s="14"/>
      <c r="P4729" s="15" t="s">
        <v>3140</v>
      </c>
      <c r="Q4729" s="16">
        <v>4499</v>
      </c>
      <c r="R4729" s="17">
        <v>45</v>
      </c>
      <c r="S4729" s="18">
        <v>2845.6174999999994</v>
      </c>
      <c r="T4729" s="19" t="s">
        <v>117</v>
      </c>
      <c r="U4729" s="20" t="s">
        <v>2961</v>
      </c>
      <c r="V4729" s="21">
        <v>98</v>
      </c>
      <c r="W4729" s="21">
        <v>2</v>
      </c>
      <c r="X4729" s="22"/>
    </row>
    <row r="4730" spans="1:24" s="1" customFormat="1" ht="11.1" customHeight="1" x14ac:dyDescent="0.3">
      <c r="A4730" s="23" t="s">
        <v>3129</v>
      </c>
      <c r="B4730" s="23" t="s">
        <v>4668</v>
      </c>
      <c r="C4730" s="12" t="s">
        <v>4671</v>
      </c>
      <c r="D4730" s="84"/>
      <c r="E4730" s="69" t="str">
        <f t="shared" si="246"/>
        <v>Еще фото</v>
      </c>
      <c r="F4730" s="13"/>
      <c r="G4730" s="23" t="s">
        <v>574</v>
      </c>
      <c r="H4730" s="23" t="s">
        <v>27</v>
      </c>
      <c r="I4730" s="23" t="s">
        <v>569</v>
      </c>
      <c r="J4730" s="14" t="s">
        <v>29</v>
      </c>
      <c r="K4730" s="15" t="s">
        <v>30</v>
      </c>
      <c r="L4730" s="87"/>
      <c r="M4730" s="14"/>
      <c r="N4730" s="14" t="s">
        <v>70</v>
      </c>
      <c r="O4730" s="14"/>
      <c r="P4730" s="15" t="s">
        <v>3140</v>
      </c>
      <c r="Q4730" s="16">
        <v>4499</v>
      </c>
      <c r="R4730" s="17">
        <v>45</v>
      </c>
      <c r="S4730" s="18">
        <v>2845.6174999999994</v>
      </c>
      <c r="T4730" s="19" t="s">
        <v>117</v>
      </c>
      <c r="U4730" s="20" t="s">
        <v>94</v>
      </c>
      <c r="V4730" s="21">
        <v>104</v>
      </c>
      <c r="W4730" s="21">
        <v>2</v>
      </c>
      <c r="X4730" s="22"/>
    </row>
    <row r="4731" spans="1:24" s="1" customFormat="1" ht="11.1" customHeight="1" x14ac:dyDescent="0.3">
      <c r="A4731" s="23" t="s">
        <v>3129</v>
      </c>
      <c r="B4731" s="23" t="s">
        <v>4668</v>
      </c>
      <c r="C4731" s="12" t="s">
        <v>4671</v>
      </c>
      <c r="D4731" s="84"/>
      <c r="E4731" s="69" t="str">
        <f t="shared" si="246"/>
        <v>Еще фото</v>
      </c>
      <c r="F4731" s="13"/>
      <c r="G4731" s="23" t="s">
        <v>574</v>
      </c>
      <c r="H4731" s="23" t="s">
        <v>27</v>
      </c>
      <c r="I4731" s="23" t="s">
        <v>569</v>
      </c>
      <c r="J4731" s="14" t="s">
        <v>29</v>
      </c>
      <c r="K4731" s="15" t="s">
        <v>30</v>
      </c>
      <c r="L4731" s="87"/>
      <c r="M4731" s="14"/>
      <c r="N4731" s="14" t="s">
        <v>70</v>
      </c>
      <c r="O4731" s="14"/>
      <c r="P4731" s="15" t="s">
        <v>3140</v>
      </c>
      <c r="Q4731" s="16">
        <v>4499</v>
      </c>
      <c r="R4731" s="17">
        <v>45</v>
      </c>
      <c r="S4731" s="18">
        <v>2845.6174999999994</v>
      </c>
      <c r="T4731" s="19" t="s">
        <v>117</v>
      </c>
      <c r="U4731" s="20" t="s">
        <v>43</v>
      </c>
      <c r="V4731" s="21">
        <v>110</v>
      </c>
      <c r="W4731" s="21">
        <v>1</v>
      </c>
      <c r="X4731" s="22"/>
    </row>
    <row r="4732" spans="1:24" s="1" customFormat="1" ht="11.1" customHeight="1" x14ac:dyDescent="0.3">
      <c r="A4732" s="23" t="s">
        <v>3129</v>
      </c>
      <c r="B4732" s="23" t="s">
        <v>4668</v>
      </c>
      <c r="C4732" s="12" t="s">
        <v>4671</v>
      </c>
      <c r="D4732" s="84"/>
      <c r="E4732" s="69" t="str">
        <f t="shared" si="246"/>
        <v>Еще фото</v>
      </c>
      <c r="F4732" s="13"/>
      <c r="G4732" s="23" t="s">
        <v>574</v>
      </c>
      <c r="H4732" s="23" t="s">
        <v>27</v>
      </c>
      <c r="I4732" s="23" t="s">
        <v>569</v>
      </c>
      <c r="J4732" s="14" t="s">
        <v>29</v>
      </c>
      <c r="K4732" s="15" t="s">
        <v>30</v>
      </c>
      <c r="L4732" s="87"/>
      <c r="M4732" s="14"/>
      <c r="N4732" s="14" t="s">
        <v>70</v>
      </c>
      <c r="O4732" s="14"/>
      <c r="P4732" s="15" t="s">
        <v>3140</v>
      </c>
      <c r="Q4732" s="16">
        <v>4499</v>
      </c>
      <c r="R4732" s="17">
        <v>45</v>
      </c>
      <c r="S4732" s="18">
        <v>2845.6174999999994</v>
      </c>
      <c r="T4732" s="19" t="s">
        <v>117</v>
      </c>
      <c r="U4732" s="20" t="s">
        <v>35</v>
      </c>
      <c r="V4732" s="21">
        <v>116</v>
      </c>
      <c r="W4732" s="21">
        <v>1</v>
      </c>
      <c r="X4732" s="22"/>
    </row>
    <row r="4733" spans="1:24" s="1" customFormat="1" ht="11.1" customHeight="1" x14ac:dyDescent="0.3">
      <c r="A4733" s="23" t="s">
        <v>3129</v>
      </c>
      <c r="B4733" s="23" t="s">
        <v>4668</v>
      </c>
      <c r="C4733" s="12" t="s">
        <v>4671</v>
      </c>
      <c r="D4733" s="84"/>
      <c r="E4733" s="69" t="str">
        <f t="shared" si="246"/>
        <v>Еще фото</v>
      </c>
      <c r="F4733" s="13"/>
      <c r="G4733" s="23" t="s">
        <v>574</v>
      </c>
      <c r="H4733" s="23" t="s">
        <v>27</v>
      </c>
      <c r="I4733" s="23" t="s">
        <v>569</v>
      </c>
      <c r="J4733" s="14" t="s">
        <v>29</v>
      </c>
      <c r="K4733" s="15" t="s">
        <v>30</v>
      </c>
      <c r="L4733" s="87"/>
      <c r="M4733" s="14"/>
      <c r="N4733" s="14" t="s">
        <v>70</v>
      </c>
      <c r="O4733" s="14"/>
      <c r="P4733" s="15" t="s">
        <v>3140</v>
      </c>
      <c r="Q4733" s="16">
        <v>4499</v>
      </c>
      <c r="R4733" s="17">
        <v>45</v>
      </c>
      <c r="S4733" s="18">
        <v>2845.6174999999994</v>
      </c>
      <c r="T4733" s="19" t="s">
        <v>117</v>
      </c>
      <c r="U4733" s="20" t="s">
        <v>36</v>
      </c>
      <c r="V4733" s="21">
        <v>122</v>
      </c>
      <c r="W4733" s="21">
        <v>3</v>
      </c>
      <c r="X4733" s="22"/>
    </row>
    <row r="4734" spans="1:24" s="1" customFormat="1" ht="11.1" customHeight="1" x14ac:dyDescent="0.3">
      <c r="A4734" s="23" t="s">
        <v>3129</v>
      </c>
      <c r="B4734" s="23" t="s">
        <v>4668</v>
      </c>
      <c r="C4734" s="12" t="s">
        <v>4671</v>
      </c>
      <c r="D4734" s="84"/>
      <c r="E4734" s="69" t="str">
        <f t="shared" si="246"/>
        <v>Еще фото</v>
      </c>
      <c r="F4734" s="13"/>
      <c r="G4734" s="23" t="s">
        <v>574</v>
      </c>
      <c r="H4734" s="23" t="s">
        <v>27</v>
      </c>
      <c r="I4734" s="23" t="s">
        <v>569</v>
      </c>
      <c r="J4734" s="14" t="s">
        <v>29</v>
      </c>
      <c r="K4734" s="15" t="s">
        <v>30</v>
      </c>
      <c r="L4734" s="87"/>
      <c r="M4734" s="14"/>
      <c r="N4734" s="14" t="s">
        <v>70</v>
      </c>
      <c r="O4734" s="14"/>
      <c r="P4734" s="15" t="s">
        <v>3140</v>
      </c>
      <c r="Q4734" s="16">
        <v>4499</v>
      </c>
      <c r="R4734" s="17">
        <v>45</v>
      </c>
      <c r="S4734" s="18">
        <v>2845.6174999999994</v>
      </c>
      <c r="T4734" s="19" t="s">
        <v>117</v>
      </c>
      <c r="U4734" s="20" t="s">
        <v>37</v>
      </c>
      <c r="V4734" s="21">
        <v>128</v>
      </c>
      <c r="W4734" s="21">
        <v>3</v>
      </c>
      <c r="X4734" s="22"/>
    </row>
    <row r="4735" spans="1:24" s="1" customFormat="1" ht="11.1" customHeight="1" x14ac:dyDescent="0.3">
      <c r="A4735" s="23" t="s">
        <v>3129</v>
      </c>
      <c r="B4735" s="23" t="s">
        <v>4668</v>
      </c>
      <c r="C4735" s="12" t="s">
        <v>4671</v>
      </c>
      <c r="D4735" s="84"/>
      <c r="E4735" s="69" t="str">
        <f t="shared" si="246"/>
        <v>Еще фото</v>
      </c>
      <c r="F4735" s="13"/>
      <c r="G4735" s="23" t="s">
        <v>574</v>
      </c>
      <c r="H4735" s="23" t="s">
        <v>27</v>
      </c>
      <c r="I4735" s="23" t="s">
        <v>569</v>
      </c>
      <c r="J4735" s="14" t="s">
        <v>29</v>
      </c>
      <c r="K4735" s="15" t="s">
        <v>30</v>
      </c>
      <c r="L4735" s="87"/>
      <c r="M4735" s="14"/>
      <c r="N4735" s="14" t="s">
        <v>70</v>
      </c>
      <c r="O4735" s="14"/>
      <c r="P4735" s="15" t="s">
        <v>3140</v>
      </c>
      <c r="Q4735" s="16">
        <v>4499</v>
      </c>
      <c r="R4735" s="17">
        <v>45</v>
      </c>
      <c r="S4735" s="18">
        <v>2845.6174999999994</v>
      </c>
      <c r="T4735" s="19" t="s">
        <v>117</v>
      </c>
      <c r="U4735" s="20" t="s">
        <v>91</v>
      </c>
      <c r="V4735" s="21">
        <v>134</v>
      </c>
      <c r="W4735" s="21">
        <v>3</v>
      </c>
      <c r="X4735" s="22"/>
    </row>
    <row r="4736" spans="1:24" s="1" customFormat="1" ht="11.1" customHeight="1" x14ac:dyDescent="0.3">
      <c r="A4736" s="23" t="s">
        <v>3129</v>
      </c>
      <c r="B4736" s="23" t="s">
        <v>4668</v>
      </c>
      <c r="C4736" s="12" t="s">
        <v>4671</v>
      </c>
      <c r="D4736" s="84"/>
      <c r="E4736" s="69" t="str">
        <f t="shared" si="246"/>
        <v>Еще фото</v>
      </c>
      <c r="F4736" s="13"/>
      <c r="G4736" s="23" t="s">
        <v>574</v>
      </c>
      <c r="H4736" s="23" t="s">
        <v>27</v>
      </c>
      <c r="I4736" s="23" t="s">
        <v>569</v>
      </c>
      <c r="J4736" s="14" t="s">
        <v>29</v>
      </c>
      <c r="K4736" s="15" t="s">
        <v>30</v>
      </c>
      <c r="L4736" s="87"/>
      <c r="M4736" s="14"/>
      <c r="N4736" s="14" t="s">
        <v>70</v>
      </c>
      <c r="O4736" s="14"/>
      <c r="P4736" s="15" t="s">
        <v>3140</v>
      </c>
      <c r="Q4736" s="16">
        <v>4499</v>
      </c>
      <c r="R4736" s="17">
        <v>45</v>
      </c>
      <c r="S4736" s="18">
        <v>2845.6174999999994</v>
      </c>
      <c r="T4736" s="19" t="s">
        <v>117</v>
      </c>
      <c r="U4736" s="20" t="s">
        <v>290</v>
      </c>
      <c r="V4736" s="21">
        <v>140</v>
      </c>
      <c r="W4736" s="21">
        <v>1</v>
      </c>
      <c r="X4736" s="22"/>
    </row>
    <row r="4737" spans="1:24" s="1" customFormat="1" ht="11.1" customHeight="1" x14ac:dyDescent="0.3">
      <c r="A4737" s="23" t="s">
        <v>3129</v>
      </c>
      <c r="B4737" s="23" t="s">
        <v>4668</v>
      </c>
      <c r="C4737" s="12" t="s">
        <v>4671</v>
      </c>
      <c r="D4737" s="85"/>
      <c r="E4737" s="69" t="str">
        <f t="shared" si="246"/>
        <v>Еще фото</v>
      </c>
      <c r="F4737" s="13"/>
      <c r="G4737" s="23" t="s">
        <v>574</v>
      </c>
      <c r="H4737" s="23" t="s">
        <v>27</v>
      </c>
      <c r="I4737" s="23" t="s">
        <v>569</v>
      </c>
      <c r="J4737" s="14" t="s">
        <v>29</v>
      </c>
      <c r="K4737" s="15" t="s">
        <v>30</v>
      </c>
      <c r="L4737" s="88"/>
      <c r="M4737" s="14"/>
      <c r="N4737" s="14" t="s">
        <v>70</v>
      </c>
      <c r="O4737" s="14"/>
      <c r="P4737" s="15" t="s">
        <v>3140</v>
      </c>
      <c r="Q4737" s="16">
        <v>4499</v>
      </c>
      <c r="R4737" s="17">
        <v>45</v>
      </c>
      <c r="S4737" s="18">
        <v>2845.6174999999994</v>
      </c>
      <c r="T4737" s="19" t="s">
        <v>117</v>
      </c>
      <c r="U4737" s="20" t="s">
        <v>2160</v>
      </c>
      <c r="V4737" s="21">
        <v>152</v>
      </c>
      <c r="W4737" s="21">
        <v>1</v>
      </c>
      <c r="X4737" s="22"/>
    </row>
    <row r="4738" spans="1:24" s="1" customFormat="1" ht="108" customHeight="1" x14ac:dyDescent="0.3">
      <c r="A4738" s="11" t="s">
        <v>3541</v>
      </c>
      <c r="B4738" s="11" t="s">
        <v>4672</v>
      </c>
      <c r="C4738" s="12" t="s">
        <v>4673</v>
      </c>
      <c r="D4738" s="24"/>
      <c r="E4738" s="69" t="str">
        <f>HYPERLINK("https://www.google.ru/search?q=DR10217985280013&amp;newwindow=1&amp;tbm=isch","Еще фото")</f>
        <v>Еще фото</v>
      </c>
      <c r="F4738" s="13"/>
      <c r="G4738" s="11" t="s">
        <v>574</v>
      </c>
      <c r="H4738" s="11" t="s">
        <v>27</v>
      </c>
      <c r="I4738" s="14" t="s">
        <v>569</v>
      </c>
      <c r="J4738" s="14" t="s">
        <v>29</v>
      </c>
      <c r="K4738" s="15" t="s">
        <v>47</v>
      </c>
      <c r="L4738" s="14" t="s">
        <v>4674</v>
      </c>
      <c r="M4738" s="14"/>
      <c r="N4738" s="14" t="s">
        <v>49</v>
      </c>
      <c r="O4738" s="14"/>
      <c r="P4738" s="15" t="s">
        <v>4675</v>
      </c>
      <c r="Q4738" s="16">
        <v>7490</v>
      </c>
      <c r="R4738" s="17">
        <v>45</v>
      </c>
      <c r="S4738" s="18">
        <v>4737.4249999999993</v>
      </c>
      <c r="T4738" s="19" t="s">
        <v>328</v>
      </c>
      <c r="U4738" s="20" t="s">
        <v>64</v>
      </c>
      <c r="V4738" s="25" t="s">
        <v>355</v>
      </c>
      <c r="W4738" s="21">
        <v>1</v>
      </c>
      <c r="X4738" s="22"/>
    </row>
    <row r="4739" spans="1:24" s="1" customFormat="1" ht="51.95" customHeight="1" x14ac:dyDescent="0.3">
      <c r="A4739" s="11" t="s">
        <v>2957</v>
      </c>
      <c r="B4739" s="11" t="s">
        <v>613</v>
      </c>
      <c r="C4739" s="12" t="s">
        <v>4676</v>
      </c>
      <c r="D4739" s="89"/>
      <c r="E4739" s="69" t="str">
        <f>HYPERLINK("https://www.google.ru/search?q=516559-5618&amp;newwindow=1&amp;tbm=isch","Еще фото")</f>
        <v>Еще фото</v>
      </c>
      <c r="F4739" s="13"/>
      <c r="G4739" s="11" t="s">
        <v>615</v>
      </c>
      <c r="H4739" s="11" t="s">
        <v>27</v>
      </c>
      <c r="I4739" s="14" t="s">
        <v>616</v>
      </c>
      <c r="J4739" s="14" t="s">
        <v>138</v>
      </c>
      <c r="K4739" s="15" t="s">
        <v>30</v>
      </c>
      <c r="L4739" s="86" t="s">
        <v>4677</v>
      </c>
      <c r="M4739" s="14"/>
      <c r="N4739" s="14" t="s">
        <v>576</v>
      </c>
      <c r="O4739" s="14"/>
      <c r="P4739" s="15" t="s">
        <v>74</v>
      </c>
      <c r="Q4739" s="16">
        <v>1699</v>
      </c>
      <c r="R4739" s="17">
        <v>80.12</v>
      </c>
      <c r="S4739" s="29">
        <v>388.43549999999993</v>
      </c>
      <c r="T4739" s="19" t="s">
        <v>117</v>
      </c>
      <c r="U4739" s="20" t="s">
        <v>94</v>
      </c>
      <c r="V4739" s="21">
        <v>104</v>
      </c>
      <c r="W4739" s="21">
        <v>4</v>
      </c>
      <c r="X4739" s="22"/>
    </row>
    <row r="4740" spans="1:24" s="1" customFormat="1" ht="60.95" customHeight="1" x14ac:dyDescent="0.3">
      <c r="A4740" s="23" t="s">
        <v>2957</v>
      </c>
      <c r="B4740" s="23" t="s">
        <v>613</v>
      </c>
      <c r="C4740" s="12" t="s">
        <v>4676</v>
      </c>
      <c r="D4740" s="90"/>
      <c r="E4740" s="69" t="str">
        <f>HYPERLINK("https://www.google.ru/search?q=516559-5618&amp;newwindow=1&amp;tbm=isch","Еще фото")</f>
        <v>Еще фото</v>
      </c>
      <c r="F4740" s="13"/>
      <c r="G4740" s="23" t="s">
        <v>615</v>
      </c>
      <c r="H4740" s="23" t="s">
        <v>27</v>
      </c>
      <c r="I4740" s="23" t="s">
        <v>616</v>
      </c>
      <c r="J4740" s="14" t="s">
        <v>138</v>
      </c>
      <c r="K4740" s="15" t="s">
        <v>30</v>
      </c>
      <c r="L4740" s="88"/>
      <c r="M4740" s="14"/>
      <c r="N4740" s="14" t="s">
        <v>576</v>
      </c>
      <c r="O4740" s="14"/>
      <c r="P4740" s="15" t="s">
        <v>74</v>
      </c>
      <c r="Q4740" s="16">
        <v>1699</v>
      </c>
      <c r="R4740" s="17">
        <v>80.12</v>
      </c>
      <c r="S4740" s="29">
        <v>388.43549999999993</v>
      </c>
      <c r="T4740" s="19" t="s">
        <v>117</v>
      </c>
      <c r="U4740" s="20" t="s">
        <v>43</v>
      </c>
      <c r="V4740" s="21">
        <v>110</v>
      </c>
      <c r="W4740" s="21">
        <v>7</v>
      </c>
      <c r="X4740" s="22"/>
    </row>
    <row r="4741" spans="1:24" s="1" customFormat="1" ht="108" customHeight="1" x14ac:dyDescent="0.3">
      <c r="A4741" s="11" t="s">
        <v>2936</v>
      </c>
      <c r="B4741" s="11" t="s">
        <v>4678</v>
      </c>
      <c r="C4741" s="12" t="s">
        <v>4679</v>
      </c>
      <c r="D4741" s="24"/>
      <c r="E4741" s="69" t="str">
        <f>HYPERLINK("https://www.google.ru/search?q=TB24WL07S9735-1-1613&amp;newwindow=1&amp;tbm=isch","Еще фото")</f>
        <v>Еще фото</v>
      </c>
      <c r="F4741" s="13"/>
      <c r="G4741" s="11" t="s">
        <v>615</v>
      </c>
      <c r="H4741" s="11" t="s">
        <v>27</v>
      </c>
      <c r="I4741" s="14" t="s">
        <v>616</v>
      </c>
      <c r="J4741" s="14" t="s">
        <v>29</v>
      </c>
      <c r="K4741" s="15" t="s">
        <v>47</v>
      </c>
      <c r="L4741" s="14" t="s">
        <v>4680</v>
      </c>
      <c r="M4741" s="14"/>
      <c r="N4741" s="14" t="s">
        <v>576</v>
      </c>
      <c r="O4741" s="14"/>
      <c r="P4741" s="15" t="s">
        <v>4681</v>
      </c>
      <c r="Q4741" s="16">
        <v>1899</v>
      </c>
      <c r="R4741" s="17">
        <v>78</v>
      </c>
      <c r="S4741" s="29">
        <v>480.43549999999993</v>
      </c>
      <c r="T4741" s="19" t="s">
        <v>328</v>
      </c>
      <c r="U4741" s="20" t="s">
        <v>354</v>
      </c>
      <c r="V4741" s="25" t="s">
        <v>355</v>
      </c>
      <c r="W4741" s="21">
        <v>2</v>
      </c>
      <c r="X4741" s="22"/>
    </row>
    <row r="4742" spans="1:24" s="1" customFormat="1" ht="14.1" customHeight="1" x14ac:dyDescent="0.3">
      <c r="A4742" s="11" t="s">
        <v>2957</v>
      </c>
      <c r="B4742" s="11" t="s">
        <v>613</v>
      </c>
      <c r="C4742" s="12" t="s">
        <v>4682</v>
      </c>
      <c r="D4742" s="83"/>
      <c r="E4742" s="69" t="str">
        <f t="shared" ref="E4742:E4748" si="247">HYPERLINK("https://www.google.ru/search?q=526425-011B&amp;newwindow=1&amp;tbm=isch","Еще фото")</f>
        <v>Еще фото</v>
      </c>
      <c r="F4742" s="13"/>
      <c r="G4742" s="11" t="s">
        <v>615</v>
      </c>
      <c r="H4742" s="11" t="s">
        <v>27</v>
      </c>
      <c r="I4742" s="14" t="s">
        <v>616</v>
      </c>
      <c r="J4742" s="14" t="s">
        <v>138</v>
      </c>
      <c r="K4742" s="15" t="s">
        <v>30</v>
      </c>
      <c r="L4742" s="86" t="s">
        <v>4683</v>
      </c>
      <c r="M4742" s="14"/>
      <c r="N4742" s="14" t="s">
        <v>89</v>
      </c>
      <c r="O4742" s="14"/>
      <c r="P4742" s="15" t="s">
        <v>74</v>
      </c>
      <c r="Q4742" s="16">
        <v>1999</v>
      </c>
      <c r="R4742" s="17">
        <v>77.599999999999994</v>
      </c>
      <c r="S4742" s="29">
        <v>514.93549999999993</v>
      </c>
      <c r="T4742" s="19" t="s">
        <v>117</v>
      </c>
      <c r="U4742" s="20" t="s">
        <v>94</v>
      </c>
      <c r="V4742" s="21">
        <v>104</v>
      </c>
      <c r="W4742" s="21">
        <v>4</v>
      </c>
      <c r="X4742" s="22"/>
    </row>
    <row r="4743" spans="1:24" s="1" customFormat="1" ht="14.1" customHeight="1" x14ac:dyDescent="0.3">
      <c r="A4743" s="23" t="s">
        <v>2957</v>
      </c>
      <c r="B4743" s="23" t="s">
        <v>613</v>
      </c>
      <c r="C4743" s="12" t="s">
        <v>4682</v>
      </c>
      <c r="D4743" s="84"/>
      <c r="E4743" s="69" t="str">
        <f t="shared" si="247"/>
        <v>Еще фото</v>
      </c>
      <c r="F4743" s="13"/>
      <c r="G4743" s="23" t="s">
        <v>615</v>
      </c>
      <c r="H4743" s="23" t="s">
        <v>27</v>
      </c>
      <c r="I4743" s="23" t="s">
        <v>616</v>
      </c>
      <c r="J4743" s="14" t="s">
        <v>138</v>
      </c>
      <c r="K4743" s="15" t="s">
        <v>30</v>
      </c>
      <c r="L4743" s="87"/>
      <c r="M4743" s="14"/>
      <c r="N4743" s="14" t="s">
        <v>89</v>
      </c>
      <c r="O4743" s="14"/>
      <c r="P4743" s="15" t="s">
        <v>74</v>
      </c>
      <c r="Q4743" s="16">
        <v>1999</v>
      </c>
      <c r="R4743" s="17">
        <v>77.599999999999994</v>
      </c>
      <c r="S4743" s="29">
        <v>514.93549999999993</v>
      </c>
      <c r="T4743" s="19" t="s">
        <v>117</v>
      </c>
      <c r="U4743" s="20" t="s">
        <v>43</v>
      </c>
      <c r="V4743" s="21">
        <v>110</v>
      </c>
      <c r="W4743" s="21">
        <v>1</v>
      </c>
      <c r="X4743" s="22"/>
    </row>
    <row r="4744" spans="1:24" s="1" customFormat="1" ht="14.1" customHeight="1" x14ac:dyDescent="0.3">
      <c r="A4744" s="23" t="s">
        <v>2957</v>
      </c>
      <c r="B4744" s="23" t="s">
        <v>613</v>
      </c>
      <c r="C4744" s="12" t="s">
        <v>4682</v>
      </c>
      <c r="D4744" s="84"/>
      <c r="E4744" s="69" t="str">
        <f t="shared" si="247"/>
        <v>Еще фото</v>
      </c>
      <c r="F4744" s="13"/>
      <c r="G4744" s="23" t="s">
        <v>615</v>
      </c>
      <c r="H4744" s="23" t="s">
        <v>27</v>
      </c>
      <c r="I4744" s="23" t="s">
        <v>616</v>
      </c>
      <c r="J4744" s="14" t="s">
        <v>138</v>
      </c>
      <c r="K4744" s="15" t="s">
        <v>30</v>
      </c>
      <c r="L4744" s="87"/>
      <c r="M4744" s="14"/>
      <c r="N4744" s="14" t="s">
        <v>89</v>
      </c>
      <c r="O4744" s="14"/>
      <c r="P4744" s="15" t="s">
        <v>74</v>
      </c>
      <c r="Q4744" s="16">
        <v>1999</v>
      </c>
      <c r="R4744" s="17">
        <v>77.599999999999994</v>
      </c>
      <c r="S4744" s="29">
        <v>514.93549999999993</v>
      </c>
      <c r="T4744" s="19" t="s">
        <v>117</v>
      </c>
      <c r="U4744" s="20" t="s">
        <v>36</v>
      </c>
      <c r="V4744" s="21">
        <v>122</v>
      </c>
      <c r="W4744" s="21">
        <v>7</v>
      </c>
      <c r="X4744" s="22"/>
    </row>
    <row r="4745" spans="1:24" s="1" customFormat="1" ht="14.1" customHeight="1" x14ac:dyDescent="0.3">
      <c r="A4745" s="23" t="s">
        <v>2957</v>
      </c>
      <c r="B4745" s="23" t="s">
        <v>613</v>
      </c>
      <c r="C4745" s="12" t="s">
        <v>4682</v>
      </c>
      <c r="D4745" s="84"/>
      <c r="E4745" s="69" t="str">
        <f t="shared" si="247"/>
        <v>Еще фото</v>
      </c>
      <c r="F4745" s="13"/>
      <c r="G4745" s="23" t="s">
        <v>615</v>
      </c>
      <c r="H4745" s="23" t="s">
        <v>27</v>
      </c>
      <c r="I4745" s="23" t="s">
        <v>616</v>
      </c>
      <c r="J4745" s="14" t="s">
        <v>138</v>
      </c>
      <c r="K4745" s="15" t="s">
        <v>30</v>
      </c>
      <c r="L4745" s="87"/>
      <c r="M4745" s="14"/>
      <c r="N4745" s="14" t="s">
        <v>89</v>
      </c>
      <c r="O4745" s="14"/>
      <c r="P4745" s="15" t="s">
        <v>74</v>
      </c>
      <c r="Q4745" s="16">
        <v>1999</v>
      </c>
      <c r="R4745" s="17">
        <v>77.599999999999994</v>
      </c>
      <c r="S4745" s="29">
        <v>514.93549999999993</v>
      </c>
      <c r="T4745" s="19" t="s">
        <v>117</v>
      </c>
      <c r="U4745" s="20" t="s">
        <v>37</v>
      </c>
      <c r="V4745" s="21">
        <v>128</v>
      </c>
      <c r="W4745" s="21">
        <v>8</v>
      </c>
      <c r="X4745" s="22"/>
    </row>
    <row r="4746" spans="1:24" s="1" customFormat="1" ht="14.1" customHeight="1" x14ac:dyDescent="0.3">
      <c r="A4746" s="23" t="s">
        <v>2957</v>
      </c>
      <c r="B4746" s="23" t="s">
        <v>613</v>
      </c>
      <c r="C4746" s="12" t="s">
        <v>4682</v>
      </c>
      <c r="D4746" s="84"/>
      <c r="E4746" s="69" t="str">
        <f t="shared" si="247"/>
        <v>Еще фото</v>
      </c>
      <c r="F4746" s="13"/>
      <c r="G4746" s="23" t="s">
        <v>615</v>
      </c>
      <c r="H4746" s="23" t="s">
        <v>27</v>
      </c>
      <c r="I4746" s="23" t="s">
        <v>616</v>
      </c>
      <c r="J4746" s="14" t="s">
        <v>138</v>
      </c>
      <c r="K4746" s="15" t="s">
        <v>30</v>
      </c>
      <c r="L4746" s="87"/>
      <c r="M4746" s="14"/>
      <c r="N4746" s="14" t="s">
        <v>89</v>
      </c>
      <c r="O4746" s="14"/>
      <c r="P4746" s="15" t="s">
        <v>74</v>
      </c>
      <c r="Q4746" s="16">
        <v>1999</v>
      </c>
      <c r="R4746" s="17">
        <v>77.599999999999994</v>
      </c>
      <c r="S4746" s="29">
        <v>514.93549999999993</v>
      </c>
      <c r="T4746" s="19" t="s">
        <v>117</v>
      </c>
      <c r="U4746" s="20" t="s">
        <v>91</v>
      </c>
      <c r="V4746" s="21">
        <v>134</v>
      </c>
      <c r="W4746" s="21">
        <v>2</v>
      </c>
      <c r="X4746" s="22"/>
    </row>
    <row r="4747" spans="1:24" s="1" customFormat="1" ht="14.1" customHeight="1" x14ac:dyDescent="0.3">
      <c r="A4747" s="23" t="s">
        <v>2957</v>
      </c>
      <c r="B4747" s="23" t="s">
        <v>613</v>
      </c>
      <c r="C4747" s="12" t="s">
        <v>4682</v>
      </c>
      <c r="D4747" s="84"/>
      <c r="E4747" s="69" t="str">
        <f t="shared" si="247"/>
        <v>Еще фото</v>
      </c>
      <c r="F4747" s="13"/>
      <c r="G4747" s="23" t="s">
        <v>615</v>
      </c>
      <c r="H4747" s="23" t="s">
        <v>27</v>
      </c>
      <c r="I4747" s="23" t="s">
        <v>616</v>
      </c>
      <c r="J4747" s="14" t="s">
        <v>138</v>
      </c>
      <c r="K4747" s="15" t="s">
        <v>30</v>
      </c>
      <c r="L4747" s="87"/>
      <c r="M4747" s="14"/>
      <c r="N4747" s="14" t="s">
        <v>89</v>
      </c>
      <c r="O4747" s="14"/>
      <c r="P4747" s="15" t="s">
        <v>74</v>
      </c>
      <c r="Q4747" s="16">
        <v>1999</v>
      </c>
      <c r="R4747" s="17">
        <v>77.599999999999994</v>
      </c>
      <c r="S4747" s="29">
        <v>514.93549999999993</v>
      </c>
      <c r="T4747" s="19" t="s">
        <v>117</v>
      </c>
      <c r="U4747" s="20" t="s">
        <v>290</v>
      </c>
      <c r="V4747" s="21">
        <v>140</v>
      </c>
      <c r="W4747" s="21">
        <v>4</v>
      </c>
      <c r="X4747" s="22"/>
    </row>
    <row r="4748" spans="1:24" s="1" customFormat="1" ht="17.100000000000001" customHeight="1" x14ac:dyDescent="0.3">
      <c r="A4748" s="23" t="s">
        <v>2957</v>
      </c>
      <c r="B4748" s="23" t="s">
        <v>613</v>
      </c>
      <c r="C4748" s="12" t="s">
        <v>4682</v>
      </c>
      <c r="D4748" s="85"/>
      <c r="E4748" s="69" t="str">
        <f t="shared" si="247"/>
        <v>Еще фото</v>
      </c>
      <c r="F4748" s="13"/>
      <c r="G4748" s="23" t="s">
        <v>615</v>
      </c>
      <c r="H4748" s="23" t="s">
        <v>27</v>
      </c>
      <c r="I4748" s="23" t="s">
        <v>616</v>
      </c>
      <c r="J4748" s="14" t="s">
        <v>138</v>
      </c>
      <c r="K4748" s="15" t="s">
        <v>30</v>
      </c>
      <c r="L4748" s="88"/>
      <c r="M4748" s="14"/>
      <c r="N4748" s="14" t="s">
        <v>89</v>
      </c>
      <c r="O4748" s="14"/>
      <c r="P4748" s="15" t="s">
        <v>74</v>
      </c>
      <c r="Q4748" s="16">
        <v>1999</v>
      </c>
      <c r="R4748" s="17">
        <v>77.599999999999994</v>
      </c>
      <c r="S4748" s="29">
        <v>514.93549999999993</v>
      </c>
      <c r="T4748" s="19" t="s">
        <v>117</v>
      </c>
      <c r="U4748" s="20" t="s">
        <v>2993</v>
      </c>
      <c r="V4748" s="21">
        <v>146</v>
      </c>
      <c r="W4748" s="21">
        <v>1</v>
      </c>
      <c r="X4748" s="22"/>
    </row>
    <row r="4749" spans="1:24" s="1" customFormat="1" ht="51.95" customHeight="1" x14ac:dyDescent="0.3">
      <c r="A4749" s="11" t="s">
        <v>3165</v>
      </c>
      <c r="B4749" s="11" t="s">
        <v>4684</v>
      </c>
      <c r="C4749" s="12" t="s">
        <v>4685</v>
      </c>
      <c r="D4749" s="89"/>
      <c r="E4749" s="69" t="str">
        <f>HYPERLINK("https://www.google.ru/search?q=IG0IG01360-0K4&amp;newwindow=1&amp;tbm=isch","Еще фото")</f>
        <v>Еще фото</v>
      </c>
      <c r="F4749" s="13"/>
      <c r="G4749" s="11" t="s">
        <v>4686</v>
      </c>
      <c r="H4749" s="11" t="s">
        <v>27</v>
      </c>
      <c r="I4749" s="14" t="s">
        <v>616</v>
      </c>
      <c r="J4749" s="14" t="s">
        <v>29</v>
      </c>
      <c r="K4749" s="15" t="s">
        <v>30</v>
      </c>
      <c r="L4749" s="86" t="s">
        <v>4687</v>
      </c>
      <c r="M4749" s="14"/>
      <c r="N4749" s="14" t="s">
        <v>89</v>
      </c>
      <c r="O4749" s="14"/>
      <c r="P4749" s="15" t="s">
        <v>4688</v>
      </c>
      <c r="Q4749" s="16">
        <v>7099</v>
      </c>
      <c r="R4749" s="17">
        <v>74.11</v>
      </c>
      <c r="S4749" s="18">
        <v>2113.4354999999996</v>
      </c>
      <c r="T4749" s="19" t="s">
        <v>185</v>
      </c>
      <c r="U4749" s="20" t="s">
        <v>462</v>
      </c>
      <c r="V4749" s="25" t="s">
        <v>2925</v>
      </c>
      <c r="W4749" s="21">
        <v>2</v>
      </c>
      <c r="X4749" s="22"/>
    </row>
    <row r="4750" spans="1:24" s="1" customFormat="1" ht="60.95" customHeight="1" x14ac:dyDescent="0.3">
      <c r="A4750" s="23" t="s">
        <v>3165</v>
      </c>
      <c r="B4750" s="23" t="s">
        <v>4684</v>
      </c>
      <c r="C4750" s="12" t="s">
        <v>4685</v>
      </c>
      <c r="D4750" s="90"/>
      <c r="E4750" s="69" t="str">
        <f>HYPERLINK("https://www.google.ru/search?q=IG0IG01360-0K4&amp;newwindow=1&amp;tbm=isch","Еще фото")</f>
        <v>Еще фото</v>
      </c>
      <c r="F4750" s="13"/>
      <c r="G4750" s="23" t="s">
        <v>4686</v>
      </c>
      <c r="H4750" s="23" t="s">
        <v>27</v>
      </c>
      <c r="I4750" s="23" t="s">
        <v>616</v>
      </c>
      <c r="J4750" s="14" t="s">
        <v>29</v>
      </c>
      <c r="K4750" s="15" t="s">
        <v>30</v>
      </c>
      <c r="L4750" s="88"/>
      <c r="M4750" s="14"/>
      <c r="N4750" s="14" t="s">
        <v>89</v>
      </c>
      <c r="O4750" s="14"/>
      <c r="P4750" s="15" t="s">
        <v>4688</v>
      </c>
      <c r="Q4750" s="16">
        <v>7099</v>
      </c>
      <c r="R4750" s="17">
        <v>74.11</v>
      </c>
      <c r="S4750" s="18">
        <v>2113.4354999999996</v>
      </c>
      <c r="T4750" s="19" t="s">
        <v>185</v>
      </c>
      <c r="U4750" s="20" t="s">
        <v>942</v>
      </c>
      <c r="V4750" s="25" t="s">
        <v>2927</v>
      </c>
      <c r="W4750" s="21">
        <v>2</v>
      </c>
      <c r="X4750" s="22"/>
    </row>
    <row r="4751" spans="1:24" s="1" customFormat="1" ht="51.95" customHeight="1" x14ac:dyDescent="0.3">
      <c r="A4751" s="11" t="s">
        <v>3541</v>
      </c>
      <c r="B4751" s="11" t="s">
        <v>4689</v>
      </c>
      <c r="C4751" s="12" t="s">
        <v>4690</v>
      </c>
      <c r="D4751" s="89"/>
      <c r="E4751" s="69" t="str">
        <f>HYPERLINK("https://www.google.ru/search?q=DR10217911955050&amp;newwindow=1&amp;tbm=isch","Еще фото")</f>
        <v>Еще фото</v>
      </c>
      <c r="F4751" s="13"/>
      <c r="G4751" s="11" t="s">
        <v>615</v>
      </c>
      <c r="H4751" s="11" t="s">
        <v>27</v>
      </c>
      <c r="I4751" s="14" t="s">
        <v>616</v>
      </c>
      <c r="J4751" s="14" t="s">
        <v>879</v>
      </c>
      <c r="K4751" s="15" t="s">
        <v>47</v>
      </c>
      <c r="L4751" s="86" t="s">
        <v>4691</v>
      </c>
      <c r="M4751" s="14"/>
      <c r="N4751" s="14" t="s">
        <v>4692</v>
      </c>
      <c r="O4751" s="14"/>
      <c r="P4751" s="15" t="s">
        <v>108</v>
      </c>
      <c r="Q4751" s="16">
        <v>5990</v>
      </c>
      <c r="R4751" s="17">
        <v>71.819999999999993</v>
      </c>
      <c r="S4751" s="18">
        <v>1940.9354999999998</v>
      </c>
      <c r="T4751" s="19" t="s">
        <v>328</v>
      </c>
      <c r="U4751" s="20" t="s">
        <v>354</v>
      </c>
      <c r="V4751" s="25" t="s">
        <v>4693</v>
      </c>
      <c r="W4751" s="21">
        <v>2</v>
      </c>
      <c r="X4751" s="22"/>
    </row>
    <row r="4752" spans="1:24" s="1" customFormat="1" ht="60.95" customHeight="1" x14ac:dyDescent="0.3">
      <c r="A4752" s="23" t="s">
        <v>3541</v>
      </c>
      <c r="B4752" s="23" t="s">
        <v>4689</v>
      </c>
      <c r="C4752" s="12" t="s">
        <v>4690</v>
      </c>
      <c r="D4752" s="90"/>
      <c r="E4752" s="69" t="str">
        <f>HYPERLINK("https://www.google.ru/search?q=DR10217911955050&amp;newwindow=1&amp;tbm=isch","Еще фото")</f>
        <v>Еще фото</v>
      </c>
      <c r="F4752" s="13"/>
      <c r="G4752" s="23" t="s">
        <v>615</v>
      </c>
      <c r="H4752" s="23" t="s">
        <v>27</v>
      </c>
      <c r="I4752" s="23" t="s">
        <v>616</v>
      </c>
      <c r="J4752" s="14" t="s">
        <v>879</v>
      </c>
      <c r="K4752" s="15" t="s">
        <v>47</v>
      </c>
      <c r="L4752" s="88"/>
      <c r="M4752" s="14"/>
      <c r="N4752" s="14" t="s">
        <v>4692</v>
      </c>
      <c r="O4752" s="14"/>
      <c r="P4752" s="15" t="s">
        <v>108</v>
      </c>
      <c r="Q4752" s="16">
        <v>5990</v>
      </c>
      <c r="R4752" s="17">
        <v>71.819999999999993</v>
      </c>
      <c r="S4752" s="18">
        <v>1940.9354999999998</v>
      </c>
      <c r="T4752" s="19" t="s">
        <v>328</v>
      </c>
      <c r="U4752" s="20" t="s">
        <v>64</v>
      </c>
      <c r="V4752" s="25" t="s">
        <v>355</v>
      </c>
      <c r="W4752" s="21">
        <v>3</v>
      </c>
      <c r="X4752" s="22"/>
    </row>
    <row r="4753" spans="1:24" s="1" customFormat="1" ht="108" customHeight="1" x14ac:dyDescent="0.3">
      <c r="A4753" s="11" t="s">
        <v>3304</v>
      </c>
      <c r="B4753" s="11" t="s">
        <v>4694</v>
      </c>
      <c r="C4753" s="12" t="s">
        <v>4695</v>
      </c>
      <c r="D4753" s="24"/>
      <c r="E4753" s="69" t="str">
        <f>HYPERLINK("https://www.google.ru/search?q=6227TX2013-100&amp;newwindow=1&amp;tbm=isch","Еще фото")</f>
        <v>Еще фото</v>
      </c>
      <c r="F4753" s="13"/>
      <c r="G4753" s="11" t="s">
        <v>615</v>
      </c>
      <c r="H4753" s="11" t="s">
        <v>27</v>
      </c>
      <c r="I4753" s="14" t="s">
        <v>616</v>
      </c>
      <c r="J4753" s="14" t="s">
        <v>29</v>
      </c>
      <c r="K4753" s="15" t="s">
        <v>47</v>
      </c>
      <c r="L4753" s="14" t="s">
        <v>4696</v>
      </c>
      <c r="M4753" s="14"/>
      <c r="N4753" s="14" t="s">
        <v>89</v>
      </c>
      <c r="O4753" s="14"/>
      <c r="P4753" s="15" t="s">
        <v>4697</v>
      </c>
      <c r="Q4753" s="16">
        <v>4250</v>
      </c>
      <c r="R4753" s="17">
        <v>64.989999999999995</v>
      </c>
      <c r="S4753" s="18">
        <v>1710.9354999999998</v>
      </c>
      <c r="T4753" s="19" t="s">
        <v>328</v>
      </c>
      <c r="U4753" s="20" t="s">
        <v>3308</v>
      </c>
      <c r="V4753" s="25" t="s">
        <v>53</v>
      </c>
      <c r="W4753" s="21">
        <v>1</v>
      </c>
      <c r="X4753" s="22"/>
    </row>
    <row r="4754" spans="1:24" s="1" customFormat="1" ht="108" customHeight="1" x14ac:dyDescent="0.3">
      <c r="A4754" s="11" t="s">
        <v>3541</v>
      </c>
      <c r="B4754" s="11" t="s">
        <v>4698</v>
      </c>
      <c r="C4754" s="12" t="s">
        <v>4699</v>
      </c>
      <c r="D4754" s="24"/>
      <c r="E4754" s="69" t="str">
        <f>HYPERLINK("https://www.google.ru/search?q=DR10217411850122&amp;newwindow=1&amp;tbm=isch","Еще фото")</f>
        <v>Еще фото</v>
      </c>
      <c r="F4754" s="13"/>
      <c r="G4754" s="11" t="s">
        <v>2158</v>
      </c>
      <c r="H4754" s="11" t="s">
        <v>27</v>
      </c>
      <c r="I4754" s="14" t="s">
        <v>616</v>
      </c>
      <c r="J4754" s="14" t="s">
        <v>879</v>
      </c>
      <c r="K4754" s="15" t="s">
        <v>47</v>
      </c>
      <c r="L4754" s="14" t="s">
        <v>4700</v>
      </c>
      <c r="M4754" s="14"/>
      <c r="N4754" s="14" t="s">
        <v>275</v>
      </c>
      <c r="O4754" s="14"/>
      <c r="P4754" s="15" t="s">
        <v>4701</v>
      </c>
      <c r="Q4754" s="16">
        <v>3799</v>
      </c>
      <c r="R4754" s="17">
        <v>54.52</v>
      </c>
      <c r="S4754" s="18">
        <v>1986.9354999999998</v>
      </c>
      <c r="T4754" s="19" t="s">
        <v>328</v>
      </c>
      <c r="U4754" s="20" t="s">
        <v>354</v>
      </c>
      <c r="V4754" s="25" t="s">
        <v>4693</v>
      </c>
      <c r="W4754" s="21">
        <v>2</v>
      </c>
      <c r="X4754" s="22"/>
    </row>
    <row r="4755" spans="1:24" s="1" customFormat="1" ht="21" customHeight="1" x14ac:dyDescent="0.3">
      <c r="A4755" s="11" t="s">
        <v>3560</v>
      </c>
      <c r="B4755" s="11" t="s">
        <v>4702</v>
      </c>
      <c r="C4755" s="27" t="s">
        <v>4703</v>
      </c>
      <c r="D4755" s="83"/>
      <c r="E4755" s="69" t="str">
        <f>HYPERLINK("https://www.google.ru/search?q=N1CWRT2-005&amp;newwindow=1&amp;tbm=isch","Еще фото")</f>
        <v>Еще фото</v>
      </c>
      <c r="F4755" s="13"/>
      <c r="G4755" s="11" t="s">
        <v>2158</v>
      </c>
      <c r="H4755" s="11" t="s">
        <v>27</v>
      </c>
      <c r="I4755" s="14" t="s">
        <v>616</v>
      </c>
      <c r="J4755" s="14" t="s">
        <v>406</v>
      </c>
      <c r="K4755" s="15" t="s">
        <v>47</v>
      </c>
      <c r="L4755" s="86" t="s">
        <v>4704</v>
      </c>
      <c r="M4755" s="14"/>
      <c r="N4755" s="14" t="s">
        <v>49</v>
      </c>
      <c r="O4755" s="14"/>
      <c r="P4755" s="15" t="s">
        <v>2271</v>
      </c>
      <c r="Q4755" s="16">
        <v>7999</v>
      </c>
      <c r="R4755" s="17">
        <v>51.65</v>
      </c>
      <c r="S4755" s="18">
        <v>4447.9354999999996</v>
      </c>
      <c r="T4755" s="19" t="s">
        <v>51</v>
      </c>
      <c r="U4755" s="20" t="s">
        <v>354</v>
      </c>
      <c r="V4755" s="21">
        <v>42</v>
      </c>
      <c r="W4755" s="21">
        <v>1</v>
      </c>
      <c r="X4755" s="22"/>
    </row>
    <row r="4756" spans="1:24" s="1" customFormat="1" ht="21" customHeight="1" x14ac:dyDescent="0.3">
      <c r="A4756" s="23" t="s">
        <v>3560</v>
      </c>
      <c r="B4756" s="23" t="s">
        <v>4702</v>
      </c>
      <c r="C4756" s="28" t="s">
        <v>4703</v>
      </c>
      <c r="D4756" s="84"/>
      <c r="E4756" s="69" t="str">
        <f>HYPERLINK("https://www.google.ru/search?q=N1CWRT2-005&amp;newwindow=1&amp;tbm=isch","Еще фото")</f>
        <v>Еще фото</v>
      </c>
      <c r="F4756" s="13"/>
      <c r="G4756" s="23" t="s">
        <v>2158</v>
      </c>
      <c r="H4756" s="23" t="s">
        <v>27</v>
      </c>
      <c r="I4756" s="23" t="s">
        <v>616</v>
      </c>
      <c r="J4756" s="14" t="s">
        <v>406</v>
      </c>
      <c r="K4756" s="15" t="s">
        <v>47</v>
      </c>
      <c r="L4756" s="87"/>
      <c r="M4756" s="14"/>
      <c r="N4756" s="14" t="s">
        <v>49</v>
      </c>
      <c r="O4756" s="14"/>
      <c r="P4756" s="15" t="s">
        <v>2271</v>
      </c>
      <c r="Q4756" s="16">
        <v>7999</v>
      </c>
      <c r="R4756" s="17">
        <v>51.65</v>
      </c>
      <c r="S4756" s="18">
        <v>4447.9354999999996</v>
      </c>
      <c r="T4756" s="19" t="s">
        <v>51</v>
      </c>
      <c r="U4756" s="20" t="s">
        <v>64</v>
      </c>
      <c r="V4756" s="21">
        <v>44</v>
      </c>
      <c r="W4756" s="21">
        <v>3</v>
      </c>
      <c r="X4756" s="22"/>
    </row>
    <row r="4757" spans="1:24" s="1" customFormat="1" ht="21" customHeight="1" x14ac:dyDescent="0.3">
      <c r="A4757" s="23" t="s">
        <v>3560</v>
      </c>
      <c r="B4757" s="23" t="s">
        <v>4702</v>
      </c>
      <c r="C4757" s="28" t="s">
        <v>4703</v>
      </c>
      <c r="D4757" s="84"/>
      <c r="E4757" s="69" t="str">
        <f>HYPERLINK("https://www.google.ru/search?q=N1CWRT2-005&amp;newwindow=1&amp;tbm=isch","Еще фото")</f>
        <v>Еще фото</v>
      </c>
      <c r="F4757" s="13"/>
      <c r="G4757" s="23" t="s">
        <v>2158</v>
      </c>
      <c r="H4757" s="23" t="s">
        <v>27</v>
      </c>
      <c r="I4757" s="23" t="s">
        <v>616</v>
      </c>
      <c r="J4757" s="14" t="s">
        <v>406</v>
      </c>
      <c r="K4757" s="15" t="s">
        <v>47</v>
      </c>
      <c r="L4757" s="87"/>
      <c r="M4757" s="14"/>
      <c r="N4757" s="14" t="s">
        <v>49</v>
      </c>
      <c r="O4757" s="14"/>
      <c r="P4757" s="15" t="s">
        <v>2271</v>
      </c>
      <c r="Q4757" s="16">
        <v>7999</v>
      </c>
      <c r="R4757" s="17">
        <v>51.65</v>
      </c>
      <c r="S4757" s="18">
        <v>4447.9354999999996</v>
      </c>
      <c r="T4757" s="19" t="s">
        <v>51</v>
      </c>
      <c r="U4757" s="20" t="s">
        <v>66</v>
      </c>
      <c r="V4757" s="21">
        <v>46</v>
      </c>
      <c r="W4757" s="21">
        <v>3</v>
      </c>
      <c r="X4757" s="22"/>
    </row>
    <row r="4758" spans="1:24" s="1" customFormat="1" ht="21" customHeight="1" x14ac:dyDescent="0.3">
      <c r="A4758" s="23" t="s">
        <v>3560</v>
      </c>
      <c r="B4758" s="23" t="s">
        <v>4702</v>
      </c>
      <c r="C4758" s="28" t="s">
        <v>4703</v>
      </c>
      <c r="D4758" s="84"/>
      <c r="E4758" s="69" t="str">
        <f>HYPERLINK("https://www.google.ru/search?q=N1CWRT2-005&amp;newwindow=1&amp;tbm=isch","Еще фото")</f>
        <v>Еще фото</v>
      </c>
      <c r="F4758" s="13"/>
      <c r="G4758" s="23" t="s">
        <v>2158</v>
      </c>
      <c r="H4758" s="23" t="s">
        <v>27</v>
      </c>
      <c r="I4758" s="23" t="s">
        <v>616</v>
      </c>
      <c r="J4758" s="14" t="s">
        <v>406</v>
      </c>
      <c r="K4758" s="15" t="s">
        <v>47</v>
      </c>
      <c r="L4758" s="87"/>
      <c r="M4758" s="14"/>
      <c r="N4758" s="14" t="s">
        <v>49</v>
      </c>
      <c r="O4758" s="14"/>
      <c r="P4758" s="15" t="s">
        <v>2271</v>
      </c>
      <c r="Q4758" s="16">
        <v>7999</v>
      </c>
      <c r="R4758" s="17">
        <v>51.65</v>
      </c>
      <c r="S4758" s="18">
        <v>4447.9354999999996</v>
      </c>
      <c r="T4758" s="19" t="s">
        <v>51</v>
      </c>
      <c r="U4758" s="20" t="s">
        <v>58</v>
      </c>
      <c r="V4758" s="21">
        <v>48</v>
      </c>
      <c r="W4758" s="21">
        <v>3</v>
      </c>
      <c r="X4758" s="22"/>
    </row>
    <row r="4759" spans="1:24" s="1" customFormat="1" ht="32.1" customHeight="1" x14ac:dyDescent="0.3">
      <c r="A4759" s="23" t="s">
        <v>3560</v>
      </c>
      <c r="B4759" s="23" t="s">
        <v>4702</v>
      </c>
      <c r="C4759" s="28" t="s">
        <v>4703</v>
      </c>
      <c r="D4759" s="85"/>
      <c r="E4759" s="69" t="str">
        <f>HYPERLINK("https://www.google.ru/search?q=N1CWRT2-005&amp;newwindow=1&amp;tbm=isch","Еще фото")</f>
        <v>Еще фото</v>
      </c>
      <c r="F4759" s="13"/>
      <c r="G4759" s="23" t="s">
        <v>2158</v>
      </c>
      <c r="H4759" s="23" t="s">
        <v>27</v>
      </c>
      <c r="I4759" s="23" t="s">
        <v>616</v>
      </c>
      <c r="J4759" s="14" t="s">
        <v>406</v>
      </c>
      <c r="K4759" s="15" t="s">
        <v>47</v>
      </c>
      <c r="L4759" s="88"/>
      <c r="M4759" s="14"/>
      <c r="N4759" s="14" t="s">
        <v>49</v>
      </c>
      <c r="O4759" s="14"/>
      <c r="P4759" s="15" t="s">
        <v>2271</v>
      </c>
      <c r="Q4759" s="16">
        <v>7999</v>
      </c>
      <c r="R4759" s="17">
        <v>51.65</v>
      </c>
      <c r="S4759" s="18">
        <v>4447.9354999999996</v>
      </c>
      <c r="T4759" s="19" t="s">
        <v>51</v>
      </c>
      <c r="U4759" s="20" t="s">
        <v>52</v>
      </c>
      <c r="V4759" s="21">
        <v>50</v>
      </c>
      <c r="W4759" s="21">
        <v>1</v>
      </c>
      <c r="X4759" s="22"/>
    </row>
    <row r="4760" spans="1:24" s="1" customFormat="1" ht="26.1" customHeight="1" x14ac:dyDescent="0.3">
      <c r="A4760" s="11" t="s">
        <v>3560</v>
      </c>
      <c r="B4760" s="11" t="s">
        <v>4705</v>
      </c>
      <c r="C4760" s="12" t="s">
        <v>4706</v>
      </c>
      <c r="D4760" s="83"/>
      <c r="E4760" s="69" t="str">
        <f>HYPERLINK("https://www.google.ru/search?q=N1CWTS2-007&amp;newwindow=1&amp;tbm=isch","Еще фото")</f>
        <v>Еще фото</v>
      </c>
      <c r="F4760" s="13"/>
      <c r="G4760" s="11" t="s">
        <v>615</v>
      </c>
      <c r="H4760" s="11" t="s">
        <v>27</v>
      </c>
      <c r="I4760" s="14" t="s">
        <v>616</v>
      </c>
      <c r="J4760" s="14" t="s">
        <v>406</v>
      </c>
      <c r="K4760" s="15" t="s">
        <v>47</v>
      </c>
      <c r="L4760" s="86" t="s">
        <v>4707</v>
      </c>
      <c r="M4760" s="14"/>
      <c r="N4760" s="14" t="s">
        <v>4708</v>
      </c>
      <c r="O4760" s="14"/>
      <c r="P4760" s="15" t="s">
        <v>2271</v>
      </c>
      <c r="Q4760" s="16">
        <v>7999</v>
      </c>
      <c r="R4760" s="17">
        <v>51.65</v>
      </c>
      <c r="S4760" s="18">
        <v>4447.9354999999996</v>
      </c>
      <c r="T4760" s="19" t="s">
        <v>51</v>
      </c>
      <c r="U4760" s="20" t="s">
        <v>64</v>
      </c>
      <c r="V4760" s="21">
        <v>44</v>
      </c>
      <c r="W4760" s="21">
        <v>2</v>
      </c>
      <c r="X4760" s="22"/>
    </row>
    <row r="4761" spans="1:24" s="1" customFormat="1" ht="26.1" customHeight="1" x14ac:dyDescent="0.3">
      <c r="A4761" s="23" t="s">
        <v>3560</v>
      </c>
      <c r="B4761" s="23" t="s">
        <v>4705</v>
      </c>
      <c r="C4761" s="12" t="s">
        <v>4706</v>
      </c>
      <c r="D4761" s="84"/>
      <c r="E4761" s="69" t="str">
        <f>HYPERLINK("https://www.google.ru/search?q=N1CWTS2-007&amp;newwindow=1&amp;tbm=isch","Еще фото")</f>
        <v>Еще фото</v>
      </c>
      <c r="F4761" s="13"/>
      <c r="G4761" s="23" t="s">
        <v>615</v>
      </c>
      <c r="H4761" s="23" t="s">
        <v>27</v>
      </c>
      <c r="I4761" s="23" t="s">
        <v>616</v>
      </c>
      <c r="J4761" s="14" t="s">
        <v>406</v>
      </c>
      <c r="K4761" s="15" t="s">
        <v>47</v>
      </c>
      <c r="L4761" s="87"/>
      <c r="M4761" s="14"/>
      <c r="N4761" s="14" t="s">
        <v>4708</v>
      </c>
      <c r="O4761" s="14"/>
      <c r="P4761" s="15" t="s">
        <v>2271</v>
      </c>
      <c r="Q4761" s="16">
        <v>7999</v>
      </c>
      <c r="R4761" s="17">
        <v>51.65</v>
      </c>
      <c r="S4761" s="18">
        <v>4447.9354999999996</v>
      </c>
      <c r="T4761" s="19" t="s">
        <v>51</v>
      </c>
      <c r="U4761" s="20" t="s">
        <v>66</v>
      </c>
      <c r="V4761" s="21">
        <v>46</v>
      </c>
      <c r="W4761" s="21">
        <v>1</v>
      </c>
      <c r="X4761" s="22"/>
    </row>
    <row r="4762" spans="1:24" s="1" customFormat="1" ht="26.1" customHeight="1" x14ac:dyDescent="0.3">
      <c r="A4762" s="23" t="s">
        <v>3560</v>
      </c>
      <c r="B4762" s="23" t="s">
        <v>4705</v>
      </c>
      <c r="C4762" s="12" t="s">
        <v>4706</v>
      </c>
      <c r="D4762" s="84"/>
      <c r="E4762" s="69" t="str">
        <f>HYPERLINK("https://www.google.ru/search?q=N1CWTS2-007&amp;newwindow=1&amp;tbm=isch","Еще фото")</f>
        <v>Еще фото</v>
      </c>
      <c r="F4762" s="13"/>
      <c r="G4762" s="23" t="s">
        <v>615</v>
      </c>
      <c r="H4762" s="23" t="s">
        <v>27</v>
      </c>
      <c r="I4762" s="23" t="s">
        <v>616</v>
      </c>
      <c r="J4762" s="14" t="s">
        <v>406</v>
      </c>
      <c r="K4762" s="15" t="s">
        <v>47</v>
      </c>
      <c r="L4762" s="87"/>
      <c r="M4762" s="14"/>
      <c r="N4762" s="14" t="s">
        <v>4708</v>
      </c>
      <c r="O4762" s="14"/>
      <c r="P4762" s="15" t="s">
        <v>2271</v>
      </c>
      <c r="Q4762" s="16">
        <v>7999</v>
      </c>
      <c r="R4762" s="17">
        <v>51.65</v>
      </c>
      <c r="S4762" s="18">
        <v>4447.9354999999996</v>
      </c>
      <c r="T4762" s="19" t="s">
        <v>51</v>
      </c>
      <c r="U4762" s="20" t="s">
        <v>58</v>
      </c>
      <c r="V4762" s="21">
        <v>48</v>
      </c>
      <c r="W4762" s="21">
        <v>3</v>
      </c>
      <c r="X4762" s="22"/>
    </row>
    <row r="4763" spans="1:24" s="1" customFormat="1" ht="26.1" customHeight="1" x14ac:dyDescent="0.3">
      <c r="A4763" s="23" t="s">
        <v>3560</v>
      </c>
      <c r="B4763" s="23" t="s">
        <v>4705</v>
      </c>
      <c r="C4763" s="12" t="s">
        <v>4706</v>
      </c>
      <c r="D4763" s="85"/>
      <c r="E4763" s="69" t="str">
        <f>HYPERLINK("https://www.google.ru/search?q=N1CWTS2-007&amp;newwindow=1&amp;tbm=isch","Еще фото")</f>
        <v>Еще фото</v>
      </c>
      <c r="F4763" s="13"/>
      <c r="G4763" s="23" t="s">
        <v>615</v>
      </c>
      <c r="H4763" s="23" t="s">
        <v>27</v>
      </c>
      <c r="I4763" s="23" t="s">
        <v>616</v>
      </c>
      <c r="J4763" s="14" t="s">
        <v>406</v>
      </c>
      <c r="K4763" s="15" t="s">
        <v>47</v>
      </c>
      <c r="L4763" s="88"/>
      <c r="M4763" s="14"/>
      <c r="N4763" s="14" t="s">
        <v>4708</v>
      </c>
      <c r="O4763" s="14"/>
      <c r="P4763" s="15" t="s">
        <v>2271</v>
      </c>
      <c r="Q4763" s="16">
        <v>7999</v>
      </c>
      <c r="R4763" s="17">
        <v>51.65</v>
      </c>
      <c r="S4763" s="18">
        <v>4447.9354999999996</v>
      </c>
      <c r="T4763" s="19" t="s">
        <v>51</v>
      </c>
      <c r="U4763" s="20" t="s">
        <v>52</v>
      </c>
      <c r="V4763" s="21">
        <v>50</v>
      </c>
      <c r="W4763" s="21">
        <v>2</v>
      </c>
      <c r="X4763" s="22"/>
    </row>
    <row r="4764" spans="1:24" s="1" customFormat="1" ht="108" customHeight="1" x14ac:dyDescent="0.3">
      <c r="A4764" s="11" t="s">
        <v>3165</v>
      </c>
      <c r="B4764" s="11" t="s">
        <v>4709</v>
      </c>
      <c r="C4764" s="12" t="s">
        <v>4710</v>
      </c>
      <c r="D4764" s="24"/>
      <c r="E4764" s="69" t="str">
        <f>HYPERLINK("https://www.google.ru/search?q=LV040HM229-UB1&amp;newwindow=1&amp;tbm=isch","Еще фото")</f>
        <v>Еще фото</v>
      </c>
      <c r="F4764" s="13"/>
      <c r="G4764" s="11" t="s">
        <v>615</v>
      </c>
      <c r="H4764" s="11" t="s">
        <v>27</v>
      </c>
      <c r="I4764" s="14" t="s">
        <v>616</v>
      </c>
      <c r="J4764" s="14" t="s">
        <v>138</v>
      </c>
      <c r="K4764" s="15" t="s">
        <v>55</v>
      </c>
      <c r="L4764" s="14"/>
      <c r="M4764" s="14"/>
      <c r="N4764" s="14" t="s">
        <v>49</v>
      </c>
      <c r="O4764" s="14"/>
      <c r="P4764" s="15" t="s">
        <v>74</v>
      </c>
      <c r="Q4764" s="16">
        <v>4299</v>
      </c>
      <c r="R4764" s="17">
        <v>51.15</v>
      </c>
      <c r="S4764" s="18">
        <v>2414.9884999999995</v>
      </c>
      <c r="T4764" s="19" t="s">
        <v>51</v>
      </c>
      <c r="U4764" s="20" t="s">
        <v>596</v>
      </c>
      <c r="V4764" s="25" t="s">
        <v>1159</v>
      </c>
      <c r="W4764" s="21">
        <v>1</v>
      </c>
      <c r="X4764" s="22"/>
    </row>
    <row r="4765" spans="1:24" s="1" customFormat="1" ht="26.1" customHeight="1" x14ac:dyDescent="0.3">
      <c r="A4765" s="11" t="s">
        <v>3014</v>
      </c>
      <c r="B4765" s="11" t="s">
        <v>4711</v>
      </c>
      <c r="C4765" s="12" t="s">
        <v>4712</v>
      </c>
      <c r="D4765" s="83"/>
      <c r="E4765" s="69" t="str">
        <f>HYPERLINK("https://www.google.ru/search?q=7200047A-6961&amp;newwindow=1&amp;tbm=isch","Еще фото")</f>
        <v>Еще фото</v>
      </c>
      <c r="F4765" s="13"/>
      <c r="G4765" s="11" t="s">
        <v>615</v>
      </c>
      <c r="H4765" s="11" t="s">
        <v>27</v>
      </c>
      <c r="I4765" s="14" t="s">
        <v>616</v>
      </c>
      <c r="J4765" s="14" t="s">
        <v>29</v>
      </c>
      <c r="K4765" s="15" t="s">
        <v>30</v>
      </c>
      <c r="L4765" s="86" t="s">
        <v>4713</v>
      </c>
      <c r="M4765" s="14"/>
      <c r="N4765" s="14" t="s">
        <v>70</v>
      </c>
      <c r="O4765" s="14"/>
      <c r="P4765" s="15" t="s">
        <v>193</v>
      </c>
      <c r="Q4765" s="16">
        <v>2599</v>
      </c>
      <c r="R4765" s="17">
        <v>48</v>
      </c>
      <c r="S4765" s="18">
        <v>1554.202</v>
      </c>
      <c r="T4765" s="19" t="s">
        <v>117</v>
      </c>
      <c r="U4765" s="20" t="s">
        <v>37</v>
      </c>
      <c r="V4765" s="21">
        <v>128</v>
      </c>
      <c r="W4765" s="21">
        <v>1</v>
      </c>
      <c r="X4765" s="22"/>
    </row>
    <row r="4766" spans="1:24" s="1" customFormat="1" ht="26.1" customHeight="1" x14ac:dyDescent="0.3">
      <c r="A4766" s="23" t="s">
        <v>3014</v>
      </c>
      <c r="B4766" s="23" t="s">
        <v>4711</v>
      </c>
      <c r="C4766" s="12" t="s">
        <v>4712</v>
      </c>
      <c r="D4766" s="84"/>
      <c r="E4766" s="69" t="str">
        <f>HYPERLINK("https://www.google.ru/search?q=7200047A-6961&amp;newwindow=1&amp;tbm=isch","Еще фото")</f>
        <v>Еще фото</v>
      </c>
      <c r="F4766" s="13"/>
      <c r="G4766" s="23" t="s">
        <v>615</v>
      </c>
      <c r="H4766" s="23" t="s">
        <v>27</v>
      </c>
      <c r="I4766" s="23" t="s">
        <v>616</v>
      </c>
      <c r="J4766" s="14" t="s">
        <v>29</v>
      </c>
      <c r="K4766" s="15" t="s">
        <v>30</v>
      </c>
      <c r="L4766" s="87"/>
      <c r="M4766" s="14"/>
      <c r="N4766" s="14" t="s">
        <v>70</v>
      </c>
      <c r="O4766" s="14"/>
      <c r="P4766" s="15" t="s">
        <v>193</v>
      </c>
      <c r="Q4766" s="16">
        <v>2599</v>
      </c>
      <c r="R4766" s="17">
        <v>48</v>
      </c>
      <c r="S4766" s="18">
        <v>1554.202</v>
      </c>
      <c r="T4766" s="19" t="s">
        <v>117</v>
      </c>
      <c r="U4766" s="20" t="s">
        <v>290</v>
      </c>
      <c r="V4766" s="21">
        <v>140</v>
      </c>
      <c r="W4766" s="21">
        <v>2</v>
      </c>
      <c r="X4766" s="22"/>
    </row>
    <row r="4767" spans="1:24" s="1" customFormat="1" ht="26.1" customHeight="1" x14ac:dyDescent="0.3">
      <c r="A4767" s="23" t="s">
        <v>3014</v>
      </c>
      <c r="B4767" s="23" t="s">
        <v>4711</v>
      </c>
      <c r="C4767" s="12" t="s">
        <v>4712</v>
      </c>
      <c r="D4767" s="84"/>
      <c r="E4767" s="69" t="str">
        <f>HYPERLINK("https://www.google.ru/search?q=7200047A-6961&amp;newwindow=1&amp;tbm=isch","Еще фото")</f>
        <v>Еще фото</v>
      </c>
      <c r="F4767" s="13"/>
      <c r="G4767" s="23" t="s">
        <v>615</v>
      </c>
      <c r="H4767" s="23" t="s">
        <v>27</v>
      </c>
      <c r="I4767" s="23" t="s">
        <v>616</v>
      </c>
      <c r="J4767" s="14" t="s">
        <v>29</v>
      </c>
      <c r="K4767" s="15" t="s">
        <v>30</v>
      </c>
      <c r="L4767" s="87"/>
      <c r="M4767" s="14"/>
      <c r="N4767" s="14" t="s">
        <v>70</v>
      </c>
      <c r="O4767" s="14"/>
      <c r="P4767" s="15" t="s">
        <v>193</v>
      </c>
      <c r="Q4767" s="16">
        <v>2599</v>
      </c>
      <c r="R4767" s="17">
        <v>48</v>
      </c>
      <c r="S4767" s="18">
        <v>1554.202</v>
      </c>
      <c r="T4767" s="19" t="s">
        <v>117</v>
      </c>
      <c r="U4767" s="20" t="s">
        <v>2160</v>
      </c>
      <c r="V4767" s="21">
        <v>152</v>
      </c>
      <c r="W4767" s="21">
        <v>1</v>
      </c>
      <c r="X4767" s="22"/>
    </row>
    <row r="4768" spans="1:24" s="1" customFormat="1" ht="26.1" customHeight="1" x14ac:dyDescent="0.3">
      <c r="A4768" s="23" t="s">
        <v>3014</v>
      </c>
      <c r="B4768" s="23" t="s">
        <v>4711</v>
      </c>
      <c r="C4768" s="12" t="s">
        <v>4712</v>
      </c>
      <c r="D4768" s="85"/>
      <c r="E4768" s="69" t="str">
        <f>HYPERLINK("https://www.google.ru/search?q=7200047A-6961&amp;newwindow=1&amp;tbm=isch","Еще фото")</f>
        <v>Еще фото</v>
      </c>
      <c r="F4768" s="13"/>
      <c r="G4768" s="23" t="s">
        <v>615</v>
      </c>
      <c r="H4768" s="23" t="s">
        <v>27</v>
      </c>
      <c r="I4768" s="23" t="s">
        <v>616</v>
      </c>
      <c r="J4768" s="14" t="s">
        <v>29</v>
      </c>
      <c r="K4768" s="15" t="s">
        <v>30</v>
      </c>
      <c r="L4768" s="88"/>
      <c r="M4768" s="14"/>
      <c r="N4768" s="14" t="s">
        <v>70</v>
      </c>
      <c r="O4768" s="14"/>
      <c r="P4768" s="15" t="s">
        <v>193</v>
      </c>
      <c r="Q4768" s="16">
        <v>2599</v>
      </c>
      <c r="R4768" s="17">
        <v>48</v>
      </c>
      <c r="S4768" s="18">
        <v>1554.202</v>
      </c>
      <c r="T4768" s="19" t="s">
        <v>117</v>
      </c>
      <c r="U4768" s="20" t="s">
        <v>2161</v>
      </c>
      <c r="V4768" s="21">
        <v>164</v>
      </c>
      <c r="W4768" s="21">
        <v>1</v>
      </c>
      <c r="X4768" s="22"/>
    </row>
    <row r="4769" spans="1:24" s="1" customFormat="1" ht="108" customHeight="1" x14ac:dyDescent="0.3">
      <c r="A4769" s="11" t="s">
        <v>2952</v>
      </c>
      <c r="B4769" s="11" t="s">
        <v>4714</v>
      </c>
      <c r="C4769" s="12" t="s">
        <v>4715</v>
      </c>
      <c r="D4769" s="24"/>
      <c r="E4769" s="69" t="str">
        <f>HYPERLINK("https://www.google.ru/search?q=113331-YS094&amp;newwindow=1&amp;tbm=isch","Еще фото")</f>
        <v>Еще фото</v>
      </c>
      <c r="F4769" s="13"/>
      <c r="G4769" s="11" t="s">
        <v>615</v>
      </c>
      <c r="H4769" s="11" t="s">
        <v>27</v>
      </c>
      <c r="I4769" s="14" t="s">
        <v>616</v>
      </c>
      <c r="J4769" s="14" t="s">
        <v>29</v>
      </c>
      <c r="K4769" s="15" t="s">
        <v>47</v>
      </c>
      <c r="L4769" s="14" t="s">
        <v>4716</v>
      </c>
      <c r="M4769" s="14" t="s">
        <v>73</v>
      </c>
      <c r="N4769" s="14" t="s">
        <v>41</v>
      </c>
      <c r="O4769" s="14" t="s">
        <v>940</v>
      </c>
      <c r="P4769" s="15" t="s">
        <v>4717</v>
      </c>
      <c r="Q4769" s="16">
        <v>2999</v>
      </c>
      <c r="R4769" s="17">
        <v>46.65</v>
      </c>
      <c r="S4769" s="18">
        <v>1839.9884999999999</v>
      </c>
      <c r="T4769" s="19" t="s">
        <v>51</v>
      </c>
      <c r="U4769" s="20" t="s">
        <v>354</v>
      </c>
      <c r="V4769" s="25" t="s">
        <v>355</v>
      </c>
      <c r="W4769" s="21">
        <v>1</v>
      </c>
      <c r="X4769" s="22"/>
    </row>
    <row r="4770" spans="1:24" s="1" customFormat="1" ht="51.95" customHeight="1" x14ac:dyDescent="0.3">
      <c r="A4770" s="11" t="s">
        <v>3560</v>
      </c>
      <c r="B4770" s="11" t="s">
        <v>4718</v>
      </c>
      <c r="C4770" s="12" t="s">
        <v>4719</v>
      </c>
      <c r="D4770" s="89"/>
      <c r="E4770" s="69" t="str">
        <f>HYPERLINK("https://www.google.ru/search?q=N1CMTS2-004&amp;newwindow=1&amp;tbm=isch","Еще фото")</f>
        <v>Еще фото</v>
      </c>
      <c r="F4770" s="13"/>
      <c r="G4770" s="11" t="s">
        <v>615</v>
      </c>
      <c r="H4770" s="11" t="s">
        <v>27</v>
      </c>
      <c r="I4770" s="14" t="s">
        <v>616</v>
      </c>
      <c r="J4770" s="14" t="s">
        <v>406</v>
      </c>
      <c r="K4770" s="15" t="s">
        <v>55</v>
      </c>
      <c r="L4770" s="86" t="s">
        <v>4720</v>
      </c>
      <c r="M4770" s="14"/>
      <c r="N4770" s="14" t="s">
        <v>49</v>
      </c>
      <c r="O4770" s="14"/>
      <c r="P4770" s="15" t="s">
        <v>2271</v>
      </c>
      <c r="Q4770" s="16">
        <v>7999</v>
      </c>
      <c r="R4770" s="17">
        <v>46.24</v>
      </c>
      <c r="S4770" s="18">
        <v>4944.9884999999995</v>
      </c>
      <c r="T4770" s="19" t="s">
        <v>51</v>
      </c>
      <c r="U4770" s="20" t="s">
        <v>354</v>
      </c>
      <c r="V4770" s="21">
        <v>44</v>
      </c>
      <c r="W4770" s="21">
        <v>2</v>
      </c>
      <c r="X4770" s="22"/>
    </row>
    <row r="4771" spans="1:24" s="1" customFormat="1" ht="60.95" customHeight="1" x14ac:dyDescent="0.3">
      <c r="A4771" s="23" t="s">
        <v>3560</v>
      </c>
      <c r="B4771" s="23" t="s">
        <v>4718</v>
      </c>
      <c r="C4771" s="12" t="s">
        <v>4719</v>
      </c>
      <c r="D4771" s="90"/>
      <c r="E4771" s="69" t="str">
        <f>HYPERLINK("https://www.google.ru/search?q=N1CMTS2-004&amp;newwindow=1&amp;tbm=isch","Еще фото")</f>
        <v>Еще фото</v>
      </c>
      <c r="F4771" s="13"/>
      <c r="G4771" s="23" t="s">
        <v>615</v>
      </c>
      <c r="H4771" s="23" t="s">
        <v>27</v>
      </c>
      <c r="I4771" s="23" t="s">
        <v>616</v>
      </c>
      <c r="J4771" s="14" t="s">
        <v>406</v>
      </c>
      <c r="K4771" s="15" t="s">
        <v>55</v>
      </c>
      <c r="L4771" s="88"/>
      <c r="M4771" s="14"/>
      <c r="N4771" s="14" t="s">
        <v>49</v>
      </c>
      <c r="O4771" s="14"/>
      <c r="P4771" s="15" t="s">
        <v>2271</v>
      </c>
      <c r="Q4771" s="16">
        <v>7999</v>
      </c>
      <c r="R4771" s="17">
        <v>46.24</v>
      </c>
      <c r="S4771" s="18">
        <v>4944.9884999999995</v>
      </c>
      <c r="T4771" s="19" t="s">
        <v>51</v>
      </c>
      <c r="U4771" s="20" t="s">
        <v>64</v>
      </c>
      <c r="V4771" s="21">
        <v>46</v>
      </c>
      <c r="W4771" s="21">
        <v>2</v>
      </c>
      <c r="X4771" s="22"/>
    </row>
    <row r="4772" spans="1:24" s="1" customFormat="1" ht="108" customHeight="1" x14ac:dyDescent="0.3">
      <c r="A4772" s="11" t="s">
        <v>3560</v>
      </c>
      <c r="B4772" s="11" t="s">
        <v>4721</v>
      </c>
      <c r="C4772" s="12" t="s">
        <v>4722</v>
      </c>
      <c r="D4772" s="24"/>
      <c r="E4772" s="69" t="str">
        <f>HYPERLINK("https://www.google.ru/search?q=N1CMTS2-007&amp;newwindow=1&amp;tbm=isch","Еще фото")</f>
        <v>Еще фото</v>
      </c>
      <c r="F4772" s="13"/>
      <c r="G4772" s="11" t="s">
        <v>615</v>
      </c>
      <c r="H4772" s="11" t="s">
        <v>27</v>
      </c>
      <c r="I4772" s="14" t="s">
        <v>616</v>
      </c>
      <c r="J4772" s="14" t="s">
        <v>406</v>
      </c>
      <c r="K4772" s="15" t="s">
        <v>55</v>
      </c>
      <c r="L4772" s="14" t="s">
        <v>4720</v>
      </c>
      <c r="M4772" s="14"/>
      <c r="N4772" s="14" t="s">
        <v>4708</v>
      </c>
      <c r="O4772" s="14"/>
      <c r="P4772" s="15" t="s">
        <v>2271</v>
      </c>
      <c r="Q4772" s="16">
        <v>7999</v>
      </c>
      <c r="R4772" s="17">
        <v>46.24</v>
      </c>
      <c r="S4772" s="18">
        <v>4944.9884999999995</v>
      </c>
      <c r="T4772" s="19" t="s">
        <v>51</v>
      </c>
      <c r="U4772" s="20" t="s">
        <v>354</v>
      </c>
      <c r="V4772" s="21">
        <v>44</v>
      </c>
      <c r="W4772" s="21">
        <v>3</v>
      </c>
      <c r="X4772" s="22"/>
    </row>
    <row r="4773" spans="1:24" s="1" customFormat="1" ht="17.100000000000001" customHeight="1" x14ac:dyDescent="0.3">
      <c r="A4773" s="11" t="s">
        <v>3029</v>
      </c>
      <c r="B4773" s="11" t="s">
        <v>613</v>
      </c>
      <c r="C4773" s="12" t="s">
        <v>4723</v>
      </c>
      <c r="D4773" s="83"/>
      <c r="E4773" s="69" t="str">
        <f t="shared" ref="E4773:E4778" si="248">HYPERLINK("https://www.google.ru/search?q=123381-4535&amp;newwindow=1&amp;tbm=isch","Еще фото")</f>
        <v>Еще фото</v>
      </c>
      <c r="F4773" s="13"/>
      <c r="G4773" s="11" t="s">
        <v>615</v>
      </c>
      <c r="H4773" s="11" t="s">
        <v>27</v>
      </c>
      <c r="I4773" s="14" t="s">
        <v>616</v>
      </c>
      <c r="J4773" s="14" t="s">
        <v>29</v>
      </c>
      <c r="K4773" s="15" t="s">
        <v>30</v>
      </c>
      <c r="L4773" s="86" t="s">
        <v>4724</v>
      </c>
      <c r="M4773" s="14"/>
      <c r="N4773" s="14" t="s">
        <v>275</v>
      </c>
      <c r="O4773" s="14"/>
      <c r="P4773" s="15" t="s">
        <v>3040</v>
      </c>
      <c r="Q4773" s="16">
        <v>2499</v>
      </c>
      <c r="R4773" s="17">
        <v>45</v>
      </c>
      <c r="S4773" s="18">
        <v>1580.6174999999998</v>
      </c>
      <c r="T4773" s="19" t="s">
        <v>117</v>
      </c>
      <c r="U4773" s="20" t="s">
        <v>196</v>
      </c>
      <c r="V4773" s="21">
        <v>86</v>
      </c>
      <c r="W4773" s="21">
        <v>2</v>
      </c>
      <c r="X4773" s="22"/>
    </row>
    <row r="4774" spans="1:24" s="1" customFormat="1" ht="17.100000000000001" customHeight="1" x14ac:dyDescent="0.3">
      <c r="A4774" s="23" t="s">
        <v>3029</v>
      </c>
      <c r="B4774" s="23" t="s">
        <v>613</v>
      </c>
      <c r="C4774" s="12" t="s">
        <v>4723</v>
      </c>
      <c r="D4774" s="84"/>
      <c r="E4774" s="69" t="str">
        <f t="shared" si="248"/>
        <v>Еще фото</v>
      </c>
      <c r="F4774" s="13"/>
      <c r="G4774" s="23" t="s">
        <v>615</v>
      </c>
      <c r="H4774" s="23" t="s">
        <v>27</v>
      </c>
      <c r="I4774" s="23" t="s">
        <v>616</v>
      </c>
      <c r="J4774" s="14" t="s">
        <v>29</v>
      </c>
      <c r="K4774" s="15" t="s">
        <v>30</v>
      </c>
      <c r="L4774" s="87"/>
      <c r="M4774" s="14"/>
      <c r="N4774" s="14" t="s">
        <v>275</v>
      </c>
      <c r="O4774" s="14"/>
      <c r="P4774" s="15" t="s">
        <v>3040</v>
      </c>
      <c r="Q4774" s="16">
        <v>2499</v>
      </c>
      <c r="R4774" s="17">
        <v>45</v>
      </c>
      <c r="S4774" s="18">
        <v>1580.6174999999998</v>
      </c>
      <c r="T4774" s="19" t="s">
        <v>117</v>
      </c>
      <c r="U4774" s="20" t="s">
        <v>94</v>
      </c>
      <c r="V4774" s="21">
        <v>104</v>
      </c>
      <c r="W4774" s="21">
        <v>2</v>
      </c>
      <c r="X4774" s="22"/>
    </row>
    <row r="4775" spans="1:24" s="1" customFormat="1" ht="17.100000000000001" customHeight="1" x14ac:dyDescent="0.3">
      <c r="A4775" s="23" t="s">
        <v>3029</v>
      </c>
      <c r="B4775" s="23" t="s">
        <v>613</v>
      </c>
      <c r="C4775" s="12" t="s">
        <v>4723</v>
      </c>
      <c r="D4775" s="84"/>
      <c r="E4775" s="69" t="str">
        <f t="shared" si="248"/>
        <v>Еще фото</v>
      </c>
      <c r="F4775" s="13"/>
      <c r="G4775" s="23" t="s">
        <v>615</v>
      </c>
      <c r="H4775" s="23" t="s">
        <v>27</v>
      </c>
      <c r="I4775" s="23" t="s">
        <v>616</v>
      </c>
      <c r="J4775" s="14" t="s">
        <v>29</v>
      </c>
      <c r="K4775" s="15" t="s">
        <v>30</v>
      </c>
      <c r="L4775" s="87"/>
      <c r="M4775" s="14"/>
      <c r="N4775" s="14" t="s">
        <v>275</v>
      </c>
      <c r="O4775" s="14"/>
      <c r="P4775" s="15" t="s">
        <v>3040</v>
      </c>
      <c r="Q4775" s="16">
        <v>2499</v>
      </c>
      <c r="R4775" s="17">
        <v>45</v>
      </c>
      <c r="S4775" s="18">
        <v>1580.6174999999998</v>
      </c>
      <c r="T4775" s="19" t="s">
        <v>117</v>
      </c>
      <c r="U4775" s="20" t="s">
        <v>43</v>
      </c>
      <c r="V4775" s="21">
        <v>110</v>
      </c>
      <c r="W4775" s="21">
        <v>3</v>
      </c>
      <c r="X4775" s="22"/>
    </row>
    <row r="4776" spans="1:24" s="1" customFormat="1" ht="17.100000000000001" customHeight="1" x14ac:dyDescent="0.3">
      <c r="A4776" s="23" t="s">
        <v>3029</v>
      </c>
      <c r="B4776" s="23" t="s">
        <v>613</v>
      </c>
      <c r="C4776" s="12" t="s">
        <v>4723</v>
      </c>
      <c r="D4776" s="84"/>
      <c r="E4776" s="69" t="str">
        <f t="shared" si="248"/>
        <v>Еще фото</v>
      </c>
      <c r="F4776" s="13"/>
      <c r="G4776" s="23" t="s">
        <v>615</v>
      </c>
      <c r="H4776" s="23" t="s">
        <v>27</v>
      </c>
      <c r="I4776" s="23" t="s">
        <v>616</v>
      </c>
      <c r="J4776" s="14" t="s">
        <v>29</v>
      </c>
      <c r="K4776" s="15" t="s">
        <v>30</v>
      </c>
      <c r="L4776" s="87"/>
      <c r="M4776" s="14"/>
      <c r="N4776" s="14" t="s">
        <v>275</v>
      </c>
      <c r="O4776" s="14"/>
      <c r="P4776" s="15" t="s">
        <v>3040</v>
      </c>
      <c r="Q4776" s="16">
        <v>2499</v>
      </c>
      <c r="R4776" s="17">
        <v>45</v>
      </c>
      <c r="S4776" s="18">
        <v>1580.6174999999998</v>
      </c>
      <c r="T4776" s="19" t="s">
        <v>117</v>
      </c>
      <c r="U4776" s="20" t="s">
        <v>35</v>
      </c>
      <c r="V4776" s="21">
        <v>116</v>
      </c>
      <c r="W4776" s="21">
        <v>3</v>
      </c>
      <c r="X4776" s="22"/>
    </row>
    <row r="4777" spans="1:24" s="1" customFormat="1" ht="17.100000000000001" customHeight="1" x14ac:dyDescent="0.3">
      <c r="A4777" s="23" t="s">
        <v>3029</v>
      </c>
      <c r="B4777" s="23" t="s">
        <v>613</v>
      </c>
      <c r="C4777" s="12" t="s">
        <v>4723</v>
      </c>
      <c r="D4777" s="84"/>
      <c r="E4777" s="69" t="str">
        <f t="shared" si="248"/>
        <v>Еще фото</v>
      </c>
      <c r="F4777" s="13"/>
      <c r="G4777" s="23" t="s">
        <v>615</v>
      </c>
      <c r="H4777" s="23" t="s">
        <v>27</v>
      </c>
      <c r="I4777" s="23" t="s">
        <v>616</v>
      </c>
      <c r="J4777" s="14" t="s">
        <v>29</v>
      </c>
      <c r="K4777" s="15" t="s">
        <v>30</v>
      </c>
      <c r="L4777" s="87"/>
      <c r="M4777" s="14"/>
      <c r="N4777" s="14" t="s">
        <v>275</v>
      </c>
      <c r="O4777" s="14"/>
      <c r="P4777" s="15" t="s">
        <v>3040</v>
      </c>
      <c r="Q4777" s="16">
        <v>2499</v>
      </c>
      <c r="R4777" s="17">
        <v>45</v>
      </c>
      <c r="S4777" s="18">
        <v>1580.6174999999998</v>
      </c>
      <c r="T4777" s="19" t="s">
        <v>117</v>
      </c>
      <c r="U4777" s="20" t="s">
        <v>37</v>
      </c>
      <c r="V4777" s="21">
        <v>128</v>
      </c>
      <c r="W4777" s="21">
        <v>3</v>
      </c>
      <c r="X4777" s="22"/>
    </row>
    <row r="4778" spans="1:24" s="1" customFormat="1" ht="21.95" customHeight="1" x14ac:dyDescent="0.3">
      <c r="A4778" s="23" t="s">
        <v>3029</v>
      </c>
      <c r="B4778" s="23" t="s">
        <v>613</v>
      </c>
      <c r="C4778" s="12" t="s">
        <v>4723</v>
      </c>
      <c r="D4778" s="85"/>
      <c r="E4778" s="69" t="str">
        <f t="shared" si="248"/>
        <v>Еще фото</v>
      </c>
      <c r="F4778" s="13"/>
      <c r="G4778" s="23" t="s">
        <v>615</v>
      </c>
      <c r="H4778" s="23" t="s">
        <v>27</v>
      </c>
      <c r="I4778" s="23" t="s">
        <v>616</v>
      </c>
      <c r="J4778" s="14" t="s">
        <v>29</v>
      </c>
      <c r="K4778" s="15" t="s">
        <v>30</v>
      </c>
      <c r="L4778" s="88"/>
      <c r="M4778" s="14"/>
      <c r="N4778" s="14" t="s">
        <v>275</v>
      </c>
      <c r="O4778" s="14"/>
      <c r="P4778" s="15" t="s">
        <v>3040</v>
      </c>
      <c r="Q4778" s="16">
        <v>2499</v>
      </c>
      <c r="R4778" s="17">
        <v>45</v>
      </c>
      <c r="S4778" s="18">
        <v>1580.6174999999998</v>
      </c>
      <c r="T4778" s="19" t="s">
        <v>117</v>
      </c>
      <c r="U4778" s="20" t="s">
        <v>91</v>
      </c>
      <c r="V4778" s="21">
        <v>134</v>
      </c>
      <c r="W4778" s="21">
        <v>3</v>
      </c>
      <c r="X4778" s="22"/>
    </row>
    <row r="4779" spans="1:24" s="1" customFormat="1" ht="14.1" customHeight="1" x14ac:dyDescent="0.3">
      <c r="A4779" s="11" t="s">
        <v>3029</v>
      </c>
      <c r="B4779" s="11" t="s">
        <v>613</v>
      </c>
      <c r="C4779" s="12" t="s">
        <v>4725</v>
      </c>
      <c r="D4779" s="83"/>
      <c r="E4779" s="69" t="str">
        <f t="shared" ref="E4779:E4785" si="249">HYPERLINK("https://www.google.ru/search?q=123413-5523&amp;newwindow=1&amp;tbm=isch","Еще фото")</f>
        <v>Еще фото</v>
      </c>
      <c r="F4779" s="13"/>
      <c r="G4779" s="11" t="s">
        <v>615</v>
      </c>
      <c r="H4779" s="11" t="s">
        <v>27</v>
      </c>
      <c r="I4779" s="14" t="s">
        <v>616</v>
      </c>
      <c r="J4779" s="14" t="s">
        <v>29</v>
      </c>
      <c r="K4779" s="15" t="s">
        <v>30</v>
      </c>
      <c r="L4779" s="86" t="s">
        <v>4726</v>
      </c>
      <c r="M4779" s="14"/>
      <c r="N4779" s="14" t="s">
        <v>275</v>
      </c>
      <c r="O4779" s="14"/>
      <c r="P4779" s="15" t="s">
        <v>3040</v>
      </c>
      <c r="Q4779" s="16">
        <v>1999</v>
      </c>
      <c r="R4779" s="17">
        <v>45</v>
      </c>
      <c r="S4779" s="18">
        <v>1264.3675000000001</v>
      </c>
      <c r="T4779" s="19" t="s">
        <v>117</v>
      </c>
      <c r="U4779" s="20" t="s">
        <v>78</v>
      </c>
      <c r="V4779" s="21">
        <v>98</v>
      </c>
      <c r="W4779" s="21">
        <v>1</v>
      </c>
      <c r="X4779" s="22"/>
    </row>
    <row r="4780" spans="1:24" s="1" customFormat="1" ht="14.1" customHeight="1" x14ac:dyDescent="0.3">
      <c r="A4780" s="23" t="s">
        <v>3029</v>
      </c>
      <c r="B4780" s="23" t="s">
        <v>613</v>
      </c>
      <c r="C4780" s="12" t="s">
        <v>4725</v>
      </c>
      <c r="D4780" s="84"/>
      <c r="E4780" s="69" t="str">
        <f t="shared" si="249"/>
        <v>Еще фото</v>
      </c>
      <c r="F4780" s="13"/>
      <c r="G4780" s="23" t="s">
        <v>615</v>
      </c>
      <c r="H4780" s="23" t="s">
        <v>27</v>
      </c>
      <c r="I4780" s="23" t="s">
        <v>616</v>
      </c>
      <c r="J4780" s="14" t="s">
        <v>29</v>
      </c>
      <c r="K4780" s="15" t="s">
        <v>30</v>
      </c>
      <c r="L4780" s="87"/>
      <c r="M4780" s="14"/>
      <c r="N4780" s="14" t="s">
        <v>275</v>
      </c>
      <c r="O4780" s="14"/>
      <c r="P4780" s="15" t="s">
        <v>3040</v>
      </c>
      <c r="Q4780" s="16">
        <v>1999</v>
      </c>
      <c r="R4780" s="17">
        <v>45</v>
      </c>
      <c r="S4780" s="18">
        <v>1264.3675000000001</v>
      </c>
      <c r="T4780" s="19" t="s">
        <v>117</v>
      </c>
      <c r="U4780" s="20" t="s">
        <v>94</v>
      </c>
      <c r="V4780" s="21">
        <v>104</v>
      </c>
      <c r="W4780" s="21">
        <v>4</v>
      </c>
      <c r="X4780" s="22"/>
    </row>
    <row r="4781" spans="1:24" s="1" customFormat="1" ht="14.1" customHeight="1" x14ac:dyDescent="0.3">
      <c r="A4781" s="23" t="s">
        <v>3029</v>
      </c>
      <c r="B4781" s="23" t="s">
        <v>613</v>
      </c>
      <c r="C4781" s="12" t="s">
        <v>4725</v>
      </c>
      <c r="D4781" s="84"/>
      <c r="E4781" s="69" t="str">
        <f t="shared" si="249"/>
        <v>Еще фото</v>
      </c>
      <c r="F4781" s="13"/>
      <c r="G4781" s="23" t="s">
        <v>615</v>
      </c>
      <c r="H4781" s="23" t="s">
        <v>27</v>
      </c>
      <c r="I4781" s="23" t="s">
        <v>616</v>
      </c>
      <c r="J4781" s="14" t="s">
        <v>29</v>
      </c>
      <c r="K4781" s="15" t="s">
        <v>30</v>
      </c>
      <c r="L4781" s="87"/>
      <c r="M4781" s="14"/>
      <c r="N4781" s="14" t="s">
        <v>275</v>
      </c>
      <c r="O4781" s="14"/>
      <c r="P4781" s="15" t="s">
        <v>3040</v>
      </c>
      <c r="Q4781" s="16">
        <v>1999</v>
      </c>
      <c r="R4781" s="17">
        <v>45</v>
      </c>
      <c r="S4781" s="18">
        <v>1264.3675000000001</v>
      </c>
      <c r="T4781" s="19" t="s">
        <v>117</v>
      </c>
      <c r="U4781" s="20" t="s">
        <v>43</v>
      </c>
      <c r="V4781" s="21">
        <v>110</v>
      </c>
      <c r="W4781" s="21">
        <v>4</v>
      </c>
      <c r="X4781" s="22"/>
    </row>
    <row r="4782" spans="1:24" s="1" customFormat="1" ht="14.1" customHeight="1" x14ac:dyDescent="0.3">
      <c r="A4782" s="23" t="s">
        <v>3029</v>
      </c>
      <c r="B4782" s="23" t="s">
        <v>613</v>
      </c>
      <c r="C4782" s="12" t="s">
        <v>4725</v>
      </c>
      <c r="D4782" s="84"/>
      <c r="E4782" s="69" t="str">
        <f t="shared" si="249"/>
        <v>Еще фото</v>
      </c>
      <c r="F4782" s="13"/>
      <c r="G4782" s="23" t="s">
        <v>615</v>
      </c>
      <c r="H4782" s="23" t="s">
        <v>27</v>
      </c>
      <c r="I4782" s="23" t="s">
        <v>616</v>
      </c>
      <c r="J4782" s="14" t="s">
        <v>29</v>
      </c>
      <c r="K4782" s="15" t="s">
        <v>30</v>
      </c>
      <c r="L4782" s="87"/>
      <c r="M4782" s="14"/>
      <c r="N4782" s="14" t="s">
        <v>275</v>
      </c>
      <c r="O4782" s="14"/>
      <c r="P4782" s="15" t="s">
        <v>3040</v>
      </c>
      <c r="Q4782" s="16">
        <v>1999</v>
      </c>
      <c r="R4782" s="17">
        <v>45</v>
      </c>
      <c r="S4782" s="18">
        <v>1264.3675000000001</v>
      </c>
      <c r="T4782" s="19" t="s">
        <v>117</v>
      </c>
      <c r="U4782" s="20" t="s">
        <v>35</v>
      </c>
      <c r="V4782" s="21">
        <v>116</v>
      </c>
      <c r="W4782" s="21">
        <v>1</v>
      </c>
      <c r="X4782" s="22"/>
    </row>
    <row r="4783" spans="1:24" s="1" customFormat="1" ht="14.1" customHeight="1" x14ac:dyDescent="0.3">
      <c r="A4783" s="23" t="s">
        <v>3029</v>
      </c>
      <c r="B4783" s="23" t="s">
        <v>613</v>
      </c>
      <c r="C4783" s="12" t="s">
        <v>4725</v>
      </c>
      <c r="D4783" s="84"/>
      <c r="E4783" s="69" t="str">
        <f t="shared" si="249"/>
        <v>Еще фото</v>
      </c>
      <c r="F4783" s="13"/>
      <c r="G4783" s="23" t="s">
        <v>615</v>
      </c>
      <c r="H4783" s="23" t="s">
        <v>27</v>
      </c>
      <c r="I4783" s="23" t="s">
        <v>616</v>
      </c>
      <c r="J4783" s="14" t="s">
        <v>29</v>
      </c>
      <c r="K4783" s="15" t="s">
        <v>30</v>
      </c>
      <c r="L4783" s="87"/>
      <c r="M4783" s="14"/>
      <c r="N4783" s="14" t="s">
        <v>275</v>
      </c>
      <c r="O4783" s="14"/>
      <c r="P4783" s="15" t="s">
        <v>3040</v>
      </c>
      <c r="Q4783" s="16">
        <v>1999</v>
      </c>
      <c r="R4783" s="17">
        <v>45</v>
      </c>
      <c r="S4783" s="18">
        <v>1264.3675000000001</v>
      </c>
      <c r="T4783" s="19" t="s">
        <v>117</v>
      </c>
      <c r="U4783" s="20" t="s">
        <v>36</v>
      </c>
      <c r="V4783" s="21">
        <v>122</v>
      </c>
      <c r="W4783" s="21">
        <v>1</v>
      </c>
      <c r="X4783" s="22"/>
    </row>
    <row r="4784" spans="1:24" s="1" customFormat="1" ht="14.1" customHeight="1" x14ac:dyDescent="0.3">
      <c r="A4784" s="23" t="s">
        <v>3029</v>
      </c>
      <c r="B4784" s="23" t="s">
        <v>613</v>
      </c>
      <c r="C4784" s="12" t="s">
        <v>4725</v>
      </c>
      <c r="D4784" s="84"/>
      <c r="E4784" s="69" t="str">
        <f t="shared" si="249"/>
        <v>Еще фото</v>
      </c>
      <c r="F4784" s="13"/>
      <c r="G4784" s="23" t="s">
        <v>615</v>
      </c>
      <c r="H4784" s="23" t="s">
        <v>27</v>
      </c>
      <c r="I4784" s="23" t="s">
        <v>616</v>
      </c>
      <c r="J4784" s="14" t="s">
        <v>29</v>
      </c>
      <c r="K4784" s="15" t="s">
        <v>30</v>
      </c>
      <c r="L4784" s="87"/>
      <c r="M4784" s="14"/>
      <c r="N4784" s="14" t="s">
        <v>275</v>
      </c>
      <c r="O4784" s="14"/>
      <c r="P4784" s="15" t="s">
        <v>3040</v>
      </c>
      <c r="Q4784" s="16">
        <v>1999</v>
      </c>
      <c r="R4784" s="17">
        <v>45</v>
      </c>
      <c r="S4784" s="18">
        <v>1264.3675000000001</v>
      </c>
      <c r="T4784" s="19" t="s">
        <v>117</v>
      </c>
      <c r="U4784" s="20" t="s">
        <v>37</v>
      </c>
      <c r="V4784" s="21">
        <v>128</v>
      </c>
      <c r="W4784" s="21">
        <v>2</v>
      </c>
      <c r="X4784" s="22"/>
    </row>
    <row r="4785" spans="1:24" s="1" customFormat="1" ht="17.100000000000001" customHeight="1" x14ac:dyDescent="0.3">
      <c r="A4785" s="23" t="s">
        <v>3029</v>
      </c>
      <c r="B4785" s="23" t="s">
        <v>613</v>
      </c>
      <c r="C4785" s="12" t="s">
        <v>4725</v>
      </c>
      <c r="D4785" s="85"/>
      <c r="E4785" s="69" t="str">
        <f t="shared" si="249"/>
        <v>Еще фото</v>
      </c>
      <c r="F4785" s="13"/>
      <c r="G4785" s="23" t="s">
        <v>615</v>
      </c>
      <c r="H4785" s="23" t="s">
        <v>27</v>
      </c>
      <c r="I4785" s="23" t="s">
        <v>616</v>
      </c>
      <c r="J4785" s="14" t="s">
        <v>29</v>
      </c>
      <c r="K4785" s="15" t="s">
        <v>30</v>
      </c>
      <c r="L4785" s="88"/>
      <c r="M4785" s="14"/>
      <c r="N4785" s="14" t="s">
        <v>275</v>
      </c>
      <c r="O4785" s="14"/>
      <c r="P4785" s="15" t="s">
        <v>3040</v>
      </c>
      <c r="Q4785" s="16">
        <v>1999</v>
      </c>
      <c r="R4785" s="17">
        <v>45</v>
      </c>
      <c r="S4785" s="18">
        <v>1264.3675000000001</v>
      </c>
      <c r="T4785" s="19" t="s">
        <v>117</v>
      </c>
      <c r="U4785" s="20" t="s">
        <v>91</v>
      </c>
      <c r="V4785" s="21">
        <v>134</v>
      </c>
      <c r="W4785" s="21">
        <v>3</v>
      </c>
      <c r="X4785" s="22"/>
    </row>
    <row r="4786" spans="1:24" s="1" customFormat="1" ht="108" customHeight="1" x14ac:dyDescent="0.3">
      <c r="A4786" s="11" t="s">
        <v>2957</v>
      </c>
      <c r="B4786" s="11" t="s">
        <v>613</v>
      </c>
      <c r="C4786" s="12" t="s">
        <v>4727</v>
      </c>
      <c r="D4786" s="24"/>
      <c r="E4786" s="69" t="str">
        <f>HYPERLINK("https://www.google.ru/search?q=516566-6982&amp;newwindow=1&amp;tbm=isch","Еще фото")</f>
        <v>Еще фото</v>
      </c>
      <c r="F4786" s="13"/>
      <c r="G4786" s="11" t="s">
        <v>4728</v>
      </c>
      <c r="H4786" s="11" t="s">
        <v>27</v>
      </c>
      <c r="I4786" s="14" t="s">
        <v>616</v>
      </c>
      <c r="J4786" s="14" t="s">
        <v>255</v>
      </c>
      <c r="K4786" s="15" t="s">
        <v>30</v>
      </c>
      <c r="L4786" s="14" t="s">
        <v>4729</v>
      </c>
      <c r="M4786" s="14"/>
      <c r="N4786" s="14" t="s">
        <v>70</v>
      </c>
      <c r="O4786" s="14"/>
      <c r="P4786" s="15" t="s">
        <v>4730</v>
      </c>
      <c r="Q4786" s="16">
        <v>2199</v>
      </c>
      <c r="R4786" s="17">
        <v>45</v>
      </c>
      <c r="S4786" s="18">
        <v>1390.8674999999998</v>
      </c>
      <c r="T4786" s="19" t="s">
        <v>117</v>
      </c>
      <c r="U4786" s="20" t="s">
        <v>3264</v>
      </c>
      <c r="V4786" s="21">
        <v>74</v>
      </c>
      <c r="W4786" s="21">
        <v>2</v>
      </c>
      <c r="X4786" s="22"/>
    </row>
    <row r="4787" spans="1:24" s="1" customFormat="1" ht="108" customHeight="1" x14ac:dyDescent="0.3">
      <c r="A4787" s="11" t="s">
        <v>2957</v>
      </c>
      <c r="B4787" s="11" t="s">
        <v>4731</v>
      </c>
      <c r="C4787" s="12" t="s">
        <v>4732</v>
      </c>
      <c r="D4787" s="24"/>
      <c r="E4787" s="69" t="str">
        <f>HYPERLINK("https://www.google.ru/search?q=536411-3161&amp;newwindow=1&amp;tbm=isch","Еще фото")</f>
        <v>Еще фото</v>
      </c>
      <c r="F4787" s="13"/>
      <c r="G4787" s="11" t="s">
        <v>2158</v>
      </c>
      <c r="H4787" s="11" t="s">
        <v>27</v>
      </c>
      <c r="I4787" s="14" t="s">
        <v>616</v>
      </c>
      <c r="J4787" s="14" t="s">
        <v>29</v>
      </c>
      <c r="K4787" s="15" t="s">
        <v>30</v>
      </c>
      <c r="L4787" s="14"/>
      <c r="M4787" s="14"/>
      <c r="N4787" s="14" t="s">
        <v>275</v>
      </c>
      <c r="O4787" s="14"/>
      <c r="P4787" s="15" t="s">
        <v>3253</v>
      </c>
      <c r="Q4787" s="16">
        <v>1599</v>
      </c>
      <c r="R4787" s="17">
        <v>45</v>
      </c>
      <c r="S4787" s="29">
        <v>1011.3674999999999</v>
      </c>
      <c r="T4787" s="19" t="s">
        <v>117</v>
      </c>
      <c r="U4787" s="20" t="s">
        <v>35</v>
      </c>
      <c r="V4787" s="21">
        <v>116</v>
      </c>
      <c r="W4787" s="21">
        <v>3</v>
      </c>
      <c r="X4787" s="22"/>
    </row>
    <row r="4788" spans="1:24" s="1" customFormat="1" ht="12.95" customHeight="1" x14ac:dyDescent="0.3">
      <c r="A4788" s="11" t="s">
        <v>3014</v>
      </c>
      <c r="B4788" s="11" t="s">
        <v>4733</v>
      </c>
      <c r="C4788" s="12" t="s">
        <v>4734</v>
      </c>
      <c r="D4788" s="83"/>
      <c r="E4788" s="69" t="str">
        <f t="shared" ref="E4788:E4795" si="250">HYPERLINK("https://www.google.ru/search?q=7200044A-0110&amp;newwindow=1&amp;tbm=isch","Еще фото")</f>
        <v>Еще фото</v>
      </c>
      <c r="F4788" s="13"/>
      <c r="G4788" s="11" t="s">
        <v>615</v>
      </c>
      <c r="H4788" s="11" t="s">
        <v>27</v>
      </c>
      <c r="I4788" s="14" t="s">
        <v>616</v>
      </c>
      <c r="J4788" s="14" t="s">
        <v>29</v>
      </c>
      <c r="K4788" s="15" t="s">
        <v>30</v>
      </c>
      <c r="L4788" s="86" t="s">
        <v>4735</v>
      </c>
      <c r="M4788" s="14"/>
      <c r="N4788" s="14" t="s">
        <v>89</v>
      </c>
      <c r="O4788" s="14"/>
      <c r="P4788" s="15" t="s">
        <v>76</v>
      </c>
      <c r="Q4788" s="16">
        <v>2399</v>
      </c>
      <c r="R4788" s="17">
        <v>45</v>
      </c>
      <c r="S4788" s="18">
        <v>1517.3674999999998</v>
      </c>
      <c r="T4788" s="19" t="s">
        <v>117</v>
      </c>
      <c r="U4788" s="26" t="s">
        <v>2961</v>
      </c>
      <c r="V4788" s="21">
        <v>98</v>
      </c>
      <c r="W4788" s="21">
        <v>2</v>
      </c>
      <c r="X4788" s="22"/>
    </row>
    <row r="4789" spans="1:24" s="1" customFormat="1" ht="12.95" customHeight="1" x14ac:dyDescent="0.3">
      <c r="A4789" s="23" t="s">
        <v>3014</v>
      </c>
      <c r="B4789" s="23" t="s">
        <v>4733</v>
      </c>
      <c r="C4789" s="12" t="s">
        <v>4734</v>
      </c>
      <c r="D4789" s="84"/>
      <c r="E4789" s="69" t="str">
        <f t="shared" si="250"/>
        <v>Еще фото</v>
      </c>
      <c r="F4789" s="13"/>
      <c r="G4789" s="23" t="s">
        <v>615</v>
      </c>
      <c r="H4789" s="23" t="s">
        <v>27</v>
      </c>
      <c r="I4789" s="23" t="s">
        <v>616</v>
      </c>
      <c r="J4789" s="14" t="s">
        <v>29</v>
      </c>
      <c r="K4789" s="15" t="s">
        <v>30</v>
      </c>
      <c r="L4789" s="87"/>
      <c r="M4789" s="14"/>
      <c r="N4789" s="14" t="s">
        <v>89</v>
      </c>
      <c r="O4789" s="14"/>
      <c r="P4789" s="15" t="s">
        <v>76</v>
      </c>
      <c r="Q4789" s="16">
        <v>2399</v>
      </c>
      <c r="R4789" s="17">
        <v>45</v>
      </c>
      <c r="S4789" s="18">
        <v>1517.3674999999998</v>
      </c>
      <c r="T4789" s="19" t="s">
        <v>117</v>
      </c>
      <c r="U4789" s="20" t="s">
        <v>35</v>
      </c>
      <c r="V4789" s="21">
        <v>116</v>
      </c>
      <c r="W4789" s="21">
        <v>2</v>
      </c>
      <c r="X4789" s="22"/>
    </row>
    <row r="4790" spans="1:24" s="1" customFormat="1" ht="12.95" customHeight="1" x14ac:dyDescent="0.3">
      <c r="A4790" s="23" t="s">
        <v>3014</v>
      </c>
      <c r="B4790" s="23" t="s">
        <v>4733</v>
      </c>
      <c r="C4790" s="12" t="s">
        <v>4734</v>
      </c>
      <c r="D4790" s="84"/>
      <c r="E4790" s="69" t="str">
        <f t="shared" si="250"/>
        <v>Еще фото</v>
      </c>
      <c r="F4790" s="13"/>
      <c r="G4790" s="23" t="s">
        <v>615</v>
      </c>
      <c r="H4790" s="23" t="s">
        <v>27</v>
      </c>
      <c r="I4790" s="23" t="s">
        <v>616</v>
      </c>
      <c r="J4790" s="14" t="s">
        <v>29</v>
      </c>
      <c r="K4790" s="15" t="s">
        <v>30</v>
      </c>
      <c r="L4790" s="87"/>
      <c r="M4790" s="14"/>
      <c r="N4790" s="14" t="s">
        <v>89</v>
      </c>
      <c r="O4790" s="14"/>
      <c r="P4790" s="15" t="s">
        <v>76</v>
      </c>
      <c r="Q4790" s="16">
        <v>2399</v>
      </c>
      <c r="R4790" s="17">
        <v>45</v>
      </c>
      <c r="S4790" s="18">
        <v>1517.3674999999998</v>
      </c>
      <c r="T4790" s="19" t="s">
        <v>117</v>
      </c>
      <c r="U4790" s="20" t="s">
        <v>37</v>
      </c>
      <c r="V4790" s="21">
        <v>128</v>
      </c>
      <c r="W4790" s="21">
        <v>3</v>
      </c>
      <c r="X4790" s="22"/>
    </row>
    <row r="4791" spans="1:24" s="1" customFormat="1" ht="12.95" customHeight="1" x14ac:dyDescent="0.3">
      <c r="A4791" s="23" t="s">
        <v>3014</v>
      </c>
      <c r="B4791" s="23" t="s">
        <v>4733</v>
      </c>
      <c r="C4791" s="12" t="s">
        <v>4734</v>
      </c>
      <c r="D4791" s="84"/>
      <c r="E4791" s="69" t="str">
        <f t="shared" si="250"/>
        <v>Еще фото</v>
      </c>
      <c r="F4791" s="13"/>
      <c r="G4791" s="23" t="s">
        <v>615</v>
      </c>
      <c r="H4791" s="23" t="s">
        <v>27</v>
      </c>
      <c r="I4791" s="23" t="s">
        <v>616</v>
      </c>
      <c r="J4791" s="14" t="s">
        <v>29</v>
      </c>
      <c r="K4791" s="15" t="s">
        <v>30</v>
      </c>
      <c r="L4791" s="87"/>
      <c r="M4791" s="14"/>
      <c r="N4791" s="14" t="s">
        <v>89</v>
      </c>
      <c r="O4791" s="14"/>
      <c r="P4791" s="15" t="s">
        <v>76</v>
      </c>
      <c r="Q4791" s="16">
        <v>2399</v>
      </c>
      <c r="R4791" s="17">
        <v>45</v>
      </c>
      <c r="S4791" s="18">
        <v>1517.3674999999998</v>
      </c>
      <c r="T4791" s="19" t="s">
        <v>117</v>
      </c>
      <c r="U4791" s="20" t="s">
        <v>91</v>
      </c>
      <c r="V4791" s="21">
        <v>134</v>
      </c>
      <c r="W4791" s="21">
        <v>3</v>
      </c>
      <c r="X4791" s="22"/>
    </row>
    <row r="4792" spans="1:24" s="1" customFormat="1" ht="12.95" customHeight="1" x14ac:dyDescent="0.3">
      <c r="A4792" s="23" t="s">
        <v>3014</v>
      </c>
      <c r="B4792" s="23" t="s">
        <v>4733</v>
      </c>
      <c r="C4792" s="12" t="s">
        <v>4734</v>
      </c>
      <c r="D4792" s="84"/>
      <c r="E4792" s="69" t="str">
        <f t="shared" si="250"/>
        <v>Еще фото</v>
      </c>
      <c r="F4792" s="13"/>
      <c r="G4792" s="23" t="s">
        <v>615</v>
      </c>
      <c r="H4792" s="23" t="s">
        <v>27</v>
      </c>
      <c r="I4792" s="23" t="s">
        <v>616</v>
      </c>
      <c r="J4792" s="14" t="s">
        <v>29</v>
      </c>
      <c r="K4792" s="15" t="s">
        <v>30</v>
      </c>
      <c r="L4792" s="87"/>
      <c r="M4792" s="14"/>
      <c r="N4792" s="14" t="s">
        <v>89</v>
      </c>
      <c r="O4792" s="14"/>
      <c r="P4792" s="15" t="s">
        <v>76</v>
      </c>
      <c r="Q4792" s="16">
        <v>2399</v>
      </c>
      <c r="R4792" s="17">
        <v>45</v>
      </c>
      <c r="S4792" s="18">
        <v>1517.3674999999998</v>
      </c>
      <c r="T4792" s="19" t="s">
        <v>117</v>
      </c>
      <c r="U4792" s="20" t="s">
        <v>290</v>
      </c>
      <c r="V4792" s="21">
        <v>140</v>
      </c>
      <c r="W4792" s="21">
        <v>1</v>
      </c>
      <c r="X4792" s="22"/>
    </row>
    <row r="4793" spans="1:24" s="1" customFormat="1" ht="12.95" customHeight="1" x14ac:dyDescent="0.3">
      <c r="A4793" s="23" t="s">
        <v>3014</v>
      </c>
      <c r="B4793" s="23" t="s">
        <v>4733</v>
      </c>
      <c r="C4793" s="12" t="s">
        <v>4734</v>
      </c>
      <c r="D4793" s="84"/>
      <c r="E4793" s="69" t="str">
        <f t="shared" si="250"/>
        <v>Еще фото</v>
      </c>
      <c r="F4793" s="13"/>
      <c r="G4793" s="23" t="s">
        <v>615</v>
      </c>
      <c r="H4793" s="23" t="s">
        <v>27</v>
      </c>
      <c r="I4793" s="23" t="s">
        <v>616</v>
      </c>
      <c r="J4793" s="14" t="s">
        <v>29</v>
      </c>
      <c r="K4793" s="15" t="s">
        <v>30</v>
      </c>
      <c r="L4793" s="87"/>
      <c r="M4793" s="14"/>
      <c r="N4793" s="14" t="s">
        <v>89</v>
      </c>
      <c r="O4793" s="14"/>
      <c r="P4793" s="15" t="s">
        <v>76</v>
      </c>
      <c r="Q4793" s="16">
        <v>2399</v>
      </c>
      <c r="R4793" s="17">
        <v>45</v>
      </c>
      <c r="S4793" s="18">
        <v>1517.3674999999998</v>
      </c>
      <c r="T4793" s="19" t="s">
        <v>117</v>
      </c>
      <c r="U4793" s="20" t="s">
        <v>2160</v>
      </c>
      <c r="V4793" s="21">
        <v>152</v>
      </c>
      <c r="W4793" s="21">
        <v>3</v>
      </c>
      <c r="X4793" s="22"/>
    </row>
    <row r="4794" spans="1:24" s="1" customFormat="1" ht="12.95" customHeight="1" x14ac:dyDescent="0.3">
      <c r="A4794" s="23" t="s">
        <v>3014</v>
      </c>
      <c r="B4794" s="23" t="s">
        <v>4733</v>
      </c>
      <c r="C4794" s="12" t="s">
        <v>4734</v>
      </c>
      <c r="D4794" s="84"/>
      <c r="E4794" s="69" t="str">
        <f t="shared" si="250"/>
        <v>Еще фото</v>
      </c>
      <c r="F4794" s="13"/>
      <c r="G4794" s="23" t="s">
        <v>615</v>
      </c>
      <c r="H4794" s="23" t="s">
        <v>27</v>
      </c>
      <c r="I4794" s="23" t="s">
        <v>616</v>
      </c>
      <c r="J4794" s="14" t="s">
        <v>29</v>
      </c>
      <c r="K4794" s="15" t="s">
        <v>30</v>
      </c>
      <c r="L4794" s="87"/>
      <c r="M4794" s="14"/>
      <c r="N4794" s="14" t="s">
        <v>89</v>
      </c>
      <c r="O4794" s="14"/>
      <c r="P4794" s="15" t="s">
        <v>76</v>
      </c>
      <c r="Q4794" s="16">
        <v>2399</v>
      </c>
      <c r="R4794" s="17">
        <v>45</v>
      </c>
      <c r="S4794" s="18">
        <v>1517.3674999999998</v>
      </c>
      <c r="T4794" s="19" t="s">
        <v>117</v>
      </c>
      <c r="U4794" s="20" t="s">
        <v>3088</v>
      </c>
      <c r="V4794" s="21">
        <v>158</v>
      </c>
      <c r="W4794" s="21">
        <v>1</v>
      </c>
      <c r="X4794" s="22"/>
    </row>
    <row r="4795" spans="1:24" s="1" customFormat="1" ht="18" customHeight="1" x14ac:dyDescent="0.3">
      <c r="A4795" s="23" t="s">
        <v>3014</v>
      </c>
      <c r="B4795" s="23" t="s">
        <v>4733</v>
      </c>
      <c r="C4795" s="12" t="s">
        <v>4734</v>
      </c>
      <c r="D4795" s="85"/>
      <c r="E4795" s="69" t="str">
        <f t="shared" si="250"/>
        <v>Еще фото</v>
      </c>
      <c r="F4795" s="13"/>
      <c r="G4795" s="23" t="s">
        <v>615</v>
      </c>
      <c r="H4795" s="23" t="s">
        <v>27</v>
      </c>
      <c r="I4795" s="23" t="s">
        <v>616</v>
      </c>
      <c r="J4795" s="14" t="s">
        <v>29</v>
      </c>
      <c r="K4795" s="15" t="s">
        <v>30</v>
      </c>
      <c r="L4795" s="88"/>
      <c r="M4795" s="14"/>
      <c r="N4795" s="14" t="s">
        <v>89</v>
      </c>
      <c r="O4795" s="14"/>
      <c r="P4795" s="15" t="s">
        <v>76</v>
      </c>
      <c r="Q4795" s="16">
        <v>2399</v>
      </c>
      <c r="R4795" s="17">
        <v>45</v>
      </c>
      <c r="S4795" s="18">
        <v>1517.3674999999998</v>
      </c>
      <c r="T4795" s="19" t="s">
        <v>117</v>
      </c>
      <c r="U4795" s="20" t="s">
        <v>2161</v>
      </c>
      <c r="V4795" s="21">
        <v>164</v>
      </c>
      <c r="W4795" s="21">
        <v>3</v>
      </c>
      <c r="X4795" s="22"/>
    </row>
    <row r="4796" spans="1:24" s="1" customFormat="1" ht="11.1" customHeight="1" x14ac:dyDescent="0.3">
      <c r="A4796" s="11" t="s">
        <v>3014</v>
      </c>
      <c r="B4796" s="11" t="s">
        <v>4733</v>
      </c>
      <c r="C4796" s="12" t="s">
        <v>4736</v>
      </c>
      <c r="D4796" s="83"/>
      <c r="E4796" s="69" t="str">
        <f t="shared" ref="E4796:E4806" si="251">HYPERLINK("https://www.google.ru/search?q=7200044A-0920&amp;newwindow=1&amp;tbm=isch","Еще фото")</f>
        <v>Еще фото</v>
      </c>
      <c r="F4796" s="13"/>
      <c r="G4796" s="11" t="s">
        <v>615</v>
      </c>
      <c r="H4796" s="11" t="s">
        <v>27</v>
      </c>
      <c r="I4796" s="14" t="s">
        <v>616</v>
      </c>
      <c r="J4796" s="14" t="s">
        <v>29</v>
      </c>
      <c r="K4796" s="15" t="s">
        <v>30</v>
      </c>
      <c r="L4796" s="86" t="s">
        <v>4735</v>
      </c>
      <c r="M4796" s="14"/>
      <c r="N4796" s="14" t="s">
        <v>326</v>
      </c>
      <c r="O4796" s="14"/>
      <c r="P4796" s="15" t="s">
        <v>76</v>
      </c>
      <c r="Q4796" s="16">
        <v>2399</v>
      </c>
      <c r="R4796" s="17">
        <v>45</v>
      </c>
      <c r="S4796" s="18">
        <v>1517.3674999999998</v>
      </c>
      <c r="T4796" s="19" t="s">
        <v>117</v>
      </c>
      <c r="U4796" s="20" t="s">
        <v>2977</v>
      </c>
      <c r="V4796" s="21">
        <v>92</v>
      </c>
      <c r="W4796" s="21">
        <v>2</v>
      </c>
      <c r="X4796" s="22"/>
    </row>
    <row r="4797" spans="1:24" s="1" customFormat="1" ht="11.1" customHeight="1" x14ac:dyDescent="0.3">
      <c r="A4797" s="23" t="s">
        <v>3014</v>
      </c>
      <c r="B4797" s="23" t="s">
        <v>4733</v>
      </c>
      <c r="C4797" s="12" t="s">
        <v>4736</v>
      </c>
      <c r="D4797" s="84"/>
      <c r="E4797" s="69" t="str">
        <f t="shared" si="251"/>
        <v>Еще фото</v>
      </c>
      <c r="F4797" s="13"/>
      <c r="G4797" s="23" t="s">
        <v>615</v>
      </c>
      <c r="H4797" s="23" t="s">
        <v>27</v>
      </c>
      <c r="I4797" s="23" t="s">
        <v>616</v>
      </c>
      <c r="J4797" s="14" t="s">
        <v>29</v>
      </c>
      <c r="K4797" s="15" t="s">
        <v>30</v>
      </c>
      <c r="L4797" s="87"/>
      <c r="M4797" s="14"/>
      <c r="N4797" s="14" t="s">
        <v>326</v>
      </c>
      <c r="O4797" s="14"/>
      <c r="P4797" s="15" t="s">
        <v>76</v>
      </c>
      <c r="Q4797" s="16">
        <v>2399</v>
      </c>
      <c r="R4797" s="17">
        <v>45</v>
      </c>
      <c r="S4797" s="18">
        <v>1517.3674999999998</v>
      </c>
      <c r="T4797" s="19" t="s">
        <v>117</v>
      </c>
      <c r="U4797" s="20" t="s">
        <v>2961</v>
      </c>
      <c r="V4797" s="21">
        <v>98</v>
      </c>
      <c r="W4797" s="21">
        <v>2</v>
      </c>
      <c r="X4797" s="22"/>
    </row>
    <row r="4798" spans="1:24" s="1" customFormat="1" ht="11.1" customHeight="1" x14ac:dyDescent="0.3">
      <c r="A4798" s="23" t="s">
        <v>3014</v>
      </c>
      <c r="B4798" s="23" t="s">
        <v>4733</v>
      </c>
      <c r="C4798" s="12" t="s">
        <v>4736</v>
      </c>
      <c r="D4798" s="84"/>
      <c r="E4798" s="69" t="str">
        <f t="shared" si="251"/>
        <v>Еще фото</v>
      </c>
      <c r="F4798" s="13"/>
      <c r="G4798" s="23" t="s">
        <v>615</v>
      </c>
      <c r="H4798" s="23" t="s">
        <v>27</v>
      </c>
      <c r="I4798" s="23" t="s">
        <v>616</v>
      </c>
      <c r="J4798" s="14" t="s">
        <v>29</v>
      </c>
      <c r="K4798" s="15" t="s">
        <v>30</v>
      </c>
      <c r="L4798" s="87"/>
      <c r="M4798" s="14"/>
      <c r="N4798" s="14" t="s">
        <v>326</v>
      </c>
      <c r="O4798" s="14"/>
      <c r="P4798" s="15" t="s">
        <v>76</v>
      </c>
      <c r="Q4798" s="16">
        <v>2399</v>
      </c>
      <c r="R4798" s="17">
        <v>45</v>
      </c>
      <c r="S4798" s="18">
        <v>1517.3674999999998</v>
      </c>
      <c r="T4798" s="19" t="s">
        <v>117</v>
      </c>
      <c r="U4798" s="20" t="s">
        <v>94</v>
      </c>
      <c r="V4798" s="21">
        <v>104</v>
      </c>
      <c r="W4798" s="21">
        <v>2</v>
      </c>
      <c r="X4798" s="22"/>
    </row>
    <row r="4799" spans="1:24" s="1" customFormat="1" ht="11.1" customHeight="1" x14ac:dyDescent="0.3">
      <c r="A4799" s="23" t="s">
        <v>3014</v>
      </c>
      <c r="B4799" s="23" t="s">
        <v>4733</v>
      </c>
      <c r="C4799" s="12" t="s">
        <v>4736</v>
      </c>
      <c r="D4799" s="84"/>
      <c r="E4799" s="69" t="str">
        <f t="shared" si="251"/>
        <v>Еще фото</v>
      </c>
      <c r="F4799" s="13"/>
      <c r="G4799" s="23" t="s">
        <v>615</v>
      </c>
      <c r="H4799" s="23" t="s">
        <v>27</v>
      </c>
      <c r="I4799" s="23" t="s">
        <v>616</v>
      </c>
      <c r="J4799" s="14" t="s">
        <v>29</v>
      </c>
      <c r="K4799" s="15" t="s">
        <v>30</v>
      </c>
      <c r="L4799" s="87"/>
      <c r="M4799" s="14"/>
      <c r="N4799" s="14" t="s">
        <v>326</v>
      </c>
      <c r="O4799" s="14"/>
      <c r="P4799" s="15" t="s">
        <v>76</v>
      </c>
      <c r="Q4799" s="16">
        <v>2399</v>
      </c>
      <c r="R4799" s="17">
        <v>45</v>
      </c>
      <c r="S4799" s="18">
        <v>1517.3674999999998</v>
      </c>
      <c r="T4799" s="19" t="s">
        <v>117</v>
      </c>
      <c r="U4799" s="20" t="s">
        <v>43</v>
      </c>
      <c r="V4799" s="21">
        <v>110</v>
      </c>
      <c r="W4799" s="21">
        <v>2</v>
      </c>
      <c r="X4799" s="22"/>
    </row>
    <row r="4800" spans="1:24" s="1" customFormat="1" ht="11.1" customHeight="1" x14ac:dyDescent="0.3">
      <c r="A4800" s="23" t="s">
        <v>3014</v>
      </c>
      <c r="B4800" s="23" t="s">
        <v>4733</v>
      </c>
      <c r="C4800" s="12" t="s">
        <v>4736</v>
      </c>
      <c r="D4800" s="84"/>
      <c r="E4800" s="69" t="str">
        <f t="shared" si="251"/>
        <v>Еще фото</v>
      </c>
      <c r="F4800" s="13"/>
      <c r="G4800" s="23" t="s">
        <v>615</v>
      </c>
      <c r="H4800" s="23" t="s">
        <v>27</v>
      </c>
      <c r="I4800" s="23" t="s">
        <v>616</v>
      </c>
      <c r="J4800" s="14" t="s">
        <v>29</v>
      </c>
      <c r="K4800" s="15" t="s">
        <v>30</v>
      </c>
      <c r="L4800" s="87"/>
      <c r="M4800" s="14"/>
      <c r="N4800" s="14" t="s">
        <v>326</v>
      </c>
      <c r="O4800" s="14"/>
      <c r="P4800" s="15" t="s">
        <v>76</v>
      </c>
      <c r="Q4800" s="16">
        <v>2399</v>
      </c>
      <c r="R4800" s="17">
        <v>45</v>
      </c>
      <c r="S4800" s="18">
        <v>1517.3674999999998</v>
      </c>
      <c r="T4800" s="19" t="s">
        <v>117</v>
      </c>
      <c r="U4800" s="20" t="s">
        <v>35</v>
      </c>
      <c r="V4800" s="21">
        <v>116</v>
      </c>
      <c r="W4800" s="21">
        <v>2</v>
      </c>
      <c r="X4800" s="22"/>
    </row>
    <row r="4801" spans="1:24" s="1" customFormat="1" ht="11.1" customHeight="1" x14ac:dyDescent="0.3">
      <c r="A4801" s="23" t="s">
        <v>3014</v>
      </c>
      <c r="B4801" s="23" t="s">
        <v>4733</v>
      </c>
      <c r="C4801" s="12" t="s">
        <v>4736</v>
      </c>
      <c r="D4801" s="84"/>
      <c r="E4801" s="69" t="str">
        <f t="shared" si="251"/>
        <v>Еще фото</v>
      </c>
      <c r="F4801" s="13"/>
      <c r="G4801" s="23" t="s">
        <v>615</v>
      </c>
      <c r="H4801" s="23" t="s">
        <v>27</v>
      </c>
      <c r="I4801" s="23" t="s">
        <v>616</v>
      </c>
      <c r="J4801" s="14" t="s">
        <v>29</v>
      </c>
      <c r="K4801" s="15" t="s">
        <v>30</v>
      </c>
      <c r="L4801" s="87"/>
      <c r="M4801" s="14"/>
      <c r="N4801" s="14" t="s">
        <v>326</v>
      </c>
      <c r="O4801" s="14"/>
      <c r="P4801" s="15" t="s">
        <v>76</v>
      </c>
      <c r="Q4801" s="16">
        <v>2399</v>
      </c>
      <c r="R4801" s="17">
        <v>45</v>
      </c>
      <c r="S4801" s="18">
        <v>1517.3674999999998</v>
      </c>
      <c r="T4801" s="19" t="s">
        <v>117</v>
      </c>
      <c r="U4801" s="20" t="s">
        <v>36</v>
      </c>
      <c r="V4801" s="21">
        <v>122</v>
      </c>
      <c r="W4801" s="21">
        <v>2</v>
      </c>
      <c r="X4801" s="22"/>
    </row>
    <row r="4802" spans="1:24" s="1" customFormat="1" ht="11.1" customHeight="1" x14ac:dyDescent="0.3">
      <c r="A4802" s="23" t="s">
        <v>3014</v>
      </c>
      <c r="B4802" s="23" t="s">
        <v>4733</v>
      </c>
      <c r="C4802" s="12" t="s">
        <v>4736</v>
      </c>
      <c r="D4802" s="84"/>
      <c r="E4802" s="69" t="str">
        <f t="shared" si="251"/>
        <v>Еще фото</v>
      </c>
      <c r="F4802" s="13"/>
      <c r="G4802" s="23" t="s">
        <v>615</v>
      </c>
      <c r="H4802" s="23" t="s">
        <v>27</v>
      </c>
      <c r="I4802" s="23" t="s">
        <v>616</v>
      </c>
      <c r="J4802" s="14" t="s">
        <v>29</v>
      </c>
      <c r="K4802" s="15" t="s">
        <v>30</v>
      </c>
      <c r="L4802" s="87"/>
      <c r="M4802" s="14"/>
      <c r="N4802" s="14" t="s">
        <v>326</v>
      </c>
      <c r="O4802" s="14"/>
      <c r="P4802" s="15" t="s">
        <v>76</v>
      </c>
      <c r="Q4802" s="16">
        <v>2399</v>
      </c>
      <c r="R4802" s="17">
        <v>45</v>
      </c>
      <c r="S4802" s="18">
        <v>1517.3674999999998</v>
      </c>
      <c r="T4802" s="19" t="s">
        <v>117</v>
      </c>
      <c r="U4802" s="20" t="s">
        <v>37</v>
      </c>
      <c r="V4802" s="21">
        <v>128</v>
      </c>
      <c r="W4802" s="21">
        <v>4</v>
      </c>
      <c r="X4802" s="22"/>
    </row>
    <row r="4803" spans="1:24" s="1" customFormat="1" ht="11.1" customHeight="1" x14ac:dyDescent="0.3">
      <c r="A4803" s="23" t="s">
        <v>3014</v>
      </c>
      <c r="B4803" s="23" t="s">
        <v>4733</v>
      </c>
      <c r="C4803" s="12" t="s">
        <v>4736</v>
      </c>
      <c r="D4803" s="84"/>
      <c r="E4803" s="69" t="str">
        <f t="shared" si="251"/>
        <v>Еще фото</v>
      </c>
      <c r="F4803" s="13"/>
      <c r="G4803" s="23" t="s">
        <v>615</v>
      </c>
      <c r="H4803" s="23" t="s">
        <v>27</v>
      </c>
      <c r="I4803" s="23" t="s">
        <v>616</v>
      </c>
      <c r="J4803" s="14" t="s">
        <v>29</v>
      </c>
      <c r="K4803" s="15" t="s">
        <v>30</v>
      </c>
      <c r="L4803" s="87"/>
      <c r="M4803" s="14"/>
      <c r="N4803" s="14" t="s">
        <v>326</v>
      </c>
      <c r="O4803" s="14"/>
      <c r="P4803" s="15" t="s">
        <v>76</v>
      </c>
      <c r="Q4803" s="16">
        <v>2399</v>
      </c>
      <c r="R4803" s="17">
        <v>45</v>
      </c>
      <c r="S4803" s="18">
        <v>1517.3674999999998</v>
      </c>
      <c r="T4803" s="19" t="s">
        <v>117</v>
      </c>
      <c r="U4803" s="20" t="s">
        <v>91</v>
      </c>
      <c r="V4803" s="21">
        <v>134</v>
      </c>
      <c r="W4803" s="21">
        <v>3</v>
      </c>
      <c r="X4803" s="22"/>
    </row>
    <row r="4804" spans="1:24" s="1" customFormat="1" ht="11.1" customHeight="1" x14ac:dyDescent="0.3">
      <c r="A4804" s="23" t="s">
        <v>3014</v>
      </c>
      <c r="B4804" s="23" t="s">
        <v>4733</v>
      </c>
      <c r="C4804" s="12" t="s">
        <v>4736</v>
      </c>
      <c r="D4804" s="84"/>
      <c r="E4804" s="69" t="str">
        <f t="shared" si="251"/>
        <v>Еще фото</v>
      </c>
      <c r="F4804" s="13"/>
      <c r="G4804" s="23" t="s">
        <v>615</v>
      </c>
      <c r="H4804" s="23" t="s">
        <v>27</v>
      </c>
      <c r="I4804" s="23" t="s">
        <v>616</v>
      </c>
      <c r="J4804" s="14" t="s">
        <v>29</v>
      </c>
      <c r="K4804" s="15" t="s">
        <v>30</v>
      </c>
      <c r="L4804" s="87"/>
      <c r="M4804" s="14"/>
      <c r="N4804" s="14" t="s">
        <v>326</v>
      </c>
      <c r="O4804" s="14"/>
      <c r="P4804" s="15" t="s">
        <v>76</v>
      </c>
      <c r="Q4804" s="16">
        <v>2399</v>
      </c>
      <c r="R4804" s="17">
        <v>45</v>
      </c>
      <c r="S4804" s="18">
        <v>1517.3674999999998</v>
      </c>
      <c r="T4804" s="19" t="s">
        <v>117</v>
      </c>
      <c r="U4804" s="20" t="s">
        <v>290</v>
      </c>
      <c r="V4804" s="21">
        <v>140</v>
      </c>
      <c r="W4804" s="21">
        <v>2</v>
      </c>
      <c r="X4804" s="22"/>
    </row>
    <row r="4805" spans="1:24" s="1" customFormat="1" ht="11.1" customHeight="1" x14ac:dyDescent="0.3">
      <c r="A4805" s="14" t="s">
        <v>3014</v>
      </c>
      <c r="B4805" s="14" t="s">
        <v>4733</v>
      </c>
      <c r="C4805" s="12" t="s">
        <v>4736</v>
      </c>
      <c r="D4805" s="84"/>
      <c r="E4805" s="69" t="str">
        <f t="shared" si="251"/>
        <v>Еще фото</v>
      </c>
      <c r="F4805" s="36"/>
      <c r="G4805" s="14" t="s">
        <v>615</v>
      </c>
      <c r="H4805" s="14" t="s">
        <v>27</v>
      </c>
      <c r="I4805" s="14" t="s">
        <v>616</v>
      </c>
      <c r="J4805" s="14" t="s">
        <v>29</v>
      </c>
      <c r="K4805" s="14" t="s">
        <v>30</v>
      </c>
      <c r="L4805" s="87"/>
      <c r="M4805" s="14"/>
      <c r="N4805" s="14" t="s">
        <v>326</v>
      </c>
      <c r="O4805" s="14"/>
      <c r="P4805" s="14" t="s">
        <v>76</v>
      </c>
      <c r="Q4805" s="33">
        <v>2399</v>
      </c>
      <c r="R4805" s="34">
        <v>45</v>
      </c>
      <c r="S4805" s="35">
        <v>1517.3674999999998</v>
      </c>
      <c r="T4805" s="19" t="s">
        <v>117</v>
      </c>
      <c r="U4805" s="20" t="s">
        <v>2993</v>
      </c>
      <c r="V4805" s="21">
        <v>146</v>
      </c>
      <c r="W4805" s="21">
        <v>2</v>
      </c>
      <c r="X4805" s="22"/>
    </row>
    <row r="4806" spans="1:24" s="1" customFormat="1" ht="11.1" customHeight="1" x14ac:dyDescent="0.3">
      <c r="A4806" s="14" t="s">
        <v>3014</v>
      </c>
      <c r="B4806" s="14" t="s">
        <v>4733</v>
      </c>
      <c r="C4806" s="12" t="s">
        <v>4736</v>
      </c>
      <c r="D4806" s="85"/>
      <c r="E4806" s="69" t="str">
        <f t="shared" si="251"/>
        <v>Еще фото</v>
      </c>
      <c r="F4806" s="36"/>
      <c r="G4806" s="14" t="s">
        <v>615</v>
      </c>
      <c r="H4806" s="14" t="s">
        <v>27</v>
      </c>
      <c r="I4806" s="14" t="s">
        <v>616</v>
      </c>
      <c r="J4806" s="14" t="s">
        <v>29</v>
      </c>
      <c r="K4806" s="14" t="s">
        <v>30</v>
      </c>
      <c r="L4806" s="88"/>
      <c r="M4806" s="14"/>
      <c r="N4806" s="14" t="s">
        <v>326</v>
      </c>
      <c r="O4806" s="14"/>
      <c r="P4806" s="14" t="s">
        <v>76</v>
      </c>
      <c r="Q4806" s="33">
        <v>2399</v>
      </c>
      <c r="R4806" s="34">
        <v>45</v>
      </c>
      <c r="S4806" s="35">
        <v>1517.3674999999998</v>
      </c>
      <c r="T4806" s="19" t="s">
        <v>117</v>
      </c>
      <c r="U4806" s="20" t="s">
        <v>2160</v>
      </c>
      <c r="V4806" s="21">
        <v>152</v>
      </c>
      <c r="W4806" s="21">
        <v>3</v>
      </c>
      <c r="X4806" s="22"/>
    </row>
    <row r="4807" spans="1:24" s="1" customFormat="1" ht="35.1" customHeight="1" x14ac:dyDescent="0.3">
      <c r="A4807" s="11" t="s">
        <v>3129</v>
      </c>
      <c r="B4807" s="11" t="s">
        <v>4737</v>
      </c>
      <c r="C4807" s="12" t="s">
        <v>4738</v>
      </c>
      <c r="D4807" s="83"/>
      <c r="E4807" s="69" t="str">
        <f>HYPERLINK("https://www.google.ru/search?q=720185-3040&amp;newwindow=1&amp;tbm=isch","Еще фото")</f>
        <v>Еще фото</v>
      </c>
      <c r="F4807" s="13"/>
      <c r="G4807" s="11" t="s">
        <v>615</v>
      </c>
      <c r="H4807" s="11" t="s">
        <v>27</v>
      </c>
      <c r="I4807" s="14" t="s">
        <v>616</v>
      </c>
      <c r="J4807" s="14" t="s">
        <v>29</v>
      </c>
      <c r="K4807" s="15" t="s">
        <v>30</v>
      </c>
      <c r="L4807" s="86" t="s">
        <v>4739</v>
      </c>
      <c r="M4807" s="14"/>
      <c r="N4807" s="14" t="s">
        <v>636</v>
      </c>
      <c r="O4807" s="14"/>
      <c r="P4807" s="15" t="s">
        <v>4740</v>
      </c>
      <c r="Q4807" s="16">
        <v>2099</v>
      </c>
      <c r="R4807" s="17">
        <v>45</v>
      </c>
      <c r="S4807" s="18">
        <v>1327.6174999999998</v>
      </c>
      <c r="T4807" s="19" t="s">
        <v>117</v>
      </c>
      <c r="U4807" s="20" t="s">
        <v>2977</v>
      </c>
      <c r="V4807" s="21">
        <v>92</v>
      </c>
      <c r="W4807" s="21">
        <v>1</v>
      </c>
      <c r="X4807" s="22"/>
    </row>
    <row r="4808" spans="1:24" s="1" customFormat="1" ht="35.1" customHeight="1" x14ac:dyDescent="0.3">
      <c r="A4808" s="23" t="s">
        <v>3129</v>
      </c>
      <c r="B4808" s="23" t="s">
        <v>4737</v>
      </c>
      <c r="C4808" s="12" t="s">
        <v>4738</v>
      </c>
      <c r="D4808" s="84"/>
      <c r="E4808" s="69" t="str">
        <f>HYPERLINK("https://www.google.ru/search?q=720185-3040&amp;newwindow=1&amp;tbm=isch","Еще фото")</f>
        <v>Еще фото</v>
      </c>
      <c r="F4808" s="13"/>
      <c r="G4808" s="23" t="s">
        <v>615</v>
      </c>
      <c r="H4808" s="23" t="s">
        <v>27</v>
      </c>
      <c r="I4808" s="23" t="s">
        <v>616</v>
      </c>
      <c r="J4808" s="14" t="s">
        <v>29</v>
      </c>
      <c r="K4808" s="15" t="s">
        <v>30</v>
      </c>
      <c r="L4808" s="87"/>
      <c r="M4808" s="14"/>
      <c r="N4808" s="14" t="s">
        <v>636</v>
      </c>
      <c r="O4808" s="14"/>
      <c r="P4808" s="15" t="s">
        <v>4740</v>
      </c>
      <c r="Q4808" s="16">
        <v>2099</v>
      </c>
      <c r="R4808" s="17">
        <v>45</v>
      </c>
      <c r="S4808" s="18">
        <v>1327.6174999999998</v>
      </c>
      <c r="T4808" s="19" t="s">
        <v>117</v>
      </c>
      <c r="U4808" s="20" t="s">
        <v>2961</v>
      </c>
      <c r="V4808" s="21">
        <v>98</v>
      </c>
      <c r="W4808" s="21">
        <v>2</v>
      </c>
      <c r="X4808" s="22"/>
    </row>
    <row r="4809" spans="1:24" s="1" customFormat="1" ht="36.950000000000003" customHeight="1" x14ac:dyDescent="0.3">
      <c r="A4809" s="23" t="s">
        <v>3129</v>
      </c>
      <c r="B4809" s="23" t="s">
        <v>4737</v>
      </c>
      <c r="C4809" s="12" t="s">
        <v>4738</v>
      </c>
      <c r="D4809" s="85"/>
      <c r="E4809" s="69" t="str">
        <f>HYPERLINK("https://www.google.ru/search?q=720185-3040&amp;newwindow=1&amp;tbm=isch","Еще фото")</f>
        <v>Еще фото</v>
      </c>
      <c r="F4809" s="13"/>
      <c r="G4809" s="23" t="s">
        <v>615</v>
      </c>
      <c r="H4809" s="23" t="s">
        <v>27</v>
      </c>
      <c r="I4809" s="23" t="s">
        <v>616</v>
      </c>
      <c r="J4809" s="14" t="s">
        <v>29</v>
      </c>
      <c r="K4809" s="15" t="s">
        <v>30</v>
      </c>
      <c r="L4809" s="88"/>
      <c r="M4809" s="14"/>
      <c r="N4809" s="14" t="s">
        <v>636</v>
      </c>
      <c r="O4809" s="14"/>
      <c r="P4809" s="15" t="s">
        <v>4740</v>
      </c>
      <c r="Q4809" s="16">
        <v>2099</v>
      </c>
      <c r="R4809" s="17">
        <v>45</v>
      </c>
      <c r="S4809" s="18">
        <v>1327.6174999999998</v>
      </c>
      <c r="T4809" s="19" t="s">
        <v>117</v>
      </c>
      <c r="U4809" s="20" t="s">
        <v>94</v>
      </c>
      <c r="V4809" s="21">
        <v>104</v>
      </c>
      <c r="W4809" s="21">
        <v>1</v>
      </c>
      <c r="X4809" s="22"/>
    </row>
    <row r="4810" spans="1:24" s="1" customFormat="1" ht="51.95" customHeight="1" x14ac:dyDescent="0.3">
      <c r="A4810" s="11" t="s">
        <v>3129</v>
      </c>
      <c r="B4810" s="11" t="s">
        <v>4737</v>
      </c>
      <c r="C4810" s="12" t="s">
        <v>4741</v>
      </c>
      <c r="D4810" s="89"/>
      <c r="E4810" s="69" t="str">
        <f>HYPERLINK("https://www.google.ru/search?q=720185-3400&amp;newwindow=1&amp;tbm=isch","Еще фото")</f>
        <v>Еще фото</v>
      </c>
      <c r="F4810" s="13"/>
      <c r="G4810" s="11" t="s">
        <v>615</v>
      </c>
      <c r="H4810" s="11" t="s">
        <v>27</v>
      </c>
      <c r="I4810" s="14" t="s">
        <v>616</v>
      </c>
      <c r="J4810" s="14" t="s">
        <v>29</v>
      </c>
      <c r="K4810" s="15" t="s">
        <v>30</v>
      </c>
      <c r="L4810" s="86" t="s">
        <v>4739</v>
      </c>
      <c r="M4810" s="14"/>
      <c r="N4810" s="14" t="s">
        <v>313</v>
      </c>
      <c r="O4810" s="14"/>
      <c r="P4810" s="15" t="s">
        <v>4740</v>
      </c>
      <c r="Q4810" s="16">
        <v>2099</v>
      </c>
      <c r="R4810" s="17">
        <v>45</v>
      </c>
      <c r="S4810" s="18">
        <v>1327.6174999999998</v>
      </c>
      <c r="T4810" s="19" t="s">
        <v>117</v>
      </c>
      <c r="U4810" s="20" t="s">
        <v>2977</v>
      </c>
      <c r="V4810" s="21">
        <v>92</v>
      </c>
      <c r="W4810" s="21">
        <v>2</v>
      </c>
      <c r="X4810" s="22"/>
    </row>
    <row r="4811" spans="1:24" s="1" customFormat="1" ht="60.95" customHeight="1" x14ac:dyDescent="0.3">
      <c r="A4811" s="23" t="s">
        <v>3129</v>
      </c>
      <c r="B4811" s="23" t="s">
        <v>4737</v>
      </c>
      <c r="C4811" s="12" t="s">
        <v>4741</v>
      </c>
      <c r="D4811" s="90"/>
      <c r="E4811" s="69" t="str">
        <f>HYPERLINK("https://www.google.ru/search?q=720185-3400&amp;newwindow=1&amp;tbm=isch","Еще фото")</f>
        <v>Еще фото</v>
      </c>
      <c r="F4811" s="13"/>
      <c r="G4811" s="23" t="s">
        <v>615</v>
      </c>
      <c r="H4811" s="23" t="s">
        <v>27</v>
      </c>
      <c r="I4811" s="23" t="s">
        <v>616</v>
      </c>
      <c r="J4811" s="14" t="s">
        <v>29</v>
      </c>
      <c r="K4811" s="15" t="s">
        <v>30</v>
      </c>
      <c r="L4811" s="88"/>
      <c r="M4811" s="14"/>
      <c r="N4811" s="14" t="s">
        <v>313</v>
      </c>
      <c r="O4811" s="14"/>
      <c r="P4811" s="15" t="s">
        <v>4740</v>
      </c>
      <c r="Q4811" s="16">
        <v>2099</v>
      </c>
      <c r="R4811" s="17">
        <v>45</v>
      </c>
      <c r="S4811" s="18">
        <v>1327.6174999999998</v>
      </c>
      <c r="T4811" s="19" t="s">
        <v>117</v>
      </c>
      <c r="U4811" s="20" t="s">
        <v>2961</v>
      </c>
      <c r="V4811" s="21">
        <v>98</v>
      </c>
      <c r="W4811" s="21">
        <v>1</v>
      </c>
      <c r="X4811" s="22"/>
    </row>
    <row r="4812" spans="1:24" s="1" customFormat="1" ht="108" customHeight="1" x14ac:dyDescent="0.3">
      <c r="A4812" s="11" t="s">
        <v>3129</v>
      </c>
      <c r="B4812" s="11" t="s">
        <v>4737</v>
      </c>
      <c r="C4812" s="12" t="s">
        <v>4742</v>
      </c>
      <c r="D4812" s="24"/>
      <c r="E4812" s="69" t="str">
        <f>HYPERLINK("https://www.google.ru/search?q=720185-4196&amp;newwindow=1&amp;tbm=isch","Еще фото")</f>
        <v>Еще фото</v>
      </c>
      <c r="F4812" s="13"/>
      <c r="G4812" s="11" t="s">
        <v>615</v>
      </c>
      <c r="H4812" s="11" t="s">
        <v>27</v>
      </c>
      <c r="I4812" s="14" t="s">
        <v>616</v>
      </c>
      <c r="J4812" s="14" t="s">
        <v>29</v>
      </c>
      <c r="K4812" s="15" t="s">
        <v>30</v>
      </c>
      <c r="L4812" s="14" t="s">
        <v>4739</v>
      </c>
      <c r="M4812" s="14"/>
      <c r="N4812" s="14" t="s">
        <v>275</v>
      </c>
      <c r="O4812" s="14"/>
      <c r="P4812" s="15" t="s">
        <v>4740</v>
      </c>
      <c r="Q4812" s="16">
        <v>2099</v>
      </c>
      <c r="R4812" s="17">
        <v>45</v>
      </c>
      <c r="S4812" s="18">
        <v>1327.6174999999998</v>
      </c>
      <c r="T4812" s="19" t="s">
        <v>117</v>
      </c>
      <c r="U4812" s="20" t="s">
        <v>2977</v>
      </c>
      <c r="V4812" s="21">
        <v>92</v>
      </c>
      <c r="W4812" s="21">
        <v>1</v>
      </c>
      <c r="X4812" s="22"/>
    </row>
    <row r="4813" spans="1:24" s="1" customFormat="1" ht="35.1" customHeight="1" x14ac:dyDescent="0.3">
      <c r="A4813" s="11" t="s">
        <v>3014</v>
      </c>
      <c r="B4813" s="11" t="s">
        <v>4743</v>
      </c>
      <c r="C4813" s="12" t="s">
        <v>4744</v>
      </c>
      <c r="D4813" s="83"/>
      <c r="E4813" s="69" t="str">
        <f>HYPERLINK("https://www.google.ru/search?q=72205202-0100&amp;newwindow=1&amp;tbm=isch","Еще фото")</f>
        <v>Еще фото</v>
      </c>
      <c r="F4813" s="13"/>
      <c r="G4813" s="11" t="s">
        <v>654</v>
      </c>
      <c r="H4813" s="11" t="s">
        <v>27</v>
      </c>
      <c r="I4813" s="14" t="s">
        <v>616</v>
      </c>
      <c r="J4813" s="14" t="s">
        <v>29</v>
      </c>
      <c r="K4813" s="15" t="s">
        <v>30</v>
      </c>
      <c r="L4813" s="86"/>
      <c r="M4813" s="14"/>
      <c r="N4813" s="14" t="s">
        <v>89</v>
      </c>
      <c r="O4813" s="14"/>
      <c r="P4813" s="15" t="s">
        <v>74</v>
      </c>
      <c r="Q4813" s="16">
        <v>1999</v>
      </c>
      <c r="R4813" s="17">
        <v>45</v>
      </c>
      <c r="S4813" s="18">
        <v>1264.3675000000001</v>
      </c>
      <c r="T4813" s="19" t="s">
        <v>117</v>
      </c>
      <c r="U4813" s="20" t="s">
        <v>43</v>
      </c>
      <c r="V4813" s="21">
        <v>110</v>
      </c>
      <c r="W4813" s="21">
        <v>6</v>
      </c>
      <c r="X4813" s="22"/>
    </row>
    <row r="4814" spans="1:24" s="1" customFormat="1" ht="35.1" customHeight="1" x14ac:dyDescent="0.3">
      <c r="A4814" s="23" t="s">
        <v>3014</v>
      </c>
      <c r="B4814" s="23" t="s">
        <v>4743</v>
      </c>
      <c r="C4814" s="12" t="s">
        <v>4744</v>
      </c>
      <c r="D4814" s="84"/>
      <c r="E4814" s="69" t="str">
        <f>HYPERLINK("https://www.google.ru/search?q=72205202-0100&amp;newwindow=1&amp;tbm=isch","Еще фото")</f>
        <v>Еще фото</v>
      </c>
      <c r="F4814" s="13"/>
      <c r="G4814" s="23" t="s">
        <v>654</v>
      </c>
      <c r="H4814" s="23" t="s">
        <v>27</v>
      </c>
      <c r="I4814" s="23" t="s">
        <v>616</v>
      </c>
      <c r="J4814" s="14" t="s">
        <v>29</v>
      </c>
      <c r="K4814" s="15" t="s">
        <v>30</v>
      </c>
      <c r="L4814" s="87"/>
      <c r="M4814" s="14"/>
      <c r="N4814" s="14" t="s">
        <v>89</v>
      </c>
      <c r="O4814" s="14"/>
      <c r="P4814" s="15" t="s">
        <v>74</v>
      </c>
      <c r="Q4814" s="16">
        <v>1999</v>
      </c>
      <c r="R4814" s="17">
        <v>45</v>
      </c>
      <c r="S4814" s="18">
        <v>1264.3675000000001</v>
      </c>
      <c r="T4814" s="19" t="s">
        <v>117</v>
      </c>
      <c r="U4814" s="20" t="s">
        <v>35</v>
      </c>
      <c r="V4814" s="21">
        <v>116</v>
      </c>
      <c r="W4814" s="21">
        <v>6</v>
      </c>
      <c r="X4814" s="22"/>
    </row>
    <row r="4815" spans="1:24" s="1" customFormat="1" ht="36.950000000000003" customHeight="1" x14ac:dyDescent="0.3">
      <c r="A4815" s="23" t="s">
        <v>3014</v>
      </c>
      <c r="B4815" s="23" t="s">
        <v>4743</v>
      </c>
      <c r="C4815" s="12" t="s">
        <v>4744</v>
      </c>
      <c r="D4815" s="85"/>
      <c r="E4815" s="69" t="str">
        <f>HYPERLINK("https://www.google.ru/search?q=72205202-0100&amp;newwindow=1&amp;tbm=isch","Еще фото")</f>
        <v>Еще фото</v>
      </c>
      <c r="F4815" s="13"/>
      <c r="G4815" s="23" t="s">
        <v>654</v>
      </c>
      <c r="H4815" s="23" t="s">
        <v>27</v>
      </c>
      <c r="I4815" s="23" t="s">
        <v>616</v>
      </c>
      <c r="J4815" s="14" t="s">
        <v>29</v>
      </c>
      <c r="K4815" s="15" t="s">
        <v>30</v>
      </c>
      <c r="L4815" s="88"/>
      <c r="M4815" s="14"/>
      <c r="N4815" s="14" t="s">
        <v>89</v>
      </c>
      <c r="O4815" s="14"/>
      <c r="P4815" s="15" t="s">
        <v>74</v>
      </c>
      <c r="Q4815" s="16">
        <v>1999</v>
      </c>
      <c r="R4815" s="17">
        <v>45</v>
      </c>
      <c r="S4815" s="18">
        <v>1264.3675000000001</v>
      </c>
      <c r="T4815" s="19" t="s">
        <v>117</v>
      </c>
      <c r="U4815" s="20" t="s">
        <v>36</v>
      </c>
      <c r="V4815" s="21">
        <v>122</v>
      </c>
      <c r="W4815" s="21">
        <v>6</v>
      </c>
      <c r="X4815" s="22"/>
    </row>
    <row r="4816" spans="1:24" s="1" customFormat="1" ht="21" customHeight="1" x14ac:dyDescent="0.3">
      <c r="A4816" s="11" t="s">
        <v>3014</v>
      </c>
      <c r="B4816" s="11" t="s">
        <v>4743</v>
      </c>
      <c r="C4816" s="27" t="s">
        <v>4745</v>
      </c>
      <c r="D4816" s="83"/>
      <c r="E4816" s="69" t="str">
        <f>HYPERLINK("https://www.google.ru/search?q=72205202-0101&amp;newwindow=1&amp;tbm=isch","Еще фото")</f>
        <v>Еще фото</v>
      </c>
      <c r="F4816" s="13"/>
      <c r="G4816" s="11" t="s">
        <v>654</v>
      </c>
      <c r="H4816" s="11" t="s">
        <v>27</v>
      </c>
      <c r="I4816" s="14" t="s">
        <v>616</v>
      </c>
      <c r="J4816" s="14" t="s">
        <v>29</v>
      </c>
      <c r="K4816" s="15" t="s">
        <v>30</v>
      </c>
      <c r="L4816" s="86"/>
      <c r="M4816" s="14"/>
      <c r="N4816" s="14" t="s">
        <v>89</v>
      </c>
      <c r="O4816" s="14"/>
      <c r="P4816" s="15" t="s">
        <v>74</v>
      </c>
      <c r="Q4816" s="16">
        <v>1999</v>
      </c>
      <c r="R4816" s="17">
        <v>45</v>
      </c>
      <c r="S4816" s="18">
        <v>1264.3675000000001</v>
      </c>
      <c r="T4816" s="19" t="s">
        <v>117</v>
      </c>
      <c r="U4816" s="20" t="s">
        <v>94</v>
      </c>
      <c r="V4816" s="21">
        <v>104</v>
      </c>
      <c r="W4816" s="21">
        <v>5</v>
      </c>
      <c r="X4816" s="22"/>
    </row>
    <row r="4817" spans="1:24" s="1" customFormat="1" ht="21" customHeight="1" x14ac:dyDescent="0.3">
      <c r="A4817" s="23" t="s">
        <v>3014</v>
      </c>
      <c r="B4817" s="23" t="s">
        <v>4743</v>
      </c>
      <c r="C4817" s="28" t="s">
        <v>4745</v>
      </c>
      <c r="D4817" s="84"/>
      <c r="E4817" s="69" t="str">
        <f>HYPERLINK("https://www.google.ru/search?q=72205202-0101&amp;newwindow=1&amp;tbm=isch","Еще фото")</f>
        <v>Еще фото</v>
      </c>
      <c r="F4817" s="13"/>
      <c r="G4817" s="23" t="s">
        <v>654</v>
      </c>
      <c r="H4817" s="23" t="s">
        <v>27</v>
      </c>
      <c r="I4817" s="23" t="s">
        <v>616</v>
      </c>
      <c r="J4817" s="14" t="s">
        <v>29</v>
      </c>
      <c r="K4817" s="15" t="s">
        <v>30</v>
      </c>
      <c r="L4817" s="87"/>
      <c r="M4817" s="14"/>
      <c r="N4817" s="14" t="s">
        <v>89</v>
      </c>
      <c r="O4817" s="14"/>
      <c r="P4817" s="15" t="s">
        <v>74</v>
      </c>
      <c r="Q4817" s="16">
        <v>1999</v>
      </c>
      <c r="R4817" s="17">
        <v>45</v>
      </c>
      <c r="S4817" s="18">
        <v>1264.3675000000001</v>
      </c>
      <c r="T4817" s="19" t="s">
        <v>117</v>
      </c>
      <c r="U4817" s="20" t="s">
        <v>43</v>
      </c>
      <c r="V4817" s="21">
        <v>110</v>
      </c>
      <c r="W4817" s="21">
        <v>5</v>
      </c>
      <c r="X4817" s="22"/>
    </row>
    <row r="4818" spans="1:24" s="1" customFormat="1" ht="21" customHeight="1" x14ac:dyDescent="0.3">
      <c r="A4818" s="23" t="s">
        <v>3014</v>
      </c>
      <c r="B4818" s="23" t="s">
        <v>4743</v>
      </c>
      <c r="C4818" s="28" t="s">
        <v>4745</v>
      </c>
      <c r="D4818" s="84"/>
      <c r="E4818" s="69" t="str">
        <f>HYPERLINK("https://www.google.ru/search?q=72205202-0101&amp;newwindow=1&amp;tbm=isch","Еще фото")</f>
        <v>Еще фото</v>
      </c>
      <c r="F4818" s="13"/>
      <c r="G4818" s="23" t="s">
        <v>654</v>
      </c>
      <c r="H4818" s="23" t="s">
        <v>27</v>
      </c>
      <c r="I4818" s="23" t="s">
        <v>616</v>
      </c>
      <c r="J4818" s="14" t="s">
        <v>29</v>
      </c>
      <c r="K4818" s="15" t="s">
        <v>30</v>
      </c>
      <c r="L4818" s="87"/>
      <c r="M4818" s="14"/>
      <c r="N4818" s="14" t="s">
        <v>89</v>
      </c>
      <c r="O4818" s="14"/>
      <c r="P4818" s="15" t="s">
        <v>74</v>
      </c>
      <c r="Q4818" s="16">
        <v>1999</v>
      </c>
      <c r="R4818" s="17">
        <v>45</v>
      </c>
      <c r="S4818" s="18">
        <v>1264.3675000000001</v>
      </c>
      <c r="T4818" s="19" t="s">
        <v>117</v>
      </c>
      <c r="U4818" s="20" t="s">
        <v>35</v>
      </c>
      <c r="V4818" s="21">
        <v>116</v>
      </c>
      <c r="W4818" s="21">
        <v>5</v>
      </c>
      <c r="X4818" s="22"/>
    </row>
    <row r="4819" spans="1:24" s="1" customFormat="1" ht="21" customHeight="1" x14ac:dyDescent="0.3">
      <c r="A4819" s="23" t="s">
        <v>3014</v>
      </c>
      <c r="B4819" s="23" t="s">
        <v>4743</v>
      </c>
      <c r="C4819" s="28" t="s">
        <v>4745</v>
      </c>
      <c r="D4819" s="84"/>
      <c r="E4819" s="69" t="str">
        <f>HYPERLINK("https://www.google.ru/search?q=72205202-0101&amp;newwindow=1&amp;tbm=isch","Еще фото")</f>
        <v>Еще фото</v>
      </c>
      <c r="F4819" s="13"/>
      <c r="G4819" s="23" t="s">
        <v>654</v>
      </c>
      <c r="H4819" s="23" t="s">
        <v>27</v>
      </c>
      <c r="I4819" s="23" t="s">
        <v>616</v>
      </c>
      <c r="J4819" s="14" t="s">
        <v>29</v>
      </c>
      <c r="K4819" s="15" t="s">
        <v>30</v>
      </c>
      <c r="L4819" s="87"/>
      <c r="M4819" s="14"/>
      <c r="N4819" s="14" t="s">
        <v>89</v>
      </c>
      <c r="O4819" s="14"/>
      <c r="P4819" s="15" t="s">
        <v>74</v>
      </c>
      <c r="Q4819" s="16">
        <v>1999</v>
      </c>
      <c r="R4819" s="17">
        <v>45</v>
      </c>
      <c r="S4819" s="18">
        <v>1264.3675000000001</v>
      </c>
      <c r="T4819" s="19" t="s">
        <v>117</v>
      </c>
      <c r="U4819" s="20" t="s">
        <v>36</v>
      </c>
      <c r="V4819" s="21">
        <v>122</v>
      </c>
      <c r="W4819" s="21">
        <v>5</v>
      </c>
      <c r="X4819" s="22"/>
    </row>
    <row r="4820" spans="1:24" s="1" customFormat="1" ht="32.1" customHeight="1" x14ac:dyDescent="0.3">
      <c r="A4820" s="23" t="s">
        <v>3014</v>
      </c>
      <c r="B4820" s="23" t="s">
        <v>4743</v>
      </c>
      <c r="C4820" s="28" t="s">
        <v>4745</v>
      </c>
      <c r="D4820" s="85"/>
      <c r="E4820" s="69" t="str">
        <f>HYPERLINK("https://www.google.ru/search?q=72205202-0101&amp;newwindow=1&amp;tbm=isch","Еще фото")</f>
        <v>Еще фото</v>
      </c>
      <c r="F4820" s="13"/>
      <c r="G4820" s="23" t="s">
        <v>654</v>
      </c>
      <c r="H4820" s="23" t="s">
        <v>27</v>
      </c>
      <c r="I4820" s="23" t="s">
        <v>616</v>
      </c>
      <c r="J4820" s="14" t="s">
        <v>29</v>
      </c>
      <c r="K4820" s="15" t="s">
        <v>30</v>
      </c>
      <c r="L4820" s="88"/>
      <c r="M4820" s="14"/>
      <c r="N4820" s="14" t="s">
        <v>89</v>
      </c>
      <c r="O4820" s="14"/>
      <c r="P4820" s="15" t="s">
        <v>74</v>
      </c>
      <c r="Q4820" s="16">
        <v>1999</v>
      </c>
      <c r="R4820" s="17">
        <v>45</v>
      </c>
      <c r="S4820" s="18">
        <v>1264.3675000000001</v>
      </c>
      <c r="T4820" s="19" t="s">
        <v>117</v>
      </c>
      <c r="U4820" s="20" t="s">
        <v>37</v>
      </c>
      <c r="V4820" s="21">
        <v>128</v>
      </c>
      <c r="W4820" s="21">
        <v>5</v>
      </c>
      <c r="X4820" s="22"/>
    </row>
    <row r="4821" spans="1:24" s="1" customFormat="1" ht="35.1" customHeight="1" x14ac:dyDescent="0.3">
      <c r="A4821" s="11" t="s">
        <v>3014</v>
      </c>
      <c r="B4821" s="11" t="s">
        <v>4743</v>
      </c>
      <c r="C4821" s="12" t="s">
        <v>4746</v>
      </c>
      <c r="D4821" s="83"/>
      <c r="E4821" s="69" t="str">
        <f>HYPERLINK("https://www.google.ru/search?q=72205202-9990&amp;newwindow=1&amp;tbm=isch","Еще фото")</f>
        <v>Еще фото</v>
      </c>
      <c r="F4821" s="13"/>
      <c r="G4821" s="11" t="s">
        <v>654</v>
      </c>
      <c r="H4821" s="11" t="s">
        <v>27</v>
      </c>
      <c r="I4821" s="14" t="s">
        <v>616</v>
      </c>
      <c r="J4821" s="14" t="s">
        <v>29</v>
      </c>
      <c r="K4821" s="15" t="s">
        <v>30</v>
      </c>
      <c r="L4821" s="86"/>
      <c r="M4821" s="14"/>
      <c r="N4821" s="14" t="s">
        <v>49</v>
      </c>
      <c r="O4821" s="14"/>
      <c r="P4821" s="15" t="s">
        <v>74</v>
      </c>
      <c r="Q4821" s="16">
        <v>1999</v>
      </c>
      <c r="R4821" s="17">
        <v>45</v>
      </c>
      <c r="S4821" s="18">
        <v>1264.3675000000001</v>
      </c>
      <c r="T4821" s="19" t="s">
        <v>117</v>
      </c>
      <c r="U4821" s="20" t="s">
        <v>43</v>
      </c>
      <c r="V4821" s="21">
        <v>110</v>
      </c>
      <c r="W4821" s="21">
        <v>3</v>
      </c>
      <c r="X4821" s="22"/>
    </row>
    <row r="4822" spans="1:24" s="1" customFormat="1" ht="35.1" customHeight="1" x14ac:dyDescent="0.3">
      <c r="A4822" s="23" t="s">
        <v>3014</v>
      </c>
      <c r="B4822" s="23" t="s">
        <v>4743</v>
      </c>
      <c r="C4822" s="12" t="s">
        <v>4746</v>
      </c>
      <c r="D4822" s="84"/>
      <c r="E4822" s="69" t="str">
        <f>HYPERLINK("https://www.google.ru/search?q=72205202-9990&amp;newwindow=1&amp;tbm=isch","Еще фото")</f>
        <v>Еще фото</v>
      </c>
      <c r="F4822" s="13"/>
      <c r="G4822" s="23" t="s">
        <v>654</v>
      </c>
      <c r="H4822" s="23" t="s">
        <v>27</v>
      </c>
      <c r="I4822" s="23" t="s">
        <v>616</v>
      </c>
      <c r="J4822" s="14" t="s">
        <v>29</v>
      </c>
      <c r="K4822" s="15" t="s">
        <v>30</v>
      </c>
      <c r="L4822" s="87"/>
      <c r="M4822" s="14"/>
      <c r="N4822" s="14" t="s">
        <v>49</v>
      </c>
      <c r="O4822" s="14"/>
      <c r="P4822" s="15" t="s">
        <v>74</v>
      </c>
      <c r="Q4822" s="16">
        <v>1999</v>
      </c>
      <c r="R4822" s="17">
        <v>45</v>
      </c>
      <c r="S4822" s="18">
        <v>1264.3675000000001</v>
      </c>
      <c r="T4822" s="19" t="s">
        <v>117</v>
      </c>
      <c r="U4822" s="20" t="s">
        <v>35</v>
      </c>
      <c r="V4822" s="21">
        <v>116</v>
      </c>
      <c r="W4822" s="21">
        <v>3</v>
      </c>
      <c r="X4822" s="22"/>
    </row>
    <row r="4823" spans="1:24" s="1" customFormat="1" ht="36.950000000000003" customHeight="1" x14ac:dyDescent="0.3">
      <c r="A4823" s="23" t="s">
        <v>3014</v>
      </c>
      <c r="B4823" s="23" t="s">
        <v>4743</v>
      </c>
      <c r="C4823" s="12" t="s">
        <v>4746</v>
      </c>
      <c r="D4823" s="85"/>
      <c r="E4823" s="69" t="str">
        <f>HYPERLINK("https://www.google.ru/search?q=72205202-9990&amp;newwindow=1&amp;tbm=isch","Еще фото")</f>
        <v>Еще фото</v>
      </c>
      <c r="F4823" s="13"/>
      <c r="G4823" s="23" t="s">
        <v>654</v>
      </c>
      <c r="H4823" s="23" t="s">
        <v>27</v>
      </c>
      <c r="I4823" s="23" t="s">
        <v>616</v>
      </c>
      <c r="J4823" s="14" t="s">
        <v>29</v>
      </c>
      <c r="K4823" s="15" t="s">
        <v>30</v>
      </c>
      <c r="L4823" s="88"/>
      <c r="M4823" s="14"/>
      <c r="N4823" s="14" t="s">
        <v>49</v>
      </c>
      <c r="O4823" s="14"/>
      <c r="P4823" s="15" t="s">
        <v>74</v>
      </c>
      <c r="Q4823" s="16">
        <v>1999</v>
      </c>
      <c r="R4823" s="17">
        <v>45</v>
      </c>
      <c r="S4823" s="18">
        <v>1264.3675000000001</v>
      </c>
      <c r="T4823" s="19" t="s">
        <v>117</v>
      </c>
      <c r="U4823" s="20" t="s">
        <v>36</v>
      </c>
      <c r="V4823" s="21">
        <v>122</v>
      </c>
      <c r="W4823" s="21">
        <v>3</v>
      </c>
      <c r="X4823" s="22"/>
    </row>
    <row r="4824" spans="1:24" s="1" customFormat="1" ht="11.1" customHeight="1" x14ac:dyDescent="0.3">
      <c r="A4824" s="11" t="s">
        <v>3014</v>
      </c>
      <c r="B4824" s="11" t="s">
        <v>4747</v>
      </c>
      <c r="C4824" s="12" t="s">
        <v>4748</v>
      </c>
      <c r="D4824" s="83"/>
      <c r="E4824" s="69" t="str">
        <f t="shared" ref="E4824:E4833" si="252">HYPERLINK("https://www.google.ru/search?q=72206303-0160&amp;newwindow=1&amp;tbm=isch","Еще фото")</f>
        <v>Еще фото</v>
      </c>
      <c r="F4824" s="13"/>
      <c r="G4824" s="11" t="s">
        <v>615</v>
      </c>
      <c r="H4824" s="11" t="s">
        <v>27</v>
      </c>
      <c r="I4824" s="14" t="s">
        <v>616</v>
      </c>
      <c r="J4824" s="14" t="s">
        <v>29</v>
      </c>
      <c r="K4824" s="15" t="s">
        <v>30</v>
      </c>
      <c r="L4824" s="86"/>
      <c r="M4824" s="14"/>
      <c r="N4824" s="14" t="s">
        <v>89</v>
      </c>
      <c r="O4824" s="14"/>
      <c r="P4824" s="15" t="s">
        <v>4749</v>
      </c>
      <c r="Q4824" s="16">
        <v>1999</v>
      </c>
      <c r="R4824" s="17">
        <v>45</v>
      </c>
      <c r="S4824" s="18">
        <v>1264.3675000000001</v>
      </c>
      <c r="T4824" s="19" t="s">
        <v>117</v>
      </c>
      <c r="U4824" s="20" t="s">
        <v>94</v>
      </c>
      <c r="V4824" s="21">
        <v>104</v>
      </c>
      <c r="W4824" s="21">
        <v>2</v>
      </c>
      <c r="X4824" s="22"/>
    </row>
    <row r="4825" spans="1:24" s="1" customFormat="1" ht="11.1" customHeight="1" x14ac:dyDescent="0.3">
      <c r="A4825" s="23" t="s">
        <v>3014</v>
      </c>
      <c r="B4825" s="23" t="s">
        <v>4747</v>
      </c>
      <c r="C4825" s="12" t="s">
        <v>4748</v>
      </c>
      <c r="D4825" s="84"/>
      <c r="E4825" s="69" t="str">
        <f t="shared" si="252"/>
        <v>Еще фото</v>
      </c>
      <c r="F4825" s="13"/>
      <c r="G4825" s="23" t="s">
        <v>615</v>
      </c>
      <c r="H4825" s="23" t="s">
        <v>27</v>
      </c>
      <c r="I4825" s="23" t="s">
        <v>616</v>
      </c>
      <c r="J4825" s="14" t="s">
        <v>29</v>
      </c>
      <c r="K4825" s="15" t="s">
        <v>30</v>
      </c>
      <c r="L4825" s="87"/>
      <c r="M4825" s="14"/>
      <c r="N4825" s="14" t="s">
        <v>89</v>
      </c>
      <c r="O4825" s="14"/>
      <c r="P4825" s="15" t="s">
        <v>4749</v>
      </c>
      <c r="Q4825" s="16">
        <v>1999</v>
      </c>
      <c r="R4825" s="17">
        <v>45</v>
      </c>
      <c r="S4825" s="18">
        <v>1264.3675000000001</v>
      </c>
      <c r="T4825" s="19" t="s">
        <v>117</v>
      </c>
      <c r="U4825" s="20" t="s">
        <v>43</v>
      </c>
      <c r="V4825" s="21">
        <v>110</v>
      </c>
      <c r="W4825" s="21">
        <v>1</v>
      </c>
      <c r="X4825" s="22"/>
    </row>
    <row r="4826" spans="1:24" s="1" customFormat="1" ht="11.1" customHeight="1" x14ac:dyDescent="0.3">
      <c r="A4826" s="23" t="s">
        <v>3014</v>
      </c>
      <c r="B4826" s="23" t="s">
        <v>4747</v>
      </c>
      <c r="C4826" s="12" t="s">
        <v>4748</v>
      </c>
      <c r="D4826" s="84"/>
      <c r="E4826" s="69" t="str">
        <f t="shared" si="252"/>
        <v>Еще фото</v>
      </c>
      <c r="F4826" s="13"/>
      <c r="G4826" s="23" t="s">
        <v>615</v>
      </c>
      <c r="H4826" s="23" t="s">
        <v>27</v>
      </c>
      <c r="I4826" s="23" t="s">
        <v>616</v>
      </c>
      <c r="J4826" s="14" t="s">
        <v>29</v>
      </c>
      <c r="K4826" s="15" t="s">
        <v>30</v>
      </c>
      <c r="L4826" s="87"/>
      <c r="M4826" s="14"/>
      <c r="N4826" s="14" t="s">
        <v>89</v>
      </c>
      <c r="O4826" s="14"/>
      <c r="P4826" s="15" t="s">
        <v>4749</v>
      </c>
      <c r="Q4826" s="16">
        <v>1999</v>
      </c>
      <c r="R4826" s="17">
        <v>45</v>
      </c>
      <c r="S4826" s="18">
        <v>1264.3675000000001</v>
      </c>
      <c r="T4826" s="19" t="s">
        <v>117</v>
      </c>
      <c r="U4826" s="20" t="s">
        <v>35</v>
      </c>
      <c r="V4826" s="21">
        <v>116</v>
      </c>
      <c r="W4826" s="21">
        <v>2</v>
      </c>
      <c r="X4826" s="22"/>
    </row>
    <row r="4827" spans="1:24" s="1" customFormat="1" ht="11.1" customHeight="1" x14ac:dyDescent="0.3">
      <c r="A4827" s="23" t="s">
        <v>3014</v>
      </c>
      <c r="B4827" s="23" t="s">
        <v>4747</v>
      </c>
      <c r="C4827" s="12" t="s">
        <v>4748</v>
      </c>
      <c r="D4827" s="84"/>
      <c r="E4827" s="69" t="str">
        <f t="shared" si="252"/>
        <v>Еще фото</v>
      </c>
      <c r="F4827" s="13"/>
      <c r="G4827" s="23" t="s">
        <v>615</v>
      </c>
      <c r="H4827" s="23" t="s">
        <v>27</v>
      </c>
      <c r="I4827" s="23" t="s">
        <v>616</v>
      </c>
      <c r="J4827" s="14" t="s">
        <v>29</v>
      </c>
      <c r="K4827" s="15" t="s">
        <v>30</v>
      </c>
      <c r="L4827" s="87"/>
      <c r="M4827" s="14"/>
      <c r="N4827" s="14" t="s">
        <v>89</v>
      </c>
      <c r="O4827" s="14"/>
      <c r="P4827" s="15" t="s">
        <v>4749</v>
      </c>
      <c r="Q4827" s="16">
        <v>1999</v>
      </c>
      <c r="R4827" s="17">
        <v>45</v>
      </c>
      <c r="S4827" s="18">
        <v>1264.3675000000001</v>
      </c>
      <c r="T4827" s="19" t="s">
        <v>117</v>
      </c>
      <c r="U4827" s="20" t="s">
        <v>36</v>
      </c>
      <c r="V4827" s="21">
        <v>122</v>
      </c>
      <c r="W4827" s="21">
        <v>3</v>
      </c>
      <c r="X4827" s="22"/>
    </row>
    <row r="4828" spans="1:24" s="1" customFormat="1" ht="11.1" customHeight="1" x14ac:dyDescent="0.3">
      <c r="A4828" s="23" t="s">
        <v>3014</v>
      </c>
      <c r="B4828" s="23" t="s">
        <v>4747</v>
      </c>
      <c r="C4828" s="12" t="s">
        <v>4748</v>
      </c>
      <c r="D4828" s="84"/>
      <c r="E4828" s="69" t="str">
        <f t="shared" si="252"/>
        <v>Еще фото</v>
      </c>
      <c r="F4828" s="13"/>
      <c r="G4828" s="23" t="s">
        <v>615</v>
      </c>
      <c r="H4828" s="23" t="s">
        <v>27</v>
      </c>
      <c r="I4828" s="23" t="s">
        <v>616</v>
      </c>
      <c r="J4828" s="14" t="s">
        <v>29</v>
      </c>
      <c r="K4828" s="15" t="s">
        <v>30</v>
      </c>
      <c r="L4828" s="87"/>
      <c r="M4828" s="14"/>
      <c r="N4828" s="14" t="s">
        <v>89</v>
      </c>
      <c r="O4828" s="14"/>
      <c r="P4828" s="15" t="s">
        <v>4749</v>
      </c>
      <c r="Q4828" s="16">
        <v>1999</v>
      </c>
      <c r="R4828" s="17">
        <v>45</v>
      </c>
      <c r="S4828" s="18">
        <v>1264.3675000000001</v>
      </c>
      <c r="T4828" s="19" t="s">
        <v>117</v>
      </c>
      <c r="U4828" s="20" t="s">
        <v>37</v>
      </c>
      <c r="V4828" s="21">
        <v>128</v>
      </c>
      <c r="W4828" s="21">
        <v>1</v>
      </c>
      <c r="X4828" s="22"/>
    </row>
    <row r="4829" spans="1:24" s="1" customFormat="1" ht="11.1" customHeight="1" x14ac:dyDescent="0.3">
      <c r="A4829" s="23" t="s">
        <v>3014</v>
      </c>
      <c r="B4829" s="23" t="s">
        <v>4747</v>
      </c>
      <c r="C4829" s="12" t="s">
        <v>4748</v>
      </c>
      <c r="D4829" s="84"/>
      <c r="E4829" s="69" t="str">
        <f t="shared" si="252"/>
        <v>Еще фото</v>
      </c>
      <c r="F4829" s="13"/>
      <c r="G4829" s="23" t="s">
        <v>615</v>
      </c>
      <c r="H4829" s="23" t="s">
        <v>27</v>
      </c>
      <c r="I4829" s="23" t="s">
        <v>616</v>
      </c>
      <c r="J4829" s="14" t="s">
        <v>29</v>
      </c>
      <c r="K4829" s="15" t="s">
        <v>30</v>
      </c>
      <c r="L4829" s="87"/>
      <c r="M4829" s="14"/>
      <c r="N4829" s="14" t="s">
        <v>89</v>
      </c>
      <c r="O4829" s="14"/>
      <c r="P4829" s="15" t="s">
        <v>4749</v>
      </c>
      <c r="Q4829" s="16">
        <v>1999</v>
      </c>
      <c r="R4829" s="17">
        <v>45</v>
      </c>
      <c r="S4829" s="18">
        <v>1264.3675000000001</v>
      </c>
      <c r="T4829" s="19" t="s">
        <v>117</v>
      </c>
      <c r="U4829" s="20" t="s">
        <v>91</v>
      </c>
      <c r="V4829" s="21">
        <v>134</v>
      </c>
      <c r="W4829" s="21">
        <v>1</v>
      </c>
      <c r="X4829" s="22"/>
    </row>
    <row r="4830" spans="1:24" s="1" customFormat="1" ht="11.1" customHeight="1" x14ac:dyDescent="0.3">
      <c r="A4830" s="23" t="s">
        <v>3014</v>
      </c>
      <c r="B4830" s="23" t="s">
        <v>4747</v>
      </c>
      <c r="C4830" s="12" t="s">
        <v>4748</v>
      </c>
      <c r="D4830" s="84"/>
      <c r="E4830" s="69" t="str">
        <f t="shared" si="252"/>
        <v>Еще фото</v>
      </c>
      <c r="F4830" s="13"/>
      <c r="G4830" s="23" t="s">
        <v>615</v>
      </c>
      <c r="H4830" s="23" t="s">
        <v>27</v>
      </c>
      <c r="I4830" s="23" t="s">
        <v>616</v>
      </c>
      <c r="J4830" s="14" t="s">
        <v>29</v>
      </c>
      <c r="K4830" s="15" t="s">
        <v>30</v>
      </c>
      <c r="L4830" s="87"/>
      <c r="M4830" s="14"/>
      <c r="N4830" s="14" t="s">
        <v>89</v>
      </c>
      <c r="O4830" s="14"/>
      <c r="P4830" s="15" t="s">
        <v>4749</v>
      </c>
      <c r="Q4830" s="16">
        <v>1999</v>
      </c>
      <c r="R4830" s="17">
        <v>45</v>
      </c>
      <c r="S4830" s="18">
        <v>1264.3675000000001</v>
      </c>
      <c r="T4830" s="19" t="s">
        <v>117</v>
      </c>
      <c r="U4830" s="20" t="s">
        <v>290</v>
      </c>
      <c r="V4830" s="21">
        <v>140</v>
      </c>
      <c r="W4830" s="21">
        <v>3</v>
      </c>
      <c r="X4830" s="22"/>
    </row>
    <row r="4831" spans="1:24" s="1" customFormat="1" ht="11.1" customHeight="1" x14ac:dyDescent="0.3">
      <c r="A4831" s="23" t="s">
        <v>3014</v>
      </c>
      <c r="B4831" s="23" t="s">
        <v>4747</v>
      </c>
      <c r="C4831" s="12" t="s">
        <v>4748</v>
      </c>
      <c r="D4831" s="84"/>
      <c r="E4831" s="69" t="str">
        <f t="shared" si="252"/>
        <v>Еще фото</v>
      </c>
      <c r="F4831" s="13"/>
      <c r="G4831" s="23" t="s">
        <v>615</v>
      </c>
      <c r="H4831" s="23" t="s">
        <v>27</v>
      </c>
      <c r="I4831" s="23" t="s">
        <v>616</v>
      </c>
      <c r="J4831" s="14" t="s">
        <v>29</v>
      </c>
      <c r="K4831" s="15" t="s">
        <v>30</v>
      </c>
      <c r="L4831" s="87"/>
      <c r="M4831" s="14"/>
      <c r="N4831" s="14" t="s">
        <v>89</v>
      </c>
      <c r="O4831" s="14"/>
      <c r="P4831" s="15" t="s">
        <v>4749</v>
      </c>
      <c r="Q4831" s="16">
        <v>1999</v>
      </c>
      <c r="R4831" s="17">
        <v>45</v>
      </c>
      <c r="S4831" s="18">
        <v>1264.3675000000001</v>
      </c>
      <c r="T4831" s="19" t="s">
        <v>117</v>
      </c>
      <c r="U4831" s="20" t="s">
        <v>2993</v>
      </c>
      <c r="V4831" s="21">
        <v>146</v>
      </c>
      <c r="W4831" s="21">
        <v>2</v>
      </c>
      <c r="X4831" s="22"/>
    </row>
    <row r="4832" spans="1:24" s="1" customFormat="1" ht="11.1" customHeight="1" x14ac:dyDescent="0.3">
      <c r="A4832" s="23" t="s">
        <v>3014</v>
      </c>
      <c r="B4832" s="23" t="s">
        <v>4747</v>
      </c>
      <c r="C4832" s="12" t="s">
        <v>4748</v>
      </c>
      <c r="D4832" s="84"/>
      <c r="E4832" s="69" t="str">
        <f t="shared" si="252"/>
        <v>Еще фото</v>
      </c>
      <c r="F4832" s="13"/>
      <c r="G4832" s="23" t="s">
        <v>615</v>
      </c>
      <c r="H4832" s="23" t="s">
        <v>27</v>
      </c>
      <c r="I4832" s="23" t="s">
        <v>616</v>
      </c>
      <c r="J4832" s="14" t="s">
        <v>29</v>
      </c>
      <c r="K4832" s="15" t="s">
        <v>30</v>
      </c>
      <c r="L4832" s="87"/>
      <c r="M4832" s="14"/>
      <c r="N4832" s="14" t="s">
        <v>89</v>
      </c>
      <c r="O4832" s="14"/>
      <c r="P4832" s="15" t="s">
        <v>4749</v>
      </c>
      <c r="Q4832" s="16">
        <v>1999</v>
      </c>
      <c r="R4832" s="17">
        <v>45</v>
      </c>
      <c r="S4832" s="18">
        <v>1264.3675000000001</v>
      </c>
      <c r="T4832" s="19" t="s">
        <v>117</v>
      </c>
      <c r="U4832" s="20" t="s">
        <v>2160</v>
      </c>
      <c r="V4832" s="21">
        <v>152</v>
      </c>
      <c r="W4832" s="21">
        <v>2</v>
      </c>
      <c r="X4832" s="22"/>
    </row>
    <row r="4833" spans="1:24" s="1" customFormat="1" ht="11.1" customHeight="1" x14ac:dyDescent="0.3">
      <c r="A4833" s="14" t="s">
        <v>3014</v>
      </c>
      <c r="B4833" s="14" t="s">
        <v>4747</v>
      </c>
      <c r="C4833" s="12" t="s">
        <v>4748</v>
      </c>
      <c r="D4833" s="85"/>
      <c r="E4833" s="69" t="str">
        <f t="shared" si="252"/>
        <v>Еще фото</v>
      </c>
      <c r="F4833" s="36"/>
      <c r="G4833" s="14" t="s">
        <v>615</v>
      </c>
      <c r="H4833" s="14" t="s">
        <v>27</v>
      </c>
      <c r="I4833" s="14" t="s">
        <v>616</v>
      </c>
      <c r="J4833" s="14" t="s">
        <v>29</v>
      </c>
      <c r="K4833" s="14" t="s">
        <v>30</v>
      </c>
      <c r="L4833" s="88"/>
      <c r="M4833" s="14"/>
      <c r="N4833" s="14" t="s">
        <v>89</v>
      </c>
      <c r="O4833" s="14"/>
      <c r="P4833" s="14" t="s">
        <v>4749</v>
      </c>
      <c r="Q4833" s="33">
        <v>1999</v>
      </c>
      <c r="R4833" s="34">
        <v>45</v>
      </c>
      <c r="S4833" s="35">
        <v>1264.3675000000001</v>
      </c>
      <c r="T4833" s="19" t="s">
        <v>117</v>
      </c>
      <c r="U4833" s="20" t="s">
        <v>3088</v>
      </c>
      <c r="V4833" s="21">
        <v>158</v>
      </c>
      <c r="W4833" s="21">
        <v>2</v>
      </c>
      <c r="X4833" s="22"/>
    </row>
    <row r="4834" spans="1:24" s="1" customFormat="1" ht="11.1" customHeight="1" x14ac:dyDescent="0.3">
      <c r="A4834" s="11" t="s">
        <v>3014</v>
      </c>
      <c r="B4834" s="11" t="s">
        <v>4747</v>
      </c>
      <c r="C4834" s="12" t="s">
        <v>4750</v>
      </c>
      <c r="D4834" s="83"/>
      <c r="E4834" s="69" t="str">
        <f t="shared" ref="E4834:E4844" si="253">HYPERLINK("https://www.google.ru/search?q=72206303-3110&amp;newwindow=1&amp;tbm=isch","Еще фото")</f>
        <v>Еще фото</v>
      </c>
      <c r="F4834" s="13"/>
      <c r="G4834" s="11" t="s">
        <v>615</v>
      </c>
      <c r="H4834" s="11" t="s">
        <v>27</v>
      </c>
      <c r="I4834" s="14" t="s">
        <v>616</v>
      </c>
      <c r="J4834" s="14" t="s">
        <v>29</v>
      </c>
      <c r="K4834" s="15" t="s">
        <v>30</v>
      </c>
      <c r="L4834" s="86"/>
      <c r="M4834" s="14"/>
      <c r="N4834" s="14" t="s">
        <v>275</v>
      </c>
      <c r="O4834" s="14"/>
      <c r="P4834" s="15" t="s">
        <v>4749</v>
      </c>
      <c r="Q4834" s="16">
        <v>1999</v>
      </c>
      <c r="R4834" s="17">
        <v>45</v>
      </c>
      <c r="S4834" s="18">
        <v>1264.3675000000001</v>
      </c>
      <c r="T4834" s="19" t="s">
        <v>117</v>
      </c>
      <c r="U4834" s="20" t="s">
        <v>94</v>
      </c>
      <c r="V4834" s="21">
        <v>104</v>
      </c>
      <c r="W4834" s="21">
        <v>2</v>
      </c>
      <c r="X4834" s="22"/>
    </row>
    <row r="4835" spans="1:24" s="1" customFormat="1" ht="11.1" customHeight="1" x14ac:dyDescent="0.3">
      <c r="A4835" s="23" t="s">
        <v>3014</v>
      </c>
      <c r="B4835" s="23" t="s">
        <v>4747</v>
      </c>
      <c r="C4835" s="12" t="s">
        <v>4750</v>
      </c>
      <c r="D4835" s="84"/>
      <c r="E4835" s="69" t="str">
        <f t="shared" si="253"/>
        <v>Еще фото</v>
      </c>
      <c r="F4835" s="13"/>
      <c r="G4835" s="23" t="s">
        <v>615</v>
      </c>
      <c r="H4835" s="23" t="s">
        <v>27</v>
      </c>
      <c r="I4835" s="23" t="s">
        <v>616</v>
      </c>
      <c r="J4835" s="14" t="s">
        <v>29</v>
      </c>
      <c r="K4835" s="15" t="s">
        <v>30</v>
      </c>
      <c r="L4835" s="87"/>
      <c r="M4835" s="14"/>
      <c r="N4835" s="14" t="s">
        <v>275</v>
      </c>
      <c r="O4835" s="14"/>
      <c r="P4835" s="15" t="s">
        <v>4749</v>
      </c>
      <c r="Q4835" s="16">
        <v>1999</v>
      </c>
      <c r="R4835" s="17">
        <v>45</v>
      </c>
      <c r="S4835" s="18">
        <v>1264.3675000000001</v>
      </c>
      <c r="T4835" s="19" t="s">
        <v>117</v>
      </c>
      <c r="U4835" s="20" t="s">
        <v>43</v>
      </c>
      <c r="V4835" s="21">
        <v>110</v>
      </c>
      <c r="W4835" s="21">
        <v>2</v>
      </c>
      <c r="X4835" s="22"/>
    </row>
    <row r="4836" spans="1:24" s="1" customFormat="1" ht="11.1" customHeight="1" x14ac:dyDescent="0.3">
      <c r="A4836" s="23" t="s">
        <v>3014</v>
      </c>
      <c r="B4836" s="23" t="s">
        <v>4747</v>
      </c>
      <c r="C4836" s="12" t="s">
        <v>4750</v>
      </c>
      <c r="D4836" s="84"/>
      <c r="E4836" s="69" t="str">
        <f t="shared" si="253"/>
        <v>Еще фото</v>
      </c>
      <c r="F4836" s="13"/>
      <c r="G4836" s="23" t="s">
        <v>615</v>
      </c>
      <c r="H4836" s="23" t="s">
        <v>27</v>
      </c>
      <c r="I4836" s="23" t="s">
        <v>616</v>
      </c>
      <c r="J4836" s="14" t="s">
        <v>29</v>
      </c>
      <c r="K4836" s="15" t="s">
        <v>30</v>
      </c>
      <c r="L4836" s="87"/>
      <c r="M4836" s="14"/>
      <c r="N4836" s="14" t="s">
        <v>275</v>
      </c>
      <c r="O4836" s="14"/>
      <c r="P4836" s="15" t="s">
        <v>4749</v>
      </c>
      <c r="Q4836" s="16">
        <v>1999</v>
      </c>
      <c r="R4836" s="17">
        <v>45</v>
      </c>
      <c r="S4836" s="18">
        <v>1264.3675000000001</v>
      </c>
      <c r="T4836" s="19" t="s">
        <v>117</v>
      </c>
      <c r="U4836" s="20" t="s">
        <v>35</v>
      </c>
      <c r="V4836" s="21">
        <v>116</v>
      </c>
      <c r="W4836" s="21">
        <v>3</v>
      </c>
      <c r="X4836" s="22"/>
    </row>
    <row r="4837" spans="1:24" s="1" customFormat="1" ht="11.1" customHeight="1" x14ac:dyDescent="0.3">
      <c r="A4837" s="23" t="s">
        <v>3014</v>
      </c>
      <c r="B4837" s="23" t="s">
        <v>4747</v>
      </c>
      <c r="C4837" s="12" t="s">
        <v>4750</v>
      </c>
      <c r="D4837" s="84"/>
      <c r="E4837" s="69" t="str">
        <f t="shared" si="253"/>
        <v>Еще фото</v>
      </c>
      <c r="F4837" s="13"/>
      <c r="G4837" s="23" t="s">
        <v>615</v>
      </c>
      <c r="H4837" s="23" t="s">
        <v>27</v>
      </c>
      <c r="I4837" s="23" t="s">
        <v>616</v>
      </c>
      <c r="J4837" s="14" t="s">
        <v>29</v>
      </c>
      <c r="K4837" s="15" t="s">
        <v>30</v>
      </c>
      <c r="L4837" s="87"/>
      <c r="M4837" s="14"/>
      <c r="N4837" s="14" t="s">
        <v>275</v>
      </c>
      <c r="O4837" s="14"/>
      <c r="P4837" s="15" t="s">
        <v>4749</v>
      </c>
      <c r="Q4837" s="16">
        <v>1999</v>
      </c>
      <c r="R4837" s="17">
        <v>45</v>
      </c>
      <c r="S4837" s="18">
        <v>1264.3675000000001</v>
      </c>
      <c r="T4837" s="19" t="s">
        <v>117</v>
      </c>
      <c r="U4837" s="20" t="s">
        <v>36</v>
      </c>
      <c r="V4837" s="21">
        <v>122</v>
      </c>
      <c r="W4837" s="21">
        <v>3</v>
      </c>
      <c r="X4837" s="22"/>
    </row>
    <row r="4838" spans="1:24" s="1" customFormat="1" ht="11.1" customHeight="1" x14ac:dyDescent="0.3">
      <c r="A4838" s="23" t="s">
        <v>3014</v>
      </c>
      <c r="B4838" s="23" t="s">
        <v>4747</v>
      </c>
      <c r="C4838" s="12" t="s">
        <v>4750</v>
      </c>
      <c r="D4838" s="84"/>
      <c r="E4838" s="69" t="str">
        <f t="shared" si="253"/>
        <v>Еще фото</v>
      </c>
      <c r="F4838" s="13"/>
      <c r="G4838" s="23" t="s">
        <v>615</v>
      </c>
      <c r="H4838" s="23" t="s">
        <v>27</v>
      </c>
      <c r="I4838" s="23" t="s">
        <v>616</v>
      </c>
      <c r="J4838" s="14" t="s">
        <v>29</v>
      </c>
      <c r="K4838" s="15" t="s">
        <v>30</v>
      </c>
      <c r="L4838" s="87"/>
      <c r="M4838" s="14"/>
      <c r="N4838" s="14" t="s">
        <v>275</v>
      </c>
      <c r="O4838" s="14"/>
      <c r="P4838" s="15" t="s">
        <v>4749</v>
      </c>
      <c r="Q4838" s="16">
        <v>1999</v>
      </c>
      <c r="R4838" s="17">
        <v>45</v>
      </c>
      <c r="S4838" s="18">
        <v>1264.3675000000001</v>
      </c>
      <c r="T4838" s="19" t="s">
        <v>117</v>
      </c>
      <c r="U4838" s="20" t="s">
        <v>37</v>
      </c>
      <c r="V4838" s="21">
        <v>128</v>
      </c>
      <c r="W4838" s="21">
        <v>3</v>
      </c>
      <c r="X4838" s="22"/>
    </row>
    <row r="4839" spans="1:24" s="1" customFormat="1" ht="11.1" customHeight="1" x14ac:dyDescent="0.3">
      <c r="A4839" s="23" t="s">
        <v>3014</v>
      </c>
      <c r="B4839" s="23" t="s">
        <v>4747</v>
      </c>
      <c r="C4839" s="12" t="s">
        <v>4750</v>
      </c>
      <c r="D4839" s="84"/>
      <c r="E4839" s="69" t="str">
        <f t="shared" si="253"/>
        <v>Еще фото</v>
      </c>
      <c r="F4839" s="13"/>
      <c r="G4839" s="23" t="s">
        <v>615</v>
      </c>
      <c r="H4839" s="23" t="s">
        <v>27</v>
      </c>
      <c r="I4839" s="23" t="s">
        <v>616</v>
      </c>
      <c r="J4839" s="14" t="s">
        <v>29</v>
      </c>
      <c r="K4839" s="15" t="s">
        <v>30</v>
      </c>
      <c r="L4839" s="87"/>
      <c r="M4839" s="14"/>
      <c r="N4839" s="14" t="s">
        <v>275</v>
      </c>
      <c r="O4839" s="14"/>
      <c r="P4839" s="15" t="s">
        <v>4749</v>
      </c>
      <c r="Q4839" s="16">
        <v>1999</v>
      </c>
      <c r="R4839" s="17">
        <v>45</v>
      </c>
      <c r="S4839" s="18">
        <v>1264.3675000000001</v>
      </c>
      <c r="T4839" s="19" t="s">
        <v>117</v>
      </c>
      <c r="U4839" s="20" t="s">
        <v>91</v>
      </c>
      <c r="V4839" s="21">
        <v>134</v>
      </c>
      <c r="W4839" s="21">
        <v>2</v>
      </c>
      <c r="X4839" s="22"/>
    </row>
    <row r="4840" spans="1:24" s="1" customFormat="1" ht="11.1" customHeight="1" x14ac:dyDescent="0.3">
      <c r="A4840" s="23" t="s">
        <v>3014</v>
      </c>
      <c r="B4840" s="23" t="s">
        <v>4747</v>
      </c>
      <c r="C4840" s="12" t="s">
        <v>4750</v>
      </c>
      <c r="D4840" s="84"/>
      <c r="E4840" s="69" t="str">
        <f t="shared" si="253"/>
        <v>Еще фото</v>
      </c>
      <c r="F4840" s="13"/>
      <c r="G4840" s="23" t="s">
        <v>615</v>
      </c>
      <c r="H4840" s="23" t="s">
        <v>27</v>
      </c>
      <c r="I4840" s="23" t="s">
        <v>616</v>
      </c>
      <c r="J4840" s="14" t="s">
        <v>29</v>
      </c>
      <c r="K4840" s="15" t="s">
        <v>30</v>
      </c>
      <c r="L4840" s="87"/>
      <c r="M4840" s="14"/>
      <c r="N4840" s="14" t="s">
        <v>275</v>
      </c>
      <c r="O4840" s="14"/>
      <c r="P4840" s="15" t="s">
        <v>4749</v>
      </c>
      <c r="Q4840" s="16">
        <v>1999</v>
      </c>
      <c r="R4840" s="17">
        <v>45</v>
      </c>
      <c r="S4840" s="18">
        <v>1264.3675000000001</v>
      </c>
      <c r="T4840" s="19" t="s">
        <v>117</v>
      </c>
      <c r="U4840" s="20" t="s">
        <v>290</v>
      </c>
      <c r="V4840" s="21">
        <v>140</v>
      </c>
      <c r="W4840" s="21">
        <v>3</v>
      </c>
      <c r="X4840" s="22"/>
    </row>
    <row r="4841" spans="1:24" s="1" customFormat="1" ht="11.1" customHeight="1" x14ac:dyDescent="0.3">
      <c r="A4841" s="23" t="s">
        <v>3014</v>
      </c>
      <c r="B4841" s="23" t="s">
        <v>4747</v>
      </c>
      <c r="C4841" s="12" t="s">
        <v>4750</v>
      </c>
      <c r="D4841" s="84"/>
      <c r="E4841" s="69" t="str">
        <f t="shared" si="253"/>
        <v>Еще фото</v>
      </c>
      <c r="F4841" s="13"/>
      <c r="G4841" s="23" t="s">
        <v>615</v>
      </c>
      <c r="H4841" s="23" t="s">
        <v>27</v>
      </c>
      <c r="I4841" s="23" t="s">
        <v>616</v>
      </c>
      <c r="J4841" s="14" t="s">
        <v>29</v>
      </c>
      <c r="K4841" s="15" t="s">
        <v>30</v>
      </c>
      <c r="L4841" s="87"/>
      <c r="M4841" s="14"/>
      <c r="N4841" s="14" t="s">
        <v>275</v>
      </c>
      <c r="O4841" s="14"/>
      <c r="P4841" s="15" t="s">
        <v>4749</v>
      </c>
      <c r="Q4841" s="16">
        <v>1999</v>
      </c>
      <c r="R4841" s="17">
        <v>45</v>
      </c>
      <c r="S4841" s="18">
        <v>1264.3675000000001</v>
      </c>
      <c r="T4841" s="19" t="s">
        <v>117</v>
      </c>
      <c r="U4841" s="20" t="s">
        <v>2993</v>
      </c>
      <c r="V4841" s="21">
        <v>146</v>
      </c>
      <c r="W4841" s="21">
        <v>2</v>
      </c>
      <c r="X4841" s="22"/>
    </row>
    <row r="4842" spans="1:24" s="1" customFormat="1" ht="11.1" customHeight="1" x14ac:dyDescent="0.3">
      <c r="A4842" s="23" t="s">
        <v>3014</v>
      </c>
      <c r="B4842" s="23" t="s">
        <v>4747</v>
      </c>
      <c r="C4842" s="12" t="s">
        <v>4750</v>
      </c>
      <c r="D4842" s="84"/>
      <c r="E4842" s="69" t="str">
        <f t="shared" si="253"/>
        <v>Еще фото</v>
      </c>
      <c r="F4842" s="13"/>
      <c r="G4842" s="23" t="s">
        <v>615</v>
      </c>
      <c r="H4842" s="23" t="s">
        <v>27</v>
      </c>
      <c r="I4842" s="23" t="s">
        <v>616</v>
      </c>
      <c r="J4842" s="14" t="s">
        <v>29</v>
      </c>
      <c r="K4842" s="15" t="s">
        <v>30</v>
      </c>
      <c r="L4842" s="87"/>
      <c r="M4842" s="14"/>
      <c r="N4842" s="14" t="s">
        <v>275</v>
      </c>
      <c r="O4842" s="14"/>
      <c r="P4842" s="15" t="s">
        <v>4749</v>
      </c>
      <c r="Q4842" s="16">
        <v>1999</v>
      </c>
      <c r="R4842" s="17">
        <v>45</v>
      </c>
      <c r="S4842" s="18">
        <v>1264.3675000000001</v>
      </c>
      <c r="T4842" s="19" t="s">
        <v>117</v>
      </c>
      <c r="U4842" s="20" t="s">
        <v>2160</v>
      </c>
      <c r="V4842" s="21">
        <v>152</v>
      </c>
      <c r="W4842" s="21">
        <v>3</v>
      </c>
      <c r="X4842" s="22"/>
    </row>
    <row r="4843" spans="1:24" s="1" customFormat="1" ht="11.1" customHeight="1" x14ac:dyDescent="0.3">
      <c r="A4843" s="14" t="s">
        <v>3014</v>
      </c>
      <c r="B4843" s="14" t="s">
        <v>4747</v>
      </c>
      <c r="C4843" s="12" t="s">
        <v>4750</v>
      </c>
      <c r="D4843" s="84"/>
      <c r="E4843" s="69" t="str">
        <f t="shared" si="253"/>
        <v>Еще фото</v>
      </c>
      <c r="F4843" s="36"/>
      <c r="G4843" s="14" t="s">
        <v>615</v>
      </c>
      <c r="H4843" s="14" t="s">
        <v>27</v>
      </c>
      <c r="I4843" s="14" t="s">
        <v>616</v>
      </c>
      <c r="J4843" s="14" t="s">
        <v>29</v>
      </c>
      <c r="K4843" s="14" t="s">
        <v>30</v>
      </c>
      <c r="L4843" s="87"/>
      <c r="M4843" s="14"/>
      <c r="N4843" s="14" t="s">
        <v>275</v>
      </c>
      <c r="O4843" s="14"/>
      <c r="P4843" s="14" t="s">
        <v>4749</v>
      </c>
      <c r="Q4843" s="33">
        <v>1999</v>
      </c>
      <c r="R4843" s="34">
        <v>45</v>
      </c>
      <c r="S4843" s="35">
        <v>1264.3675000000001</v>
      </c>
      <c r="T4843" s="19" t="s">
        <v>117</v>
      </c>
      <c r="U4843" s="20" t="s">
        <v>3088</v>
      </c>
      <c r="V4843" s="21">
        <v>158</v>
      </c>
      <c r="W4843" s="21">
        <v>3</v>
      </c>
      <c r="X4843" s="22"/>
    </row>
    <row r="4844" spans="1:24" s="1" customFormat="1" ht="11.1" customHeight="1" x14ac:dyDescent="0.3">
      <c r="A4844" s="14" t="s">
        <v>3014</v>
      </c>
      <c r="B4844" s="14" t="s">
        <v>4747</v>
      </c>
      <c r="C4844" s="12" t="s">
        <v>4750</v>
      </c>
      <c r="D4844" s="85"/>
      <c r="E4844" s="69" t="str">
        <f t="shared" si="253"/>
        <v>Еще фото</v>
      </c>
      <c r="F4844" s="36"/>
      <c r="G4844" s="14" t="s">
        <v>615</v>
      </c>
      <c r="H4844" s="14" t="s">
        <v>27</v>
      </c>
      <c r="I4844" s="14" t="s">
        <v>616</v>
      </c>
      <c r="J4844" s="14" t="s">
        <v>29</v>
      </c>
      <c r="K4844" s="14" t="s">
        <v>30</v>
      </c>
      <c r="L4844" s="88"/>
      <c r="M4844" s="14"/>
      <c r="N4844" s="14" t="s">
        <v>275</v>
      </c>
      <c r="O4844" s="14"/>
      <c r="P4844" s="14" t="s">
        <v>4749</v>
      </c>
      <c r="Q4844" s="33">
        <v>1999</v>
      </c>
      <c r="R4844" s="34">
        <v>45</v>
      </c>
      <c r="S4844" s="35">
        <v>1264.3675000000001</v>
      </c>
      <c r="T4844" s="19" t="s">
        <v>117</v>
      </c>
      <c r="U4844" s="20" t="s">
        <v>2161</v>
      </c>
      <c r="V4844" s="21">
        <v>164</v>
      </c>
      <c r="W4844" s="21">
        <v>3</v>
      </c>
      <c r="X4844" s="22"/>
    </row>
    <row r="4845" spans="1:24" s="1" customFormat="1" ht="11.1" customHeight="1" x14ac:dyDescent="0.3">
      <c r="A4845" s="11" t="s">
        <v>3014</v>
      </c>
      <c r="B4845" s="11" t="s">
        <v>4747</v>
      </c>
      <c r="C4845" s="12" t="s">
        <v>4751</v>
      </c>
      <c r="D4845" s="83"/>
      <c r="E4845" s="69" t="str">
        <f t="shared" ref="E4845:E4853" si="254">HYPERLINK("https://www.google.ru/search?q=72206303-3111&amp;newwindow=1&amp;tbm=isch","Еще фото")</f>
        <v>Еще фото</v>
      </c>
      <c r="F4845" s="13"/>
      <c r="G4845" s="11" t="s">
        <v>615</v>
      </c>
      <c r="H4845" s="11" t="s">
        <v>27</v>
      </c>
      <c r="I4845" s="14" t="s">
        <v>616</v>
      </c>
      <c r="J4845" s="14" t="s">
        <v>29</v>
      </c>
      <c r="K4845" s="15" t="s">
        <v>30</v>
      </c>
      <c r="L4845" s="86"/>
      <c r="M4845" s="14"/>
      <c r="N4845" s="14" t="s">
        <v>275</v>
      </c>
      <c r="O4845" s="14"/>
      <c r="P4845" s="15" t="s">
        <v>4749</v>
      </c>
      <c r="Q4845" s="16">
        <v>1999</v>
      </c>
      <c r="R4845" s="17">
        <v>45</v>
      </c>
      <c r="S4845" s="18">
        <v>1264.3675000000001</v>
      </c>
      <c r="T4845" s="19" t="s">
        <v>117</v>
      </c>
      <c r="U4845" s="20" t="s">
        <v>35</v>
      </c>
      <c r="V4845" s="21">
        <v>116</v>
      </c>
      <c r="W4845" s="21">
        <v>2</v>
      </c>
      <c r="X4845" s="22"/>
    </row>
    <row r="4846" spans="1:24" s="1" customFormat="1" ht="11.1" customHeight="1" x14ac:dyDescent="0.3">
      <c r="A4846" s="23" t="s">
        <v>3014</v>
      </c>
      <c r="B4846" s="23" t="s">
        <v>4747</v>
      </c>
      <c r="C4846" s="12" t="s">
        <v>4751</v>
      </c>
      <c r="D4846" s="84"/>
      <c r="E4846" s="69" t="str">
        <f t="shared" si="254"/>
        <v>Еще фото</v>
      </c>
      <c r="F4846" s="13"/>
      <c r="G4846" s="23" t="s">
        <v>615</v>
      </c>
      <c r="H4846" s="23" t="s">
        <v>27</v>
      </c>
      <c r="I4846" s="23" t="s">
        <v>616</v>
      </c>
      <c r="J4846" s="14" t="s">
        <v>29</v>
      </c>
      <c r="K4846" s="15" t="s">
        <v>30</v>
      </c>
      <c r="L4846" s="87"/>
      <c r="M4846" s="14"/>
      <c r="N4846" s="14" t="s">
        <v>275</v>
      </c>
      <c r="O4846" s="14"/>
      <c r="P4846" s="15" t="s">
        <v>4749</v>
      </c>
      <c r="Q4846" s="16">
        <v>1999</v>
      </c>
      <c r="R4846" s="17">
        <v>45</v>
      </c>
      <c r="S4846" s="18">
        <v>1264.3675000000001</v>
      </c>
      <c r="T4846" s="19" t="s">
        <v>117</v>
      </c>
      <c r="U4846" s="20" t="s">
        <v>36</v>
      </c>
      <c r="V4846" s="21">
        <v>122</v>
      </c>
      <c r="W4846" s="21">
        <v>2</v>
      </c>
      <c r="X4846" s="22"/>
    </row>
    <row r="4847" spans="1:24" s="1" customFormat="1" ht="11.1" customHeight="1" x14ac:dyDescent="0.3">
      <c r="A4847" s="23" t="s">
        <v>3014</v>
      </c>
      <c r="B4847" s="23" t="s">
        <v>4747</v>
      </c>
      <c r="C4847" s="12" t="s">
        <v>4751</v>
      </c>
      <c r="D4847" s="84"/>
      <c r="E4847" s="69" t="str">
        <f t="shared" si="254"/>
        <v>Еще фото</v>
      </c>
      <c r="F4847" s="13"/>
      <c r="G4847" s="23" t="s">
        <v>615</v>
      </c>
      <c r="H4847" s="23" t="s">
        <v>27</v>
      </c>
      <c r="I4847" s="23" t="s">
        <v>616</v>
      </c>
      <c r="J4847" s="14" t="s">
        <v>29</v>
      </c>
      <c r="K4847" s="15" t="s">
        <v>30</v>
      </c>
      <c r="L4847" s="87"/>
      <c r="M4847" s="14"/>
      <c r="N4847" s="14" t="s">
        <v>275</v>
      </c>
      <c r="O4847" s="14"/>
      <c r="P4847" s="15" t="s">
        <v>4749</v>
      </c>
      <c r="Q4847" s="16">
        <v>1999</v>
      </c>
      <c r="R4847" s="17">
        <v>45</v>
      </c>
      <c r="S4847" s="18">
        <v>1264.3675000000001</v>
      </c>
      <c r="T4847" s="19" t="s">
        <v>117</v>
      </c>
      <c r="U4847" s="20" t="s">
        <v>37</v>
      </c>
      <c r="V4847" s="21">
        <v>128</v>
      </c>
      <c r="W4847" s="21">
        <v>2</v>
      </c>
      <c r="X4847" s="22"/>
    </row>
    <row r="4848" spans="1:24" s="1" customFormat="1" ht="11.1" customHeight="1" x14ac:dyDescent="0.3">
      <c r="A4848" s="23" t="s">
        <v>3014</v>
      </c>
      <c r="B4848" s="23" t="s">
        <v>4747</v>
      </c>
      <c r="C4848" s="12" t="s">
        <v>4751</v>
      </c>
      <c r="D4848" s="84"/>
      <c r="E4848" s="69" t="str">
        <f t="shared" si="254"/>
        <v>Еще фото</v>
      </c>
      <c r="F4848" s="13"/>
      <c r="G4848" s="23" t="s">
        <v>615</v>
      </c>
      <c r="H4848" s="23" t="s">
        <v>27</v>
      </c>
      <c r="I4848" s="23" t="s">
        <v>616</v>
      </c>
      <c r="J4848" s="14" t="s">
        <v>29</v>
      </c>
      <c r="K4848" s="15" t="s">
        <v>30</v>
      </c>
      <c r="L4848" s="87"/>
      <c r="M4848" s="14"/>
      <c r="N4848" s="14" t="s">
        <v>275</v>
      </c>
      <c r="O4848" s="14"/>
      <c r="P4848" s="15" t="s">
        <v>4749</v>
      </c>
      <c r="Q4848" s="16">
        <v>1999</v>
      </c>
      <c r="R4848" s="17">
        <v>45</v>
      </c>
      <c r="S4848" s="18">
        <v>1264.3675000000001</v>
      </c>
      <c r="T4848" s="19" t="s">
        <v>117</v>
      </c>
      <c r="U4848" s="20" t="s">
        <v>91</v>
      </c>
      <c r="V4848" s="21">
        <v>134</v>
      </c>
      <c r="W4848" s="21">
        <v>2</v>
      </c>
      <c r="X4848" s="22"/>
    </row>
    <row r="4849" spans="1:24" s="1" customFormat="1" ht="11.1" customHeight="1" x14ac:dyDescent="0.3">
      <c r="A4849" s="23" t="s">
        <v>3014</v>
      </c>
      <c r="B4849" s="23" t="s">
        <v>4747</v>
      </c>
      <c r="C4849" s="12" t="s">
        <v>4751</v>
      </c>
      <c r="D4849" s="84"/>
      <c r="E4849" s="69" t="str">
        <f t="shared" si="254"/>
        <v>Еще фото</v>
      </c>
      <c r="F4849" s="13"/>
      <c r="G4849" s="23" t="s">
        <v>615</v>
      </c>
      <c r="H4849" s="23" t="s">
        <v>27</v>
      </c>
      <c r="I4849" s="23" t="s">
        <v>616</v>
      </c>
      <c r="J4849" s="14" t="s">
        <v>29</v>
      </c>
      <c r="K4849" s="15" t="s">
        <v>30</v>
      </c>
      <c r="L4849" s="87"/>
      <c r="M4849" s="14"/>
      <c r="N4849" s="14" t="s">
        <v>275</v>
      </c>
      <c r="O4849" s="14"/>
      <c r="P4849" s="15" t="s">
        <v>4749</v>
      </c>
      <c r="Q4849" s="16">
        <v>1999</v>
      </c>
      <c r="R4849" s="17">
        <v>45</v>
      </c>
      <c r="S4849" s="18">
        <v>1264.3675000000001</v>
      </c>
      <c r="T4849" s="19" t="s">
        <v>117</v>
      </c>
      <c r="U4849" s="20" t="s">
        <v>290</v>
      </c>
      <c r="V4849" s="21">
        <v>140</v>
      </c>
      <c r="W4849" s="21">
        <v>2</v>
      </c>
      <c r="X4849" s="22"/>
    </row>
    <row r="4850" spans="1:24" s="1" customFormat="1" ht="11.1" customHeight="1" x14ac:dyDescent="0.3">
      <c r="A4850" s="23" t="s">
        <v>3014</v>
      </c>
      <c r="B4850" s="23" t="s">
        <v>4747</v>
      </c>
      <c r="C4850" s="12" t="s">
        <v>4751</v>
      </c>
      <c r="D4850" s="84"/>
      <c r="E4850" s="69" t="str">
        <f t="shared" si="254"/>
        <v>Еще фото</v>
      </c>
      <c r="F4850" s="13"/>
      <c r="G4850" s="23" t="s">
        <v>615</v>
      </c>
      <c r="H4850" s="23" t="s">
        <v>27</v>
      </c>
      <c r="I4850" s="23" t="s">
        <v>616</v>
      </c>
      <c r="J4850" s="14" t="s">
        <v>29</v>
      </c>
      <c r="K4850" s="15" t="s">
        <v>30</v>
      </c>
      <c r="L4850" s="87"/>
      <c r="M4850" s="14"/>
      <c r="N4850" s="14" t="s">
        <v>275</v>
      </c>
      <c r="O4850" s="14"/>
      <c r="P4850" s="15" t="s">
        <v>4749</v>
      </c>
      <c r="Q4850" s="16">
        <v>1999</v>
      </c>
      <c r="R4850" s="17">
        <v>45</v>
      </c>
      <c r="S4850" s="18">
        <v>1264.3675000000001</v>
      </c>
      <c r="T4850" s="19" t="s">
        <v>117</v>
      </c>
      <c r="U4850" s="20" t="s">
        <v>2993</v>
      </c>
      <c r="V4850" s="21">
        <v>146</v>
      </c>
      <c r="W4850" s="21">
        <v>2</v>
      </c>
      <c r="X4850" s="22"/>
    </row>
    <row r="4851" spans="1:24" s="1" customFormat="1" ht="11.1" customHeight="1" x14ac:dyDescent="0.3">
      <c r="A4851" s="23" t="s">
        <v>3014</v>
      </c>
      <c r="B4851" s="23" t="s">
        <v>4747</v>
      </c>
      <c r="C4851" s="12" t="s">
        <v>4751</v>
      </c>
      <c r="D4851" s="84"/>
      <c r="E4851" s="69" t="str">
        <f t="shared" si="254"/>
        <v>Еще фото</v>
      </c>
      <c r="F4851" s="13"/>
      <c r="G4851" s="23" t="s">
        <v>615</v>
      </c>
      <c r="H4851" s="23" t="s">
        <v>27</v>
      </c>
      <c r="I4851" s="23" t="s">
        <v>616</v>
      </c>
      <c r="J4851" s="14" t="s">
        <v>29</v>
      </c>
      <c r="K4851" s="15" t="s">
        <v>30</v>
      </c>
      <c r="L4851" s="87"/>
      <c r="M4851" s="14"/>
      <c r="N4851" s="14" t="s">
        <v>275</v>
      </c>
      <c r="O4851" s="14"/>
      <c r="P4851" s="15" t="s">
        <v>4749</v>
      </c>
      <c r="Q4851" s="16">
        <v>1999</v>
      </c>
      <c r="R4851" s="17">
        <v>45</v>
      </c>
      <c r="S4851" s="18">
        <v>1264.3675000000001</v>
      </c>
      <c r="T4851" s="19" t="s">
        <v>117</v>
      </c>
      <c r="U4851" s="20" t="s">
        <v>2160</v>
      </c>
      <c r="V4851" s="21">
        <v>152</v>
      </c>
      <c r="W4851" s="21">
        <v>2</v>
      </c>
      <c r="X4851" s="22"/>
    </row>
    <row r="4852" spans="1:24" s="1" customFormat="1" ht="11.1" customHeight="1" x14ac:dyDescent="0.3">
      <c r="A4852" s="23" t="s">
        <v>3014</v>
      </c>
      <c r="B4852" s="23" t="s">
        <v>4747</v>
      </c>
      <c r="C4852" s="12" t="s">
        <v>4751</v>
      </c>
      <c r="D4852" s="84"/>
      <c r="E4852" s="69" t="str">
        <f t="shared" si="254"/>
        <v>Еще фото</v>
      </c>
      <c r="F4852" s="13"/>
      <c r="G4852" s="23" t="s">
        <v>615</v>
      </c>
      <c r="H4852" s="23" t="s">
        <v>27</v>
      </c>
      <c r="I4852" s="23" t="s">
        <v>616</v>
      </c>
      <c r="J4852" s="14" t="s">
        <v>29</v>
      </c>
      <c r="K4852" s="15" t="s">
        <v>30</v>
      </c>
      <c r="L4852" s="87"/>
      <c r="M4852" s="14"/>
      <c r="N4852" s="14" t="s">
        <v>275</v>
      </c>
      <c r="O4852" s="14"/>
      <c r="P4852" s="15" t="s">
        <v>4749</v>
      </c>
      <c r="Q4852" s="16">
        <v>1999</v>
      </c>
      <c r="R4852" s="17">
        <v>45</v>
      </c>
      <c r="S4852" s="18">
        <v>1264.3675000000001</v>
      </c>
      <c r="T4852" s="19" t="s">
        <v>117</v>
      </c>
      <c r="U4852" s="20" t="s">
        <v>3088</v>
      </c>
      <c r="V4852" s="21">
        <v>158</v>
      </c>
      <c r="W4852" s="21">
        <v>1</v>
      </c>
      <c r="X4852" s="22"/>
    </row>
    <row r="4853" spans="1:24" s="1" customFormat="1" ht="11.1" customHeight="1" x14ac:dyDescent="0.3">
      <c r="A4853" s="23" t="s">
        <v>3014</v>
      </c>
      <c r="B4853" s="23" t="s">
        <v>4747</v>
      </c>
      <c r="C4853" s="12" t="s">
        <v>4751</v>
      </c>
      <c r="D4853" s="85"/>
      <c r="E4853" s="69" t="str">
        <f t="shared" si="254"/>
        <v>Еще фото</v>
      </c>
      <c r="F4853" s="13"/>
      <c r="G4853" s="23" t="s">
        <v>615</v>
      </c>
      <c r="H4853" s="23" t="s">
        <v>27</v>
      </c>
      <c r="I4853" s="23" t="s">
        <v>616</v>
      </c>
      <c r="J4853" s="14" t="s">
        <v>29</v>
      </c>
      <c r="K4853" s="15" t="s">
        <v>30</v>
      </c>
      <c r="L4853" s="88"/>
      <c r="M4853" s="14"/>
      <c r="N4853" s="14" t="s">
        <v>275</v>
      </c>
      <c r="O4853" s="14"/>
      <c r="P4853" s="15" t="s">
        <v>4749</v>
      </c>
      <c r="Q4853" s="16">
        <v>1999</v>
      </c>
      <c r="R4853" s="17">
        <v>45</v>
      </c>
      <c r="S4853" s="18">
        <v>1264.3675000000001</v>
      </c>
      <c r="T4853" s="19" t="s">
        <v>117</v>
      </c>
      <c r="U4853" s="20" t="s">
        <v>2161</v>
      </c>
      <c r="V4853" s="21">
        <v>164</v>
      </c>
      <c r="W4853" s="21">
        <v>2</v>
      </c>
      <c r="X4853" s="22"/>
    </row>
    <row r="4854" spans="1:24" s="1" customFormat="1" ht="11.1" customHeight="1" x14ac:dyDescent="0.3">
      <c r="A4854" s="11" t="s">
        <v>3014</v>
      </c>
      <c r="B4854" s="11" t="s">
        <v>4747</v>
      </c>
      <c r="C4854" s="12" t="s">
        <v>4752</v>
      </c>
      <c r="D4854" s="83"/>
      <c r="E4854" s="69" t="str">
        <f t="shared" ref="E4854:E4862" si="255">HYPERLINK("https://www.google.ru/search?q=72206303-6140&amp;newwindow=1&amp;tbm=isch","Еще фото")</f>
        <v>Еще фото</v>
      </c>
      <c r="F4854" s="13"/>
      <c r="G4854" s="11" t="s">
        <v>615</v>
      </c>
      <c r="H4854" s="11" t="s">
        <v>27</v>
      </c>
      <c r="I4854" s="14" t="s">
        <v>616</v>
      </c>
      <c r="J4854" s="14" t="s">
        <v>29</v>
      </c>
      <c r="K4854" s="15" t="s">
        <v>30</v>
      </c>
      <c r="L4854" s="86"/>
      <c r="M4854" s="14"/>
      <c r="N4854" s="14" t="s">
        <v>265</v>
      </c>
      <c r="O4854" s="14"/>
      <c r="P4854" s="15" t="s">
        <v>4749</v>
      </c>
      <c r="Q4854" s="16">
        <v>1999</v>
      </c>
      <c r="R4854" s="17">
        <v>45</v>
      </c>
      <c r="S4854" s="18">
        <v>1264.3675000000001</v>
      </c>
      <c r="T4854" s="19" t="s">
        <v>117</v>
      </c>
      <c r="U4854" s="20" t="s">
        <v>35</v>
      </c>
      <c r="V4854" s="21">
        <v>116</v>
      </c>
      <c r="W4854" s="21">
        <v>2</v>
      </c>
      <c r="X4854" s="22"/>
    </row>
    <row r="4855" spans="1:24" s="1" customFormat="1" ht="11.1" customHeight="1" x14ac:dyDescent="0.3">
      <c r="A4855" s="23" t="s">
        <v>3014</v>
      </c>
      <c r="B4855" s="23" t="s">
        <v>4747</v>
      </c>
      <c r="C4855" s="12" t="s">
        <v>4752</v>
      </c>
      <c r="D4855" s="84"/>
      <c r="E4855" s="69" t="str">
        <f t="shared" si="255"/>
        <v>Еще фото</v>
      </c>
      <c r="F4855" s="13"/>
      <c r="G4855" s="23" t="s">
        <v>615</v>
      </c>
      <c r="H4855" s="23" t="s">
        <v>27</v>
      </c>
      <c r="I4855" s="23" t="s">
        <v>616</v>
      </c>
      <c r="J4855" s="14" t="s">
        <v>29</v>
      </c>
      <c r="K4855" s="15" t="s">
        <v>30</v>
      </c>
      <c r="L4855" s="87"/>
      <c r="M4855" s="14"/>
      <c r="N4855" s="14" t="s">
        <v>265</v>
      </c>
      <c r="O4855" s="14"/>
      <c r="P4855" s="15" t="s">
        <v>4749</v>
      </c>
      <c r="Q4855" s="16">
        <v>1999</v>
      </c>
      <c r="R4855" s="17">
        <v>45</v>
      </c>
      <c r="S4855" s="18">
        <v>1264.3675000000001</v>
      </c>
      <c r="T4855" s="19" t="s">
        <v>117</v>
      </c>
      <c r="U4855" s="20" t="s">
        <v>36</v>
      </c>
      <c r="V4855" s="21">
        <v>122</v>
      </c>
      <c r="W4855" s="21">
        <v>2</v>
      </c>
      <c r="X4855" s="22"/>
    </row>
    <row r="4856" spans="1:24" s="1" customFormat="1" ht="11.1" customHeight="1" x14ac:dyDescent="0.3">
      <c r="A4856" s="23" t="s">
        <v>3014</v>
      </c>
      <c r="B4856" s="23" t="s">
        <v>4747</v>
      </c>
      <c r="C4856" s="12" t="s">
        <v>4752</v>
      </c>
      <c r="D4856" s="84"/>
      <c r="E4856" s="69" t="str">
        <f t="shared" si="255"/>
        <v>Еще фото</v>
      </c>
      <c r="F4856" s="13"/>
      <c r="G4856" s="23" t="s">
        <v>615</v>
      </c>
      <c r="H4856" s="23" t="s">
        <v>27</v>
      </c>
      <c r="I4856" s="23" t="s">
        <v>616</v>
      </c>
      <c r="J4856" s="14" t="s">
        <v>29</v>
      </c>
      <c r="K4856" s="15" t="s">
        <v>30</v>
      </c>
      <c r="L4856" s="87"/>
      <c r="M4856" s="14"/>
      <c r="N4856" s="14" t="s">
        <v>265</v>
      </c>
      <c r="O4856" s="14"/>
      <c r="P4856" s="15" t="s">
        <v>4749</v>
      </c>
      <c r="Q4856" s="16">
        <v>1999</v>
      </c>
      <c r="R4856" s="17">
        <v>45</v>
      </c>
      <c r="S4856" s="18">
        <v>1264.3675000000001</v>
      </c>
      <c r="T4856" s="19" t="s">
        <v>117</v>
      </c>
      <c r="U4856" s="20" t="s">
        <v>37</v>
      </c>
      <c r="V4856" s="21">
        <v>128</v>
      </c>
      <c r="W4856" s="21">
        <v>2</v>
      </c>
      <c r="X4856" s="22"/>
    </row>
    <row r="4857" spans="1:24" s="1" customFormat="1" ht="11.1" customHeight="1" x14ac:dyDescent="0.3">
      <c r="A4857" s="23" t="s">
        <v>3014</v>
      </c>
      <c r="B4857" s="23" t="s">
        <v>4747</v>
      </c>
      <c r="C4857" s="12" t="s">
        <v>4752</v>
      </c>
      <c r="D4857" s="84"/>
      <c r="E4857" s="69" t="str">
        <f t="shared" si="255"/>
        <v>Еще фото</v>
      </c>
      <c r="F4857" s="13"/>
      <c r="G4857" s="23" t="s">
        <v>615</v>
      </c>
      <c r="H4857" s="23" t="s">
        <v>27</v>
      </c>
      <c r="I4857" s="23" t="s">
        <v>616</v>
      </c>
      <c r="J4857" s="14" t="s">
        <v>29</v>
      </c>
      <c r="K4857" s="15" t="s">
        <v>30</v>
      </c>
      <c r="L4857" s="87"/>
      <c r="M4857" s="14"/>
      <c r="N4857" s="14" t="s">
        <v>265</v>
      </c>
      <c r="O4857" s="14"/>
      <c r="P4857" s="15" t="s">
        <v>4749</v>
      </c>
      <c r="Q4857" s="16">
        <v>1999</v>
      </c>
      <c r="R4857" s="17">
        <v>45</v>
      </c>
      <c r="S4857" s="18">
        <v>1264.3675000000001</v>
      </c>
      <c r="T4857" s="19" t="s">
        <v>117</v>
      </c>
      <c r="U4857" s="20" t="s">
        <v>91</v>
      </c>
      <c r="V4857" s="21">
        <v>134</v>
      </c>
      <c r="W4857" s="21">
        <v>1</v>
      </c>
      <c r="X4857" s="22"/>
    </row>
    <row r="4858" spans="1:24" s="1" customFormat="1" ht="11.1" customHeight="1" x14ac:dyDescent="0.3">
      <c r="A4858" s="23" t="s">
        <v>3014</v>
      </c>
      <c r="B4858" s="23" t="s">
        <v>4747</v>
      </c>
      <c r="C4858" s="12" t="s">
        <v>4752</v>
      </c>
      <c r="D4858" s="84"/>
      <c r="E4858" s="69" t="str">
        <f t="shared" si="255"/>
        <v>Еще фото</v>
      </c>
      <c r="F4858" s="13"/>
      <c r="G4858" s="23" t="s">
        <v>615</v>
      </c>
      <c r="H4858" s="23" t="s">
        <v>27</v>
      </c>
      <c r="I4858" s="23" t="s">
        <v>616</v>
      </c>
      <c r="J4858" s="14" t="s">
        <v>29</v>
      </c>
      <c r="K4858" s="15" t="s">
        <v>30</v>
      </c>
      <c r="L4858" s="87"/>
      <c r="M4858" s="14"/>
      <c r="N4858" s="14" t="s">
        <v>265</v>
      </c>
      <c r="O4858" s="14"/>
      <c r="P4858" s="15" t="s">
        <v>4749</v>
      </c>
      <c r="Q4858" s="16">
        <v>1999</v>
      </c>
      <c r="R4858" s="17">
        <v>45</v>
      </c>
      <c r="S4858" s="18">
        <v>1264.3675000000001</v>
      </c>
      <c r="T4858" s="19" t="s">
        <v>117</v>
      </c>
      <c r="U4858" s="20" t="s">
        <v>290</v>
      </c>
      <c r="V4858" s="21">
        <v>140</v>
      </c>
      <c r="W4858" s="21">
        <v>2</v>
      </c>
      <c r="X4858" s="22"/>
    </row>
    <row r="4859" spans="1:24" s="1" customFormat="1" ht="11.1" customHeight="1" x14ac:dyDescent="0.3">
      <c r="A4859" s="23" t="s">
        <v>3014</v>
      </c>
      <c r="B4859" s="23" t="s">
        <v>4747</v>
      </c>
      <c r="C4859" s="12" t="s">
        <v>4752</v>
      </c>
      <c r="D4859" s="84"/>
      <c r="E4859" s="69" t="str">
        <f t="shared" si="255"/>
        <v>Еще фото</v>
      </c>
      <c r="F4859" s="13"/>
      <c r="G4859" s="23" t="s">
        <v>615</v>
      </c>
      <c r="H4859" s="23" t="s">
        <v>27</v>
      </c>
      <c r="I4859" s="23" t="s">
        <v>616</v>
      </c>
      <c r="J4859" s="14" t="s">
        <v>29</v>
      </c>
      <c r="K4859" s="15" t="s">
        <v>30</v>
      </c>
      <c r="L4859" s="87"/>
      <c r="M4859" s="14"/>
      <c r="N4859" s="14" t="s">
        <v>265</v>
      </c>
      <c r="O4859" s="14"/>
      <c r="P4859" s="15" t="s">
        <v>4749</v>
      </c>
      <c r="Q4859" s="16">
        <v>1999</v>
      </c>
      <c r="R4859" s="17">
        <v>45</v>
      </c>
      <c r="S4859" s="18">
        <v>1264.3675000000001</v>
      </c>
      <c r="T4859" s="19" t="s">
        <v>117</v>
      </c>
      <c r="U4859" s="20" t="s">
        <v>2993</v>
      </c>
      <c r="V4859" s="21">
        <v>146</v>
      </c>
      <c r="W4859" s="21">
        <v>2</v>
      </c>
      <c r="X4859" s="22"/>
    </row>
    <row r="4860" spans="1:24" s="1" customFormat="1" ht="11.1" customHeight="1" x14ac:dyDescent="0.3">
      <c r="A4860" s="23" t="s">
        <v>3014</v>
      </c>
      <c r="B4860" s="23" t="s">
        <v>4747</v>
      </c>
      <c r="C4860" s="12" t="s">
        <v>4752</v>
      </c>
      <c r="D4860" s="84"/>
      <c r="E4860" s="69" t="str">
        <f t="shared" si="255"/>
        <v>Еще фото</v>
      </c>
      <c r="F4860" s="13"/>
      <c r="G4860" s="23" t="s">
        <v>615</v>
      </c>
      <c r="H4860" s="23" t="s">
        <v>27</v>
      </c>
      <c r="I4860" s="23" t="s">
        <v>616</v>
      </c>
      <c r="J4860" s="14" t="s">
        <v>29</v>
      </c>
      <c r="K4860" s="15" t="s">
        <v>30</v>
      </c>
      <c r="L4860" s="87"/>
      <c r="M4860" s="14"/>
      <c r="N4860" s="14" t="s">
        <v>265</v>
      </c>
      <c r="O4860" s="14"/>
      <c r="P4860" s="15" t="s">
        <v>4749</v>
      </c>
      <c r="Q4860" s="16">
        <v>1999</v>
      </c>
      <c r="R4860" s="17">
        <v>45</v>
      </c>
      <c r="S4860" s="18">
        <v>1264.3675000000001</v>
      </c>
      <c r="T4860" s="19" t="s">
        <v>117</v>
      </c>
      <c r="U4860" s="20" t="s">
        <v>2160</v>
      </c>
      <c r="V4860" s="21">
        <v>152</v>
      </c>
      <c r="W4860" s="21">
        <v>2</v>
      </c>
      <c r="X4860" s="22"/>
    </row>
    <row r="4861" spans="1:24" s="1" customFormat="1" ht="11.1" customHeight="1" x14ac:dyDescent="0.3">
      <c r="A4861" s="23" t="s">
        <v>3014</v>
      </c>
      <c r="B4861" s="23" t="s">
        <v>4747</v>
      </c>
      <c r="C4861" s="12" t="s">
        <v>4752</v>
      </c>
      <c r="D4861" s="84"/>
      <c r="E4861" s="69" t="str">
        <f t="shared" si="255"/>
        <v>Еще фото</v>
      </c>
      <c r="F4861" s="13"/>
      <c r="G4861" s="23" t="s">
        <v>615</v>
      </c>
      <c r="H4861" s="23" t="s">
        <v>27</v>
      </c>
      <c r="I4861" s="23" t="s">
        <v>616</v>
      </c>
      <c r="J4861" s="14" t="s">
        <v>29</v>
      </c>
      <c r="K4861" s="15" t="s">
        <v>30</v>
      </c>
      <c r="L4861" s="87"/>
      <c r="M4861" s="14"/>
      <c r="N4861" s="14" t="s">
        <v>265</v>
      </c>
      <c r="O4861" s="14"/>
      <c r="P4861" s="15" t="s">
        <v>4749</v>
      </c>
      <c r="Q4861" s="16">
        <v>1999</v>
      </c>
      <c r="R4861" s="17">
        <v>45</v>
      </c>
      <c r="S4861" s="18">
        <v>1264.3675000000001</v>
      </c>
      <c r="T4861" s="19" t="s">
        <v>117</v>
      </c>
      <c r="U4861" s="20" t="s">
        <v>3088</v>
      </c>
      <c r="V4861" s="21">
        <v>158</v>
      </c>
      <c r="W4861" s="21">
        <v>2</v>
      </c>
      <c r="X4861" s="22"/>
    </row>
    <row r="4862" spans="1:24" s="1" customFormat="1" ht="11.1" customHeight="1" x14ac:dyDescent="0.3">
      <c r="A4862" s="23" t="s">
        <v>3014</v>
      </c>
      <c r="B4862" s="23" t="s">
        <v>4747</v>
      </c>
      <c r="C4862" s="12" t="s">
        <v>4752</v>
      </c>
      <c r="D4862" s="85"/>
      <c r="E4862" s="69" t="str">
        <f t="shared" si="255"/>
        <v>Еще фото</v>
      </c>
      <c r="F4862" s="13"/>
      <c r="G4862" s="23" t="s">
        <v>615</v>
      </c>
      <c r="H4862" s="23" t="s">
        <v>27</v>
      </c>
      <c r="I4862" s="23" t="s">
        <v>616</v>
      </c>
      <c r="J4862" s="14" t="s">
        <v>29</v>
      </c>
      <c r="K4862" s="15" t="s">
        <v>30</v>
      </c>
      <c r="L4862" s="88"/>
      <c r="M4862" s="14"/>
      <c r="N4862" s="14" t="s">
        <v>265</v>
      </c>
      <c r="O4862" s="14"/>
      <c r="P4862" s="15" t="s">
        <v>4749</v>
      </c>
      <c r="Q4862" s="16">
        <v>1999</v>
      </c>
      <c r="R4862" s="17">
        <v>45</v>
      </c>
      <c r="S4862" s="18">
        <v>1264.3675000000001</v>
      </c>
      <c r="T4862" s="19" t="s">
        <v>117</v>
      </c>
      <c r="U4862" s="20" t="s">
        <v>2161</v>
      </c>
      <c r="V4862" s="21">
        <v>164</v>
      </c>
      <c r="W4862" s="21">
        <v>2</v>
      </c>
      <c r="X4862" s="22"/>
    </row>
    <row r="4863" spans="1:24" s="1" customFormat="1" ht="11.1" customHeight="1" x14ac:dyDescent="0.3">
      <c r="A4863" s="11" t="s">
        <v>3014</v>
      </c>
      <c r="B4863" s="11" t="s">
        <v>4747</v>
      </c>
      <c r="C4863" s="12" t="s">
        <v>4753</v>
      </c>
      <c r="D4863" s="83"/>
      <c r="E4863" s="69" t="str">
        <f t="shared" ref="E4863:E4872" si="256">HYPERLINK("https://www.google.ru/search?q=72206303-8070&amp;newwindow=1&amp;tbm=isch","Еще фото")</f>
        <v>Еще фото</v>
      </c>
      <c r="F4863" s="13"/>
      <c r="G4863" s="11" t="s">
        <v>615</v>
      </c>
      <c r="H4863" s="11" t="s">
        <v>27</v>
      </c>
      <c r="I4863" s="14" t="s">
        <v>616</v>
      </c>
      <c r="J4863" s="14" t="s">
        <v>29</v>
      </c>
      <c r="K4863" s="15" t="s">
        <v>30</v>
      </c>
      <c r="L4863" s="86"/>
      <c r="M4863" s="14"/>
      <c r="N4863" s="14" t="s">
        <v>242</v>
      </c>
      <c r="O4863" s="14"/>
      <c r="P4863" s="15" t="s">
        <v>4749</v>
      </c>
      <c r="Q4863" s="16">
        <v>1999</v>
      </c>
      <c r="R4863" s="17">
        <v>45</v>
      </c>
      <c r="S4863" s="18">
        <v>1264.3675000000001</v>
      </c>
      <c r="T4863" s="19" t="s">
        <v>117</v>
      </c>
      <c r="U4863" s="20" t="s">
        <v>94</v>
      </c>
      <c r="V4863" s="21">
        <v>104</v>
      </c>
      <c r="W4863" s="21">
        <v>2</v>
      </c>
      <c r="X4863" s="22"/>
    </row>
    <row r="4864" spans="1:24" s="1" customFormat="1" ht="11.1" customHeight="1" x14ac:dyDescent="0.3">
      <c r="A4864" s="23" t="s">
        <v>3014</v>
      </c>
      <c r="B4864" s="23" t="s">
        <v>4747</v>
      </c>
      <c r="C4864" s="12" t="s">
        <v>4753</v>
      </c>
      <c r="D4864" s="84"/>
      <c r="E4864" s="69" t="str">
        <f t="shared" si="256"/>
        <v>Еще фото</v>
      </c>
      <c r="F4864" s="13"/>
      <c r="G4864" s="23" t="s">
        <v>615</v>
      </c>
      <c r="H4864" s="23" t="s">
        <v>27</v>
      </c>
      <c r="I4864" s="23" t="s">
        <v>616</v>
      </c>
      <c r="J4864" s="14" t="s">
        <v>29</v>
      </c>
      <c r="K4864" s="15" t="s">
        <v>30</v>
      </c>
      <c r="L4864" s="87"/>
      <c r="M4864" s="14"/>
      <c r="N4864" s="14" t="s">
        <v>242</v>
      </c>
      <c r="O4864" s="14"/>
      <c r="P4864" s="15" t="s">
        <v>4749</v>
      </c>
      <c r="Q4864" s="16">
        <v>1999</v>
      </c>
      <c r="R4864" s="17">
        <v>45</v>
      </c>
      <c r="S4864" s="18">
        <v>1264.3675000000001</v>
      </c>
      <c r="T4864" s="19" t="s">
        <v>117</v>
      </c>
      <c r="U4864" s="20" t="s">
        <v>43</v>
      </c>
      <c r="V4864" s="21">
        <v>110</v>
      </c>
      <c r="W4864" s="21">
        <v>2</v>
      </c>
      <c r="X4864" s="22"/>
    </row>
    <row r="4865" spans="1:24" s="1" customFormat="1" ht="11.1" customHeight="1" x14ac:dyDescent="0.3">
      <c r="A4865" s="23" t="s">
        <v>3014</v>
      </c>
      <c r="B4865" s="23" t="s">
        <v>4747</v>
      </c>
      <c r="C4865" s="12" t="s">
        <v>4753</v>
      </c>
      <c r="D4865" s="84"/>
      <c r="E4865" s="69" t="str">
        <f t="shared" si="256"/>
        <v>Еще фото</v>
      </c>
      <c r="F4865" s="13"/>
      <c r="G4865" s="23" t="s">
        <v>615</v>
      </c>
      <c r="H4865" s="23" t="s">
        <v>27</v>
      </c>
      <c r="I4865" s="23" t="s">
        <v>616</v>
      </c>
      <c r="J4865" s="14" t="s">
        <v>29</v>
      </c>
      <c r="K4865" s="15" t="s">
        <v>30</v>
      </c>
      <c r="L4865" s="87"/>
      <c r="M4865" s="14"/>
      <c r="N4865" s="14" t="s">
        <v>242</v>
      </c>
      <c r="O4865" s="14"/>
      <c r="P4865" s="15" t="s">
        <v>4749</v>
      </c>
      <c r="Q4865" s="16">
        <v>1999</v>
      </c>
      <c r="R4865" s="17">
        <v>45</v>
      </c>
      <c r="S4865" s="18">
        <v>1264.3675000000001</v>
      </c>
      <c r="T4865" s="19" t="s">
        <v>117</v>
      </c>
      <c r="U4865" s="20" t="s">
        <v>35</v>
      </c>
      <c r="V4865" s="21">
        <v>116</v>
      </c>
      <c r="W4865" s="21">
        <v>2</v>
      </c>
      <c r="X4865" s="22"/>
    </row>
    <row r="4866" spans="1:24" s="1" customFormat="1" ht="11.1" customHeight="1" x14ac:dyDescent="0.3">
      <c r="A4866" s="23" t="s">
        <v>3014</v>
      </c>
      <c r="B4866" s="23" t="s">
        <v>4747</v>
      </c>
      <c r="C4866" s="12" t="s">
        <v>4753</v>
      </c>
      <c r="D4866" s="84"/>
      <c r="E4866" s="69" t="str">
        <f t="shared" si="256"/>
        <v>Еще фото</v>
      </c>
      <c r="F4866" s="13"/>
      <c r="G4866" s="23" t="s">
        <v>615</v>
      </c>
      <c r="H4866" s="23" t="s">
        <v>27</v>
      </c>
      <c r="I4866" s="23" t="s">
        <v>616</v>
      </c>
      <c r="J4866" s="14" t="s">
        <v>29</v>
      </c>
      <c r="K4866" s="15" t="s">
        <v>30</v>
      </c>
      <c r="L4866" s="87"/>
      <c r="M4866" s="14"/>
      <c r="N4866" s="14" t="s">
        <v>242</v>
      </c>
      <c r="O4866" s="14"/>
      <c r="P4866" s="15" t="s">
        <v>4749</v>
      </c>
      <c r="Q4866" s="16">
        <v>1999</v>
      </c>
      <c r="R4866" s="17">
        <v>45</v>
      </c>
      <c r="S4866" s="18">
        <v>1264.3675000000001</v>
      </c>
      <c r="T4866" s="19" t="s">
        <v>117</v>
      </c>
      <c r="U4866" s="20" t="s">
        <v>36</v>
      </c>
      <c r="V4866" s="21">
        <v>122</v>
      </c>
      <c r="W4866" s="21">
        <v>2</v>
      </c>
      <c r="X4866" s="22"/>
    </row>
    <row r="4867" spans="1:24" s="1" customFormat="1" ht="11.1" customHeight="1" x14ac:dyDescent="0.3">
      <c r="A4867" s="23" t="s">
        <v>3014</v>
      </c>
      <c r="B4867" s="23" t="s">
        <v>4747</v>
      </c>
      <c r="C4867" s="12" t="s">
        <v>4753</v>
      </c>
      <c r="D4867" s="84"/>
      <c r="E4867" s="69" t="str">
        <f t="shared" si="256"/>
        <v>Еще фото</v>
      </c>
      <c r="F4867" s="13"/>
      <c r="G4867" s="23" t="s">
        <v>615</v>
      </c>
      <c r="H4867" s="23" t="s">
        <v>27</v>
      </c>
      <c r="I4867" s="23" t="s">
        <v>616</v>
      </c>
      <c r="J4867" s="14" t="s">
        <v>29</v>
      </c>
      <c r="K4867" s="15" t="s">
        <v>30</v>
      </c>
      <c r="L4867" s="87"/>
      <c r="M4867" s="14"/>
      <c r="N4867" s="14" t="s">
        <v>242</v>
      </c>
      <c r="O4867" s="14"/>
      <c r="P4867" s="15" t="s">
        <v>4749</v>
      </c>
      <c r="Q4867" s="16">
        <v>1999</v>
      </c>
      <c r="R4867" s="17">
        <v>45</v>
      </c>
      <c r="S4867" s="18">
        <v>1264.3675000000001</v>
      </c>
      <c r="T4867" s="19" t="s">
        <v>117</v>
      </c>
      <c r="U4867" s="20" t="s">
        <v>37</v>
      </c>
      <c r="V4867" s="21">
        <v>128</v>
      </c>
      <c r="W4867" s="21">
        <v>2</v>
      </c>
      <c r="X4867" s="22"/>
    </row>
    <row r="4868" spans="1:24" s="1" customFormat="1" ht="11.1" customHeight="1" x14ac:dyDescent="0.3">
      <c r="A4868" s="23" t="s">
        <v>3014</v>
      </c>
      <c r="B4868" s="23" t="s">
        <v>4747</v>
      </c>
      <c r="C4868" s="12" t="s">
        <v>4753</v>
      </c>
      <c r="D4868" s="84"/>
      <c r="E4868" s="69" t="str">
        <f t="shared" si="256"/>
        <v>Еще фото</v>
      </c>
      <c r="F4868" s="13"/>
      <c r="G4868" s="23" t="s">
        <v>615</v>
      </c>
      <c r="H4868" s="23" t="s">
        <v>27</v>
      </c>
      <c r="I4868" s="23" t="s">
        <v>616</v>
      </c>
      <c r="J4868" s="14" t="s">
        <v>29</v>
      </c>
      <c r="K4868" s="15" t="s">
        <v>30</v>
      </c>
      <c r="L4868" s="87"/>
      <c r="M4868" s="14"/>
      <c r="N4868" s="14" t="s">
        <v>242</v>
      </c>
      <c r="O4868" s="14"/>
      <c r="P4868" s="15" t="s">
        <v>4749</v>
      </c>
      <c r="Q4868" s="16">
        <v>1999</v>
      </c>
      <c r="R4868" s="17">
        <v>45</v>
      </c>
      <c r="S4868" s="18">
        <v>1264.3675000000001</v>
      </c>
      <c r="T4868" s="19" t="s">
        <v>117</v>
      </c>
      <c r="U4868" s="20" t="s">
        <v>91</v>
      </c>
      <c r="V4868" s="21">
        <v>134</v>
      </c>
      <c r="W4868" s="21">
        <v>2</v>
      </c>
      <c r="X4868" s="22"/>
    </row>
    <row r="4869" spans="1:24" s="1" customFormat="1" ht="11.1" customHeight="1" x14ac:dyDescent="0.3">
      <c r="A4869" s="23" t="s">
        <v>3014</v>
      </c>
      <c r="B4869" s="23" t="s">
        <v>4747</v>
      </c>
      <c r="C4869" s="12" t="s">
        <v>4753</v>
      </c>
      <c r="D4869" s="84"/>
      <c r="E4869" s="69" t="str">
        <f t="shared" si="256"/>
        <v>Еще фото</v>
      </c>
      <c r="F4869" s="13"/>
      <c r="G4869" s="23" t="s">
        <v>615</v>
      </c>
      <c r="H4869" s="23" t="s">
        <v>27</v>
      </c>
      <c r="I4869" s="23" t="s">
        <v>616</v>
      </c>
      <c r="J4869" s="14" t="s">
        <v>29</v>
      </c>
      <c r="K4869" s="15" t="s">
        <v>30</v>
      </c>
      <c r="L4869" s="87"/>
      <c r="M4869" s="14"/>
      <c r="N4869" s="14" t="s">
        <v>242</v>
      </c>
      <c r="O4869" s="14"/>
      <c r="P4869" s="15" t="s">
        <v>4749</v>
      </c>
      <c r="Q4869" s="16">
        <v>1999</v>
      </c>
      <c r="R4869" s="17">
        <v>45</v>
      </c>
      <c r="S4869" s="18">
        <v>1264.3675000000001</v>
      </c>
      <c r="T4869" s="19" t="s">
        <v>117</v>
      </c>
      <c r="U4869" s="20" t="s">
        <v>290</v>
      </c>
      <c r="V4869" s="21">
        <v>140</v>
      </c>
      <c r="W4869" s="21">
        <v>2</v>
      </c>
      <c r="X4869" s="22"/>
    </row>
    <row r="4870" spans="1:24" s="1" customFormat="1" ht="11.1" customHeight="1" x14ac:dyDescent="0.3">
      <c r="A4870" s="23" t="s">
        <v>3014</v>
      </c>
      <c r="B4870" s="23" t="s">
        <v>4747</v>
      </c>
      <c r="C4870" s="12" t="s">
        <v>4753</v>
      </c>
      <c r="D4870" s="84"/>
      <c r="E4870" s="69" t="str">
        <f t="shared" si="256"/>
        <v>Еще фото</v>
      </c>
      <c r="F4870" s="13"/>
      <c r="G4870" s="23" t="s">
        <v>615</v>
      </c>
      <c r="H4870" s="23" t="s">
        <v>27</v>
      </c>
      <c r="I4870" s="23" t="s">
        <v>616</v>
      </c>
      <c r="J4870" s="14" t="s">
        <v>29</v>
      </c>
      <c r="K4870" s="15" t="s">
        <v>30</v>
      </c>
      <c r="L4870" s="87"/>
      <c r="M4870" s="14"/>
      <c r="N4870" s="14" t="s">
        <v>242</v>
      </c>
      <c r="O4870" s="14"/>
      <c r="P4870" s="15" t="s">
        <v>4749</v>
      </c>
      <c r="Q4870" s="16">
        <v>1999</v>
      </c>
      <c r="R4870" s="17">
        <v>45</v>
      </c>
      <c r="S4870" s="18">
        <v>1264.3675000000001</v>
      </c>
      <c r="T4870" s="19" t="s">
        <v>117</v>
      </c>
      <c r="U4870" s="20" t="s">
        <v>2993</v>
      </c>
      <c r="V4870" s="21">
        <v>146</v>
      </c>
      <c r="W4870" s="21">
        <v>2</v>
      </c>
      <c r="X4870" s="22"/>
    </row>
    <row r="4871" spans="1:24" s="1" customFormat="1" ht="11.1" customHeight="1" x14ac:dyDescent="0.3">
      <c r="A4871" s="23" t="s">
        <v>3014</v>
      </c>
      <c r="B4871" s="23" t="s">
        <v>4747</v>
      </c>
      <c r="C4871" s="12" t="s">
        <v>4753</v>
      </c>
      <c r="D4871" s="84"/>
      <c r="E4871" s="69" t="str">
        <f t="shared" si="256"/>
        <v>Еще фото</v>
      </c>
      <c r="F4871" s="13"/>
      <c r="G4871" s="23" t="s">
        <v>615</v>
      </c>
      <c r="H4871" s="23" t="s">
        <v>27</v>
      </c>
      <c r="I4871" s="23" t="s">
        <v>616</v>
      </c>
      <c r="J4871" s="14" t="s">
        <v>29</v>
      </c>
      <c r="K4871" s="15" t="s">
        <v>30</v>
      </c>
      <c r="L4871" s="87"/>
      <c r="M4871" s="14"/>
      <c r="N4871" s="14" t="s">
        <v>242</v>
      </c>
      <c r="O4871" s="14"/>
      <c r="P4871" s="15" t="s">
        <v>4749</v>
      </c>
      <c r="Q4871" s="16">
        <v>1999</v>
      </c>
      <c r="R4871" s="17">
        <v>45</v>
      </c>
      <c r="S4871" s="18">
        <v>1264.3675000000001</v>
      </c>
      <c r="T4871" s="19" t="s">
        <v>117</v>
      </c>
      <c r="U4871" s="20" t="s">
        <v>2160</v>
      </c>
      <c r="V4871" s="21">
        <v>152</v>
      </c>
      <c r="W4871" s="21">
        <v>1</v>
      </c>
      <c r="X4871" s="22"/>
    </row>
    <row r="4872" spans="1:24" s="1" customFormat="1" ht="11.1" customHeight="1" x14ac:dyDescent="0.3">
      <c r="A4872" s="14" t="s">
        <v>3014</v>
      </c>
      <c r="B4872" s="14" t="s">
        <v>4747</v>
      </c>
      <c r="C4872" s="12" t="s">
        <v>4753</v>
      </c>
      <c r="D4872" s="85"/>
      <c r="E4872" s="69" t="str">
        <f t="shared" si="256"/>
        <v>Еще фото</v>
      </c>
      <c r="F4872" s="36"/>
      <c r="G4872" s="14" t="s">
        <v>615</v>
      </c>
      <c r="H4872" s="14" t="s">
        <v>27</v>
      </c>
      <c r="I4872" s="14" t="s">
        <v>616</v>
      </c>
      <c r="J4872" s="14" t="s">
        <v>29</v>
      </c>
      <c r="K4872" s="14" t="s">
        <v>30</v>
      </c>
      <c r="L4872" s="88"/>
      <c r="M4872" s="14"/>
      <c r="N4872" s="14" t="s">
        <v>242</v>
      </c>
      <c r="O4872" s="14"/>
      <c r="P4872" s="14" t="s">
        <v>4749</v>
      </c>
      <c r="Q4872" s="33">
        <v>1999</v>
      </c>
      <c r="R4872" s="34">
        <v>45</v>
      </c>
      <c r="S4872" s="35">
        <v>1264.3675000000001</v>
      </c>
      <c r="T4872" s="19" t="s">
        <v>117</v>
      </c>
      <c r="U4872" s="20" t="s">
        <v>3088</v>
      </c>
      <c r="V4872" s="21">
        <v>158</v>
      </c>
      <c r="W4872" s="21">
        <v>2</v>
      </c>
      <c r="X4872" s="22"/>
    </row>
    <row r="4873" spans="1:24" s="1" customFormat="1" ht="35.1" customHeight="1" x14ac:dyDescent="0.3">
      <c r="A4873" s="11" t="s">
        <v>3014</v>
      </c>
      <c r="B4873" s="11" t="s">
        <v>4754</v>
      </c>
      <c r="C4873" s="12" t="s">
        <v>4755</v>
      </c>
      <c r="D4873" s="83"/>
      <c r="E4873" s="69" t="str">
        <f>HYPERLINK("https://www.google.ru/search?q=72206306-0100&amp;newwindow=1&amp;tbm=isch","Еще фото")</f>
        <v>Еще фото</v>
      </c>
      <c r="F4873" s="13"/>
      <c r="G4873" s="11" t="s">
        <v>1297</v>
      </c>
      <c r="H4873" s="11" t="s">
        <v>27</v>
      </c>
      <c r="I4873" s="14" t="s">
        <v>616</v>
      </c>
      <c r="J4873" s="14" t="s">
        <v>29</v>
      </c>
      <c r="K4873" s="15" t="s">
        <v>30</v>
      </c>
      <c r="L4873" s="86"/>
      <c r="M4873" s="14"/>
      <c r="N4873" s="14" t="s">
        <v>89</v>
      </c>
      <c r="O4873" s="14"/>
      <c r="P4873" s="15" t="s">
        <v>4756</v>
      </c>
      <c r="Q4873" s="16">
        <v>2999</v>
      </c>
      <c r="R4873" s="17">
        <v>45</v>
      </c>
      <c r="S4873" s="18">
        <v>1896.8674999999998</v>
      </c>
      <c r="T4873" s="19" t="s">
        <v>117</v>
      </c>
      <c r="U4873" s="20" t="s">
        <v>35</v>
      </c>
      <c r="V4873" s="21">
        <v>116</v>
      </c>
      <c r="W4873" s="21">
        <v>3</v>
      </c>
      <c r="X4873" s="22"/>
    </row>
    <row r="4874" spans="1:24" s="1" customFormat="1" ht="35.1" customHeight="1" x14ac:dyDescent="0.3">
      <c r="A4874" s="23" t="s">
        <v>3014</v>
      </c>
      <c r="B4874" s="23" t="s">
        <v>4754</v>
      </c>
      <c r="C4874" s="12" t="s">
        <v>4755</v>
      </c>
      <c r="D4874" s="84"/>
      <c r="E4874" s="69" t="str">
        <f>HYPERLINK("https://www.google.ru/search?q=72206306-0100&amp;newwindow=1&amp;tbm=isch","Еще фото")</f>
        <v>Еще фото</v>
      </c>
      <c r="F4874" s="13"/>
      <c r="G4874" s="23" t="s">
        <v>1297</v>
      </c>
      <c r="H4874" s="23" t="s">
        <v>27</v>
      </c>
      <c r="I4874" s="23" t="s">
        <v>616</v>
      </c>
      <c r="J4874" s="14" t="s">
        <v>29</v>
      </c>
      <c r="K4874" s="15" t="s">
        <v>30</v>
      </c>
      <c r="L4874" s="87"/>
      <c r="M4874" s="14"/>
      <c r="N4874" s="14" t="s">
        <v>89</v>
      </c>
      <c r="O4874" s="14"/>
      <c r="P4874" s="15" t="s">
        <v>4756</v>
      </c>
      <c r="Q4874" s="16">
        <v>2999</v>
      </c>
      <c r="R4874" s="17">
        <v>45</v>
      </c>
      <c r="S4874" s="18">
        <v>1896.8674999999998</v>
      </c>
      <c r="T4874" s="19" t="s">
        <v>117</v>
      </c>
      <c r="U4874" s="20" t="s">
        <v>36</v>
      </c>
      <c r="V4874" s="21">
        <v>122</v>
      </c>
      <c r="W4874" s="21">
        <v>3</v>
      </c>
      <c r="X4874" s="22"/>
    </row>
    <row r="4875" spans="1:24" s="1" customFormat="1" ht="36.950000000000003" customHeight="1" x14ac:dyDescent="0.3">
      <c r="A4875" s="23" t="s">
        <v>3014</v>
      </c>
      <c r="B4875" s="23" t="s">
        <v>4754</v>
      </c>
      <c r="C4875" s="12" t="s">
        <v>4755</v>
      </c>
      <c r="D4875" s="85"/>
      <c r="E4875" s="69" t="str">
        <f>HYPERLINK("https://www.google.ru/search?q=72206306-0100&amp;newwindow=1&amp;tbm=isch","Еще фото")</f>
        <v>Еще фото</v>
      </c>
      <c r="F4875" s="13"/>
      <c r="G4875" s="23" t="s">
        <v>1297</v>
      </c>
      <c r="H4875" s="23" t="s">
        <v>27</v>
      </c>
      <c r="I4875" s="23" t="s">
        <v>616</v>
      </c>
      <c r="J4875" s="14" t="s">
        <v>29</v>
      </c>
      <c r="K4875" s="15" t="s">
        <v>30</v>
      </c>
      <c r="L4875" s="88"/>
      <c r="M4875" s="14"/>
      <c r="N4875" s="14" t="s">
        <v>89</v>
      </c>
      <c r="O4875" s="14"/>
      <c r="P4875" s="15" t="s">
        <v>4756</v>
      </c>
      <c r="Q4875" s="16">
        <v>2999</v>
      </c>
      <c r="R4875" s="17">
        <v>45</v>
      </c>
      <c r="S4875" s="18">
        <v>1896.8674999999998</v>
      </c>
      <c r="T4875" s="19" t="s">
        <v>117</v>
      </c>
      <c r="U4875" s="20" t="s">
        <v>37</v>
      </c>
      <c r="V4875" s="21">
        <v>128</v>
      </c>
      <c r="W4875" s="21">
        <v>1</v>
      </c>
      <c r="X4875" s="22"/>
    </row>
    <row r="4876" spans="1:24" s="1" customFormat="1" ht="11.1" customHeight="1" x14ac:dyDescent="0.3">
      <c r="A4876" s="11" t="s">
        <v>3014</v>
      </c>
      <c r="B4876" s="11" t="s">
        <v>4754</v>
      </c>
      <c r="C4876" s="12" t="s">
        <v>4757</v>
      </c>
      <c r="D4876" s="83"/>
      <c r="E4876" s="69" t="str">
        <f t="shared" ref="E4876:E4885" si="257">HYPERLINK("https://www.google.ru/search?q=72206306-6140&amp;newwindow=1&amp;tbm=isch","Еще фото")</f>
        <v>Еще фото</v>
      </c>
      <c r="F4876" s="13"/>
      <c r="G4876" s="11" t="s">
        <v>1297</v>
      </c>
      <c r="H4876" s="11" t="s">
        <v>27</v>
      </c>
      <c r="I4876" s="14" t="s">
        <v>616</v>
      </c>
      <c r="J4876" s="14" t="s">
        <v>29</v>
      </c>
      <c r="K4876" s="15" t="s">
        <v>30</v>
      </c>
      <c r="L4876" s="86"/>
      <c r="M4876" s="14"/>
      <c r="N4876" s="14" t="s">
        <v>265</v>
      </c>
      <c r="O4876" s="14"/>
      <c r="P4876" s="15" t="s">
        <v>4756</v>
      </c>
      <c r="Q4876" s="16">
        <v>2999</v>
      </c>
      <c r="R4876" s="17">
        <v>45</v>
      </c>
      <c r="S4876" s="18">
        <v>1896.8674999999998</v>
      </c>
      <c r="T4876" s="19" t="s">
        <v>117</v>
      </c>
      <c r="U4876" s="20" t="s">
        <v>94</v>
      </c>
      <c r="V4876" s="21">
        <v>104</v>
      </c>
      <c r="W4876" s="21">
        <v>2</v>
      </c>
      <c r="X4876" s="22"/>
    </row>
    <row r="4877" spans="1:24" s="1" customFormat="1" ht="11.1" customHeight="1" x14ac:dyDescent="0.3">
      <c r="A4877" s="23" t="s">
        <v>3014</v>
      </c>
      <c r="B4877" s="23" t="s">
        <v>4754</v>
      </c>
      <c r="C4877" s="12" t="s">
        <v>4757</v>
      </c>
      <c r="D4877" s="84"/>
      <c r="E4877" s="69" t="str">
        <f t="shared" si="257"/>
        <v>Еще фото</v>
      </c>
      <c r="F4877" s="13"/>
      <c r="G4877" s="23" t="s">
        <v>1297</v>
      </c>
      <c r="H4877" s="23" t="s">
        <v>27</v>
      </c>
      <c r="I4877" s="23" t="s">
        <v>616</v>
      </c>
      <c r="J4877" s="14" t="s">
        <v>29</v>
      </c>
      <c r="K4877" s="15" t="s">
        <v>30</v>
      </c>
      <c r="L4877" s="87"/>
      <c r="M4877" s="14"/>
      <c r="N4877" s="14" t="s">
        <v>265</v>
      </c>
      <c r="O4877" s="14"/>
      <c r="P4877" s="15" t="s">
        <v>4756</v>
      </c>
      <c r="Q4877" s="16">
        <v>2999</v>
      </c>
      <c r="R4877" s="17">
        <v>45</v>
      </c>
      <c r="S4877" s="18">
        <v>1896.8674999999998</v>
      </c>
      <c r="T4877" s="19" t="s">
        <v>117</v>
      </c>
      <c r="U4877" s="20" t="s">
        <v>43</v>
      </c>
      <c r="V4877" s="21">
        <v>110</v>
      </c>
      <c r="W4877" s="21">
        <v>2</v>
      </c>
      <c r="X4877" s="22"/>
    </row>
    <row r="4878" spans="1:24" s="1" customFormat="1" ht="11.1" customHeight="1" x14ac:dyDescent="0.3">
      <c r="A4878" s="23" t="s">
        <v>3014</v>
      </c>
      <c r="B4878" s="23" t="s">
        <v>4754</v>
      </c>
      <c r="C4878" s="12" t="s">
        <v>4757</v>
      </c>
      <c r="D4878" s="84"/>
      <c r="E4878" s="69" t="str">
        <f t="shared" si="257"/>
        <v>Еще фото</v>
      </c>
      <c r="F4878" s="13"/>
      <c r="G4878" s="23" t="s">
        <v>1297</v>
      </c>
      <c r="H4878" s="23" t="s">
        <v>27</v>
      </c>
      <c r="I4878" s="23" t="s">
        <v>616</v>
      </c>
      <c r="J4878" s="14" t="s">
        <v>29</v>
      </c>
      <c r="K4878" s="15" t="s">
        <v>30</v>
      </c>
      <c r="L4878" s="87"/>
      <c r="M4878" s="14"/>
      <c r="N4878" s="14" t="s">
        <v>265</v>
      </c>
      <c r="O4878" s="14"/>
      <c r="P4878" s="15" t="s">
        <v>4756</v>
      </c>
      <c r="Q4878" s="16">
        <v>2999</v>
      </c>
      <c r="R4878" s="17">
        <v>45</v>
      </c>
      <c r="S4878" s="18">
        <v>1896.8674999999998</v>
      </c>
      <c r="T4878" s="19" t="s">
        <v>117</v>
      </c>
      <c r="U4878" s="20" t="s">
        <v>35</v>
      </c>
      <c r="V4878" s="21">
        <v>116</v>
      </c>
      <c r="W4878" s="21">
        <v>2</v>
      </c>
      <c r="X4878" s="22"/>
    </row>
    <row r="4879" spans="1:24" s="1" customFormat="1" ht="11.1" customHeight="1" x14ac:dyDescent="0.3">
      <c r="A4879" s="23" t="s">
        <v>3014</v>
      </c>
      <c r="B4879" s="23" t="s">
        <v>4754</v>
      </c>
      <c r="C4879" s="12" t="s">
        <v>4757</v>
      </c>
      <c r="D4879" s="84"/>
      <c r="E4879" s="69" t="str">
        <f t="shared" si="257"/>
        <v>Еще фото</v>
      </c>
      <c r="F4879" s="13"/>
      <c r="G4879" s="23" t="s">
        <v>1297</v>
      </c>
      <c r="H4879" s="23" t="s">
        <v>27</v>
      </c>
      <c r="I4879" s="23" t="s">
        <v>616</v>
      </c>
      <c r="J4879" s="14" t="s">
        <v>29</v>
      </c>
      <c r="K4879" s="15" t="s">
        <v>30</v>
      </c>
      <c r="L4879" s="87"/>
      <c r="M4879" s="14"/>
      <c r="N4879" s="14" t="s">
        <v>265</v>
      </c>
      <c r="O4879" s="14"/>
      <c r="P4879" s="15" t="s">
        <v>4756</v>
      </c>
      <c r="Q4879" s="16">
        <v>2999</v>
      </c>
      <c r="R4879" s="17">
        <v>45</v>
      </c>
      <c r="S4879" s="18">
        <v>1896.8674999999998</v>
      </c>
      <c r="T4879" s="19" t="s">
        <v>117</v>
      </c>
      <c r="U4879" s="20" t="s">
        <v>36</v>
      </c>
      <c r="V4879" s="21">
        <v>122</v>
      </c>
      <c r="W4879" s="21">
        <v>2</v>
      </c>
      <c r="X4879" s="22"/>
    </row>
    <row r="4880" spans="1:24" s="1" customFormat="1" ht="11.1" customHeight="1" x14ac:dyDescent="0.3">
      <c r="A4880" s="23" t="s">
        <v>3014</v>
      </c>
      <c r="B4880" s="23" t="s">
        <v>4754</v>
      </c>
      <c r="C4880" s="12" t="s">
        <v>4757</v>
      </c>
      <c r="D4880" s="84"/>
      <c r="E4880" s="69" t="str">
        <f t="shared" si="257"/>
        <v>Еще фото</v>
      </c>
      <c r="F4880" s="13"/>
      <c r="G4880" s="23" t="s">
        <v>1297</v>
      </c>
      <c r="H4880" s="23" t="s">
        <v>27</v>
      </c>
      <c r="I4880" s="23" t="s">
        <v>616</v>
      </c>
      <c r="J4880" s="14" t="s">
        <v>29</v>
      </c>
      <c r="K4880" s="15" t="s">
        <v>30</v>
      </c>
      <c r="L4880" s="87"/>
      <c r="M4880" s="14"/>
      <c r="N4880" s="14" t="s">
        <v>265</v>
      </c>
      <c r="O4880" s="14"/>
      <c r="P4880" s="15" t="s">
        <v>4756</v>
      </c>
      <c r="Q4880" s="16">
        <v>2999</v>
      </c>
      <c r="R4880" s="17">
        <v>45</v>
      </c>
      <c r="S4880" s="18">
        <v>1896.8674999999998</v>
      </c>
      <c r="T4880" s="19" t="s">
        <v>117</v>
      </c>
      <c r="U4880" s="20" t="s">
        <v>37</v>
      </c>
      <c r="V4880" s="21">
        <v>128</v>
      </c>
      <c r="W4880" s="21">
        <v>8</v>
      </c>
      <c r="X4880" s="22"/>
    </row>
    <row r="4881" spans="1:24" s="1" customFormat="1" ht="11.1" customHeight="1" x14ac:dyDescent="0.3">
      <c r="A4881" s="23" t="s">
        <v>3014</v>
      </c>
      <c r="B4881" s="23" t="s">
        <v>4754</v>
      </c>
      <c r="C4881" s="12" t="s">
        <v>4757</v>
      </c>
      <c r="D4881" s="84"/>
      <c r="E4881" s="69" t="str">
        <f t="shared" si="257"/>
        <v>Еще фото</v>
      </c>
      <c r="F4881" s="13"/>
      <c r="G4881" s="23" t="s">
        <v>1297</v>
      </c>
      <c r="H4881" s="23" t="s">
        <v>27</v>
      </c>
      <c r="I4881" s="23" t="s">
        <v>616</v>
      </c>
      <c r="J4881" s="14" t="s">
        <v>29</v>
      </c>
      <c r="K4881" s="15" t="s">
        <v>30</v>
      </c>
      <c r="L4881" s="87"/>
      <c r="M4881" s="14"/>
      <c r="N4881" s="14" t="s">
        <v>265</v>
      </c>
      <c r="O4881" s="14"/>
      <c r="P4881" s="15" t="s">
        <v>4756</v>
      </c>
      <c r="Q4881" s="16">
        <v>2999</v>
      </c>
      <c r="R4881" s="17">
        <v>45</v>
      </c>
      <c r="S4881" s="18">
        <v>1896.8674999999998</v>
      </c>
      <c r="T4881" s="19" t="s">
        <v>117</v>
      </c>
      <c r="U4881" s="20" t="s">
        <v>91</v>
      </c>
      <c r="V4881" s="21">
        <v>134</v>
      </c>
      <c r="W4881" s="21">
        <v>12</v>
      </c>
      <c r="X4881" s="22"/>
    </row>
    <row r="4882" spans="1:24" s="1" customFormat="1" ht="11.1" customHeight="1" x14ac:dyDescent="0.3">
      <c r="A4882" s="23" t="s">
        <v>3014</v>
      </c>
      <c r="B4882" s="23" t="s">
        <v>4754</v>
      </c>
      <c r="C4882" s="12" t="s">
        <v>4757</v>
      </c>
      <c r="D4882" s="84"/>
      <c r="E4882" s="69" t="str">
        <f t="shared" si="257"/>
        <v>Еще фото</v>
      </c>
      <c r="F4882" s="13"/>
      <c r="G4882" s="23" t="s">
        <v>1297</v>
      </c>
      <c r="H4882" s="23" t="s">
        <v>27</v>
      </c>
      <c r="I4882" s="23" t="s">
        <v>616</v>
      </c>
      <c r="J4882" s="14" t="s">
        <v>29</v>
      </c>
      <c r="K4882" s="15" t="s">
        <v>30</v>
      </c>
      <c r="L4882" s="87"/>
      <c r="M4882" s="14"/>
      <c r="N4882" s="14" t="s">
        <v>265</v>
      </c>
      <c r="O4882" s="14"/>
      <c r="P4882" s="15" t="s">
        <v>4756</v>
      </c>
      <c r="Q4882" s="16">
        <v>2999</v>
      </c>
      <c r="R4882" s="17">
        <v>45</v>
      </c>
      <c r="S4882" s="18">
        <v>1896.8674999999998</v>
      </c>
      <c r="T4882" s="19" t="s">
        <v>117</v>
      </c>
      <c r="U4882" s="20" t="s">
        <v>290</v>
      </c>
      <c r="V4882" s="21">
        <v>140</v>
      </c>
      <c r="W4882" s="21">
        <v>7</v>
      </c>
      <c r="X4882" s="22"/>
    </row>
    <row r="4883" spans="1:24" s="1" customFormat="1" ht="11.1" customHeight="1" x14ac:dyDescent="0.3">
      <c r="A4883" s="23" t="s">
        <v>3014</v>
      </c>
      <c r="B4883" s="23" t="s">
        <v>4754</v>
      </c>
      <c r="C4883" s="12" t="s">
        <v>4757</v>
      </c>
      <c r="D4883" s="84"/>
      <c r="E4883" s="69" t="str">
        <f t="shared" si="257"/>
        <v>Еще фото</v>
      </c>
      <c r="F4883" s="13"/>
      <c r="G4883" s="23" t="s">
        <v>1297</v>
      </c>
      <c r="H4883" s="23" t="s">
        <v>27</v>
      </c>
      <c r="I4883" s="23" t="s">
        <v>616</v>
      </c>
      <c r="J4883" s="14" t="s">
        <v>29</v>
      </c>
      <c r="K4883" s="15" t="s">
        <v>30</v>
      </c>
      <c r="L4883" s="87"/>
      <c r="M4883" s="14"/>
      <c r="N4883" s="14" t="s">
        <v>265</v>
      </c>
      <c r="O4883" s="14"/>
      <c r="P4883" s="15" t="s">
        <v>4756</v>
      </c>
      <c r="Q4883" s="16">
        <v>2999</v>
      </c>
      <c r="R4883" s="17">
        <v>45</v>
      </c>
      <c r="S4883" s="18">
        <v>1896.8674999999998</v>
      </c>
      <c r="T4883" s="19" t="s">
        <v>117</v>
      </c>
      <c r="U4883" s="20" t="s">
        <v>2993</v>
      </c>
      <c r="V4883" s="21">
        <v>146</v>
      </c>
      <c r="W4883" s="21">
        <v>2</v>
      </c>
      <c r="X4883" s="22"/>
    </row>
    <row r="4884" spans="1:24" s="1" customFormat="1" ht="11.1" customHeight="1" x14ac:dyDescent="0.3">
      <c r="A4884" s="23" t="s">
        <v>3014</v>
      </c>
      <c r="B4884" s="23" t="s">
        <v>4754</v>
      </c>
      <c r="C4884" s="12" t="s">
        <v>4757</v>
      </c>
      <c r="D4884" s="84"/>
      <c r="E4884" s="69" t="str">
        <f t="shared" si="257"/>
        <v>Еще фото</v>
      </c>
      <c r="F4884" s="13"/>
      <c r="G4884" s="23" t="s">
        <v>1297</v>
      </c>
      <c r="H4884" s="23" t="s">
        <v>27</v>
      </c>
      <c r="I4884" s="23" t="s">
        <v>616</v>
      </c>
      <c r="J4884" s="14" t="s">
        <v>29</v>
      </c>
      <c r="K4884" s="15" t="s">
        <v>30</v>
      </c>
      <c r="L4884" s="87"/>
      <c r="M4884" s="14"/>
      <c r="N4884" s="14" t="s">
        <v>265</v>
      </c>
      <c r="O4884" s="14"/>
      <c r="P4884" s="15" t="s">
        <v>4756</v>
      </c>
      <c r="Q4884" s="16">
        <v>2999</v>
      </c>
      <c r="R4884" s="17">
        <v>45</v>
      </c>
      <c r="S4884" s="18">
        <v>1896.8674999999998</v>
      </c>
      <c r="T4884" s="19" t="s">
        <v>117</v>
      </c>
      <c r="U4884" s="20" t="s">
        <v>3088</v>
      </c>
      <c r="V4884" s="21">
        <v>158</v>
      </c>
      <c r="W4884" s="21">
        <v>1</v>
      </c>
      <c r="X4884" s="22"/>
    </row>
    <row r="4885" spans="1:24" s="1" customFormat="1" ht="11.1" customHeight="1" x14ac:dyDescent="0.3">
      <c r="A4885" s="14" t="s">
        <v>3014</v>
      </c>
      <c r="B4885" s="14" t="s">
        <v>4754</v>
      </c>
      <c r="C4885" s="12" t="s">
        <v>4757</v>
      </c>
      <c r="D4885" s="85"/>
      <c r="E4885" s="69" t="str">
        <f t="shared" si="257"/>
        <v>Еще фото</v>
      </c>
      <c r="F4885" s="36"/>
      <c r="G4885" s="14" t="s">
        <v>1297</v>
      </c>
      <c r="H4885" s="14" t="s">
        <v>27</v>
      </c>
      <c r="I4885" s="14" t="s">
        <v>616</v>
      </c>
      <c r="J4885" s="14" t="s">
        <v>29</v>
      </c>
      <c r="K4885" s="14" t="s">
        <v>30</v>
      </c>
      <c r="L4885" s="88"/>
      <c r="M4885" s="14"/>
      <c r="N4885" s="14" t="s">
        <v>265</v>
      </c>
      <c r="O4885" s="14"/>
      <c r="P4885" s="14" t="s">
        <v>4756</v>
      </c>
      <c r="Q4885" s="33">
        <v>2999</v>
      </c>
      <c r="R4885" s="34">
        <v>45</v>
      </c>
      <c r="S4885" s="35">
        <v>1896.8674999999998</v>
      </c>
      <c r="T4885" s="19" t="s">
        <v>117</v>
      </c>
      <c r="U4885" s="20" t="s">
        <v>2161</v>
      </c>
      <c r="V4885" s="21">
        <v>164</v>
      </c>
      <c r="W4885" s="21">
        <v>3</v>
      </c>
      <c r="X4885" s="22"/>
    </row>
    <row r="4886" spans="1:24" s="1" customFormat="1" ht="26.1" customHeight="1" x14ac:dyDescent="0.3">
      <c r="A4886" s="11" t="s">
        <v>3014</v>
      </c>
      <c r="B4886" s="11" t="s">
        <v>4754</v>
      </c>
      <c r="C4886" s="12" t="s">
        <v>4758</v>
      </c>
      <c r="D4886" s="83"/>
      <c r="E4886" s="69" t="str">
        <f>HYPERLINK("https://www.google.ru/search?q=72206306-6960&amp;newwindow=1&amp;tbm=isch","Еще фото")</f>
        <v>Еще фото</v>
      </c>
      <c r="F4886" s="13"/>
      <c r="G4886" s="11" t="s">
        <v>1297</v>
      </c>
      <c r="H4886" s="11" t="s">
        <v>27</v>
      </c>
      <c r="I4886" s="14" t="s">
        <v>616</v>
      </c>
      <c r="J4886" s="14" t="s">
        <v>29</v>
      </c>
      <c r="K4886" s="15" t="s">
        <v>30</v>
      </c>
      <c r="L4886" s="86"/>
      <c r="M4886" s="14"/>
      <c r="N4886" s="14" t="s">
        <v>70</v>
      </c>
      <c r="O4886" s="14"/>
      <c r="P4886" s="15" t="s">
        <v>4756</v>
      </c>
      <c r="Q4886" s="16">
        <v>2999</v>
      </c>
      <c r="R4886" s="17">
        <v>45</v>
      </c>
      <c r="S4886" s="18">
        <v>1896.8674999999998</v>
      </c>
      <c r="T4886" s="19" t="s">
        <v>117</v>
      </c>
      <c r="U4886" s="20" t="s">
        <v>36</v>
      </c>
      <c r="V4886" s="21">
        <v>122</v>
      </c>
      <c r="W4886" s="21">
        <v>2</v>
      </c>
      <c r="X4886" s="22"/>
    </row>
    <row r="4887" spans="1:24" s="1" customFormat="1" ht="26.1" customHeight="1" x14ac:dyDescent="0.3">
      <c r="A4887" s="23" t="s">
        <v>3014</v>
      </c>
      <c r="B4887" s="23" t="s">
        <v>4754</v>
      </c>
      <c r="C4887" s="12" t="s">
        <v>4758</v>
      </c>
      <c r="D4887" s="84"/>
      <c r="E4887" s="69" t="str">
        <f>HYPERLINK("https://www.google.ru/search?q=72206306-6960&amp;newwindow=1&amp;tbm=isch","Еще фото")</f>
        <v>Еще фото</v>
      </c>
      <c r="F4887" s="13"/>
      <c r="G4887" s="23" t="s">
        <v>1297</v>
      </c>
      <c r="H4887" s="23" t="s">
        <v>27</v>
      </c>
      <c r="I4887" s="23" t="s">
        <v>616</v>
      </c>
      <c r="J4887" s="14" t="s">
        <v>29</v>
      </c>
      <c r="K4887" s="15" t="s">
        <v>30</v>
      </c>
      <c r="L4887" s="87"/>
      <c r="M4887" s="14"/>
      <c r="N4887" s="14" t="s">
        <v>70</v>
      </c>
      <c r="O4887" s="14"/>
      <c r="P4887" s="15" t="s">
        <v>4756</v>
      </c>
      <c r="Q4887" s="16">
        <v>2999</v>
      </c>
      <c r="R4887" s="17">
        <v>45</v>
      </c>
      <c r="S4887" s="18">
        <v>1896.8674999999998</v>
      </c>
      <c r="T4887" s="19" t="s">
        <v>117</v>
      </c>
      <c r="U4887" s="20" t="s">
        <v>37</v>
      </c>
      <c r="V4887" s="21">
        <v>128</v>
      </c>
      <c r="W4887" s="21">
        <v>2</v>
      </c>
      <c r="X4887" s="22"/>
    </row>
    <row r="4888" spans="1:24" s="1" customFormat="1" ht="26.1" customHeight="1" x14ac:dyDescent="0.3">
      <c r="A4888" s="23" t="s">
        <v>3014</v>
      </c>
      <c r="B4888" s="23" t="s">
        <v>4754</v>
      </c>
      <c r="C4888" s="12" t="s">
        <v>4758</v>
      </c>
      <c r="D4888" s="84"/>
      <c r="E4888" s="69" t="str">
        <f>HYPERLINK("https://www.google.ru/search?q=72206306-6960&amp;newwindow=1&amp;tbm=isch","Еще фото")</f>
        <v>Еще фото</v>
      </c>
      <c r="F4888" s="13"/>
      <c r="G4888" s="23" t="s">
        <v>1297</v>
      </c>
      <c r="H4888" s="23" t="s">
        <v>27</v>
      </c>
      <c r="I4888" s="23" t="s">
        <v>616</v>
      </c>
      <c r="J4888" s="14" t="s">
        <v>29</v>
      </c>
      <c r="K4888" s="15" t="s">
        <v>30</v>
      </c>
      <c r="L4888" s="87"/>
      <c r="M4888" s="14"/>
      <c r="N4888" s="14" t="s">
        <v>70</v>
      </c>
      <c r="O4888" s="14"/>
      <c r="P4888" s="15" t="s">
        <v>4756</v>
      </c>
      <c r="Q4888" s="16">
        <v>2999</v>
      </c>
      <c r="R4888" s="17">
        <v>45</v>
      </c>
      <c r="S4888" s="18">
        <v>1896.8674999999998</v>
      </c>
      <c r="T4888" s="19" t="s">
        <v>117</v>
      </c>
      <c r="U4888" s="20" t="s">
        <v>91</v>
      </c>
      <c r="V4888" s="21">
        <v>134</v>
      </c>
      <c r="W4888" s="21">
        <v>1</v>
      </c>
      <c r="X4888" s="22"/>
    </row>
    <row r="4889" spans="1:24" s="1" customFormat="1" ht="26.1" customHeight="1" x14ac:dyDescent="0.3">
      <c r="A4889" s="23" t="s">
        <v>3014</v>
      </c>
      <c r="B4889" s="23" t="s">
        <v>4754</v>
      </c>
      <c r="C4889" s="12" t="s">
        <v>4758</v>
      </c>
      <c r="D4889" s="85"/>
      <c r="E4889" s="69" t="str">
        <f>HYPERLINK("https://www.google.ru/search?q=72206306-6960&amp;newwindow=1&amp;tbm=isch","Еще фото")</f>
        <v>Еще фото</v>
      </c>
      <c r="F4889" s="13"/>
      <c r="G4889" s="23" t="s">
        <v>1297</v>
      </c>
      <c r="H4889" s="23" t="s">
        <v>27</v>
      </c>
      <c r="I4889" s="23" t="s">
        <v>616</v>
      </c>
      <c r="J4889" s="14" t="s">
        <v>29</v>
      </c>
      <c r="K4889" s="15" t="s">
        <v>30</v>
      </c>
      <c r="L4889" s="88"/>
      <c r="M4889" s="14"/>
      <c r="N4889" s="14" t="s">
        <v>70</v>
      </c>
      <c r="O4889" s="14"/>
      <c r="P4889" s="15" t="s">
        <v>4756</v>
      </c>
      <c r="Q4889" s="16">
        <v>2999</v>
      </c>
      <c r="R4889" s="17">
        <v>45</v>
      </c>
      <c r="S4889" s="18">
        <v>1896.8674999999998</v>
      </c>
      <c r="T4889" s="19" t="s">
        <v>117</v>
      </c>
      <c r="U4889" s="20" t="s">
        <v>290</v>
      </c>
      <c r="V4889" s="21">
        <v>140</v>
      </c>
      <c r="W4889" s="21">
        <v>2</v>
      </c>
      <c r="X4889" s="22"/>
    </row>
    <row r="4890" spans="1:24" s="1" customFormat="1" ht="21" customHeight="1" x14ac:dyDescent="0.3">
      <c r="A4890" s="11" t="s">
        <v>3014</v>
      </c>
      <c r="B4890" s="11" t="s">
        <v>4759</v>
      </c>
      <c r="C4890" s="27" t="s">
        <v>4760</v>
      </c>
      <c r="D4890" s="83"/>
      <c r="E4890" s="69" t="str">
        <f>HYPERLINK("https://www.google.ru/search?q=72206308-6610&amp;newwindow=1&amp;tbm=isch","Еще фото")</f>
        <v>Еще фото</v>
      </c>
      <c r="F4890" s="13"/>
      <c r="G4890" s="11" t="s">
        <v>615</v>
      </c>
      <c r="H4890" s="11" t="s">
        <v>27</v>
      </c>
      <c r="I4890" s="14" t="s">
        <v>616</v>
      </c>
      <c r="J4890" s="14" t="s">
        <v>255</v>
      </c>
      <c r="K4890" s="15" t="s">
        <v>30</v>
      </c>
      <c r="L4890" s="86"/>
      <c r="M4890" s="14"/>
      <c r="N4890" s="14" t="s">
        <v>70</v>
      </c>
      <c r="O4890" s="14"/>
      <c r="P4890" s="15" t="s">
        <v>3299</v>
      </c>
      <c r="Q4890" s="16">
        <v>1999</v>
      </c>
      <c r="R4890" s="17">
        <v>45</v>
      </c>
      <c r="S4890" s="18">
        <v>1264.3675000000001</v>
      </c>
      <c r="T4890" s="19" t="s">
        <v>117</v>
      </c>
      <c r="U4890" s="20" t="s">
        <v>744</v>
      </c>
      <c r="V4890" s="21">
        <v>80</v>
      </c>
      <c r="W4890" s="21">
        <v>3</v>
      </c>
      <c r="X4890" s="22"/>
    </row>
    <row r="4891" spans="1:24" s="1" customFormat="1" ht="21" customHeight="1" x14ac:dyDescent="0.3">
      <c r="A4891" s="23" t="s">
        <v>3014</v>
      </c>
      <c r="B4891" s="23" t="s">
        <v>4759</v>
      </c>
      <c r="C4891" s="28" t="s">
        <v>4760</v>
      </c>
      <c r="D4891" s="84"/>
      <c r="E4891" s="69" t="str">
        <f>HYPERLINK("https://www.google.ru/search?q=72206308-6610&amp;newwindow=1&amp;tbm=isch","Еще фото")</f>
        <v>Еще фото</v>
      </c>
      <c r="F4891" s="13"/>
      <c r="G4891" s="23" t="s">
        <v>615</v>
      </c>
      <c r="H4891" s="23" t="s">
        <v>27</v>
      </c>
      <c r="I4891" s="23" t="s">
        <v>616</v>
      </c>
      <c r="J4891" s="14" t="s">
        <v>255</v>
      </c>
      <c r="K4891" s="15" t="s">
        <v>30</v>
      </c>
      <c r="L4891" s="87"/>
      <c r="M4891" s="14"/>
      <c r="N4891" s="14" t="s">
        <v>70</v>
      </c>
      <c r="O4891" s="14"/>
      <c r="P4891" s="15" t="s">
        <v>3299</v>
      </c>
      <c r="Q4891" s="16">
        <v>1999</v>
      </c>
      <c r="R4891" s="17">
        <v>45</v>
      </c>
      <c r="S4891" s="18">
        <v>1264.3675000000001</v>
      </c>
      <c r="T4891" s="19" t="s">
        <v>117</v>
      </c>
      <c r="U4891" s="20" t="s">
        <v>2976</v>
      </c>
      <c r="V4891" s="21">
        <v>86</v>
      </c>
      <c r="W4891" s="21">
        <v>4</v>
      </c>
      <c r="X4891" s="22"/>
    </row>
    <row r="4892" spans="1:24" s="1" customFormat="1" ht="21" customHeight="1" x14ac:dyDescent="0.3">
      <c r="A4892" s="23" t="s">
        <v>3014</v>
      </c>
      <c r="B4892" s="23" t="s">
        <v>4759</v>
      </c>
      <c r="C4892" s="28" t="s">
        <v>4760</v>
      </c>
      <c r="D4892" s="84"/>
      <c r="E4892" s="69" t="str">
        <f>HYPERLINK("https://www.google.ru/search?q=72206308-6610&amp;newwindow=1&amp;tbm=isch","Еще фото")</f>
        <v>Еще фото</v>
      </c>
      <c r="F4892" s="13"/>
      <c r="G4892" s="23" t="s">
        <v>615</v>
      </c>
      <c r="H4892" s="23" t="s">
        <v>27</v>
      </c>
      <c r="I4892" s="23" t="s">
        <v>616</v>
      </c>
      <c r="J4892" s="14" t="s">
        <v>255</v>
      </c>
      <c r="K4892" s="15" t="s">
        <v>30</v>
      </c>
      <c r="L4892" s="87"/>
      <c r="M4892" s="14"/>
      <c r="N4892" s="14" t="s">
        <v>70</v>
      </c>
      <c r="O4892" s="14"/>
      <c r="P4892" s="15" t="s">
        <v>3299</v>
      </c>
      <c r="Q4892" s="16">
        <v>1999</v>
      </c>
      <c r="R4892" s="17">
        <v>45</v>
      </c>
      <c r="S4892" s="18">
        <v>1264.3675000000001</v>
      </c>
      <c r="T4892" s="19" t="s">
        <v>117</v>
      </c>
      <c r="U4892" s="20" t="s">
        <v>2977</v>
      </c>
      <c r="V4892" s="21">
        <v>92</v>
      </c>
      <c r="W4892" s="21">
        <v>4</v>
      </c>
      <c r="X4892" s="22"/>
    </row>
    <row r="4893" spans="1:24" s="1" customFormat="1" ht="21" customHeight="1" x14ac:dyDescent="0.3">
      <c r="A4893" s="23" t="s">
        <v>3014</v>
      </c>
      <c r="B4893" s="23" t="s">
        <v>4759</v>
      </c>
      <c r="C4893" s="28" t="s">
        <v>4760</v>
      </c>
      <c r="D4893" s="84"/>
      <c r="E4893" s="69" t="str">
        <f>HYPERLINK("https://www.google.ru/search?q=72206308-6610&amp;newwindow=1&amp;tbm=isch","Еще фото")</f>
        <v>Еще фото</v>
      </c>
      <c r="F4893" s="13"/>
      <c r="G4893" s="23" t="s">
        <v>615</v>
      </c>
      <c r="H4893" s="23" t="s">
        <v>27</v>
      </c>
      <c r="I4893" s="23" t="s">
        <v>616</v>
      </c>
      <c r="J4893" s="14" t="s">
        <v>255</v>
      </c>
      <c r="K4893" s="15" t="s">
        <v>30</v>
      </c>
      <c r="L4893" s="87"/>
      <c r="M4893" s="14"/>
      <c r="N4893" s="14" t="s">
        <v>70</v>
      </c>
      <c r="O4893" s="14"/>
      <c r="P4893" s="15" t="s">
        <v>3299</v>
      </c>
      <c r="Q4893" s="16">
        <v>1999</v>
      </c>
      <c r="R4893" s="17">
        <v>45</v>
      </c>
      <c r="S4893" s="18">
        <v>1264.3675000000001</v>
      </c>
      <c r="T4893" s="19" t="s">
        <v>117</v>
      </c>
      <c r="U4893" s="20" t="s">
        <v>2961</v>
      </c>
      <c r="V4893" s="21">
        <v>98</v>
      </c>
      <c r="W4893" s="21">
        <v>3</v>
      </c>
      <c r="X4893" s="22"/>
    </row>
    <row r="4894" spans="1:24" s="1" customFormat="1" ht="32.1" customHeight="1" x14ac:dyDescent="0.3">
      <c r="A4894" s="23" t="s">
        <v>3014</v>
      </c>
      <c r="B4894" s="23" t="s">
        <v>4759</v>
      </c>
      <c r="C4894" s="28" t="s">
        <v>4760</v>
      </c>
      <c r="D4894" s="85"/>
      <c r="E4894" s="69" t="str">
        <f>HYPERLINK("https://www.google.ru/search?q=72206308-6610&amp;newwindow=1&amp;tbm=isch","Еще фото")</f>
        <v>Еще фото</v>
      </c>
      <c r="F4894" s="13"/>
      <c r="G4894" s="23" t="s">
        <v>615</v>
      </c>
      <c r="H4894" s="23" t="s">
        <v>27</v>
      </c>
      <c r="I4894" s="23" t="s">
        <v>616</v>
      </c>
      <c r="J4894" s="14" t="s">
        <v>255</v>
      </c>
      <c r="K4894" s="15" t="s">
        <v>30</v>
      </c>
      <c r="L4894" s="88"/>
      <c r="M4894" s="14"/>
      <c r="N4894" s="14" t="s">
        <v>70</v>
      </c>
      <c r="O4894" s="14"/>
      <c r="P4894" s="15" t="s">
        <v>3299</v>
      </c>
      <c r="Q4894" s="16">
        <v>1999</v>
      </c>
      <c r="R4894" s="17">
        <v>45</v>
      </c>
      <c r="S4894" s="18">
        <v>1264.3675000000001</v>
      </c>
      <c r="T4894" s="19" t="s">
        <v>117</v>
      </c>
      <c r="U4894" s="20" t="s">
        <v>94</v>
      </c>
      <c r="V4894" s="21">
        <v>104</v>
      </c>
      <c r="W4894" s="21">
        <v>3</v>
      </c>
      <c r="X4894" s="22"/>
    </row>
    <row r="4895" spans="1:24" s="1" customFormat="1" ht="35.1" customHeight="1" x14ac:dyDescent="0.3">
      <c r="A4895" s="11" t="s">
        <v>3014</v>
      </c>
      <c r="B4895" s="11" t="s">
        <v>4759</v>
      </c>
      <c r="C4895" s="12" t="s">
        <v>4761</v>
      </c>
      <c r="D4895" s="83"/>
      <c r="E4895" s="69" t="str">
        <f>HYPERLINK("https://www.google.ru/search?q=72206308-8300&amp;newwindow=1&amp;tbm=isch","Еще фото")</f>
        <v>Еще фото</v>
      </c>
      <c r="F4895" s="13"/>
      <c r="G4895" s="11" t="s">
        <v>615</v>
      </c>
      <c r="H4895" s="11" t="s">
        <v>27</v>
      </c>
      <c r="I4895" s="14" t="s">
        <v>616</v>
      </c>
      <c r="J4895" s="14" t="s">
        <v>255</v>
      </c>
      <c r="K4895" s="15" t="s">
        <v>30</v>
      </c>
      <c r="L4895" s="86"/>
      <c r="M4895" s="14"/>
      <c r="N4895" s="14" t="s">
        <v>242</v>
      </c>
      <c r="O4895" s="14"/>
      <c r="P4895" s="15" t="s">
        <v>3299</v>
      </c>
      <c r="Q4895" s="16">
        <v>1999</v>
      </c>
      <c r="R4895" s="17">
        <v>45</v>
      </c>
      <c r="S4895" s="18">
        <v>1264.3675000000001</v>
      </c>
      <c r="T4895" s="19" t="s">
        <v>117</v>
      </c>
      <c r="U4895" s="20" t="s">
        <v>744</v>
      </c>
      <c r="V4895" s="21">
        <v>80</v>
      </c>
      <c r="W4895" s="21">
        <v>3</v>
      </c>
      <c r="X4895" s="22"/>
    </row>
    <row r="4896" spans="1:24" s="1" customFormat="1" ht="35.1" customHeight="1" x14ac:dyDescent="0.3">
      <c r="A4896" s="23" t="s">
        <v>3014</v>
      </c>
      <c r="B4896" s="23" t="s">
        <v>4759</v>
      </c>
      <c r="C4896" s="12" t="s">
        <v>4761</v>
      </c>
      <c r="D4896" s="84"/>
      <c r="E4896" s="69" t="str">
        <f>HYPERLINK("https://www.google.ru/search?q=72206308-8300&amp;newwindow=1&amp;tbm=isch","Еще фото")</f>
        <v>Еще фото</v>
      </c>
      <c r="F4896" s="13"/>
      <c r="G4896" s="23" t="s">
        <v>615</v>
      </c>
      <c r="H4896" s="23" t="s">
        <v>27</v>
      </c>
      <c r="I4896" s="23" t="s">
        <v>616</v>
      </c>
      <c r="J4896" s="14" t="s">
        <v>255</v>
      </c>
      <c r="K4896" s="15" t="s">
        <v>30</v>
      </c>
      <c r="L4896" s="87"/>
      <c r="M4896" s="14"/>
      <c r="N4896" s="14" t="s">
        <v>242</v>
      </c>
      <c r="O4896" s="14"/>
      <c r="P4896" s="15" t="s">
        <v>3299</v>
      </c>
      <c r="Q4896" s="16">
        <v>1999</v>
      </c>
      <c r="R4896" s="17">
        <v>45</v>
      </c>
      <c r="S4896" s="18">
        <v>1264.3675000000001</v>
      </c>
      <c r="T4896" s="19" t="s">
        <v>117</v>
      </c>
      <c r="U4896" s="20" t="s">
        <v>2976</v>
      </c>
      <c r="V4896" s="21">
        <v>86</v>
      </c>
      <c r="W4896" s="21">
        <v>3</v>
      </c>
      <c r="X4896" s="22"/>
    </row>
    <row r="4897" spans="1:24" s="1" customFormat="1" ht="36.950000000000003" customHeight="1" x14ac:dyDescent="0.3">
      <c r="A4897" s="23" t="s">
        <v>3014</v>
      </c>
      <c r="B4897" s="23" t="s">
        <v>4759</v>
      </c>
      <c r="C4897" s="12" t="s">
        <v>4761</v>
      </c>
      <c r="D4897" s="85"/>
      <c r="E4897" s="69" t="str">
        <f>HYPERLINK("https://www.google.ru/search?q=72206308-8300&amp;newwindow=1&amp;tbm=isch","Еще фото")</f>
        <v>Еще фото</v>
      </c>
      <c r="F4897" s="13"/>
      <c r="G4897" s="23" t="s">
        <v>615</v>
      </c>
      <c r="H4897" s="23" t="s">
        <v>27</v>
      </c>
      <c r="I4897" s="23" t="s">
        <v>616</v>
      </c>
      <c r="J4897" s="14" t="s">
        <v>255</v>
      </c>
      <c r="K4897" s="15" t="s">
        <v>30</v>
      </c>
      <c r="L4897" s="88"/>
      <c r="M4897" s="14"/>
      <c r="N4897" s="14" t="s">
        <v>242</v>
      </c>
      <c r="O4897" s="14"/>
      <c r="P4897" s="15" t="s">
        <v>3299</v>
      </c>
      <c r="Q4897" s="16">
        <v>1999</v>
      </c>
      <c r="R4897" s="17">
        <v>45</v>
      </c>
      <c r="S4897" s="18">
        <v>1264.3675000000001</v>
      </c>
      <c r="T4897" s="19" t="s">
        <v>117</v>
      </c>
      <c r="U4897" s="20" t="s">
        <v>94</v>
      </c>
      <c r="V4897" s="21">
        <v>104</v>
      </c>
      <c r="W4897" s="21">
        <v>1</v>
      </c>
      <c r="X4897" s="22"/>
    </row>
    <row r="4898" spans="1:24" s="1" customFormat="1" ht="108" customHeight="1" x14ac:dyDescent="0.3">
      <c r="A4898" s="11" t="s">
        <v>3014</v>
      </c>
      <c r="B4898" s="11" t="s">
        <v>4762</v>
      </c>
      <c r="C4898" s="12" t="s">
        <v>4763</v>
      </c>
      <c r="D4898" s="24"/>
      <c r="E4898" s="69" t="str">
        <f>HYPERLINK("https://www.google.ru/search?q=73204405-0100&amp;newwindow=1&amp;tbm=isch","Еще фото")</f>
        <v>Еще фото</v>
      </c>
      <c r="F4898" s="13"/>
      <c r="G4898" s="11" t="s">
        <v>1297</v>
      </c>
      <c r="H4898" s="11" t="s">
        <v>27</v>
      </c>
      <c r="I4898" s="14" t="s">
        <v>616</v>
      </c>
      <c r="J4898" s="14" t="s">
        <v>29</v>
      </c>
      <c r="K4898" s="15" t="s">
        <v>30</v>
      </c>
      <c r="L4898" s="14" t="s">
        <v>4764</v>
      </c>
      <c r="M4898" s="14"/>
      <c r="N4898" s="14" t="s">
        <v>89</v>
      </c>
      <c r="O4898" s="14"/>
      <c r="P4898" s="15" t="s">
        <v>193</v>
      </c>
      <c r="Q4898" s="16">
        <v>1999</v>
      </c>
      <c r="R4898" s="17">
        <v>45</v>
      </c>
      <c r="S4898" s="18">
        <v>1264.3675000000001</v>
      </c>
      <c r="T4898" s="19" t="s">
        <v>117</v>
      </c>
      <c r="U4898" s="20" t="s">
        <v>2160</v>
      </c>
      <c r="V4898" s="21">
        <v>152</v>
      </c>
      <c r="W4898" s="21">
        <v>1</v>
      </c>
      <c r="X4898" s="22"/>
    </row>
    <row r="4899" spans="1:24" s="1" customFormat="1" ht="14.1" customHeight="1" x14ac:dyDescent="0.3">
      <c r="A4899" s="11" t="s">
        <v>3014</v>
      </c>
      <c r="B4899" s="11" t="s">
        <v>4762</v>
      </c>
      <c r="C4899" s="12" t="s">
        <v>4765</v>
      </c>
      <c r="D4899" s="83"/>
      <c r="E4899" s="69" t="str">
        <f t="shared" ref="E4899:E4905" si="258">HYPERLINK("https://www.google.ru/search?q=73204405-8020&amp;newwindow=1&amp;tbm=isch","Еще фото")</f>
        <v>Еще фото</v>
      </c>
      <c r="F4899" s="13"/>
      <c r="G4899" s="11" t="s">
        <v>1297</v>
      </c>
      <c r="H4899" s="11" t="s">
        <v>27</v>
      </c>
      <c r="I4899" s="14" t="s">
        <v>616</v>
      </c>
      <c r="J4899" s="14" t="s">
        <v>29</v>
      </c>
      <c r="K4899" s="15" t="s">
        <v>30</v>
      </c>
      <c r="L4899" s="86" t="s">
        <v>4764</v>
      </c>
      <c r="M4899" s="14"/>
      <c r="N4899" s="14" t="s">
        <v>242</v>
      </c>
      <c r="O4899" s="14"/>
      <c r="P4899" s="15" t="s">
        <v>193</v>
      </c>
      <c r="Q4899" s="16">
        <v>1999</v>
      </c>
      <c r="R4899" s="17">
        <v>45</v>
      </c>
      <c r="S4899" s="18">
        <v>1264.3675000000001</v>
      </c>
      <c r="T4899" s="19" t="s">
        <v>117</v>
      </c>
      <c r="U4899" s="20" t="s">
        <v>37</v>
      </c>
      <c r="V4899" s="21">
        <v>128</v>
      </c>
      <c r="W4899" s="21">
        <v>3</v>
      </c>
      <c r="X4899" s="22"/>
    </row>
    <row r="4900" spans="1:24" s="1" customFormat="1" ht="14.1" customHeight="1" x14ac:dyDescent="0.3">
      <c r="A4900" s="23" t="s">
        <v>3014</v>
      </c>
      <c r="B4900" s="23" t="s">
        <v>4762</v>
      </c>
      <c r="C4900" s="12" t="s">
        <v>4765</v>
      </c>
      <c r="D4900" s="84"/>
      <c r="E4900" s="69" t="str">
        <f t="shared" si="258"/>
        <v>Еще фото</v>
      </c>
      <c r="F4900" s="13"/>
      <c r="G4900" s="23" t="s">
        <v>1297</v>
      </c>
      <c r="H4900" s="23" t="s">
        <v>27</v>
      </c>
      <c r="I4900" s="23" t="s">
        <v>616</v>
      </c>
      <c r="J4900" s="14" t="s">
        <v>29</v>
      </c>
      <c r="K4900" s="15" t="s">
        <v>30</v>
      </c>
      <c r="L4900" s="87"/>
      <c r="M4900" s="14"/>
      <c r="N4900" s="14" t="s">
        <v>242</v>
      </c>
      <c r="O4900" s="14"/>
      <c r="P4900" s="15" t="s">
        <v>193</v>
      </c>
      <c r="Q4900" s="16">
        <v>1999</v>
      </c>
      <c r="R4900" s="17">
        <v>45</v>
      </c>
      <c r="S4900" s="18">
        <v>1264.3675000000001</v>
      </c>
      <c r="T4900" s="19" t="s">
        <v>117</v>
      </c>
      <c r="U4900" s="20" t="s">
        <v>91</v>
      </c>
      <c r="V4900" s="21">
        <v>134</v>
      </c>
      <c r="W4900" s="21">
        <v>1</v>
      </c>
      <c r="X4900" s="22"/>
    </row>
    <row r="4901" spans="1:24" s="1" customFormat="1" ht="14.1" customHeight="1" x14ac:dyDescent="0.3">
      <c r="A4901" s="23" t="s">
        <v>3014</v>
      </c>
      <c r="B4901" s="23" t="s">
        <v>4762</v>
      </c>
      <c r="C4901" s="12" t="s">
        <v>4765</v>
      </c>
      <c r="D4901" s="84"/>
      <c r="E4901" s="69" t="str">
        <f t="shared" si="258"/>
        <v>Еще фото</v>
      </c>
      <c r="F4901" s="13"/>
      <c r="G4901" s="23" t="s">
        <v>1297</v>
      </c>
      <c r="H4901" s="23" t="s">
        <v>27</v>
      </c>
      <c r="I4901" s="23" t="s">
        <v>616</v>
      </c>
      <c r="J4901" s="14" t="s">
        <v>29</v>
      </c>
      <c r="K4901" s="15" t="s">
        <v>30</v>
      </c>
      <c r="L4901" s="87"/>
      <c r="M4901" s="14"/>
      <c r="N4901" s="14" t="s">
        <v>242</v>
      </c>
      <c r="O4901" s="14"/>
      <c r="P4901" s="15" t="s">
        <v>193</v>
      </c>
      <c r="Q4901" s="16">
        <v>1999</v>
      </c>
      <c r="R4901" s="17">
        <v>45</v>
      </c>
      <c r="S4901" s="18">
        <v>1264.3675000000001</v>
      </c>
      <c r="T4901" s="19" t="s">
        <v>117</v>
      </c>
      <c r="U4901" s="20" t="s">
        <v>290</v>
      </c>
      <c r="V4901" s="21">
        <v>140</v>
      </c>
      <c r="W4901" s="21">
        <v>3</v>
      </c>
      <c r="X4901" s="22"/>
    </row>
    <row r="4902" spans="1:24" s="1" customFormat="1" ht="14.1" customHeight="1" x14ac:dyDescent="0.3">
      <c r="A4902" s="23" t="s">
        <v>3014</v>
      </c>
      <c r="B4902" s="23" t="s">
        <v>4762</v>
      </c>
      <c r="C4902" s="12" t="s">
        <v>4765</v>
      </c>
      <c r="D4902" s="84"/>
      <c r="E4902" s="69" t="str">
        <f t="shared" si="258"/>
        <v>Еще фото</v>
      </c>
      <c r="F4902" s="13"/>
      <c r="G4902" s="23" t="s">
        <v>1297</v>
      </c>
      <c r="H4902" s="23" t="s">
        <v>27</v>
      </c>
      <c r="I4902" s="23" t="s">
        <v>616</v>
      </c>
      <c r="J4902" s="14" t="s">
        <v>29</v>
      </c>
      <c r="K4902" s="15" t="s">
        <v>30</v>
      </c>
      <c r="L4902" s="87"/>
      <c r="M4902" s="14"/>
      <c r="N4902" s="14" t="s">
        <v>242</v>
      </c>
      <c r="O4902" s="14"/>
      <c r="P4902" s="15" t="s">
        <v>193</v>
      </c>
      <c r="Q4902" s="16">
        <v>1999</v>
      </c>
      <c r="R4902" s="17">
        <v>45</v>
      </c>
      <c r="S4902" s="18">
        <v>1264.3675000000001</v>
      </c>
      <c r="T4902" s="19" t="s">
        <v>117</v>
      </c>
      <c r="U4902" s="20" t="s">
        <v>2993</v>
      </c>
      <c r="V4902" s="21">
        <v>146</v>
      </c>
      <c r="W4902" s="21">
        <v>2</v>
      </c>
      <c r="X4902" s="22"/>
    </row>
    <row r="4903" spans="1:24" s="1" customFormat="1" ht="14.1" customHeight="1" x14ac:dyDescent="0.3">
      <c r="A4903" s="23" t="s">
        <v>3014</v>
      </c>
      <c r="B4903" s="23" t="s">
        <v>4762</v>
      </c>
      <c r="C4903" s="12" t="s">
        <v>4765</v>
      </c>
      <c r="D4903" s="84"/>
      <c r="E4903" s="69" t="str">
        <f t="shared" si="258"/>
        <v>Еще фото</v>
      </c>
      <c r="F4903" s="13"/>
      <c r="G4903" s="23" t="s">
        <v>1297</v>
      </c>
      <c r="H4903" s="23" t="s">
        <v>27</v>
      </c>
      <c r="I4903" s="23" t="s">
        <v>616</v>
      </c>
      <c r="J4903" s="14" t="s">
        <v>29</v>
      </c>
      <c r="K4903" s="15" t="s">
        <v>30</v>
      </c>
      <c r="L4903" s="87"/>
      <c r="M4903" s="14"/>
      <c r="N4903" s="14" t="s">
        <v>242</v>
      </c>
      <c r="O4903" s="14"/>
      <c r="P4903" s="15" t="s">
        <v>193</v>
      </c>
      <c r="Q4903" s="16">
        <v>1999</v>
      </c>
      <c r="R4903" s="17">
        <v>45</v>
      </c>
      <c r="S4903" s="18">
        <v>1264.3675000000001</v>
      </c>
      <c r="T4903" s="19" t="s">
        <v>117</v>
      </c>
      <c r="U4903" s="20" t="s">
        <v>2160</v>
      </c>
      <c r="V4903" s="21">
        <v>152</v>
      </c>
      <c r="W4903" s="21">
        <v>3</v>
      </c>
      <c r="X4903" s="22"/>
    </row>
    <row r="4904" spans="1:24" s="1" customFormat="1" ht="14.1" customHeight="1" x14ac:dyDescent="0.3">
      <c r="A4904" s="23" t="s">
        <v>3014</v>
      </c>
      <c r="B4904" s="23" t="s">
        <v>4762</v>
      </c>
      <c r="C4904" s="12" t="s">
        <v>4765</v>
      </c>
      <c r="D4904" s="84"/>
      <c r="E4904" s="69" t="str">
        <f t="shared" si="258"/>
        <v>Еще фото</v>
      </c>
      <c r="F4904" s="13"/>
      <c r="G4904" s="23" t="s">
        <v>1297</v>
      </c>
      <c r="H4904" s="23" t="s">
        <v>27</v>
      </c>
      <c r="I4904" s="23" t="s">
        <v>616</v>
      </c>
      <c r="J4904" s="14" t="s">
        <v>29</v>
      </c>
      <c r="K4904" s="15" t="s">
        <v>30</v>
      </c>
      <c r="L4904" s="87"/>
      <c r="M4904" s="14"/>
      <c r="N4904" s="14" t="s">
        <v>242</v>
      </c>
      <c r="O4904" s="14"/>
      <c r="P4904" s="15" t="s">
        <v>193</v>
      </c>
      <c r="Q4904" s="16">
        <v>1999</v>
      </c>
      <c r="R4904" s="17">
        <v>45</v>
      </c>
      <c r="S4904" s="18">
        <v>1264.3675000000001</v>
      </c>
      <c r="T4904" s="19" t="s">
        <v>117</v>
      </c>
      <c r="U4904" s="20" t="s">
        <v>3088</v>
      </c>
      <c r="V4904" s="21">
        <v>158</v>
      </c>
      <c r="W4904" s="21">
        <v>3</v>
      </c>
      <c r="X4904" s="22"/>
    </row>
    <row r="4905" spans="1:24" s="1" customFormat="1" ht="17.100000000000001" customHeight="1" x14ac:dyDescent="0.3">
      <c r="A4905" s="23" t="s">
        <v>3014</v>
      </c>
      <c r="B4905" s="23" t="s">
        <v>4762</v>
      </c>
      <c r="C4905" s="12" t="s">
        <v>4765</v>
      </c>
      <c r="D4905" s="85"/>
      <c r="E4905" s="69" t="str">
        <f t="shared" si="258"/>
        <v>Еще фото</v>
      </c>
      <c r="F4905" s="13"/>
      <c r="G4905" s="23" t="s">
        <v>1297</v>
      </c>
      <c r="H4905" s="23" t="s">
        <v>27</v>
      </c>
      <c r="I4905" s="23" t="s">
        <v>616</v>
      </c>
      <c r="J4905" s="14" t="s">
        <v>29</v>
      </c>
      <c r="K4905" s="15" t="s">
        <v>30</v>
      </c>
      <c r="L4905" s="88"/>
      <c r="M4905" s="14"/>
      <c r="N4905" s="14" t="s">
        <v>242</v>
      </c>
      <c r="O4905" s="14"/>
      <c r="P4905" s="15" t="s">
        <v>193</v>
      </c>
      <c r="Q4905" s="16">
        <v>1999</v>
      </c>
      <c r="R4905" s="17">
        <v>45</v>
      </c>
      <c r="S4905" s="18">
        <v>1264.3675000000001</v>
      </c>
      <c r="T4905" s="19" t="s">
        <v>117</v>
      </c>
      <c r="U4905" s="20" t="s">
        <v>2161</v>
      </c>
      <c r="V4905" s="21">
        <v>164</v>
      </c>
      <c r="W4905" s="21">
        <v>1</v>
      </c>
      <c r="X4905" s="22"/>
    </row>
    <row r="4906" spans="1:24" s="1" customFormat="1" ht="26.1" customHeight="1" x14ac:dyDescent="0.3">
      <c r="A4906" s="11" t="s">
        <v>3014</v>
      </c>
      <c r="B4906" s="11" t="s">
        <v>4766</v>
      </c>
      <c r="C4906" s="12" t="s">
        <v>4767</v>
      </c>
      <c r="D4906" s="83"/>
      <c r="E4906" s="69" t="str">
        <f>HYPERLINK("https://www.google.ru/search?q=73205214-6520&amp;newwindow=1&amp;tbm=isch","Еще фото")</f>
        <v>Еще фото</v>
      </c>
      <c r="F4906" s="13"/>
      <c r="G4906" s="11" t="s">
        <v>654</v>
      </c>
      <c r="H4906" s="11" t="s">
        <v>27</v>
      </c>
      <c r="I4906" s="14" t="s">
        <v>616</v>
      </c>
      <c r="J4906" s="14" t="s">
        <v>29</v>
      </c>
      <c r="K4906" s="15" t="s">
        <v>30</v>
      </c>
      <c r="L4906" s="86"/>
      <c r="M4906" s="14"/>
      <c r="N4906" s="14" t="s">
        <v>265</v>
      </c>
      <c r="O4906" s="14"/>
      <c r="P4906" s="15" t="s">
        <v>3109</v>
      </c>
      <c r="Q4906" s="16">
        <v>2999</v>
      </c>
      <c r="R4906" s="17">
        <v>45</v>
      </c>
      <c r="S4906" s="18">
        <v>1896.8674999999998</v>
      </c>
      <c r="T4906" s="19" t="s">
        <v>117</v>
      </c>
      <c r="U4906" s="20" t="s">
        <v>3115</v>
      </c>
      <c r="V4906" s="21">
        <v>130</v>
      </c>
      <c r="W4906" s="21">
        <v>3</v>
      </c>
      <c r="X4906" s="22"/>
    </row>
    <row r="4907" spans="1:24" s="1" customFormat="1" ht="26.1" customHeight="1" x14ac:dyDescent="0.3">
      <c r="A4907" s="23" t="s">
        <v>3014</v>
      </c>
      <c r="B4907" s="23" t="s">
        <v>4766</v>
      </c>
      <c r="C4907" s="12" t="s">
        <v>4767</v>
      </c>
      <c r="D4907" s="84"/>
      <c r="E4907" s="69" t="str">
        <f>HYPERLINK("https://www.google.ru/search?q=73205214-6520&amp;newwindow=1&amp;tbm=isch","Еще фото")</f>
        <v>Еще фото</v>
      </c>
      <c r="F4907" s="13"/>
      <c r="G4907" s="23" t="s">
        <v>654</v>
      </c>
      <c r="H4907" s="23" t="s">
        <v>27</v>
      </c>
      <c r="I4907" s="23" t="s">
        <v>616</v>
      </c>
      <c r="J4907" s="14" t="s">
        <v>29</v>
      </c>
      <c r="K4907" s="15" t="s">
        <v>30</v>
      </c>
      <c r="L4907" s="87"/>
      <c r="M4907" s="14"/>
      <c r="N4907" s="14" t="s">
        <v>265</v>
      </c>
      <c r="O4907" s="14"/>
      <c r="P4907" s="15" t="s">
        <v>3109</v>
      </c>
      <c r="Q4907" s="16">
        <v>2999</v>
      </c>
      <c r="R4907" s="17">
        <v>45</v>
      </c>
      <c r="S4907" s="18">
        <v>1896.8674999999998</v>
      </c>
      <c r="T4907" s="19" t="s">
        <v>117</v>
      </c>
      <c r="U4907" s="20" t="s">
        <v>290</v>
      </c>
      <c r="V4907" s="21">
        <v>140</v>
      </c>
      <c r="W4907" s="21">
        <v>3</v>
      </c>
      <c r="X4907" s="22"/>
    </row>
    <row r="4908" spans="1:24" s="1" customFormat="1" ht="26.1" customHeight="1" x14ac:dyDescent="0.3">
      <c r="A4908" s="23" t="s">
        <v>3014</v>
      </c>
      <c r="B4908" s="23" t="s">
        <v>4766</v>
      </c>
      <c r="C4908" s="12" t="s">
        <v>4767</v>
      </c>
      <c r="D4908" s="84"/>
      <c r="E4908" s="69" t="str">
        <f>HYPERLINK("https://www.google.ru/search?q=73205214-6520&amp;newwindow=1&amp;tbm=isch","Еще фото")</f>
        <v>Еще фото</v>
      </c>
      <c r="F4908" s="13"/>
      <c r="G4908" s="23" t="s">
        <v>654</v>
      </c>
      <c r="H4908" s="23" t="s">
        <v>27</v>
      </c>
      <c r="I4908" s="23" t="s">
        <v>616</v>
      </c>
      <c r="J4908" s="14" t="s">
        <v>29</v>
      </c>
      <c r="K4908" s="15" t="s">
        <v>30</v>
      </c>
      <c r="L4908" s="87"/>
      <c r="M4908" s="14"/>
      <c r="N4908" s="14" t="s">
        <v>265</v>
      </c>
      <c r="O4908" s="14"/>
      <c r="P4908" s="15" t="s">
        <v>3109</v>
      </c>
      <c r="Q4908" s="16">
        <v>2999</v>
      </c>
      <c r="R4908" s="17">
        <v>45</v>
      </c>
      <c r="S4908" s="18">
        <v>1896.8674999999998</v>
      </c>
      <c r="T4908" s="19" t="s">
        <v>117</v>
      </c>
      <c r="U4908" s="20" t="s">
        <v>3116</v>
      </c>
      <c r="V4908" s="21">
        <v>150</v>
      </c>
      <c r="W4908" s="21">
        <v>3</v>
      </c>
      <c r="X4908" s="22"/>
    </row>
    <row r="4909" spans="1:24" s="1" customFormat="1" ht="26.1" customHeight="1" x14ac:dyDescent="0.3">
      <c r="A4909" s="23" t="s">
        <v>3014</v>
      </c>
      <c r="B4909" s="23" t="s">
        <v>4766</v>
      </c>
      <c r="C4909" s="12" t="s">
        <v>4767</v>
      </c>
      <c r="D4909" s="85"/>
      <c r="E4909" s="69" t="str">
        <f>HYPERLINK("https://www.google.ru/search?q=73205214-6520&amp;newwindow=1&amp;tbm=isch","Еще фото")</f>
        <v>Еще фото</v>
      </c>
      <c r="F4909" s="13"/>
      <c r="G4909" s="23" t="s">
        <v>654</v>
      </c>
      <c r="H4909" s="23" t="s">
        <v>27</v>
      </c>
      <c r="I4909" s="23" t="s">
        <v>616</v>
      </c>
      <c r="J4909" s="14" t="s">
        <v>29</v>
      </c>
      <c r="K4909" s="15" t="s">
        <v>30</v>
      </c>
      <c r="L4909" s="88"/>
      <c r="M4909" s="14"/>
      <c r="N4909" s="14" t="s">
        <v>265</v>
      </c>
      <c r="O4909" s="14"/>
      <c r="P4909" s="15" t="s">
        <v>3109</v>
      </c>
      <c r="Q4909" s="16">
        <v>2999</v>
      </c>
      <c r="R4909" s="17">
        <v>45</v>
      </c>
      <c r="S4909" s="18">
        <v>1896.8674999999998</v>
      </c>
      <c r="T4909" s="19" t="s">
        <v>117</v>
      </c>
      <c r="U4909" s="20" t="s">
        <v>3117</v>
      </c>
      <c r="V4909" s="21">
        <v>160</v>
      </c>
      <c r="W4909" s="21">
        <v>3</v>
      </c>
      <c r="X4909" s="22"/>
    </row>
    <row r="4910" spans="1:24" s="1" customFormat="1" ht="11.1" customHeight="1" x14ac:dyDescent="0.3">
      <c r="A4910" s="11" t="s">
        <v>3014</v>
      </c>
      <c r="B4910" s="11" t="s">
        <v>4768</v>
      </c>
      <c r="C4910" s="12" t="s">
        <v>4769</v>
      </c>
      <c r="D4910" s="83"/>
      <c r="E4910" s="69" t="str">
        <f t="shared" ref="E4910:E4920" si="259">HYPERLINK("https://www.google.ru/search?q=73206104-6960&amp;newwindow=1&amp;tbm=isch","Еще фото")</f>
        <v>Еще фото</v>
      </c>
      <c r="F4910" s="13"/>
      <c r="G4910" s="11" t="s">
        <v>615</v>
      </c>
      <c r="H4910" s="11" t="s">
        <v>27</v>
      </c>
      <c r="I4910" s="14" t="s">
        <v>616</v>
      </c>
      <c r="J4910" s="14" t="s">
        <v>29</v>
      </c>
      <c r="K4910" s="15" t="s">
        <v>30</v>
      </c>
      <c r="L4910" s="86"/>
      <c r="M4910" s="14"/>
      <c r="N4910" s="14" t="s">
        <v>70</v>
      </c>
      <c r="O4910" s="14"/>
      <c r="P4910" s="15" t="s">
        <v>2678</v>
      </c>
      <c r="Q4910" s="16">
        <v>1999</v>
      </c>
      <c r="R4910" s="17">
        <v>45</v>
      </c>
      <c r="S4910" s="18">
        <v>1264.3675000000001</v>
      </c>
      <c r="T4910" s="19" t="s">
        <v>117</v>
      </c>
      <c r="U4910" s="20" t="s">
        <v>94</v>
      </c>
      <c r="V4910" s="21">
        <v>104</v>
      </c>
      <c r="W4910" s="21">
        <v>2</v>
      </c>
      <c r="X4910" s="22"/>
    </row>
    <row r="4911" spans="1:24" s="1" customFormat="1" ht="11.1" customHeight="1" x14ac:dyDescent="0.3">
      <c r="A4911" s="23" t="s">
        <v>3014</v>
      </c>
      <c r="B4911" s="23" t="s">
        <v>4768</v>
      </c>
      <c r="C4911" s="12" t="s">
        <v>4769</v>
      </c>
      <c r="D4911" s="84"/>
      <c r="E4911" s="69" t="str">
        <f t="shared" si="259"/>
        <v>Еще фото</v>
      </c>
      <c r="F4911" s="13"/>
      <c r="G4911" s="23" t="s">
        <v>615</v>
      </c>
      <c r="H4911" s="23" t="s">
        <v>27</v>
      </c>
      <c r="I4911" s="23" t="s">
        <v>616</v>
      </c>
      <c r="J4911" s="14" t="s">
        <v>29</v>
      </c>
      <c r="K4911" s="15" t="s">
        <v>30</v>
      </c>
      <c r="L4911" s="87"/>
      <c r="M4911" s="14"/>
      <c r="N4911" s="14" t="s">
        <v>70</v>
      </c>
      <c r="O4911" s="14"/>
      <c r="P4911" s="15" t="s">
        <v>2678</v>
      </c>
      <c r="Q4911" s="16">
        <v>1999</v>
      </c>
      <c r="R4911" s="17">
        <v>45</v>
      </c>
      <c r="S4911" s="18">
        <v>1264.3675000000001</v>
      </c>
      <c r="T4911" s="19" t="s">
        <v>117</v>
      </c>
      <c r="U4911" s="20" t="s">
        <v>43</v>
      </c>
      <c r="V4911" s="21">
        <v>110</v>
      </c>
      <c r="W4911" s="21">
        <v>3</v>
      </c>
      <c r="X4911" s="22"/>
    </row>
    <row r="4912" spans="1:24" s="1" customFormat="1" ht="11.1" customHeight="1" x14ac:dyDescent="0.3">
      <c r="A4912" s="23" t="s">
        <v>3014</v>
      </c>
      <c r="B4912" s="23" t="s">
        <v>4768</v>
      </c>
      <c r="C4912" s="12" t="s">
        <v>4769</v>
      </c>
      <c r="D4912" s="84"/>
      <c r="E4912" s="69" t="str">
        <f t="shared" si="259"/>
        <v>Еще фото</v>
      </c>
      <c r="F4912" s="13"/>
      <c r="G4912" s="23" t="s">
        <v>615</v>
      </c>
      <c r="H4912" s="23" t="s">
        <v>27</v>
      </c>
      <c r="I4912" s="23" t="s">
        <v>616</v>
      </c>
      <c r="J4912" s="14" t="s">
        <v>29</v>
      </c>
      <c r="K4912" s="15" t="s">
        <v>30</v>
      </c>
      <c r="L4912" s="87"/>
      <c r="M4912" s="14"/>
      <c r="N4912" s="14" t="s">
        <v>70</v>
      </c>
      <c r="O4912" s="14"/>
      <c r="P4912" s="15" t="s">
        <v>2678</v>
      </c>
      <c r="Q4912" s="16">
        <v>1999</v>
      </c>
      <c r="R4912" s="17">
        <v>45</v>
      </c>
      <c r="S4912" s="18">
        <v>1264.3675000000001</v>
      </c>
      <c r="T4912" s="19" t="s">
        <v>117</v>
      </c>
      <c r="U4912" s="20" t="s">
        <v>35</v>
      </c>
      <c r="V4912" s="21">
        <v>116</v>
      </c>
      <c r="W4912" s="21">
        <v>3</v>
      </c>
      <c r="X4912" s="22"/>
    </row>
    <row r="4913" spans="1:24" s="1" customFormat="1" ht="11.1" customHeight="1" x14ac:dyDescent="0.3">
      <c r="A4913" s="23" t="s">
        <v>3014</v>
      </c>
      <c r="B4913" s="23" t="s">
        <v>4768</v>
      </c>
      <c r="C4913" s="12" t="s">
        <v>4769</v>
      </c>
      <c r="D4913" s="84"/>
      <c r="E4913" s="69" t="str">
        <f t="shared" si="259"/>
        <v>Еще фото</v>
      </c>
      <c r="F4913" s="13"/>
      <c r="G4913" s="23" t="s">
        <v>615</v>
      </c>
      <c r="H4913" s="23" t="s">
        <v>27</v>
      </c>
      <c r="I4913" s="23" t="s">
        <v>616</v>
      </c>
      <c r="J4913" s="14" t="s">
        <v>29</v>
      </c>
      <c r="K4913" s="15" t="s">
        <v>30</v>
      </c>
      <c r="L4913" s="87"/>
      <c r="M4913" s="14"/>
      <c r="N4913" s="14" t="s">
        <v>70</v>
      </c>
      <c r="O4913" s="14"/>
      <c r="P4913" s="15" t="s">
        <v>2678</v>
      </c>
      <c r="Q4913" s="16">
        <v>1999</v>
      </c>
      <c r="R4913" s="17">
        <v>45</v>
      </c>
      <c r="S4913" s="18">
        <v>1264.3675000000001</v>
      </c>
      <c r="T4913" s="19" t="s">
        <v>117</v>
      </c>
      <c r="U4913" s="20" t="s">
        <v>36</v>
      </c>
      <c r="V4913" s="21">
        <v>122</v>
      </c>
      <c r="W4913" s="21">
        <v>4</v>
      </c>
      <c r="X4913" s="22"/>
    </row>
    <row r="4914" spans="1:24" s="1" customFormat="1" ht="11.1" customHeight="1" x14ac:dyDescent="0.3">
      <c r="A4914" s="23" t="s">
        <v>3014</v>
      </c>
      <c r="B4914" s="23" t="s">
        <v>4768</v>
      </c>
      <c r="C4914" s="12" t="s">
        <v>4769</v>
      </c>
      <c r="D4914" s="84"/>
      <c r="E4914" s="69" t="str">
        <f t="shared" si="259"/>
        <v>Еще фото</v>
      </c>
      <c r="F4914" s="13"/>
      <c r="G4914" s="23" t="s">
        <v>615</v>
      </c>
      <c r="H4914" s="23" t="s">
        <v>27</v>
      </c>
      <c r="I4914" s="23" t="s">
        <v>616</v>
      </c>
      <c r="J4914" s="14" t="s">
        <v>29</v>
      </c>
      <c r="K4914" s="15" t="s">
        <v>30</v>
      </c>
      <c r="L4914" s="87"/>
      <c r="M4914" s="14"/>
      <c r="N4914" s="14" t="s">
        <v>70</v>
      </c>
      <c r="O4914" s="14"/>
      <c r="P4914" s="15" t="s">
        <v>2678</v>
      </c>
      <c r="Q4914" s="16">
        <v>1999</v>
      </c>
      <c r="R4914" s="17">
        <v>45</v>
      </c>
      <c r="S4914" s="18">
        <v>1264.3675000000001</v>
      </c>
      <c r="T4914" s="19" t="s">
        <v>117</v>
      </c>
      <c r="U4914" s="20" t="s">
        <v>37</v>
      </c>
      <c r="V4914" s="21">
        <v>128</v>
      </c>
      <c r="W4914" s="21">
        <v>3</v>
      </c>
      <c r="X4914" s="22"/>
    </row>
    <row r="4915" spans="1:24" s="1" customFormat="1" ht="11.1" customHeight="1" x14ac:dyDescent="0.3">
      <c r="A4915" s="23" t="s">
        <v>3014</v>
      </c>
      <c r="B4915" s="23" t="s">
        <v>4768</v>
      </c>
      <c r="C4915" s="12" t="s">
        <v>4769</v>
      </c>
      <c r="D4915" s="84"/>
      <c r="E4915" s="69" t="str">
        <f t="shared" si="259"/>
        <v>Еще фото</v>
      </c>
      <c r="F4915" s="13"/>
      <c r="G4915" s="23" t="s">
        <v>615</v>
      </c>
      <c r="H4915" s="23" t="s">
        <v>27</v>
      </c>
      <c r="I4915" s="23" t="s">
        <v>616</v>
      </c>
      <c r="J4915" s="14" t="s">
        <v>29</v>
      </c>
      <c r="K4915" s="15" t="s">
        <v>30</v>
      </c>
      <c r="L4915" s="87"/>
      <c r="M4915" s="14"/>
      <c r="N4915" s="14" t="s">
        <v>70</v>
      </c>
      <c r="O4915" s="14"/>
      <c r="P4915" s="15" t="s">
        <v>2678</v>
      </c>
      <c r="Q4915" s="16">
        <v>1999</v>
      </c>
      <c r="R4915" s="17">
        <v>45</v>
      </c>
      <c r="S4915" s="18">
        <v>1264.3675000000001</v>
      </c>
      <c r="T4915" s="19" t="s">
        <v>117</v>
      </c>
      <c r="U4915" s="20" t="s">
        <v>91</v>
      </c>
      <c r="V4915" s="21">
        <v>134</v>
      </c>
      <c r="W4915" s="21">
        <v>3</v>
      </c>
      <c r="X4915" s="22"/>
    </row>
    <row r="4916" spans="1:24" s="1" customFormat="1" ht="11.1" customHeight="1" x14ac:dyDescent="0.3">
      <c r="A4916" s="23" t="s">
        <v>3014</v>
      </c>
      <c r="B4916" s="23" t="s">
        <v>4768</v>
      </c>
      <c r="C4916" s="12" t="s">
        <v>4769</v>
      </c>
      <c r="D4916" s="84"/>
      <c r="E4916" s="69" t="str">
        <f t="shared" si="259"/>
        <v>Еще фото</v>
      </c>
      <c r="F4916" s="13"/>
      <c r="G4916" s="23" t="s">
        <v>615</v>
      </c>
      <c r="H4916" s="23" t="s">
        <v>27</v>
      </c>
      <c r="I4916" s="23" t="s">
        <v>616</v>
      </c>
      <c r="J4916" s="14" t="s">
        <v>29</v>
      </c>
      <c r="K4916" s="15" t="s">
        <v>30</v>
      </c>
      <c r="L4916" s="87"/>
      <c r="M4916" s="14"/>
      <c r="N4916" s="14" t="s">
        <v>70</v>
      </c>
      <c r="O4916" s="14"/>
      <c r="P4916" s="15" t="s">
        <v>2678</v>
      </c>
      <c r="Q4916" s="16">
        <v>1999</v>
      </c>
      <c r="R4916" s="17">
        <v>45</v>
      </c>
      <c r="S4916" s="18">
        <v>1264.3675000000001</v>
      </c>
      <c r="T4916" s="19" t="s">
        <v>117</v>
      </c>
      <c r="U4916" s="20" t="s">
        <v>290</v>
      </c>
      <c r="V4916" s="21">
        <v>140</v>
      </c>
      <c r="W4916" s="21">
        <v>3</v>
      </c>
      <c r="X4916" s="22"/>
    </row>
    <row r="4917" spans="1:24" s="1" customFormat="1" ht="11.1" customHeight="1" x14ac:dyDescent="0.3">
      <c r="A4917" s="23" t="s">
        <v>3014</v>
      </c>
      <c r="B4917" s="23" t="s">
        <v>4768</v>
      </c>
      <c r="C4917" s="12" t="s">
        <v>4769</v>
      </c>
      <c r="D4917" s="84"/>
      <c r="E4917" s="69" t="str">
        <f t="shared" si="259"/>
        <v>Еще фото</v>
      </c>
      <c r="F4917" s="13"/>
      <c r="G4917" s="23" t="s">
        <v>615</v>
      </c>
      <c r="H4917" s="23" t="s">
        <v>27</v>
      </c>
      <c r="I4917" s="23" t="s">
        <v>616</v>
      </c>
      <c r="J4917" s="14" t="s">
        <v>29</v>
      </c>
      <c r="K4917" s="15" t="s">
        <v>30</v>
      </c>
      <c r="L4917" s="87"/>
      <c r="M4917" s="14"/>
      <c r="N4917" s="14" t="s">
        <v>70</v>
      </c>
      <c r="O4917" s="14"/>
      <c r="P4917" s="15" t="s">
        <v>2678</v>
      </c>
      <c r="Q4917" s="16">
        <v>1999</v>
      </c>
      <c r="R4917" s="17">
        <v>45</v>
      </c>
      <c r="S4917" s="18">
        <v>1264.3675000000001</v>
      </c>
      <c r="T4917" s="19" t="s">
        <v>117</v>
      </c>
      <c r="U4917" s="20" t="s">
        <v>2993</v>
      </c>
      <c r="V4917" s="21">
        <v>146</v>
      </c>
      <c r="W4917" s="21">
        <v>3</v>
      </c>
      <c r="X4917" s="22"/>
    </row>
    <row r="4918" spans="1:24" s="1" customFormat="1" ht="11.1" customHeight="1" x14ac:dyDescent="0.3">
      <c r="A4918" s="23" t="s">
        <v>3014</v>
      </c>
      <c r="B4918" s="23" t="s">
        <v>4768</v>
      </c>
      <c r="C4918" s="12" t="s">
        <v>4769</v>
      </c>
      <c r="D4918" s="84"/>
      <c r="E4918" s="69" t="str">
        <f t="shared" si="259"/>
        <v>Еще фото</v>
      </c>
      <c r="F4918" s="13"/>
      <c r="G4918" s="23" t="s">
        <v>615</v>
      </c>
      <c r="H4918" s="23" t="s">
        <v>27</v>
      </c>
      <c r="I4918" s="23" t="s">
        <v>616</v>
      </c>
      <c r="J4918" s="14" t="s">
        <v>29</v>
      </c>
      <c r="K4918" s="15" t="s">
        <v>30</v>
      </c>
      <c r="L4918" s="87"/>
      <c r="M4918" s="14"/>
      <c r="N4918" s="14" t="s">
        <v>70</v>
      </c>
      <c r="O4918" s="14"/>
      <c r="P4918" s="15" t="s">
        <v>2678</v>
      </c>
      <c r="Q4918" s="16">
        <v>1999</v>
      </c>
      <c r="R4918" s="17">
        <v>45</v>
      </c>
      <c r="S4918" s="18">
        <v>1264.3675000000001</v>
      </c>
      <c r="T4918" s="19" t="s">
        <v>117</v>
      </c>
      <c r="U4918" s="20" t="s">
        <v>2160</v>
      </c>
      <c r="V4918" s="21">
        <v>152</v>
      </c>
      <c r="W4918" s="21">
        <v>3</v>
      </c>
      <c r="X4918" s="22"/>
    </row>
    <row r="4919" spans="1:24" s="1" customFormat="1" ht="11.1" customHeight="1" x14ac:dyDescent="0.3">
      <c r="A4919" s="14" t="s">
        <v>3014</v>
      </c>
      <c r="B4919" s="14" t="s">
        <v>4768</v>
      </c>
      <c r="C4919" s="12" t="s">
        <v>4769</v>
      </c>
      <c r="D4919" s="84"/>
      <c r="E4919" s="69" t="str">
        <f t="shared" si="259"/>
        <v>Еще фото</v>
      </c>
      <c r="F4919" s="36"/>
      <c r="G4919" s="14" t="s">
        <v>615</v>
      </c>
      <c r="H4919" s="14" t="s">
        <v>27</v>
      </c>
      <c r="I4919" s="14" t="s">
        <v>616</v>
      </c>
      <c r="J4919" s="14" t="s">
        <v>29</v>
      </c>
      <c r="K4919" s="14" t="s">
        <v>30</v>
      </c>
      <c r="L4919" s="87"/>
      <c r="M4919" s="14"/>
      <c r="N4919" s="14" t="s">
        <v>70</v>
      </c>
      <c r="O4919" s="14"/>
      <c r="P4919" s="14" t="s">
        <v>2678</v>
      </c>
      <c r="Q4919" s="33">
        <v>1999</v>
      </c>
      <c r="R4919" s="34">
        <v>45</v>
      </c>
      <c r="S4919" s="35">
        <v>1264.3675000000001</v>
      </c>
      <c r="T4919" s="19" t="s">
        <v>117</v>
      </c>
      <c r="U4919" s="20" t="s">
        <v>3088</v>
      </c>
      <c r="V4919" s="21">
        <v>158</v>
      </c>
      <c r="W4919" s="21">
        <v>2</v>
      </c>
      <c r="X4919" s="22"/>
    </row>
    <row r="4920" spans="1:24" s="1" customFormat="1" ht="11.1" customHeight="1" x14ac:dyDescent="0.3">
      <c r="A4920" s="14" t="s">
        <v>3014</v>
      </c>
      <c r="B4920" s="14" t="s">
        <v>4768</v>
      </c>
      <c r="C4920" s="12" t="s">
        <v>4769</v>
      </c>
      <c r="D4920" s="85"/>
      <c r="E4920" s="69" t="str">
        <f t="shared" si="259"/>
        <v>Еще фото</v>
      </c>
      <c r="F4920" s="36"/>
      <c r="G4920" s="14" t="s">
        <v>615</v>
      </c>
      <c r="H4920" s="14" t="s">
        <v>27</v>
      </c>
      <c r="I4920" s="14" t="s">
        <v>616</v>
      </c>
      <c r="J4920" s="14" t="s">
        <v>29</v>
      </c>
      <c r="K4920" s="14" t="s">
        <v>30</v>
      </c>
      <c r="L4920" s="88"/>
      <c r="M4920" s="14"/>
      <c r="N4920" s="14" t="s">
        <v>70</v>
      </c>
      <c r="O4920" s="14"/>
      <c r="P4920" s="14" t="s">
        <v>2678</v>
      </c>
      <c r="Q4920" s="33">
        <v>1999</v>
      </c>
      <c r="R4920" s="34">
        <v>45</v>
      </c>
      <c r="S4920" s="35">
        <v>1264.3675000000001</v>
      </c>
      <c r="T4920" s="19" t="s">
        <v>117</v>
      </c>
      <c r="U4920" s="20" t="s">
        <v>2161</v>
      </c>
      <c r="V4920" s="21">
        <v>164</v>
      </c>
      <c r="W4920" s="21">
        <v>3</v>
      </c>
      <c r="X4920" s="22"/>
    </row>
    <row r="4921" spans="1:24" s="1" customFormat="1" ht="17.100000000000001" customHeight="1" x14ac:dyDescent="0.3">
      <c r="A4921" s="11" t="s">
        <v>3014</v>
      </c>
      <c r="B4921" s="11" t="s">
        <v>4770</v>
      </c>
      <c r="C4921" s="12" t="s">
        <v>4771</v>
      </c>
      <c r="D4921" s="83"/>
      <c r="E4921" s="69" t="str">
        <f t="shared" ref="E4921:E4926" si="260">HYPERLINK("https://www.google.ru/search?q=73206118-0100&amp;newwindow=1&amp;tbm=isch","Еще фото")</f>
        <v>Еще фото</v>
      </c>
      <c r="F4921" s="13"/>
      <c r="G4921" s="11" t="s">
        <v>615</v>
      </c>
      <c r="H4921" s="11" t="s">
        <v>27</v>
      </c>
      <c r="I4921" s="14" t="s">
        <v>616</v>
      </c>
      <c r="J4921" s="14" t="s">
        <v>29</v>
      </c>
      <c r="K4921" s="15" t="s">
        <v>30</v>
      </c>
      <c r="L4921" s="86"/>
      <c r="M4921" s="14"/>
      <c r="N4921" s="14" t="s">
        <v>89</v>
      </c>
      <c r="O4921" s="14"/>
      <c r="P4921" s="15" t="s">
        <v>74</v>
      </c>
      <c r="Q4921" s="16">
        <v>1799</v>
      </c>
      <c r="R4921" s="17">
        <v>45</v>
      </c>
      <c r="S4921" s="29">
        <v>1137.8675000000001</v>
      </c>
      <c r="T4921" s="19" t="s">
        <v>117</v>
      </c>
      <c r="U4921" s="20" t="s">
        <v>35</v>
      </c>
      <c r="V4921" s="21">
        <v>116</v>
      </c>
      <c r="W4921" s="21">
        <v>4</v>
      </c>
      <c r="X4921" s="22"/>
    </row>
    <row r="4922" spans="1:24" s="1" customFormat="1" ht="17.100000000000001" customHeight="1" x14ac:dyDescent="0.3">
      <c r="A4922" s="23" t="s">
        <v>3014</v>
      </c>
      <c r="B4922" s="23" t="s">
        <v>4770</v>
      </c>
      <c r="C4922" s="12" t="s">
        <v>4771</v>
      </c>
      <c r="D4922" s="84"/>
      <c r="E4922" s="69" t="str">
        <f t="shared" si="260"/>
        <v>Еще фото</v>
      </c>
      <c r="F4922" s="13"/>
      <c r="G4922" s="23" t="s">
        <v>615</v>
      </c>
      <c r="H4922" s="23" t="s">
        <v>27</v>
      </c>
      <c r="I4922" s="23" t="s">
        <v>616</v>
      </c>
      <c r="J4922" s="14" t="s">
        <v>29</v>
      </c>
      <c r="K4922" s="15" t="s">
        <v>30</v>
      </c>
      <c r="L4922" s="87"/>
      <c r="M4922" s="14"/>
      <c r="N4922" s="14" t="s">
        <v>89</v>
      </c>
      <c r="O4922" s="14"/>
      <c r="P4922" s="15" t="s">
        <v>74</v>
      </c>
      <c r="Q4922" s="16">
        <v>1799</v>
      </c>
      <c r="R4922" s="17">
        <v>45</v>
      </c>
      <c r="S4922" s="29">
        <v>1137.8675000000001</v>
      </c>
      <c r="T4922" s="19" t="s">
        <v>117</v>
      </c>
      <c r="U4922" s="20" t="s">
        <v>36</v>
      </c>
      <c r="V4922" s="21">
        <v>122</v>
      </c>
      <c r="W4922" s="21">
        <v>4</v>
      </c>
      <c r="X4922" s="22"/>
    </row>
    <row r="4923" spans="1:24" s="1" customFormat="1" ht="17.100000000000001" customHeight="1" x14ac:dyDescent="0.3">
      <c r="A4923" s="23" t="s">
        <v>3014</v>
      </c>
      <c r="B4923" s="23" t="s">
        <v>4770</v>
      </c>
      <c r="C4923" s="12" t="s">
        <v>4771</v>
      </c>
      <c r="D4923" s="84"/>
      <c r="E4923" s="69" t="str">
        <f t="shared" si="260"/>
        <v>Еще фото</v>
      </c>
      <c r="F4923" s="13"/>
      <c r="G4923" s="23" t="s">
        <v>615</v>
      </c>
      <c r="H4923" s="23" t="s">
        <v>27</v>
      </c>
      <c r="I4923" s="23" t="s">
        <v>616</v>
      </c>
      <c r="J4923" s="14" t="s">
        <v>29</v>
      </c>
      <c r="K4923" s="15" t="s">
        <v>30</v>
      </c>
      <c r="L4923" s="87"/>
      <c r="M4923" s="14"/>
      <c r="N4923" s="14" t="s">
        <v>89</v>
      </c>
      <c r="O4923" s="14"/>
      <c r="P4923" s="15" t="s">
        <v>74</v>
      </c>
      <c r="Q4923" s="16">
        <v>1799</v>
      </c>
      <c r="R4923" s="17">
        <v>45</v>
      </c>
      <c r="S4923" s="29">
        <v>1137.8675000000001</v>
      </c>
      <c r="T4923" s="19" t="s">
        <v>117</v>
      </c>
      <c r="U4923" s="20" t="s">
        <v>91</v>
      </c>
      <c r="V4923" s="21">
        <v>134</v>
      </c>
      <c r="W4923" s="21">
        <v>4</v>
      </c>
      <c r="X4923" s="22"/>
    </row>
    <row r="4924" spans="1:24" s="1" customFormat="1" ht="17.100000000000001" customHeight="1" x14ac:dyDescent="0.3">
      <c r="A4924" s="23" t="s">
        <v>3014</v>
      </c>
      <c r="B4924" s="23" t="s">
        <v>4770</v>
      </c>
      <c r="C4924" s="12" t="s">
        <v>4771</v>
      </c>
      <c r="D4924" s="84"/>
      <c r="E4924" s="69" t="str">
        <f t="shared" si="260"/>
        <v>Еще фото</v>
      </c>
      <c r="F4924" s="13"/>
      <c r="G4924" s="23" t="s">
        <v>615</v>
      </c>
      <c r="H4924" s="23" t="s">
        <v>27</v>
      </c>
      <c r="I4924" s="23" t="s">
        <v>616</v>
      </c>
      <c r="J4924" s="14" t="s">
        <v>29</v>
      </c>
      <c r="K4924" s="15" t="s">
        <v>30</v>
      </c>
      <c r="L4924" s="87"/>
      <c r="M4924" s="14"/>
      <c r="N4924" s="14" t="s">
        <v>89</v>
      </c>
      <c r="O4924" s="14"/>
      <c r="P4924" s="15" t="s">
        <v>74</v>
      </c>
      <c r="Q4924" s="16">
        <v>1799</v>
      </c>
      <c r="R4924" s="17">
        <v>45</v>
      </c>
      <c r="S4924" s="29">
        <v>1137.8675000000001</v>
      </c>
      <c r="T4924" s="19" t="s">
        <v>117</v>
      </c>
      <c r="U4924" s="20" t="s">
        <v>290</v>
      </c>
      <c r="V4924" s="21">
        <v>140</v>
      </c>
      <c r="W4924" s="21">
        <v>3</v>
      </c>
      <c r="X4924" s="22"/>
    </row>
    <row r="4925" spans="1:24" s="1" customFormat="1" ht="17.100000000000001" customHeight="1" x14ac:dyDescent="0.3">
      <c r="A4925" s="23" t="s">
        <v>3014</v>
      </c>
      <c r="B4925" s="23" t="s">
        <v>4770</v>
      </c>
      <c r="C4925" s="12" t="s">
        <v>4771</v>
      </c>
      <c r="D4925" s="84"/>
      <c r="E4925" s="69" t="str">
        <f t="shared" si="260"/>
        <v>Еще фото</v>
      </c>
      <c r="F4925" s="13"/>
      <c r="G4925" s="23" t="s">
        <v>615</v>
      </c>
      <c r="H4925" s="23" t="s">
        <v>27</v>
      </c>
      <c r="I4925" s="23" t="s">
        <v>616</v>
      </c>
      <c r="J4925" s="14" t="s">
        <v>29</v>
      </c>
      <c r="K4925" s="15" t="s">
        <v>30</v>
      </c>
      <c r="L4925" s="87"/>
      <c r="M4925" s="14"/>
      <c r="N4925" s="14" t="s">
        <v>89</v>
      </c>
      <c r="O4925" s="14"/>
      <c r="P4925" s="15" t="s">
        <v>74</v>
      </c>
      <c r="Q4925" s="16">
        <v>1799</v>
      </c>
      <c r="R4925" s="17">
        <v>45</v>
      </c>
      <c r="S4925" s="29">
        <v>1137.8675000000001</v>
      </c>
      <c r="T4925" s="19" t="s">
        <v>117</v>
      </c>
      <c r="U4925" s="20" t="s">
        <v>2993</v>
      </c>
      <c r="V4925" s="21">
        <v>146</v>
      </c>
      <c r="W4925" s="21">
        <v>4</v>
      </c>
      <c r="X4925" s="22"/>
    </row>
    <row r="4926" spans="1:24" s="1" customFormat="1" ht="21.95" customHeight="1" x14ac:dyDescent="0.3">
      <c r="A4926" s="23" t="s">
        <v>3014</v>
      </c>
      <c r="B4926" s="23" t="s">
        <v>4770</v>
      </c>
      <c r="C4926" s="12" t="s">
        <v>4771</v>
      </c>
      <c r="D4926" s="85"/>
      <c r="E4926" s="69" t="str">
        <f t="shared" si="260"/>
        <v>Еще фото</v>
      </c>
      <c r="F4926" s="13"/>
      <c r="G4926" s="23" t="s">
        <v>615</v>
      </c>
      <c r="H4926" s="23" t="s">
        <v>27</v>
      </c>
      <c r="I4926" s="23" t="s">
        <v>616</v>
      </c>
      <c r="J4926" s="14" t="s">
        <v>29</v>
      </c>
      <c r="K4926" s="15" t="s">
        <v>30</v>
      </c>
      <c r="L4926" s="88"/>
      <c r="M4926" s="14"/>
      <c r="N4926" s="14" t="s">
        <v>89</v>
      </c>
      <c r="O4926" s="14"/>
      <c r="P4926" s="15" t="s">
        <v>74</v>
      </c>
      <c r="Q4926" s="16">
        <v>1799</v>
      </c>
      <c r="R4926" s="17">
        <v>45</v>
      </c>
      <c r="S4926" s="29">
        <v>1137.8675000000001</v>
      </c>
      <c r="T4926" s="19" t="s">
        <v>117</v>
      </c>
      <c r="U4926" s="20" t="s">
        <v>2160</v>
      </c>
      <c r="V4926" s="21">
        <v>152</v>
      </c>
      <c r="W4926" s="21">
        <v>1</v>
      </c>
      <c r="X4926" s="22"/>
    </row>
    <row r="4927" spans="1:24" s="1" customFormat="1" ht="17.100000000000001" customHeight="1" x14ac:dyDescent="0.3">
      <c r="A4927" s="11" t="s">
        <v>3014</v>
      </c>
      <c r="B4927" s="11" t="s">
        <v>4770</v>
      </c>
      <c r="C4927" s="12" t="s">
        <v>4772</v>
      </c>
      <c r="D4927" s="83"/>
      <c r="E4927" s="69" t="str">
        <f t="shared" ref="E4927:E4932" si="261">HYPERLINK("https://www.google.ru/search?q=73206118-9470&amp;newwindow=1&amp;tbm=isch","Еще фото")</f>
        <v>Еще фото</v>
      </c>
      <c r="F4927" s="13"/>
      <c r="G4927" s="11" t="s">
        <v>615</v>
      </c>
      <c r="H4927" s="11" t="s">
        <v>27</v>
      </c>
      <c r="I4927" s="14" t="s">
        <v>616</v>
      </c>
      <c r="J4927" s="14" t="s">
        <v>29</v>
      </c>
      <c r="K4927" s="15" t="s">
        <v>30</v>
      </c>
      <c r="L4927" s="86"/>
      <c r="M4927" s="14"/>
      <c r="N4927" s="14" t="s">
        <v>41</v>
      </c>
      <c r="O4927" s="14"/>
      <c r="P4927" s="15" t="s">
        <v>74</v>
      </c>
      <c r="Q4927" s="16">
        <v>1799</v>
      </c>
      <c r="R4927" s="17">
        <v>45</v>
      </c>
      <c r="S4927" s="29">
        <v>1137.8675000000001</v>
      </c>
      <c r="T4927" s="19" t="s">
        <v>117</v>
      </c>
      <c r="U4927" s="20" t="s">
        <v>35</v>
      </c>
      <c r="V4927" s="21">
        <v>116</v>
      </c>
      <c r="W4927" s="21">
        <v>5</v>
      </c>
      <c r="X4927" s="22"/>
    </row>
    <row r="4928" spans="1:24" s="1" customFormat="1" ht="17.100000000000001" customHeight="1" x14ac:dyDescent="0.3">
      <c r="A4928" s="23" t="s">
        <v>3014</v>
      </c>
      <c r="B4928" s="23" t="s">
        <v>4770</v>
      </c>
      <c r="C4928" s="12" t="s">
        <v>4772</v>
      </c>
      <c r="D4928" s="84"/>
      <c r="E4928" s="69" t="str">
        <f t="shared" si="261"/>
        <v>Еще фото</v>
      </c>
      <c r="F4928" s="13"/>
      <c r="G4928" s="23" t="s">
        <v>615</v>
      </c>
      <c r="H4928" s="23" t="s">
        <v>27</v>
      </c>
      <c r="I4928" s="23" t="s">
        <v>616</v>
      </c>
      <c r="J4928" s="14" t="s">
        <v>29</v>
      </c>
      <c r="K4928" s="15" t="s">
        <v>30</v>
      </c>
      <c r="L4928" s="87"/>
      <c r="M4928" s="14"/>
      <c r="N4928" s="14" t="s">
        <v>41</v>
      </c>
      <c r="O4928" s="14"/>
      <c r="P4928" s="15" t="s">
        <v>74</v>
      </c>
      <c r="Q4928" s="16">
        <v>1799</v>
      </c>
      <c r="R4928" s="17">
        <v>45</v>
      </c>
      <c r="S4928" s="29">
        <v>1137.8675000000001</v>
      </c>
      <c r="T4928" s="19" t="s">
        <v>117</v>
      </c>
      <c r="U4928" s="20" t="s">
        <v>37</v>
      </c>
      <c r="V4928" s="21">
        <v>128</v>
      </c>
      <c r="W4928" s="21">
        <v>5</v>
      </c>
      <c r="X4928" s="22"/>
    </row>
    <row r="4929" spans="1:24" s="1" customFormat="1" ht="17.100000000000001" customHeight="1" x14ac:dyDescent="0.3">
      <c r="A4929" s="23" t="s">
        <v>3014</v>
      </c>
      <c r="B4929" s="23" t="s">
        <v>4770</v>
      </c>
      <c r="C4929" s="12" t="s">
        <v>4772</v>
      </c>
      <c r="D4929" s="84"/>
      <c r="E4929" s="69" t="str">
        <f t="shared" si="261"/>
        <v>Еще фото</v>
      </c>
      <c r="F4929" s="13"/>
      <c r="G4929" s="23" t="s">
        <v>615</v>
      </c>
      <c r="H4929" s="23" t="s">
        <v>27</v>
      </c>
      <c r="I4929" s="23" t="s">
        <v>616</v>
      </c>
      <c r="J4929" s="14" t="s">
        <v>29</v>
      </c>
      <c r="K4929" s="15" t="s">
        <v>30</v>
      </c>
      <c r="L4929" s="87"/>
      <c r="M4929" s="14"/>
      <c r="N4929" s="14" t="s">
        <v>41</v>
      </c>
      <c r="O4929" s="14"/>
      <c r="P4929" s="15" t="s">
        <v>74</v>
      </c>
      <c r="Q4929" s="16">
        <v>1799</v>
      </c>
      <c r="R4929" s="17">
        <v>45</v>
      </c>
      <c r="S4929" s="29">
        <v>1137.8675000000001</v>
      </c>
      <c r="T4929" s="19" t="s">
        <v>117</v>
      </c>
      <c r="U4929" s="20" t="s">
        <v>91</v>
      </c>
      <c r="V4929" s="21">
        <v>134</v>
      </c>
      <c r="W4929" s="21">
        <v>5</v>
      </c>
      <c r="X4929" s="22"/>
    </row>
    <row r="4930" spans="1:24" s="1" customFormat="1" ht="17.100000000000001" customHeight="1" x14ac:dyDescent="0.3">
      <c r="A4930" s="23" t="s">
        <v>3014</v>
      </c>
      <c r="B4930" s="23" t="s">
        <v>4770</v>
      </c>
      <c r="C4930" s="12" t="s">
        <v>4772</v>
      </c>
      <c r="D4930" s="84"/>
      <c r="E4930" s="69" t="str">
        <f t="shared" si="261"/>
        <v>Еще фото</v>
      </c>
      <c r="F4930" s="13"/>
      <c r="G4930" s="23" t="s">
        <v>615</v>
      </c>
      <c r="H4930" s="23" t="s">
        <v>27</v>
      </c>
      <c r="I4930" s="23" t="s">
        <v>616</v>
      </c>
      <c r="J4930" s="14" t="s">
        <v>29</v>
      </c>
      <c r="K4930" s="15" t="s">
        <v>30</v>
      </c>
      <c r="L4930" s="87"/>
      <c r="M4930" s="14"/>
      <c r="N4930" s="14" t="s">
        <v>41</v>
      </c>
      <c r="O4930" s="14"/>
      <c r="P4930" s="15" t="s">
        <v>74</v>
      </c>
      <c r="Q4930" s="16">
        <v>1799</v>
      </c>
      <c r="R4930" s="17">
        <v>45</v>
      </c>
      <c r="S4930" s="29">
        <v>1137.8675000000001</v>
      </c>
      <c r="T4930" s="19" t="s">
        <v>117</v>
      </c>
      <c r="U4930" s="20" t="s">
        <v>290</v>
      </c>
      <c r="V4930" s="21">
        <v>140</v>
      </c>
      <c r="W4930" s="21">
        <v>5</v>
      </c>
      <c r="X4930" s="22"/>
    </row>
    <row r="4931" spans="1:24" s="1" customFormat="1" ht="17.100000000000001" customHeight="1" x14ac:dyDescent="0.3">
      <c r="A4931" s="23" t="s">
        <v>3014</v>
      </c>
      <c r="B4931" s="23" t="s">
        <v>4770</v>
      </c>
      <c r="C4931" s="12" t="s">
        <v>4772</v>
      </c>
      <c r="D4931" s="84"/>
      <c r="E4931" s="69" t="str">
        <f t="shared" si="261"/>
        <v>Еще фото</v>
      </c>
      <c r="F4931" s="13"/>
      <c r="G4931" s="23" t="s">
        <v>615</v>
      </c>
      <c r="H4931" s="23" t="s">
        <v>27</v>
      </c>
      <c r="I4931" s="23" t="s">
        <v>616</v>
      </c>
      <c r="J4931" s="14" t="s">
        <v>29</v>
      </c>
      <c r="K4931" s="15" t="s">
        <v>30</v>
      </c>
      <c r="L4931" s="87"/>
      <c r="M4931" s="14"/>
      <c r="N4931" s="14" t="s">
        <v>41</v>
      </c>
      <c r="O4931" s="14"/>
      <c r="P4931" s="15" t="s">
        <v>74</v>
      </c>
      <c r="Q4931" s="16">
        <v>1799</v>
      </c>
      <c r="R4931" s="17">
        <v>45</v>
      </c>
      <c r="S4931" s="29">
        <v>1137.8675000000001</v>
      </c>
      <c r="T4931" s="19" t="s">
        <v>117</v>
      </c>
      <c r="U4931" s="20" t="s">
        <v>2993</v>
      </c>
      <c r="V4931" s="21">
        <v>146</v>
      </c>
      <c r="W4931" s="21">
        <v>4</v>
      </c>
      <c r="X4931" s="22"/>
    </row>
    <row r="4932" spans="1:24" s="1" customFormat="1" ht="21.95" customHeight="1" x14ac:dyDescent="0.3">
      <c r="A4932" s="23" t="s">
        <v>3014</v>
      </c>
      <c r="B4932" s="23" t="s">
        <v>4770</v>
      </c>
      <c r="C4932" s="12" t="s">
        <v>4772</v>
      </c>
      <c r="D4932" s="85"/>
      <c r="E4932" s="69" t="str">
        <f t="shared" si="261"/>
        <v>Еще фото</v>
      </c>
      <c r="F4932" s="13"/>
      <c r="G4932" s="23" t="s">
        <v>615</v>
      </c>
      <c r="H4932" s="23" t="s">
        <v>27</v>
      </c>
      <c r="I4932" s="23" t="s">
        <v>616</v>
      </c>
      <c r="J4932" s="14" t="s">
        <v>29</v>
      </c>
      <c r="K4932" s="15" t="s">
        <v>30</v>
      </c>
      <c r="L4932" s="88"/>
      <c r="M4932" s="14"/>
      <c r="N4932" s="14" t="s">
        <v>41</v>
      </c>
      <c r="O4932" s="14"/>
      <c r="P4932" s="15" t="s">
        <v>74</v>
      </c>
      <c r="Q4932" s="16">
        <v>1799</v>
      </c>
      <c r="R4932" s="17">
        <v>45</v>
      </c>
      <c r="S4932" s="29">
        <v>1137.8675000000001</v>
      </c>
      <c r="T4932" s="19" t="s">
        <v>117</v>
      </c>
      <c r="U4932" s="20" t="s">
        <v>2160</v>
      </c>
      <c r="V4932" s="21">
        <v>152</v>
      </c>
      <c r="W4932" s="21">
        <v>4</v>
      </c>
      <c r="X4932" s="22"/>
    </row>
    <row r="4933" spans="1:24" s="1" customFormat="1" ht="11.1" customHeight="1" x14ac:dyDescent="0.3">
      <c r="A4933" s="11" t="s">
        <v>3014</v>
      </c>
      <c r="B4933" s="11" t="s">
        <v>4773</v>
      </c>
      <c r="C4933" s="12" t="s">
        <v>4774</v>
      </c>
      <c r="D4933" s="83"/>
      <c r="E4933" s="69" t="str">
        <f t="shared" ref="E4933:E4942" si="262">HYPERLINK("https://www.google.ru/search?q=73206119-0160&amp;newwindow=1&amp;tbm=isch","Еще фото")</f>
        <v>Еще фото</v>
      </c>
      <c r="F4933" s="13"/>
      <c r="G4933" s="11" t="s">
        <v>654</v>
      </c>
      <c r="H4933" s="11" t="s">
        <v>27</v>
      </c>
      <c r="I4933" s="14" t="s">
        <v>616</v>
      </c>
      <c r="J4933" s="14" t="s">
        <v>29</v>
      </c>
      <c r="K4933" s="15" t="s">
        <v>30</v>
      </c>
      <c r="L4933" s="86"/>
      <c r="M4933" s="14"/>
      <c r="N4933" s="14" t="s">
        <v>89</v>
      </c>
      <c r="O4933" s="14"/>
      <c r="P4933" s="15" t="s">
        <v>74</v>
      </c>
      <c r="Q4933" s="16">
        <v>1999</v>
      </c>
      <c r="R4933" s="17">
        <v>45</v>
      </c>
      <c r="S4933" s="18">
        <v>1264.3675000000001</v>
      </c>
      <c r="T4933" s="19" t="s">
        <v>117</v>
      </c>
      <c r="U4933" s="20" t="s">
        <v>94</v>
      </c>
      <c r="V4933" s="21">
        <v>104</v>
      </c>
      <c r="W4933" s="21">
        <v>2</v>
      </c>
      <c r="X4933" s="22"/>
    </row>
    <row r="4934" spans="1:24" s="1" customFormat="1" ht="11.1" customHeight="1" x14ac:dyDescent="0.3">
      <c r="A4934" s="23" t="s">
        <v>3014</v>
      </c>
      <c r="B4934" s="23" t="s">
        <v>4773</v>
      </c>
      <c r="C4934" s="12" t="s">
        <v>4774</v>
      </c>
      <c r="D4934" s="84"/>
      <c r="E4934" s="69" t="str">
        <f t="shared" si="262"/>
        <v>Еще фото</v>
      </c>
      <c r="F4934" s="13"/>
      <c r="G4934" s="23" t="s">
        <v>654</v>
      </c>
      <c r="H4934" s="23" t="s">
        <v>27</v>
      </c>
      <c r="I4934" s="23" t="s">
        <v>616</v>
      </c>
      <c r="J4934" s="14" t="s">
        <v>29</v>
      </c>
      <c r="K4934" s="15" t="s">
        <v>30</v>
      </c>
      <c r="L4934" s="87"/>
      <c r="M4934" s="14"/>
      <c r="N4934" s="14" t="s">
        <v>89</v>
      </c>
      <c r="O4934" s="14"/>
      <c r="P4934" s="15" t="s">
        <v>74</v>
      </c>
      <c r="Q4934" s="16">
        <v>1999</v>
      </c>
      <c r="R4934" s="17">
        <v>45</v>
      </c>
      <c r="S4934" s="18">
        <v>1264.3675000000001</v>
      </c>
      <c r="T4934" s="19" t="s">
        <v>117</v>
      </c>
      <c r="U4934" s="20" t="s">
        <v>35</v>
      </c>
      <c r="V4934" s="21">
        <v>116</v>
      </c>
      <c r="W4934" s="21">
        <v>4</v>
      </c>
      <c r="X4934" s="22"/>
    </row>
    <row r="4935" spans="1:24" s="1" customFormat="1" ht="11.1" customHeight="1" x14ac:dyDescent="0.3">
      <c r="A4935" s="23" t="s">
        <v>3014</v>
      </c>
      <c r="B4935" s="23" t="s">
        <v>4773</v>
      </c>
      <c r="C4935" s="12" t="s">
        <v>4774</v>
      </c>
      <c r="D4935" s="84"/>
      <c r="E4935" s="69" t="str">
        <f t="shared" si="262"/>
        <v>Еще фото</v>
      </c>
      <c r="F4935" s="13"/>
      <c r="G4935" s="23" t="s">
        <v>654</v>
      </c>
      <c r="H4935" s="23" t="s">
        <v>27</v>
      </c>
      <c r="I4935" s="23" t="s">
        <v>616</v>
      </c>
      <c r="J4935" s="14" t="s">
        <v>29</v>
      </c>
      <c r="K4935" s="15" t="s">
        <v>30</v>
      </c>
      <c r="L4935" s="87"/>
      <c r="M4935" s="14"/>
      <c r="N4935" s="14" t="s">
        <v>89</v>
      </c>
      <c r="O4935" s="14"/>
      <c r="P4935" s="15" t="s">
        <v>74</v>
      </c>
      <c r="Q4935" s="16">
        <v>1999</v>
      </c>
      <c r="R4935" s="17">
        <v>45</v>
      </c>
      <c r="S4935" s="18">
        <v>1264.3675000000001</v>
      </c>
      <c r="T4935" s="19" t="s">
        <v>117</v>
      </c>
      <c r="U4935" s="20" t="s">
        <v>36</v>
      </c>
      <c r="V4935" s="21">
        <v>122</v>
      </c>
      <c r="W4935" s="21">
        <v>4</v>
      </c>
      <c r="X4935" s="22"/>
    </row>
    <row r="4936" spans="1:24" s="1" customFormat="1" ht="11.1" customHeight="1" x14ac:dyDescent="0.3">
      <c r="A4936" s="23" t="s">
        <v>3014</v>
      </c>
      <c r="B4936" s="23" t="s">
        <v>4773</v>
      </c>
      <c r="C4936" s="12" t="s">
        <v>4774</v>
      </c>
      <c r="D4936" s="84"/>
      <c r="E4936" s="69" t="str">
        <f t="shared" si="262"/>
        <v>Еще фото</v>
      </c>
      <c r="F4936" s="13"/>
      <c r="G4936" s="23" t="s">
        <v>654</v>
      </c>
      <c r="H4936" s="23" t="s">
        <v>27</v>
      </c>
      <c r="I4936" s="23" t="s">
        <v>616</v>
      </c>
      <c r="J4936" s="14" t="s">
        <v>29</v>
      </c>
      <c r="K4936" s="15" t="s">
        <v>30</v>
      </c>
      <c r="L4936" s="87"/>
      <c r="M4936" s="14"/>
      <c r="N4936" s="14" t="s">
        <v>89</v>
      </c>
      <c r="O4936" s="14"/>
      <c r="P4936" s="15" t="s">
        <v>74</v>
      </c>
      <c r="Q4936" s="16">
        <v>1999</v>
      </c>
      <c r="R4936" s="17">
        <v>45</v>
      </c>
      <c r="S4936" s="18">
        <v>1264.3675000000001</v>
      </c>
      <c r="T4936" s="19" t="s">
        <v>117</v>
      </c>
      <c r="U4936" s="20" t="s">
        <v>37</v>
      </c>
      <c r="V4936" s="21">
        <v>128</v>
      </c>
      <c r="W4936" s="21">
        <v>11</v>
      </c>
      <c r="X4936" s="22"/>
    </row>
    <row r="4937" spans="1:24" s="1" customFormat="1" ht="11.1" customHeight="1" x14ac:dyDescent="0.3">
      <c r="A4937" s="23" t="s">
        <v>3014</v>
      </c>
      <c r="B4937" s="23" t="s">
        <v>4773</v>
      </c>
      <c r="C4937" s="12" t="s">
        <v>4774</v>
      </c>
      <c r="D4937" s="84"/>
      <c r="E4937" s="69" t="str">
        <f t="shared" si="262"/>
        <v>Еще фото</v>
      </c>
      <c r="F4937" s="13"/>
      <c r="G4937" s="23" t="s">
        <v>654</v>
      </c>
      <c r="H4937" s="23" t="s">
        <v>27</v>
      </c>
      <c r="I4937" s="23" t="s">
        <v>616</v>
      </c>
      <c r="J4937" s="14" t="s">
        <v>29</v>
      </c>
      <c r="K4937" s="15" t="s">
        <v>30</v>
      </c>
      <c r="L4937" s="87"/>
      <c r="M4937" s="14"/>
      <c r="N4937" s="14" t="s">
        <v>89</v>
      </c>
      <c r="O4937" s="14"/>
      <c r="P4937" s="15" t="s">
        <v>74</v>
      </c>
      <c r="Q4937" s="16">
        <v>1999</v>
      </c>
      <c r="R4937" s="17">
        <v>45</v>
      </c>
      <c r="S4937" s="18">
        <v>1264.3675000000001</v>
      </c>
      <c r="T4937" s="19" t="s">
        <v>117</v>
      </c>
      <c r="U4937" s="20" t="s">
        <v>91</v>
      </c>
      <c r="V4937" s="21">
        <v>134</v>
      </c>
      <c r="W4937" s="21">
        <v>11</v>
      </c>
      <c r="X4937" s="22"/>
    </row>
    <row r="4938" spans="1:24" s="1" customFormat="1" ht="11.1" customHeight="1" x14ac:dyDescent="0.3">
      <c r="A4938" s="23" t="s">
        <v>3014</v>
      </c>
      <c r="B4938" s="23" t="s">
        <v>4773</v>
      </c>
      <c r="C4938" s="12" t="s">
        <v>4774</v>
      </c>
      <c r="D4938" s="84"/>
      <c r="E4938" s="69" t="str">
        <f t="shared" si="262"/>
        <v>Еще фото</v>
      </c>
      <c r="F4938" s="13"/>
      <c r="G4938" s="23" t="s">
        <v>654</v>
      </c>
      <c r="H4938" s="23" t="s">
        <v>27</v>
      </c>
      <c r="I4938" s="23" t="s">
        <v>616</v>
      </c>
      <c r="J4938" s="14" t="s">
        <v>29</v>
      </c>
      <c r="K4938" s="15" t="s">
        <v>30</v>
      </c>
      <c r="L4938" s="87"/>
      <c r="M4938" s="14"/>
      <c r="N4938" s="14" t="s">
        <v>89</v>
      </c>
      <c r="O4938" s="14"/>
      <c r="P4938" s="15" t="s">
        <v>74</v>
      </c>
      <c r="Q4938" s="16">
        <v>1999</v>
      </c>
      <c r="R4938" s="17">
        <v>45</v>
      </c>
      <c r="S4938" s="18">
        <v>1264.3675000000001</v>
      </c>
      <c r="T4938" s="19" t="s">
        <v>117</v>
      </c>
      <c r="U4938" s="20" t="s">
        <v>290</v>
      </c>
      <c r="V4938" s="21">
        <v>140</v>
      </c>
      <c r="W4938" s="21">
        <v>9</v>
      </c>
      <c r="X4938" s="22"/>
    </row>
    <row r="4939" spans="1:24" s="1" customFormat="1" ht="11.1" customHeight="1" x14ac:dyDescent="0.3">
      <c r="A4939" s="23" t="s">
        <v>3014</v>
      </c>
      <c r="B4939" s="23" t="s">
        <v>4773</v>
      </c>
      <c r="C4939" s="12" t="s">
        <v>4774</v>
      </c>
      <c r="D4939" s="84"/>
      <c r="E4939" s="69" t="str">
        <f t="shared" si="262"/>
        <v>Еще фото</v>
      </c>
      <c r="F4939" s="13"/>
      <c r="G4939" s="23" t="s">
        <v>654</v>
      </c>
      <c r="H4939" s="23" t="s">
        <v>27</v>
      </c>
      <c r="I4939" s="23" t="s">
        <v>616</v>
      </c>
      <c r="J4939" s="14" t="s">
        <v>29</v>
      </c>
      <c r="K4939" s="15" t="s">
        <v>30</v>
      </c>
      <c r="L4939" s="87"/>
      <c r="M4939" s="14"/>
      <c r="N4939" s="14" t="s">
        <v>89</v>
      </c>
      <c r="O4939" s="14"/>
      <c r="P4939" s="15" t="s">
        <v>74</v>
      </c>
      <c r="Q4939" s="16">
        <v>1999</v>
      </c>
      <c r="R4939" s="17">
        <v>45</v>
      </c>
      <c r="S4939" s="18">
        <v>1264.3675000000001</v>
      </c>
      <c r="T4939" s="19" t="s">
        <v>117</v>
      </c>
      <c r="U4939" s="20" t="s">
        <v>2993</v>
      </c>
      <c r="V4939" s="21">
        <v>146</v>
      </c>
      <c r="W4939" s="21">
        <v>11</v>
      </c>
      <c r="X4939" s="22"/>
    </row>
    <row r="4940" spans="1:24" s="1" customFormat="1" ht="11.1" customHeight="1" x14ac:dyDescent="0.3">
      <c r="A4940" s="23" t="s">
        <v>3014</v>
      </c>
      <c r="B4940" s="23" t="s">
        <v>4773</v>
      </c>
      <c r="C4940" s="12" t="s">
        <v>4774</v>
      </c>
      <c r="D4940" s="84"/>
      <c r="E4940" s="69" t="str">
        <f t="shared" si="262"/>
        <v>Еще фото</v>
      </c>
      <c r="F4940" s="13"/>
      <c r="G4940" s="23" t="s">
        <v>654</v>
      </c>
      <c r="H4940" s="23" t="s">
        <v>27</v>
      </c>
      <c r="I4940" s="23" t="s">
        <v>616</v>
      </c>
      <c r="J4940" s="14" t="s">
        <v>29</v>
      </c>
      <c r="K4940" s="15" t="s">
        <v>30</v>
      </c>
      <c r="L4940" s="87"/>
      <c r="M4940" s="14"/>
      <c r="N4940" s="14" t="s">
        <v>89</v>
      </c>
      <c r="O4940" s="14"/>
      <c r="P4940" s="15" t="s">
        <v>74</v>
      </c>
      <c r="Q4940" s="16">
        <v>1999</v>
      </c>
      <c r="R4940" s="17">
        <v>45</v>
      </c>
      <c r="S4940" s="18">
        <v>1264.3675000000001</v>
      </c>
      <c r="T4940" s="19" t="s">
        <v>117</v>
      </c>
      <c r="U4940" s="20" t="s">
        <v>2160</v>
      </c>
      <c r="V4940" s="21">
        <v>152</v>
      </c>
      <c r="W4940" s="21">
        <v>10</v>
      </c>
      <c r="X4940" s="22"/>
    </row>
    <row r="4941" spans="1:24" s="1" customFormat="1" ht="11.1" customHeight="1" x14ac:dyDescent="0.3">
      <c r="A4941" s="23" t="s">
        <v>3014</v>
      </c>
      <c r="B4941" s="23" t="s">
        <v>4773</v>
      </c>
      <c r="C4941" s="12" t="s">
        <v>4774</v>
      </c>
      <c r="D4941" s="84"/>
      <c r="E4941" s="69" t="str">
        <f t="shared" si="262"/>
        <v>Еще фото</v>
      </c>
      <c r="F4941" s="13"/>
      <c r="G4941" s="23" t="s">
        <v>654</v>
      </c>
      <c r="H4941" s="23" t="s">
        <v>27</v>
      </c>
      <c r="I4941" s="23" t="s">
        <v>616</v>
      </c>
      <c r="J4941" s="14" t="s">
        <v>29</v>
      </c>
      <c r="K4941" s="15" t="s">
        <v>30</v>
      </c>
      <c r="L4941" s="87"/>
      <c r="M4941" s="14"/>
      <c r="N4941" s="14" t="s">
        <v>89</v>
      </c>
      <c r="O4941" s="14"/>
      <c r="P4941" s="15" t="s">
        <v>74</v>
      </c>
      <c r="Q4941" s="16">
        <v>1999</v>
      </c>
      <c r="R4941" s="17">
        <v>45</v>
      </c>
      <c r="S4941" s="18">
        <v>1264.3675000000001</v>
      </c>
      <c r="T4941" s="19" t="s">
        <v>117</v>
      </c>
      <c r="U4941" s="20" t="s">
        <v>3088</v>
      </c>
      <c r="V4941" s="21">
        <v>158</v>
      </c>
      <c r="W4941" s="21">
        <v>3</v>
      </c>
      <c r="X4941" s="22"/>
    </row>
    <row r="4942" spans="1:24" s="1" customFormat="1" ht="11.1" customHeight="1" x14ac:dyDescent="0.3">
      <c r="A4942" s="14" t="s">
        <v>3014</v>
      </c>
      <c r="B4942" s="14" t="s">
        <v>4773</v>
      </c>
      <c r="C4942" s="12" t="s">
        <v>4774</v>
      </c>
      <c r="D4942" s="85"/>
      <c r="E4942" s="69" t="str">
        <f t="shared" si="262"/>
        <v>Еще фото</v>
      </c>
      <c r="F4942" s="36"/>
      <c r="G4942" s="14" t="s">
        <v>654</v>
      </c>
      <c r="H4942" s="14" t="s">
        <v>27</v>
      </c>
      <c r="I4942" s="14" t="s">
        <v>616</v>
      </c>
      <c r="J4942" s="14" t="s">
        <v>29</v>
      </c>
      <c r="K4942" s="14" t="s">
        <v>30</v>
      </c>
      <c r="L4942" s="88"/>
      <c r="M4942" s="14"/>
      <c r="N4942" s="14" t="s">
        <v>89</v>
      </c>
      <c r="O4942" s="14"/>
      <c r="P4942" s="14" t="s">
        <v>74</v>
      </c>
      <c r="Q4942" s="33">
        <v>1999</v>
      </c>
      <c r="R4942" s="34">
        <v>45</v>
      </c>
      <c r="S4942" s="35">
        <v>1264.3675000000001</v>
      </c>
      <c r="T4942" s="19" t="s">
        <v>117</v>
      </c>
      <c r="U4942" s="20" t="s">
        <v>2161</v>
      </c>
      <c r="V4942" s="21">
        <v>164</v>
      </c>
      <c r="W4942" s="21">
        <v>5</v>
      </c>
      <c r="X4942" s="22"/>
    </row>
    <row r="4943" spans="1:24" s="1" customFormat="1" ht="11.1" customHeight="1" x14ac:dyDescent="0.3">
      <c r="A4943" s="11" t="s">
        <v>3014</v>
      </c>
      <c r="B4943" s="11" t="s">
        <v>4773</v>
      </c>
      <c r="C4943" s="12" t="s">
        <v>4775</v>
      </c>
      <c r="D4943" s="83"/>
      <c r="E4943" s="69" t="str">
        <f t="shared" ref="E4943:E4952" si="263">HYPERLINK("https://www.google.ru/search?q=73206119-6960&amp;newwindow=1&amp;tbm=isch","Еще фото")</f>
        <v>Еще фото</v>
      </c>
      <c r="F4943" s="13"/>
      <c r="G4943" s="11" t="s">
        <v>654</v>
      </c>
      <c r="H4943" s="11" t="s">
        <v>27</v>
      </c>
      <c r="I4943" s="14" t="s">
        <v>616</v>
      </c>
      <c r="J4943" s="14" t="s">
        <v>29</v>
      </c>
      <c r="K4943" s="15" t="s">
        <v>30</v>
      </c>
      <c r="L4943" s="86"/>
      <c r="M4943" s="14"/>
      <c r="N4943" s="14" t="s">
        <v>70</v>
      </c>
      <c r="O4943" s="14"/>
      <c r="P4943" s="15" t="s">
        <v>74</v>
      </c>
      <c r="Q4943" s="16">
        <v>1999</v>
      </c>
      <c r="R4943" s="17">
        <v>45</v>
      </c>
      <c r="S4943" s="18">
        <v>1264.3675000000001</v>
      </c>
      <c r="T4943" s="19" t="s">
        <v>117</v>
      </c>
      <c r="U4943" s="20" t="s">
        <v>94</v>
      </c>
      <c r="V4943" s="21">
        <v>104</v>
      </c>
      <c r="W4943" s="21">
        <v>2</v>
      </c>
      <c r="X4943" s="22"/>
    </row>
    <row r="4944" spans="1:24" s="1" customFormat="1" ht="11.1" customHeight="1" x14ac:dyDescent="0.3">
      <c r="A4944" s="23" t="s">
        <v>3014</v>
      </c>
      <c r="B4944" s="23" t="s">
        <v>4773</v>
      </c>
      <c r="C4944" s="12" t="s">
        <v>4775</v>
      </c>
      <c r="D4944" s="84"/>
      <c r="E4944" s="69" t="str">
        <f t="shared" si="263"/>
        <v>Еще фото</v>
      </c>
      <c r="F4944" s="13"/>
      <c r="G4944" s="23" t="s">
        <v>654</v>
      </c>
      <c r="H4944" s="23" t="s">
        <v>27</v>
      </c>
      <c r="I4944" s="23" t="s">
        <v>616</v>
      </c>
      <c r="J4944" s="14" t="s">
        <v>29</v>
      </c>
      <c r="K4944" s="15" t="s">
        <v>30</v>
      </c>
      <c r="L4944" s="87"/>
      <c r="M4944" s="14"/>
      <c r="N4944" s="14" t="s">
        <v>70</v>
      </c>
      <c r="O4944" s="14"/>
      <c r="P4944" s="15" t="s">
        <v>74</v>
      </c>
      <c r="Q4944" s="16">
        <v>1999</v>
      </c>
      <c r="R4944" s="17">
        <v>45</v>
      </c>
      <c r="S4944" s="18">
        <v>1264.3675000000001</v>
      </c>
      <c r="T4944" s="19" t="s">
        <v>117</v>
      </c>
      <c r="U4944" s="20" t="s">
        <v>35</v>
      </c>
      <c r="V4944" s="21">
        <v>116</v>
      </c>
      <c r="W4944" s="21">
        <v>4</v>
      </c>
      <c r="X4944" s="22"/>
    </row>
    <row r="4945" spans="1:24" s="1" customFormat="1" ht="11.1" customHeight="1" x14ac:dyDescent="0.3">
      <c r="A4945" s="23" t="s">
        <v>3014</v>
      </c>
      <c r="B4945" s="23" t="s">
        <v>4773</v>
      </c>
      <c r="C4945" s="12" t="s">
        <v>4775</v>
      </c>
      <c r="D4945" s="84"/>
      <c r="E4945" s="69" t="str">
        <f t="shared" si="263"/>
        <v>Еще фото</v>
      </c>
      <c r="F4945" s="13"/>
      <c r="G4945" s="23" t="s">
        <v>654</v>
      </c>
      <c r="H4945" s="23" t="s">
        <v>27</v>
      </c>
      <c r="I4945" s="23" t="s">
        <v>616</v>
      </c>
      <c r="J4945" s="14" t="s">
        <v>29</v>
      </c>
      <c r="K4945" s="15" t="s">
        <v>30</v>
      </c>
      <c r="L4945" s="87"/>
      <c r="M4945" s="14"/>
      <c r="N4945" s="14" t="s">
        <v>70</v>
      </c>
      <c r="O4945" s="14"/>
      <c r="P4945" s="15" t="s">
        <v>74</v>
      </c>
      <c r="Q4945" s="16">
        <v>1999</v>
      </c>
      <c r="R4945" s="17">
        <v>45</v>
      </c>
      <c r="S4945" s="18">
        <v>1264.3675000000001</v>
      </c>
      <c r="T4945" s="19" t="s">
        <v>117</v>
      </c>
      <c r="U4945" s="20" t="s">
        <v>36</v>
      </c>
      <c r="V4945" s="21">
        <v>122</v>
      </c>
      <c r="W4945" s="21">
        <v>5</v>
      </c>
      <c r="X4945" s="22"/>
    </row>
    <row r="4946" spans="1:24" s="1" customFormat="1" ht="11.1" customHeight="1" x14ac:dyDescent="0.3">
      <c r="A4946" s="23" t="s">
        <v>3014</v>
      </c>
      <c r="B4946" s="23" t="s">
        <v>4773</v>
      </c>
      <c r="C4946" s="12" t="s">
        <v>4775</v>
      </c>
      <c r="D4946" s="84"/>
      <c r="E4946" s="69" t="str">
        <f t="shared" si="263"/>
        <v>Еще фото</v>
      </c>
      <c r="F4946" s="13"/>
      <c r="G4946" s="23" t="s">
        <v>654</v>
      </c>
      <c r="H4946" s="23" t="s">
        <v>27</v>
      </c>
      <c r="I4946" s="23" t="s">
        <v>616</v>
      </c>
      <c r="J4946" s="14" t="s">
        <v>29</v>
      </c>
      <c r="K4946" s="15" t="s">
        <v>30</v>
      </c>
      <c r="L4946" s="87"/>
      <c r="M4946" s="14"/>
      <c r="N4946" s="14" t="s">
        <v>70</v>
      </c>
      <c r="O4946" s="14"/>
      <c r="P4946" s="15" t="s">
        <v>74</v>
      </c>
      <c r="Q4946" s="16">
        <v>1999</v>
      </c>
      <c r="R4946" s="17">
        <v>45</v>
      </c>
      <c r="S4946" s="18">
        <v>1264.3675000000001</v>
      </c>
      <c r="T4946" s="19" t="s">
        <v>117</v>
      </c>
      <c r="U4946" s="20" t="s">
        <v>37</v>
      </c>
      <c r="V4946" s="21">
        <v>128</v>
      </c>
      <c r="W4946" s="21">
        <v>7</v>
      </c>
      <c r="X4946" s="22"/>
    </row>
    <row r="4947" spans="1:24" s="1" customFormat="1" ht="11.1" customHeight="1" x14ac:dyDescent="0.3">
      <c r="A4947" s="23" t="s">
        <v>3014</v>
      </c>
      <c r="B4947" s="23" t="s">
        <v>4773</v>
      </c>
      <c r="C4947" s="12" t="s">
        <v>4775</v>
      </c>
      <c r="D4947" s="84"/>
      <c r="E4947" s="69" t="str">
        <f t="shared" si="263"/>
        <v>Еще фото</v>
      </c>
      <c r="F4947" s="13"/>
      <c r="G4947" s="23" t="s">
        <v>654</v>
      </c>
      <c r="H4947" s="23" t="s">
        <v>27</v>
      </c>
      <c r="I4947" s="23" t="s">
        <v>616</v>
      </c>
      <c r="J4947" s="14" t="s">
        <v>29</v>
      </c>
      <c r="K4947" s="15" t="s">
        <v>30</v>
      </c>
      <c r="L4947" s="87"/>
      <c r="M4947" s="14"/>
      <c r="N4947" s="14" t="s">
        <v>70</v>
      </c>
      <c r="O4947" s="14"/>
      <c r="P4947" s="15" t="s">
        <v>74</v>
      </c>
      <c r="Q4947" s="16">
        <v>1999</v>
      </c>
      <c r="R4947" s="17">
        <v>45</v>
      </c>
      <c r="S4947" s="18">
        <v>1264.3675000000001</v>
      </c>
      <c r="T4947" s="19" t="s">
        <v>117</v>
      </c>
      <c r="U4947" s="20" t="s">
        <v>91</v>
      </c>
      <c r="V4947" s="21">
        <v>134</v>
      </c>
      <c r="W4947" s="21">
        <v>5</v>
      </c>
      <c r="X4947" s="22"/>
    </row>
    <row r="4948" spans="1:24" s="1" customFormat="1" ht="11.1" customHeight="1" x14ac:dyDescent="0.3">
      <c r="A4948" s="23" t="s">
        <v>3014</v>
      </c>
      <c r="B4948" s="23" t="s">
        <v>4773</v>
      </c>
      <c r="C4948" s="12" t="s">
        <v>4775</v>
      </c>
      <c r="D4948" s="84"/>
      <c r="E4948" s="69" t="str">
        <f t="shared" si="263"/>
        <v>Еще фото</v>
      </c>
      <c r="F4948" s="13"/>
      <c r="G4948" s="23" t="s">
        <v>654</v>
      </c>
      <c r="H4948" s="23" t="s">
        <v>27</v>
      </c>
      <c r="I4948" s="23" t="s">
        <v>616</v>
      </c>
      <c r="J4948" s="14" t="s">
        <v>29</v>
      </c>
      <c r="K4948" s="15" t="s">
        <v>30</v>
      </c>
      <c r="L4948" s="87"/>
      <c r="M4948" s="14"/>
      <c r="N4948" s="14" t="s">
        <v>70</v>
      </c>
      <c r="O4948" s="14"/>
      <c r="P4948" s="15" t="s">
        <v>74</v>
      </c>
      <c r="Q4948" s="16">
        <v>1999</v>
      </c>
      <c r="R4948" s="17">
        <v>45</v>
      </c>
      <c r="S4948" s="18">
        <v>1264.3675000000001</v>
      </c>
      <c r="T4948" s="19" t="s">
        <v>117</v>
      </c>
      <c r="U4948" s="20" t="s">
        <v>290</v>
      </c>
      <c r="V4948" s="21">
        <v>140</v>
      </c>
      <c r="W4948" s="21">
        <v>6</v>
      </c>
      <c r="X4948" s="22"/>
    </row>
    <row r="4949" spans="1:24" s="1" customFormat="1" ht="11.1" customHeight="1" x14ac:dyDescent="0.3">
      <c r="A4949" s="23" t="s">
        <v>3014</v>
      </c>
      <c r="B4949" s="23" t="s">
        <v>4773</v>
      </c>
      <c r="C4949" s="12" t="s">
        <v>4775</v>
      </c>
      <c r="D4949" s="84"/>
      <c r="E4949" s="69" t="str">
        <f t="shared" si="263"/>
        <v>Еще фото</v>
      </c>
      <c r="F4949" s="13"/>
      <c r="G4949" s="23" t="s">
        <v>654</v>
      </c>
      <c r="H4949" s="23" t="s">
        <v>27</v>
      </c>
      <c r="I4949" s="23" t="s">
        <v>616</v>
      </c>
      <c r="J4949" s="14" t="s">
        <v>29</v>
      </c>
      <c r="K4949" s="15" t="s">
        <v>30</v>
      </c>
      <c r="L4949" s="87"/>
      <c r="M4949" s="14"/>
      <c r="N4949" s="14" t="s">
        <v>70</v>
      </c>
      <c r="O4949" s="14"/>
      <c r="P4949" s="15" t="s">
        <v>74</v>
      </c>
      <c r="Q4949" s="16">
        <v>1999</v>
      </c>
      <c r="R4949" s="17">
        <v>45</v>
      </c>
      <c r="S4949" s="18">
        <v>1264.3675000000001</v>
      </c>
      <c r="T4949" s="19" t="s">
        <v>117</v>
      </c>
      <c r="U4949" s="20" t="s">
        <v>2993</v>
      </c>
      <c r="V4949" s="21">
        <v>146</v>
      </c>
      <c r="W4949" s="21">
        <v>7</v>
      </c>
      <c r="X4949" s="22"/>
    </row>
    <row r="4950" spans="1:24" s="1" customFormat="1" ht="11.1" customHeight="1" x14ac:dyDescent="0.3">
      <c r="A4950" s="23" t="s">
        <v>3014</v>
      </c>
      <c r="B4950" s="23" t="s">
        <v>4773</v>
      </c>
      <c r="C4950" s="12" t="s">
        <v>4775</v>
      </c>
      <c r="D4950" s="84"/>
      <c r="E4950" s="69" t="str">
        <f t="shared" si="263"/>
        <v>Еще фото</v>
      </c>
      <c r="F4950" s="13"/>
      <c r="G4950" s="23" t="s">
        <v>654</v>
      </c>
      <c r="H4950" s="23" t="s">
        <v>27</v>
      </c>
      <c r="I4950" s="23" t="s">
        <v>616</v>
      </c>
      <c r="J4950" s="14" t="s">
        <v>29</v>
      </c>
      <c r="K4950" s="15" t="s">
        <v>30</v>
      </c>
      <c r="L4950" s="87"/>
      <c r="M4950" s="14"/>
      <c r="N4950" s="14" t="s">
        <v>70</v>
      </c>
      <c r="O4950" s="14"/>
      <c r="P4950" s="15" t="s">
        <v>74</v>
      </c>
      <c r="Q4950" s="16">
        <v>1999</v>
      </c>
      <c r="R4950" s="17">
        <v>45</v>
      </c>
      <c r="S4950" s="18">
        <v>1264.3675000000001</v>
      </c>
      <c r="T4950" s="19" t="s">
        <v>117</v>
      </c>
      <c r="U4950" s="20" t="s">
        <v>2160</v>
      </c>
      <c r="V4950" s="21">
        <v>152</v>
      </c>
      <c r="W4950" s="21">
        <v>4</v>
      </c>
      <c r="X4950" s="22"/>
    </row>
    <row r="4951" spans="1:24" s="1" customFormat="1" ht="11.1" customHeight="1" x14ac:dyDescent="0.3">
      <c r="A4951" s="23" t="s">
        <v>3014</v>
      </c>
      <c r="B4951" s="23" t="s">
        <v>4773</v>
      </c>
      <c r="C4951" s="12" t="s">
        <v>4775</v>
      </c>
      <c r="D4951" s="84"/>
      <c r="E4951" s="69" t="str">
        <f t="shared" si="263"/>
        <v>Еще фото</v>
      </c>
      <c r="F4951" s="13"/>
      <c r="G4951" s="23" t="s">
        <v>654</v>
      </c>
      <c r="H4951" s="23" t="s">
        <v>27</v>
      </c>
      <c r="I4951" s="23" t="s">
        <v>616</v>
      </c>
      <c r="J4951" s="14" t="s">
        <v>29</v>
      </c>
      <c r="K4951" s="15" t="s">
        <v>30</v>
      </c>
      <c r="L4951" s="87"/>
      <c r="M4951" s="14"/>
      <c r="N4951" s="14" t="s">
        <v>70</v>
      </c>
      <c r="O4951" s="14"/>
      <c r="P4951" s="15" t="s">
        <v>74</v>
      </c>
      <c r="Q4951" s="16">
        <v>1999</v>
      </c>
      <c r="R4951" s="17">
        <v>45</v>
      </c>
      <c r="S4951" s="18">
        <v>1264.3675000000001</v>
      </c>
      <c r="T4951" s="19" t="s">
        <v>117</v>
      </c>
      <c r="U4951" s="20" t="s">
        <v>3088</v>
      </c>
      <c r="V4951" s="21">
        <v>158</v>
      </c>
      <c r="W4951" s="21">
        <v>3</v>
      </c>
      <c r="X4951" s="22"/>
    </row>
    <row r="4952" spans="1:24" s="1" customFormat="1" ht="11.1" customHeight="1" x14ac:dyDescent="0.3">
      <c r="A4952" s="14" t="s">
        <v>3014</v>
      </c>
      <c r="B4952" s="14" t="s">
        <v>4773</v>
      </c>
      <c r="C4952" s="12" t="s">
        <v>4775</v>
      </c>
      <c r="D4952" s="85"/>
      <c r="E4952" s="69" t="str">
        <f t="shared" si="263"/>
        <v>Еще фото</v>
      </c>
      <c r="F4952" s="36"/>
      <c r="G4952" s="14" t="s">
        <v>654</v>
      </c>
      <c r="H4952" s="14" t="s">
        <v>27</v>
      </c>
      <c r="I4952" s="14" t="s">
        <v>616</v>
      </c>
      <c r="J4952" s="14" t="s">
        <v>29</v>
      </c>
      <c r="K4952" s="14" t="s">
        <v>30</v>
      </c>
      <c r="L4952" s="88"/>
      <c r="M4952" s="14"/>
      <c r="N4952" s="14" t="s">
        <v>70</v>
      </c>
      <c r="O4952" s="14"/>
      <c r="P4952" s="14" t="s">
        <v>74</v>
      </c>
      <c r="Q4952" s="33">
        <v>1999</v>
      </c>
      <c r="R4952" s="34">
        <v>45</v>
      </c>
      <c r="S4952" s="35">
        <v>1264.3675000000001</v>
      </c>
      <c r="T4952" s="19" t="s">
        <v>117</v>
      </c>
      <c r="U4952" s="20" t="s">
        <v>2161</v>
      </c>
      <c r="V4952" s="21">
        <v>164</v>
      </c>
      <c r="W4952" s="21">
        <v>3</v>
      </c>
      <c r="X4952" s="22"/>
    </row>
    <row r="4953" spans="1:24" s="1" customFormat="1" ht="11.1" customHeight="1" x14ac:dyDescent="0.3">
      <c r="A4953" s="11" t="s">
        <v>3014</v>
      </c>
      <c r="B4953" s="11" t="s">
        <v>4773</v>
      </c>
      <c r="C4953" s="12" t="s">
        <v>4776</v>
      </c>
      <c r="D4953" s="83"/>
      <c r="E4953" s="69" t="str">
        <f t="shared" ref="E4953:E4961" si="264">HYPERLINK("https://www.google.ru/search?q=73206119-9370&amp;newwindow=1&amp;tbm=isch","Еще фото")</f>
        <v>Еще фото</v>
      </c>
      <c r="F4953" s="13"/>
      <c r="G4953" s="11" t="s">
        <v>654</v>
      </c>
      <c r="H4953" s="11" t="s">
        <v>27</v>
      </c>
      <c r="I4953" s="14" t="s">
        <v>616</v>
      </c>
      <c r="J4953" s="14" t="s">
        <v>29</v>
      </c>
      <c r="K4953" s="15" t="s">
        <v>30</v>
      </c>
      <c r="L4953" s="86"/>
      <c r="M4953" s="14"/>
      <c r="N4953" s="14" t="s">
        <v>41</v>
      </c>
      <c r="O4953" s="14"/>
      <c r="P4953" s="15" t="s">
        <v>74</v>
      </c>
      <c r="Q4953" s="16">
        <v>1999</v>
      </c>
      <c r="R4953" s="17">
        <v>45</v>
      </c>
      <c r="S4953" s="18">
        <v>1264.3675000000001</v>
      </c>
      <c r="T4953" s="19" t="s">
        <v>117</v>
      </c>
      <c r="U4953" s="20" t="s">
        <v>35</v>
      </c>
      <c r="V4953" s="21">
        <v>116</v>
      </c>
      <c r="W4953" s="21">
        <v>5</v>
      </c>
      <c r="X4953" s="22"/>
    </row>
    <row r="4954" spans="1:24" s="1" customFormat="1" ht="11.1" customHeight="1" x14ac:dyDescent="0.3">
      <c r="A4954" s="23" t="s">
        <v>3014</v>
      </c>
      <c r="B4954" s="23" t="s">
        <v>4773</v>
      </c>
      <c r="C4954" s="12" t="s">
        <v>4776</v>
      </c>
      <c r="D4954" s="84"/>
      <c r="E4954" s="69" t="str">
        <f t="shared" si="264"/>
        <v>Еще фото</v>
      </c>
      <c r="F4954" s="13"/>
      <c r="G4954" s="23" t="s">
        <v>654</v>
      </c>
      <c r="H4954" s="23" t="s">
        <v>27</v>
      </c>
      <c r="I4954" s="23" t="s">
        <v>616</v>
      </c>
      <c r="J4954" s="14" t="s">
        <v>29</v>
      </c>
      <c r="K4954" s="15" t="s">
        <v>30</v>
      </c>
      <c r="L4954" s="87"/>
      <c r="M4954" s="14"/>
      <c r="N4954" s="14" t="s">
        <v>41</v>
      </c>
      <c r="O4954" s="14"/>
      <c r="P4954" s="15" t="s">
        <v>74</v>
      </c>
      <c r="Q4954" s="16">
        <v>1999</v>
      </c>
      <c r="R4954" s="17">
        <v>45</v>
      </c>
      <c r="S4954" s="18">
        <v>1264.3675000000001</v>
      </c>
      <c r="T4954" s="19" t="s">
        <v>117</v>
      </c>
      <c r="U4954" s="20" t="s">
        <v>36</v>
      </c>
      <c r="V4954" s="21">
        <v>122</v>
      </c>
      <c r="W4954" s="21">
        <v>6</v>
      </c>
      <c r="X4954" s="22"/>
    </row>
    <row r="4955" spans="1:24" s="1" customFormat="1" ht="11.1" customHeight="1" x14ac:dyDescent="0.3">
      <c r="A4955" s="23" t="s">
        <v>3014</v>
      </c>
      <c r="B4955" s="23" t="s">
        <v>4773</v>
      </c>
      <c r="C4955" s="12" t="s">
        <v>4776</v>
      </c>
      <c r="D4955" s="84"/>
      <c r="E4955" s="69" t="str">
        <f t="shared" si="264"/>
        <v>Еще фото</v>
      </c>
      <c r="F4955" s="13"/>
      <c r="G4955" s="23" t="s">
        <v>654</v>
      </c>
      <c r="H4955" s="23" t="s">
        <v>27</v>
      </c>
      <c r="I4955" s="23" t="s">
        <v>616</v>
      </c>
      <c r="J4955" s="14" t="s">
        <v>29</v>
      </c>
      <c r="K4955" s="15" t="s">
        <v>30</v>
      </c>
      <c r="L4955" s="87"/>
      <c r="M4955" s="14"/>
      <c r="N4955" s="14" t="s">
        <v>41</v>
      </c>
      <c r="O4955" s="14"/>
      <c r="P4955" s="15" t="s">
        <v>74</v>
      </c>
      <c r="Q4955" s="16">
        <v>1999</v>
      </c>
      <c r="R4955" s="17">
        <v>45</v>
      </c>
      <c r="S4955" s="18">
        <v>1264.3675000000001</v>
      </c>
      <c r="T4955" s="19" t="s">
        <v>117</v>
      </c>
      <c r="U4955" s="20" t="s">
        <v>37</v>
      </c>
      <c r="V4955" s="21">
        <v>128</v>
      </c>
      <c r="W4955" s="21">
        <v>7</v>
      </c>
      <c r="X4955" s="22"/>
    </row>
    <row r="4956" spans="1:24" s="1" customFormat="1" ht="11.1" customHeight="1" x14ac:dyDescent="0.3">
      <c r="A4956" s="23" t="s">
        <v>3014</v>
      </c>
      <c r="B4956" s="23" t="s">
        <v>4773</v>
      </c>
      <c r="C4956" s="12" t="s">
        <v>4776</v>
      </c>
      <c r="D4956" s="84"/>
      <c r="E4956" s="69" t="str">
        <f t="shared" si="264"/>
        <v>Еще фото</v>
      </c>
      <c r="F4956" s="13"/>
      <c r="G4956" s="23" t="s">
        <v>654</v>
      </c>
      <c r="H4956" s="23" t="s">
        <v>27</v>
      </c>
      <c r="I4956" s="23" t="s">
        <v>616</v>
      </c>
      <c r="J4956" s="14" t="s">
        <v>29</v>
      </c>
      <c r="K4956" s="15" t="s">
        <v>30</v>
      </c>
      <c r="L4956" s="87"/>
      <c r="M4956" s="14"/>
      <c r="N4956" s="14" t="s">
        <v>41</v>
      </c>
      <c r="O4956" s="14"/>
      <c r="P4956" s="15" t="s">
        <v>74</v>
      </c>
      <c r="Q4956" s="16">
        <v>1999</v>
      </c>
      <c r="R4956" s="17">
        <v>45</v>
      </c>
      <c r="S4956" s="18">
        <v>1264.3675000000001</v>
      </c>
      <c r="T4956" s="19" t="s">
        <v>117</v>
      </c>
      <c r="U4956" s="20" t="s">
        <v>91</v>
      </c>
      <c r="V4956" s="21">
        <v>134</v>
      </c>
      <c r="W4956" s="21">
        <v>8</v>
      </c>
      <c r="X4956" s="22"/>
    </row>
    <row r="4957" spans="1:24" s="1" customFormat="1" ht="11.1" customHeight="1" x14ac:dyDescent="0.3">
      <c r="A4957" s="23" t="s">
        <v>3014</v>
      </c>
      <c r="B4957" s="23" t="s">
        <v>4773</v>
      </c>
      <c r="C4957" s="12" t="s">
        <v>4776</v>
      </c>
      <c r="D4957" s="84"/>
      <c r="E4957" s="69" t="str">
        <f t="shared" si="264"/>
        <v>Еще фото</v>
      </c>
      <c r="F4957" s="13"/>
      <c r="G4957" s="23" t="s">
        <v>654</v>
      </c>
      <c r="H4957" s="23" t="s">
        <v>27</v>
      </c>
      <c r="I4957" s="23" t="s">
        <v>616</v>
      </c>
      <c r="J4957" s="14" t="s">
        <v>29</v>
      </c>
      <c r="K4957" s="15" t="s">
        <v>30</v>
      </c>
      <c r="L4957" s="87"/>
      <c r="M4957" s="14"/>
      <c r="N4957" s="14" t="s">
        <v>41</v>
      </c>
      <c r="O4957" s="14"/>
      <c r="P4957" s="15" t="s">
        <v>74</v>
      </c>
      <c r="Q4957" s="16">
        <v>1999</v>
      </c>
      <c r="R4957" s="17">
        <v>45</v>
      </c>
      <c r="S4957" s="18">
        <v>1264.3675000000001</v>
      </c>
      <c r="T4957" s="19" t="s">
        <v>117</v>
      </c>
      <c r="U4957" s="20" t="s">
        <v>290</v>
      </c>
      <c r="V4957" s="21">
        <v>140</v>
      </c>
      <c r="W4957" s="21">
        <v>8</v>
      </c>
      <c r="X4957" s="22"/>
    </row>
    <row r="4958" spans="1:24" s="1" customFormat="1" ht="11.1" customHeight="1" x14ac:dyDescent="0.3">
      <c r="A4958" s="23" t="s">
        <v>3014</v>
      </c>
      <c r="B4958" s="23" t="s">
        <v>4773</v>
      </c>
      <c r="C4958" s="12" t="s">
        <v>4776</v>
      </c>
      <c r="D4958" s="84"/>
      <c r="E4958" s="69" t="str">
        <f t="shared" si="264"/>
        <v>Еще фото</v>
      </c>
      <c r="F4958" s="13"/>
      <c r="G4958" s="23" t="s">
        <v>654</v>
      </c>
      <c r="H4958" s="23" t="s">
        <v>27</v>
      </c>
      <c r="I4958" s="23" t="s">
        <v>616</v>
      </c>
      <c r="J4958" s="14" t="s">
        <v>29</v>
      </c>
      <c r="K4958" s="15" t="s">
        <v>30</v>
      </c>
      <c r="L4958" s="87"/>
      <c r="M4958" s="14"/>
      <c r="N4958" s="14" t="s">
        <v>41</v>
      </c>
      <c r="O4958" s="14"/>
      <c r="P4958" s="15" t="s">
        <v>74</v>
      </c>
      <c r="Q4958" s="16">
        <v>1999</v>
      </c>
      <c r="R4958" s="17">
        <v>45</v>
      </c>
      <c r="S4958" s="18">
        <v>1264.3675000000001</v>
      </c>
      <c r="T4958" s="19" t="s">
        <v>117</v>
      </c>
      <c r="U4958" s="20" t="s">
        <v>2993</v>
      </c>
      <c r="V4958" s="21">
        <v>146</v>
      </c>
      <c r="W4958" s="21">
        <v>8</v>
      </c>
      <c r="X4958" s="22"/>
    </row>
    <row r="4959" spans="1:24" s="1" customFormat="1" ht="11.1" customHeight="1" x14ac:dyDescent="0.3">
      <c r="A4959" s="23" t="s">
        <v>3014</v>
      </c>
      <c r="B4959" s="23" t="s">
        <v>4773</v>
      </c>
      <c r="C4959" s="12" t="s">
        <v>4776</v>
      </c>
      <c r="D4959" s="84"/>
      <c r="E4959" s="69" t="str">
        <f t="shared" si="264"/>
        <v>Еще фото</v>
      </c>
      <c r="F4959" s="13"/>
      <c r="G4959" s="23" t="s">
        <v>654</v>
      </c>
      <c r="H4959" s="23" t="s">
        <v>27</v>
      </c>
      <c r="I4959" s="23" t="s">
        <v>616</v>
      </c>
      <c r="J4959" s="14" t="s">
        <v>29</v>
      </c>
      <c r="K4959" s="15" t="s">
        <v>30</v>
      </c>
      <c r="L4959" s="87"/>
      <c r="M4959" s="14"/>
      <c r="N4959" s="14" t="s">
        <v>41</v>
      </c>
      <c r="O4959" s="14"/>
      <c r="P4959" s="15" t="s">
        <v>74</v>
      </c>
      <c r="Q4959" s="16">
        <v>1999</v>
      </c>
      <c r="R4959" s="17">
        <v>45</v>
      </c>
      <c r="S4959" s="18">
        <v>1264.3675000000001</v>
      </c>
      <c r="T4959" s="19" t="s">
        <v>117</v>
      </c>
      <c r="U4959" s="20" t="s">
        <v>2160</v>
      </c>
      <c r="V4959" s="21">
        <v>152</v>
      </c>
      <c r="W4959" s="21">
        <v>8</v>
      </c>
      <c r="X4959" s="22"/>
    </row>
    <row r="4960" spans="1:24" s="1" customFormat="1" ht="11.1" customHeight="1" x14ac:dyDescent="0.3">
      <c r="A4960" s="23" t="s">
        <v>3014</v>
      </c>
      <c r="B4960" s="23" t="s">
        <v>4773</v>
      </c>
      <c r="C4960" s="12" t="s">
        <v>4776</v>
      </c>
      <c r="D4960" s="84"/>
      <c r="E4960" s="69" t="str">
        <f t="shared" si="264"/>
        <v>Еще фото</v>
      </c>
      <c r="F4960" s="13"/>
      <c r="G4960" s="23" t="s">
        <v>654</v>
      </c>
      <c r="H4960" s="23" t="s">
        <v>27</v>
      </c>
      <c r="I4960" s="23" t="s">
        <v>616</v>
      </c>
      <c r="J4960" s="14" t="s">
        <v>29</v>
      </c>
      <c r="K4960" s="15" t="s">
        <v>30</v>
      </c>
      <c r="L4960" s="87"/>
      <c r="M4960" s="14"/>
      <c r="N4960" s="14" t="s">
        <v>41</v>
      </c>
      <c r="O4960" s="14"/>
      <c r="P4960" s="15" t="s">
        <v>74</v>
      </c>
      <c r="Q4960" s="16">
        <v>1999</v>
      </c>
      <c r="R4960" s="17">
        <v>45</v>
      </c>
      <c r="S4960" s="18">
        <v>1264.3675000000001</v>
      </c>
      <c r="T4960" s="19" t="s">
        <v>117</v>
      </c>
      <c r="U4960" s="20" t="s">
        <v>3088</v>
      </c>
      <c r="V4960" s="21">
        <v>158</v>
      </c>
      <c r="W4960" s="21">
        <v>8</v>
      </c>
      <c r="X4960" s="22"/>
    </row>
    <row r="4961" spans="1:24" s="1" customFormat="1" ht="11.1" customHeight="1" x14ac:dyDescent="0.3">
      <c r="A4961" s="23" t="s">
        <v>3014</v>
      </c>
      <c r="B4961" s="23" t="s">
        <v>4773</v>
      </c>
      <c r="C4961" s="12" t="s">
        <v>4776</v>
      </c>
      <c r="D4961" s="85"/>
      <c r="E4961" s="69" t="str">
        <f t="shared" si="264"/>
        <v>Еще фото</v>
      </c>
      <c r="F4961" s="13"/>
      <c r="G4961" s="23" t="s">
        <v>654</v>
      </c>
      <c r="H4961" s="23" t="s">
        <v>27</v>
      </c>
      <c r="I4961" s="23" t="s">
        <v>616</v>
      </c>
      <c r="J4961" s="14" t="s">
        <v>29</v>
      </c>
      <c r="K4961" s="15" t="s">
        <v>30</v>
      </c>
      <c r="L4961" s="88"/>
      <c r="M4961" s="14"/>
      <c r="N4961" s="14" t="s">
        <v>41</v>
      </c>
      <c r="O4961" s="14"/>
      <c r="P4961" s="15" t="s">
        <v>74</v>
      </c>
      <c r="Q4961" s="16">
        <v>1999</v>
      </c>
      <c r="R4961" s="17">
        <v>45</v>
      </c>
      <c r="S4961" s="18">
        <v>1264.3675000000001</v>
      </c>
      <c r="T4961" s="19" t="s">
        <v>117</v>
      </c>
      <c r="U4961" s="20" t="s">
        <v>2161</v>
      </c>
      <c r="V4961" s="21">
        <v>164</v>
      </c>
      <c r="W4961" s="21">
        <v>8</v>
      </c>
      <c r="X4961" s="22"/>
    </row>
    <row r="4962" spans="1:24" s="1" customFormat="1" ht="17.100000000000001" customHeight="1" x14ac:dyDescent="0.3">
      <c r="A4962" s="11" t="s">
        <v>3014</v>
      </c>
      <c r="B4962" s="11" t="s">
        <v>4770</v>
      </c>
      <c r="C4962" s="12" t="s">
        <v>4777</v>
      </c>
      <c r="D4962" s="83"/>
      <c r="E4962" s="69" t="str">
        <f t="shared" ref="E4962:E4967" si="265">HYPERLINK("https://www.google.ru/search?q=73206311-0100&amp;newwindow=1&amp;tbm=isch","Еще фото")</f>
        <v>Еще фото</v>
      </c>
      <c r="F4962" s="13"/>
      <c r="G4962" s="11" t="s">
        <v>615</v>
      </c>
      <c r="H4962" s="11" t="s">
        <v>27</v>
      </c>
      <c r="I4962" s="14" t="s">
        <v>616</v>
      </c>
      <c r="J4962" s="14" t="s">
        <v>29</v>
      </c>
      <c r="K4962" s="15" t="s">
        <v>30</v>
      </c>
      <c r="L4962" s="86"/>
      <c r="M4962" s="14"/>
      <c r="N4962" s="14" t="s">
        <v>89</v>
      </c>
      <c r="O4962" s="14"/>
      <c r="P4962" s="15" t="s">
        <v>74</v>
      </c>
      <c r="Q4962" s="16">
        <v>2499</v>
      </c>
      <c r="R4962" s="17">
        <v>45</v>
      </c>
      <c r="S4962" s="18">
        <v>1580.6174999999998</v>
      </c>
      <c r="T4962" s="19" t="s">
        <v>117</v>
      </c>
      <c r="U4962" s="20" t="s">
        <v>94</v>
      </c>
      <c r="V4962" s="21">
        <v>104</v>
      </c>
      <c r="W4962" s="21">
        <v>2</v>
      </c>
      <c r="X4962" s="22"/>
    </row>
    <row r="4963" spans="1:24" s="1" customFormat="1" ht="17.100000000000001" customHeight="1" x14ac:dyDescent="0.3">
      <c r="A4963" s="23" t="s">
        <v>3014</v>
      </c>
      <c r="B4963" s="23" t="s">
        <v>4770</v>
      </c>
      <c r="C4963" s="12" t="s">
        <v>4777</v>
      </c>
      <c r="D4963" s="84"/>
      <c r="E4963" s="69" t="str">
        <f t="shared" si="265"/>
        <v>Еще фото</v>
      </c>
      <c r="F4963" s="13"/>
      <c r="G4963" s="23" t="s">
        <v>615</v>
      </c>
      <c r="H4963" s="23" t="s">
        <v>27</v>
      </c>
      <c r="I4963" s="23" t="s">
        <v>616</v>
      </c>
      <c r="J4963" s="14" t="s">
        <v>29</v>
      </c>
      <c r="K4963" s="15" t="s">
        <v>30</v>
      </c>
      <c r="L4963" s="87"/>
      <c r="M4963" s="14"/>
      <c r="N4963" s="14" t="s">
        <v>89</v>
      </c>
      <c r="O4963" s="14"/>
      <c r="P4963" s="15" t="s">
        <v>74</v>
      </c>
      <c r="Q4963" s="16">
        <v>2499</v>
      </c>
      <c r="R4963" s="17">
        <v>45</v>
      </c>
      <c r="S4963" s="18">
        <v>1580.6174999999998</v>
      </c>
      <c r="T4963" s="19" t="s">
        <v>117</v>
      </c>
      <c r="U4963" s="20" t="s">
        <v>43</v>
      </c>
      <c r="V4963" s="21">
        <v>110</v>
      </c>
      <c r="W4963" s="21">
        <v>2</v>
      </c>
      <c r="X4963" s="22"/>
    </row>
    <row r="4964" spans="1:24" s="1" customFormat="1" ht="17.100000000000001" customHeight="1" x14ac:dyDescent="0.3">
      <c r="A4964" s="23" t="s">
        <v>3014</v>
      </c>
      <c r="B4964" s="23" t="s">
        <v>4770</v>
      </c>
      <c r="C4964" s="12" t="s">
        <v>4777</v>
      </c>
      <c r="D4964" s="84"/>
      <c r="E4964" s="69" t="str">
        <f t="shared" si="265"/>
        <v>Еще фото</v>
      </c>
      <c r="F4964" s="13"/>
      <c r="G4964" s="23" t="s">
        <v>615</v>
      </c>
      <c r="H4964" s="23" t="s">
        <v>27</v>
      </c>
      <c r="I4964" s="23" t="s">
        <v>616</v>
      </c>
      <c r="J4964" s="14" t="s">
        <v>29</v>
      </c>
      <c r="K4964" s="15" t="s">
        <v>30</v>
      </c>
      <c r="L4964" s="87"/>
      <c r="M4964" s="14"/>
      <c r="N4964" s="14" t="s">
        <v>89</v>
      </c>
      <c r="O4964" s="14"/>
      <c r="P4964" s="15" t="s">
        <v>74</v>
      </c>
      <c r="Q4964" s="16">
        <v>2499</v>
      </c>
      <c r="R4964" s="17">
        <v>45</v>
      </c>
      <c r="S4964" s="18">
        <v>1580.6174999999998</v>
      </c>
      <c r="T4964" s="19" t="s">
        <v>117</v>
      </c>
      <c r="U4964" s="20" t="s">
        <v>35</v>
      </c>
      <c r="V4964" s="21">
        <v>116</v>
      </c>
      <c r="W4964" s="21">
        <v>2</v>
      </c>
      <c r="X4964" s="22"/>
    </row>
    <row r="4965" spans="1:24" s="1" customFormat="1" ht="17.100000000000001" customHeight="1" x14ac:dyDescent="0.3">
      <c r="A4965" s="23" t="s">
        <v>3014</v>
      </c>
      <c r="B4965" s="23" t="s">
        <v>4770</v>
      </c>
      <c r="C4965" s="12" t="s">
        <v>4777</v>
      </c>
      <c r="D4965" s="84"/>
      <c r="E4965" s="69" t="str">
        <f t="shared" si="265"/>
        <v>Еще фото</v>
      </c>
      <c r="F4965" s="13"/>
      <c r="G4965" s="23" t="s">
        <v>615</v>
      </c>
      <c r="H4965" s="23" t="s">
        <v>27</v>
      </c>
      <c r="I4965" s="23" t="s">
        <v>616</v>
      </c>
      <c r="J4965" s="14" t="s">
        <v>29</v>
      </c>
      <c r="K4965" s="15" t="s">
        <v>30</v>
      </c>
      <c r="L4965" s="87"/>
      <c r="M4965" s="14"/>
      <c r="N4965" s="14" t="s">
        <v>89</v>
      </c>
      <c r="O4965" s="14"/>
      <c r="P4965" s="15" t="s">
        <v>74</v>
      </c>
      <c r="Q4965" s="16">
        <v>2499</v>
      </c>
      <c r="R4965" s="17">
        <v>45</v>
      </c>
      <c r="S4965" s="18">
        <v>1580.6174999999998</v>
      </c>
      <c r="T4965" s="19" t="s">
        <v>117</v>
      </c>
      <c r="U4965" s="20" t="s">
        <v>36</v>
      </c>
      <c r="V4965" s="21">
        <v>122</v>
      </c>
      <c r="W4965" s="21">
        <v>2</v>
      </c>
      <c r="X4965" s="22"/>
    </row>
    <row r="4966" spans="1:24" s="1" customFormat="1" ht="17.100000000000001" customHeight="1" x14ac:dyDescent="0.3">
      <c r="A4966" s="23" t="s">
        <v>3014</v>
      </c>
      <c r="B4966" s="23" t="s">
        <v>4770</v>
      </c>
      <c r="C4966" s="12" t="s">
        <v>4777</v>
      </c>
      <c r="D4966" s="84"/>
      <c r="E4966" s="69" t="str">
        <f t="shared" si="265"/>
        <v>Еще фото</v>
      </c>
      <c r="F4966" s="13"/>
      <c r="G4966" s="23" t="s">
        <v>615</v>
      </c>
      <c r="H4966" s="23" t="s">
        <v>27</v>
      </c>
      <c r="I4966" s="23" t="s">
        <v>616</v>
      </c>
      <c r="J4966" s="14" t="s">
        <v>29</v>
      </c>
      <c r="K4966" s="15" t="s">
        <v>30</v>
      </c>
      <c r="L4966" s="87"/>
      <c r="M4966" s="14"/>
      <c r="N4966" s="14" t="s">
        <v>89</v>
      </c>
      <c r="O4966" s="14"/>
      <c r="P4966" s="15" t="s">
        <v>74</v>
      </c>
      <c r="Q4966" s="16">
        <v>2499</v>
      </c>
      <c r="R4966" s="17">
        <v>45</v>
      </c>
      <c r="S4966" s="18">
        <v>1580.6174999999998</v>
      </c>
      <c r="T4966" s="19" t="s">
        <v>117</v>
      </c>
      <c r="U4966" s="20" t="s">
        <v>37</v>
      </c>
      <c r="V4966" s="21">
        <v>128</v>
      </c>
      <c r="W4966" s="21">
        <v>2</v>
      </c>
      <c r="X4966" s="22"/>
    </row>
    <row r="4967" spans="1:24" s="1" customFormat="1" ht="21.95" customHeight="1" x14ac:dyDescent="0.3">
      <c r="A4967" s="23" t="s">
        <v>3014</v>
      </c>
      <c r="B4967" s="23" t="s">
        <v>4770</v>
      </c>
      <c r="C4967" s="12" t="s">
        <v>4777</v>
      </c>
      <c r="D4967" s="85"/>
      <c r="E4967" s="69" t="str">
        <f t="shared" si="265"/>
        <v>Еще фото</v>
      </c>
      <c r="F4967" s="13"/>
      <c r="G4967" s="23" t="s">
        <v>615</v>
      </c>
      <c r="H4967" s="23" t="s">
        <v>27</v>
      </c>
      <c r="I4967" s="23" t="s">
        <v>616</v>
      </c>
      <c r="J4967" s="14" t="s">
        <v>29</v>
      </c>
      <c r="K4967" s="15" t="s">
        <v>30</v>
      </c>
      <c r="L4967" s="88"/>
      <c r="M4967" s="14"/>
      <c r="N4967" s="14" t="s">
        <v>89</v>
      </c>
      <c r="O4967" s="14"/>
      <c r="P4967" s="15" t="s">
        <v>74</v>
      </c>
      <c r="Q4967" s="16">
        <v>2499</v>
      </c>
      <c r="R4967" s="17">
        <v>45</v>
      </c>
      <c r="S4967" s="18">
        <v>1580.6174999999998</v>
      </c>
      <c r="T4967" s="19" t="s">
        <v>117</v>
      </c>
      <c r="U4967" s="20" t="s">
        <v>91</v>
      </c>
      <c r="V4967" s="21">
        <v>134</v>
      </c>
      <c r="W4967" s="21">
        <v>1</v>
      </c>
      <c r="X4967" s="22"/>
    </row>
    <row r="4968" spans="1:24" s="1" customFormat="1" ht="14.1" customHeight="1" x14ac:dyDescent="0.3">
      <c r="A4968" s="11" t="s">
        <v>3014</v>
      </c>
      <c r="B4968" s="11" t="s">
        <v>4770</v>
      </c>
      <c r="C4968" s="12" t="s">
        <v>4778</v>
      </c>
      <c r="D4968" s="83"/>
      <c r="E4968" s="69" t="str">
        <f t="shared" ref="E4968:E4974" si="266">HYPERLINK("https://www.google.ru/search?q=73206311-4040&amp;newwindow=1&amp;tbm=isch","Еще фото")</f>
        <v>Еще фото</v>
      </c>
      <c r="F4968" s="13"/>
      <c r="G4968" s="11" t="s">
        <v>615</v>
      </c>
      <c r="H4968" s="11" t="s">
        <v>27</v>
      </c>
      <c r="I4968" s="14" t="s">
        <v>616</v>
      </c>
      <c r="J4968" s="14" t="s">
        <v>29</v>
      </c>
      <c r="K4968" s="15" t="s">
        <v>30</v>
      </c>
      <c r="L4968" s="86"/>
      <c r="M4968" s="14"/>
      <c r="N4968" s="14" t="s">
        <v>275</v>
      </c>
      <c r="O4968" s="14"/>
      <c r="P4968" s="15" t="s">
        <v>74</v>
      </c>
      <c r="Q4968" s="16">
        <v>2499</v>
      </c>
      <c r="R4968" s="17">
        <v>45</v>
      </c>
      <c r="S4968" s="18">
        <v>1580.6174999999998</v>
      </c>
      <c r="T4968" s="19" t="s">
        <v>117</v>
      </c>
      <c r="U4968" s="20" t="s">
        <v>36</v>
      </c>
      <c r="V4968" s="21">
        <v>122</v>
      </c>
      <c r="W4968" s="21">
        <v>2</v>
      </c>
      <c r="X4968" s="22"/>
    </row>
    <row r="4969" spans="1:24" s="1" customFormat="1" ht="14.1" customHeight="1" x14ac:dyDescent="0.3">
      <c r="A4969" s="23" t="s">
        <v>3014</v>
      </c>
      <c r="B4969" s="23" t="s">
        <v>4770</v>
      </c>
      <c r="C4969" s="12" t="s">
        <v>4778</v>
      </c>
      <c r="D4969" s="84"/>
      <c r="E4969" s="69" t="str">
        <f t="shared" si="266"/>
        <v>Еще фото</v>
      </c>
      <c r="F4969" s="13"/>
      <c r="G4969" s="23" t="s">
        <v>615</v>
      </c>
      <c r="H4969" s="23" t="s">
        <v>27</v>
      </c>
      <c r="I4969" s="23" t="s">
        <v>616</v>
      </c>
      <c r="J4969" s="14" t="s">
        <v>29</v>
      </c>
      <c r="K4969" s="15" t="s">
        <v>30</v>
      </c>
      <c r="L4969" s="87"/>
      <c r="M4969" s="14"/>
      <c r="N4969" s="14" t="s">
        <v>275</v>
      </c>
      <c r="O4969" s="14"/>
      <c r="P4969" s="15" t="s">
        <v>74</v>
      </c>
      <c r="Q4969" s="16">
        <v>2499</v>
      </c>
      <c r="R4969" s="17">
        <v>45</v>
      </c>
      <c r="S4969" s="18">
        <v>1580.6174999999998</v>
      </c>
      <c r="T4969" s="19" t="s">
        <v>117</v>
      </c>
      <c r="U4969" s="20" t="s">
        <v>37</v>
      </c>
      <c r="V4969" s="21">
        <v>128</v>
      </c>
      <c r="W4969" s="21">
        <v>2</v>
      </c>
      <c r="X4969" s="22"/>
    </row>
    <row r="4970" spans="1:24" s="1" customFormat="1" ht="14.1" customHeight="1" x14ac:dyDescent="0.3">
      <c r="A4970" s="23" t="s">
        <v>3014</v>
      </c>
      <c r="B4970" s="23" t="s">
        <v>4770</v>
      </c>
      <c r="C4970" s="12" t="s">
        <v>4778</v>
      </c>
      <c r="D4970" s="84"/>
      <c r="E4970" s="69" t="str">
        <f t="shared" si="266"/>
        <v>Еще фото</v>
      </c>
      <c r="F4970" s="13"/>
      <c r="G4970" s="23" t="s">
        <v>615</v>
      </c>
      <c r="H4970" s="23" t="s">
        <v>27</v>
      </c>
      <c r="I4970" s="23" t="s">
        <v>616</v>
      </c>
      <c r="J4970" s="14" t="s">
        <v>29</v>
      </c>
      <c r="K4970" s="15" t="s">
        <v>30</v>
      </c>
      <c r="L4970" s="87"/>
      <c r="M4970" s="14"/>
      <c r="N4970" s="14" t="s">
        <v>275</v>
      </c>
      <c r="O4970" s="14"/>
      <c r="P4970" s="15" t="s">
        <v>74</v>
      </c>
      <c r="Q4970" s="16">
        <v>2499</v>
      </c>
      <c r="R4970" s="17">
        <v>45</v>
      </c>
      <c r="S4970" s="18">
        <v>1580.6174999999998</v>
      </c>
      <c r="T4970" s="19" t="s">
        <v>117</v>
      </c>
      <c r="U4970" s="20" t="s">
        <v>91</v>
      </c>
      <c r="V4970" s="21">
        <v>134</v>
      </c>
      <c r="W4970" s="21">
        <v>2</v>
      </c>
      <c r="X4970" s="22"/>
    </row>
    <row r="4971" spans="1:24" s="1" customFormat="1" ht="14.1" customHeight="1" x14ac:dyDescent="0.3">
      <c r="A4971" s="23" t="s">
        <v>3014</v>
      </c>
      <c r="B4971" s="23" t="s">
        <v>4770</v>
      </c>
      <c r="C4971" s="12" t="s">
        <v>4778</v>
      </c>
      <c r="D4971" s="84"/>
      <c r="E4971" s="69" t="str">
        <f t="shared" si="266"/>
        <v>Еще фото</v>
      </c>
      <c r="F4971" s="13"/>
      <c r="G4971" s="23" t="s">
        <v>615</v>
      </c>
      <c r="H4971" s="23" t="s">
        <v>27</v>
      </c>
      <c r="I4971" s="23" t="s">
        <v>616</v>
      </c>
      <c r="J4971" s="14" t="s">
        <v>29</v>
      </c>
      <c r="K4971" s="15" t="s">
        <v>30</v>
      </c>
      <c r="L4971" s="87"/>
      <c r="M4971" s="14"/>
      <c r="N4971" s="14" t="s">
        <v>275</v>
      </c>
      <c r="O4971" s="14"/>
      <c r="P4971" s="15" t="s">
        <v>74</v>
      </c>
      <c r="Q4971" s="16">
        <v>2499</v>
      </c>
      <c r="R4971" s="17">
        <v>45</v>
      </c>
      <c r="S4971" s="18">
        <v>1580.6174999999998</v>
      </c>
      <c r="T4971" s="19" t="s">
        <v>117</v>
      </c>
      <c r="U4971" s="20" t="s">
        <v>290</v>
      </c>
      <c r="V4971" s="21">
        <v>140</v>
      </c>
      <c r="W4971" s="21">
        <v>2</v>
      </c>
      <c r="X4971" s="22"/>
    </row>
    <row r="4972" spans="1:24" s="1" customFormat="1" ht="14.1" customHeight="1" x14ac:dyDescent="0.3">
      <c r="A4972" s="23" t="s">
        <v>3014</v>
      </c>
      <c r="B4972" s="23" t="s">
        <v>4770</v>
      </c>
      <c r="C4972" s="12" t="s">
        <v>4778</v>
      </c>
      <c r="D4972" s="84"/>
      <c r="E4972" s="69" t="str">
        <f t="shared" si="266"/>
        <v>Еще фото</v>
      </c>
      <c r="F4972" s="13"/>
      <c r="G4972" s="23" t="s">
        <v>615</v>
      </c>
      <c r="H4972" s="23" t="s">
        <v>27</v>
      </c>
      <c r="I4972" s="23" t="s">
        <v>616</v>
      </c>
      <c r="J4972" s="14" t="s">
        <v>29</v>
      </c>
      <c r="K4972" s="15" t="s">
        <v>30</v>
      </c>
      <c r="L4972" s="87"/>
      <c r="M4972" s="14"/>
      <c r="N4972" s="14" t="s">
        <v>275</v>
      </c>
      <c r="O4972" s="14"/>
      <c r="P4972" s="15" t="s">
        <v>74</v>
      </c>
      <c r="Q4972" s="16">
        <v>2499</v>
      </c>
      <c r="R4972" s="17">
        <v>45</v>
      </c>
      <c r="S4972" s="18">
        <v>1580.6174999999998</v>
      </c>
      <c r="T4972" s="19" t="s">
        <v>117</v>
      </c>
      <c r="U4972" s="20" t="s">
        <v>2993</v>
      </c>
      <c r="V4972" s="21">
        <v>146</v>
      </c>
      <c r="W4972" s="21">
        <v>2</v>
      </c>
      <c r="X4972" s="22"/>
    </row>
    <row r="4973" spans="1:24" s="1" customFormat="1" ht="14.1" customHeight="1" x14ac:dyDescent="0.3">
      <c r="A4973" s="23" t="s">
        <v>3014</v>
      </c>
      <c r="B4973" s="23" t="s">
        <v>4770</v>
      </c>
      <c r="C4973" s="12" t="s">
        <v>4778</v>
      </c>
      <c r="D4973" s="84"/>
      <c r="E4973" s="69" t="str">
        <f t="shared" si="266"/>
        <v>Еще фото</v>
      </c>
      <c r="F4973" s="13"/>
      <c r="G4973" s="23" t="s">
        <v>615</v>
      </c>
      <c r="H4973" s="23" t="s">
        <v>27</v>
      </c>
      <c r="I4973" s="23" t="s">
        <v>616</v>
      </c>
      <c r="J4973" s="14" t="s">
        <v>29</v>
      </c>
      <c r="K4973" s="15" t="s">
        <v>30</v>
      </c>
      <c r="L4973" s="87"/>
      <c r="M4973" s="14"/>
      <c r="N4973" s="14" t="s">
        <v>275</v>
      </c>
      <c r="O4973" s="14"/>
      <c r="P4973" s="15" t="s">
        <v>74</v>
      </c>
      <c r="Q4973" s="16">
        <v>2499</v>
      </c>
      <c r="R4973" s="17">
        <v>45</v>
      </c>
      <c r="S4973" s="18">
        <v>1580.6174999999998</v>
      </c>
      <c r="T4973" s="19" t="s">
        <v>117</v>
      </c>
      <c r="U4973" s="20" t="s">
        <v>2160</v>
      </c>
      <c r="V4973" s="21">
        <v>152</v>
      </c>
      <c r="W4973" s="21">
        <v>2</v>
      </c>
      <c r="X4973" s="22"/>
    </row>
    <row r="4974" spans="1:24" s="1" customFormat="1" ht="17.100000000000001" customHeight="1" x14ac:dyDescent="0.3">
      <c r="A4974" s="23" t="s">
        <v>3014</v>
      </c>
      <c r="B4974" s="23" t="s">
        <v>4770</v>
      </c>
      <c r="C4974" s="12" t="s">
        <v>4778</v>
      </c>
      <c r="D4974" s="85"/>
      <c r="E4974" s="69" t="str">
        <f t="shared" si="266"/>
        <v>Еще фото</v>
      </c>
      <c r="F4974" s="13"/>
      <c r="G4974" s="23" t="s">
        <v>615</v>
      </c>
      <c r="H4974" s="23" t="s">
        <v>27</v>
      </c>
      <c r="I4974" s="23" t="s">
        <v>616</v>
      </c>
      <c r="J4974" s="14" t="s">
        <v>29</v>
      </c>
      <c r="K4974" s="15" t="s">
        <v>30</v>
      </c>
      <c r="L4974" s="88"/>
      <c r="M4974" s="14"/>
      <c r="N4974" s="14" t="s">
        <v>275</v>
      </c>
      <c r="O4974" s="14"/>
      <c r="P4974" s="15" t="s">
        <v>74</v>
      </c>
      <c r="Q4974" s="16">
        <v>2499</v>
      </c>
      <c r="R4974" s="17">
        <v>45</v>
      </c>
      <c r="S4974" s="18">
        <v>1580.6174999999998</v>
      </c>
      <c r="T4974" s="19" t="s">
        <v>117</v>
      </c>
      <c r="U4974" s="20" t="s">
        <v>3088</v>
      </c>
      <c r="V4974" s="21">
        <v>158</v>
      </c>
      <c r="W4974" s="21">
        <v>2</v>
      </c>
      <c r="X4974" s="22"/>
    </row>
    <row r="4975" spans="1:24" s="1" customFormat="1" ht="14.1" customHeight="1" x14ac:dyDescent="0.3">
      <c r="A4975" s="11" t="s">
        <v>3014</v>
      </c>
      <c r="B4975" s="11" t="s">
        <v>4770</v>
      </c>
      <c r="C4975" s="12" t="s">
        <v>4779</v>
      </c>
      <c r="D4975" s="83"/>
      <c r="E4975" s="69" t="str">
        <f t="shared" ref="E4975:E4981" si="267">HYPERLINK("https://www.google.ru/search?q=73206311-6140&amp;newwindow=1&amp;tbm=isch","Еще фото")</f>
        <v>Еще фото</v>
      </c>
      <c r="F4975" s="13"/>
      <c r="G4975" s="11" t="s">
        <v>615</v>
      </c>
      <c r="H4975" s="11" t="s">
        <v>27</v>
      </c>
      <c r="I4975" s="14" t="s">
        <v>616</v>
      </c>
      <c r="J4975" s="14" t="s">
        <v>29</v>
      </c>
      <c r="K4975" s="15" t="s">
        <v>30</v>
      </c>
      <c r="L4975" s="86"/>
      <c r="M4975" s="14"/>
      <c r="N4975" s="14" t="s">
        <v>265</v>
      </c>
      <c r="O4975" s="14"/>
      <c r="P4975" s="15" t="s">
        <v>74</v>
      </c>
      <c r="Q4975" s="16">
        <v>2499</v>
      </c>
      <c r="R4975" s="17">
        <v>45</v>
      </c>
      <c r="S4975" s="18">
        <v>1580.6174999999998</v>
      </c>
      <c r="T4975" s="19" t="s">
        <v>117</v>
      </c>
      <c r="U4975" s="20" t="s">
        <v>36</v>
      </c>
      <c r="V4975" s="21">
        <v>122</v>
      </c>
      <c r="W4975" s="21">
        <v>2</v>
      </c>
      <c r="X4975" s="22"/>
    </row>
    <row r="4976" spans="1:24" s="1" customFormat="1" ht="14.1" customHeight="1" x14ac:dyDescent="0.3">
      <c r="A4976" s="23" t="s">
        <v>3014</v>
      </c>
      <c r="B4976" s="23" t="s">
        <v>4770</v>
      </c>
      <c r="C4976" s="12" t="s">
        <v>4779</v>
      </c>
      <c r="D4976" s="84"/>
      <c r="E4976" s="69" t="str">
        <f t="shared" si="267"/>
        <v>Еще фото</v>
      </c>
      <c r="F4976" s="13"/>
      <c r="G4976" s="23" t="s">
        <v>615</v>
      </c>
      <c r="H4976" s="23" t="s">
        <v>27</v>
      </c>
      <c r="I4976" s="23" t="s">
        <v>616</v>
      </c>
      <c r="J4976" s="14" t="s">
        <v>29</v>
      </c>
      <c r="K4976" s="15" t="s">
        <v>30</v>
      </c>
      <c r="L4976" s="87"/>
      <c r="M4976" s="14"/>
      <c r="N4976" s="14" t="s">
        <v>265</v>
      </c>
      <c r="O4976" s="14"/>
      <c r="P4976" s="15" t="s">
        <v>74</v>
      </c>
      <c r="Q4976" s="16">
        <v>2499</v>
      </c>
      <c r="R4976" s="17">
        <v>45</v>
      </c>
      <c r="S4976" s="18">
        <v>1580.6174999999998</v>
      </c>
      <c r="T4976" s="19" t="s">
        <v>117</v>
      </c>
      <c r="U4976" s="20" t="s">
        <v>37</v>
      </c>
      <c r="V4976" s="21">
        <v>128</v>
      </c>
      <c r="W4976" s="21">
        <v>2</v>
      </c>
      <c r="X4976" s="22"/>
    </row>
    <row r="4977" spans="1:24" s="1" customFormat="1" ht="14.1" customHeight="1" x14ac:dyDescent="0.3">
      <c r="A4977" s="23" t="s">
        <v>3014</v>
      </c>
      <c r="B4977" s="23" t="s">
        <v>4770</v>
      </c>
      <c r="C4977" s="12" t="s">
        <v>4779</v>
      </c>
      <c r="D4977" s="84"/>
      <c r="E4977" s="69" t="str">
        <f t="shared" si="267"/>
        <v>Еще фото</v>
      </c>
      <c r="F4977" s="13"/>
      <c r="G4977" s="23" t="s">
        <v>615</v>
      </c>
      <c r="H4977" s="23" t="s">
        <v>27</v>
      </c>
      <c r="I4977" s="23" t="s">
        <v>616</v>
      </c>
      <c r="J4977" s="14" t="s">
        <v>29</v>
      </c>
      <c r="K4977" s="15" t="s">
        <v>30</v>
      </c>
      <c r="L4977" s="87"/>
      <c r="M4977" s="14"/>
      <c r="N4977" s="14" t="s">
        <v>265</v>
      </c>
      <c r="O4977" s="14"/>
      <c r="P4977" s="15" t="s">
        <v>74</v>
      </c>
      <c r="Q4977" s="16">
        <v>2499</v>
      </c>
      <c r="R4977" s="17">
        <v>45</v>
      </c>
      <c r="S4977" s="18">
        <v>1580.6174999999998</v>
      </c>
      <c r="T4977" s="19" t="s">
        <v>117</v>
      </c>
      <c r="U4977" s="20" t="s">
        <v>91</v>
      </c>
      <c r="V4977" s="21">
        <v>134</v>
      </c>
      <c r="W4977" s="21">
        <v>2</v>
      </c>
      <c r="X4977" s="22"/>
    </row>
    <row r="4978" spans="1:24" s="1" customFormat="1" ht="14.1" customHeight="1" x14ac:dyDescent="0.3">
      <c r="A4978" s="23" t="s">
        <v>3014</v>
      </c>
      <c r="B4978" s="23" t="s">
        <v>4770</v>
      </c>
      <c r="C4978" s="12" t="s">
        <v>4779</v>
      </c>
      <c r="D4978" s="84"/>
      <c r="E4978" s="69" t="str">
        <f t="shared" si="267"/>
        <v>Еще фото</v>
      </c>
      <c r="F4978" s="13"/>
      <c r="G4978" s="23" t="s">
        <v>615</v>
      </c>
      <c r="H4978" s="23" t="s">
        <v>27</v>
      </c>
      <c r="I4978" s="23" t="s">
        <v>616</v>
      </c>
      <c r="J4978" s="14" t="s">
        <v>29</v>
      </c>
      <c r="K4978" s="15" t="s">
        <v>30</v>
      </c>
      <c r="L4978" s="87"/>
      <c r="M4978" s="14"/>
      <c r="N4978" s="14" t="s">
        <v>265</v>
      </c>
      <c r="O4978" s="14"/>
      <c r="P4978" s="15" t="s">
        <v>74</v>
      </c>
      <c r="Q4978" s="16">
        <v>2499</v>
      </c>
      <c r="R4978" s="17">
        <v>45</v>
      </c>
      <c r="S4978" s="18">
        <v>1580.6174999999998</v>
      </c>
      <c r="T4978" s="19" t="s">
        <v>117</v>
      </c>
      <c r="U4978" s="20" t="s">
        <v>290</v>
      </c>
      <c r="V4978" s="21">
        <v>140</v>
      </c>
      <c r="W4978" s="21">
        <v>2</v>
      </c>
      <c r="X4978" s="22"/>
    </row>
    <row r="4979" spans="1:24" s="1" customFormat="1" ht="14.1" customHeight="1" x14ac:dyDescent="0.3">
      <c r="A4979" s="23" t="s">
        <v>3014</v>
      </c>
      <c r="B4979" s="23" t="s">
        <v>4770</v>
      </c>
      <c r="C4979" s="12" t="s">
        <v>4779</v>
      </c>
      <c r="D4979" s="84"/>
      <c r="E4979" s="69" t="str">
        <f t="shared" si="267"/>
        <v>Еще фото</v>
      </c>
      <c r="F4979" s="13"/>
      <c r="G4979" s="23" t="s">
        <v>615</v>
      </c>
      <c r="H4979" s="23" t="s">
        <v>27</v>
      </c>
      <c r="I4979" s="23" t="s">
        <v>616</v>
      </c>
      <c r="J4979" s="14" t="s">
        <v>29</v>
      </c>
      <c r="K4979" s="15" t="s">
        <v>30</v>
      </c>
      <c r="L4979" s="87"/>
      <c r="M4979" s="14"/>
      <c r="N4979" s="14" t="s">
        <v>265</v>
      </c>
      <c r="O4979" s="14"/>
      <c r="P4979" s="15" t="s">
        <v>74</v>
      </c>
      <c r="Q4979" s="16">
        <v>2499</v>
      </c>
      <c r="R4979" s="17">
        <v>45</v>
      </c>
      <c r="S4979" s="18">
        <v>1580.6174999999998</v>
      </c>
      <c r="T4979" s="19" t="s">
        <v>117</v>
      </c>
      <c r="U4979" s="20" t="s">
        <v>2993</v>
      </c>
      <c r="V4979" s="21">
        <v>146</v>
      </c>
      <c r="W4979" s="21">
        <v>2</v>
      </c>
      <c r="X4979" s="22"/>
    </row>
    <row r="4980" spans="1:24" s="1" customFormat="1" ht="14.1" customHeight="1" x14ac:dyDescent="0.3">
      <c r="A4980" s="23" t="s">
        <v>3014</v>
      </c>
      <c r="B4980" s="23" t="s">
        <v>4770</v>
      </c>
      <c r="C4980" s="12" t="s">
        <v>4779</v>
      </c>
      <c r="D4980" s="84"/>
      <c r="E4980" s="69" t="str">
        <f t="shared" si="267"/>
        <v>Еще фото</v>
      </c>
      <c r="F4980" s="13"/>
      <c r="G4980" s="23" t="s">
        <v>615</v>
      </c>
      <c r="H4980" s="23" t="s">
        <v>27</v>
      </c>
      <c r="I4980" s="23" t="s">
        <v>616</v>
      </c>
      <c r="J4980" s="14" t="s">
        <v>29</v>
      </c>
      <c r="K4980" s="15" t="s">
        <v>30</v>
      </c>
      <c r="L4980" s="87"/>
      <c r="M4980" s="14"/>
      <c r="N4980" s="14" t="s">
        <v>265</v>
      </c>
      <c r="O4980" s="14"/>
      <c r="P4980" s="15" t="s">
        <v>74</v>
      </c>
      <c r="Q4980" s="16">
        <v>2499</v>
      </c>
      <c r="R4980" s="17">
        <v>45</v>
      </c>
      <c r="S4980" s="18">
        <v>1580.6174999999998</v>
      </c>
      <c r="T4980" s="19" t="s">
        <v>117</v>
      </c>
      <c r="U4980" s="20" t="s">
        <v>2160</v>
      </c>
      <c r="V4980" s="21">
        <v>152</v>
      </c>
      <c r="W4980" s="21">
        <v>2</v>
      </c>
      <c r="X4980" s="22"/>
    </row>
    <row r="4981" spans="1:24" s="1" customFormat="1" ht="17.100000000000001" customHeight="1" x14ac:dyDescent="0.3">
      <c r="A4981" s="23" t="s">
        <v>3014</v>
      </c>
      <c r="B4981" s="23" t="s">
        <v>4770</v>
      </c>
      <c r="C4981" s="12" t="s">
        <v>4779</v>
      </c>
      <c r="D4981" s="85"/>
      <c r="E4981" s="69" t="str">
        <f t="shared" si="267"/>
        <v>Еще фото</v>
      </c>
      <c r="F4981" s="13"/>
      <c r="G4981" s="23" t="s">
        <v>615</v>
      </c>
      <c r="H4981" s="23" t="s">
        <v>27</v>
      </c>
      <c r="I4981" s="23" t="s">
        <v>616</v>
      </c>
      <c r="J4981" s="14" t="s">
        <v>29</v>
      </c>
      <c r="K4981" s="15" t="s">
        <v>30</v>
      </c>
      <c r="L4981" s="88"/>
      <c r="M4981" s="14"/>
      <c r="N4981" s="14" t="s">
        <v>265</v>
      </c>
      <c r="O4981" s="14"/>
      <c r="P4981" s="15" t="s">
        <v>74</v>
      </c>
      <c r="Q4981" s="16">
        <v>2499</v>
      </c>
      <c r="R4981" s="17">
        <v>45</v>
      </c>
      <c r="S4981" s="18">
        <v>1580.6174999999998</v>
      </c>
      <c r="T4981" s="19" t="s">
        <v>117</v>
      </c>
      <c r="U4981" s="20" t="s">
        <v>3088</v>
      </c>
      <c r="V4981" s="21">
        <v>158</v>
      </c>
      <c r="W4981" s="21">
        <v>1</v>
      </c>
      <c r="X4981" s="22"/>
    </row>
    <row r="4982" spans="1:24" s="1" customFormat="1" ht="14.1" customHeight="1" x14ac:dyDescent="0.3">
      <c r="A4982" s="11" t="s">
        <v>3129</v>
      </c>
      <c r="B4982" s="11" t="s">
        <v>4780</v>
      </c>
      <c r="C4982" s="12" t="s">
        <v>4781</v>
      </c>
      <c r="D4982" s="83"/>
      <c r="E4982" s="69" t="str">
        <f t="shared" ref="E4982:E4988" si="268">HYPERLINK("https://www.google.ru/search?q=741429-7150&amp;newwindow=1&amp;tbm=isch","Еще фото")</f>
        <v>Еще фото</v>
      </c>
      <c r="F4982" s="13"/>
      <c r="G4982" s="11" t="s">
        <v>4782</v>
      </c>
      <c r="H4982" s="11" t="s">
        <v>27</v>
      </c>
      <c r="I4982" s="14" t="s">
        <v>616</v>
      </c>
      <c r="J4982" s="14" t="s">
        <v>29</v>
      </c>
      <c r="K4982" s="15" t="s">
        <v>30</v>
      </c>
      <c r="L4982" s="86" t="s">
        <v>4783</v>
      </c>
      <c r="M4982" s="14"/>
      <c r="N4982" s="14" t="s">
        <v>70</v>
      </c>
      <c r="O4982" s="14"/>
      <c r="P4982" s="15" t="s">
        <v>4784</v>
      </c>
      <c r="Q4982" s="16">
        <v>2099</v>
      </c>
      <c r="R4982" s="17">
        <v>45</v>
      </c>
      <c r="S4982" s="18">
        <v>1327.6174999999998</v>
      </c>
      <c r="T4982" s="19" t="s">
        <v>117</v>
      </c>
      <c r="U4982" s="20" t="s">
        <v>2961</v>
      </c>
      <c r="V4982" s="21">
        <v>98</v>
      </c>
      <c r="W4982" s="21">
        <v>1</v>
      </c>
      <c r="X4982" s="22"/>
    </row>
    <row r="4983" spans="1:24" s="1" customFormat="1" ht="14.1" customHeight="1" x14ac:dyDescent="0.3">
      <c r="A4983" s="23" t="s">
        <v>3129</v>
      </c>
      <c r="B4983" s="23" t="s">
        <v>4780</v>
      </c>
      <c r="C4983" s="12" t="s">
        <v>4781</v>
      </c>
      <c r="D4983" s="84"/>
      <c r="E4983" s="69" t="str">
        <f t="shared" si="268"/>
        <v>Еще фото</v>
      </c>
      <c r="F4983" s="13"/>
      <c r="G4983" s="23" t="s">
        <v>4782</v>
      </c>
      <c r="H4983" s="23" t="s">
        <v>27</v>
      </c>
      <c r="I4983" s="23" t="s">
        <v>616</v>
      </c>
      <c r="J4983" s="14" t="s">
        <v>29</v>
      </c>
      <c r="K4983" s="15" t="s">
        <v>30</v>
      </c>
      <c r="L4983" s="87"/>
      <c r="M4983" s="14"/>
      <c r="N4983" s="14" t="s">
        <v>70</v>
      </c>
      <c r="O4983" s="14"/>
      <c r="P4983" s="15" t="s">
        <v>4784</v>
      </c>
      <c r="Q4983" s="16">
        <v>2099</v>
      </c>
      <c r="R4983" s="17">
        <v>45</v>
      </c>
      <c r="S4983" s="18">
        <v>1327.6174999999998</v>
      </c>
      <c r="T4983" s="19" t="s">
        <v>117</v>
      </c>
      <c r="U4983" s="20" t="s">
        <v>94</v>
      </c>
      <c r="V4983" s="21">
        <v>104</v>
      </c>
      <c r="W4983" s="21">
        <v>2</v>
      </c>
      <c r="X4983" s="22"/>
    </row>
    <row r="4984" spans="1:24" s="1" customFormat="1" ht="14.1" customHeight="1" x14ac:dyDescent="0.3">
      <c r="A4984" s="23" t="s">
        <v>3129</v>
      </c>
      <c r="B4984" s="23" t="s">
        <v>4780</v>
      </c>
      <c r="C4984" s="12" t="s">
        <v>4781</v>
      </c>
      <c r="D4984" s="84"/>
      <c r="E4984" s="69" t="str">
        <f t="shared" si="268"/>
        <v>Еще фото</v>
      </c>
      <c r="F4984" s="13"/>
      <c r="G4984" s="23" t="s">
        <v>4782</v>
      </c>
      <c r="H4984" s="23" t="s">
        <v>27</v>
      </c>
      <c r="I4984" s="23" t="s">
        <v>616</v>
      </c>
      <c r="J4984" s="14" t="s">
        <v>29</v>
      </c>
      <c r="K4984" s="15" t="s">
        <v>30</v>
      </c>
      <c r="L4984" s="87"/>
      <c r="M4984" s="14"/>
      <c r="N4984" s="14" t="s">
        <v>70</v>
      </c>
      <c r="O4984" s="14"/>
      <c r="P4984" s="15" t="s">
        <v>4784</v>
      </c>
      <c r="Q4984" s="16">
        <v>2099</v>
      </c>
      <c r="R4984" s="17">
        <v>45</v>
      </c>
      <c r="S4984" s="18">
        <v>1327.6174999999998</v>
      </c>
      <c r="T4984" s="19" t="s">
        <v>117</v>
      </c>
      <c r="U4984" s="20" t="s">
        <v>35</v>
      </c>
      <c r="V4984" s="21">
        <v>116</v>
      </c>
      <c r="W4984" s="21">
        <v>2</v>
      </c>
      <c r="X4984" s="22"/>
    </row>
    <row r="4985" spans="1:24" s="1" customFormat="1" ht="14.1" customHeight="1" x14ac:dyDescent="0.3">
      <c r="A4985" s="23" t="s">
        <v>3129</v>
      </c>
      <c r="B4985" s="23" t="s">
        <v>4780</v>
      </c>
      <c r="C4985" s="12" t="s">
        <v>4781</v>
      </c>
      <c r="D4985" s="84"/>
      <c r="E4985" s="69" t="str">
        <f t="shared" si="268"/>
        <v>Еще фото</v>
      </c>
      <c r="F4985" s="13"/>
      <c r="G4985" s="23" t="s">
        <v>4782</v>
      </c>
      <c r="H4985" s="23" t="s">
        <v>27</v>
      </c>
      <c r="I4985" s="23" t="s">
        <v>616</v>
      </c>
      <c r="J4985" s="14" t="s">
        <v>29</v>
      </c>
      <c r="K4985" s="15" t="s">
        <v>30</v>
      </c>
      <c r="L4985" s="87"/>
      <c r="M4985" s="14"/>
      <c r="N4985" s="14" t="s">
        <v>70</v>
      </c>
      <c r="O4985" s="14"/>
      <c r="P4985" s="15" t="s">
        <v>4784</v>
      </c>
      <c r="Q4985" s="16">
        <v>2099</v>
      </c>
      <c r="R4985" s="17">
        <v>45</v>
      </c>
      <c r="S4985" s="18">
        <v>1327.6174999999998</v>
      </c>
      <c r="T4985" s="19" t="s">
        <v>117</v>
      </c>
      <c r="U4985" s="20" t="s">
        <v>36</v>
      </c>
      <c r="V4985" s="21">
        <v>122</v>
      </c>
      <c r="W4985" s="21">
        <v>4</v>
      </c>
      <c r="X4985" s="22"/>
    </row>
    <row r="4986" spans="1:24" s="1" customFormat="1" ht="14.1" customHeight="1" x14ac:dyDescent="0.3">
      <c r="A4986" s="23" t="s">
        <v>3129</v>
      </c>
      <c r="B4986" s="23" t="s">
        <v>4780</v>
      </c>
      <c r="C4986" s="12" t="s">
        <v>4781</v>
      </c>
      <c r="D4986" s="84"/>
      <c r="E4986" s="69" t="str">
        <f t="shared" si="268"/>
        <v>Еще фото</v>
      </c>
      <c r="F4986" s="13"/>
      <c r="G4986" s="23" t="s">
        <v>4782</v>
      </c>
      <c r="H4986" s="23" t="s">
        <v>27</v>
      </c>
      <c r="I4986" s="23" t="s">
        <v>616</v>
      </c>
      <c r="J4986" s="14" t="s">
        <v>29</v>
      </c>
      <c r="K4986" s="15" t="s">
        <v>30</v>
      </c>
      <c r="L4986" s="87"/>
      <c r="M4986" s="14"/>
      <c r="N4986" s="14" t="s">
        <v>70</v>
      </c>
      <c r="O4986" s="14"/>
      <c r="P4986" s="15" t="s">
        <v>4784</v>
      </c>
      <c r="Q4986" s="16">
        <v>2099</v>
      </c>
      <c r="R4986" s="17">
        <v>45</v>
      </c>
      <c r="S4986" s="18">
        <v>1327.6174999999998</v>
      </c>
      <c r="T4986" s="19" t="s">
        <v>117</v>
      </c>
      <c r="U4986" s="20" t="s">
        <v>37</v>
      </c>
      <c r="V4986" s="21">
        <v>128</v>
      </c>
      <c r="W4986" s="21">
        <v>3</v>
      </c>
      <c r="X4986" s="22"/>
    </row>
    <row r="4987" spans="1:24" s="1" customFormat="1" ht="14.1" customHeight="1" x14ac:dyDescent="0.3">
      <c r="A4987" s="23" t="s">
        <v>3129</v>
      </c>
      <c r="B4987" s="23" t="s">
        <v>4780</v>
      </c>
      <c r="C4987" s="12" t="s">
        <v>4781</v>
      </c>
      <c r="D4987" s="84"/>
      <c r="E4987" s="69" t="str">
        <f t="shared" si="268"/>
        <v>Еще фото</v>
      </c>
      <c r="F4987" s="13"/>
      <c r="G4987" s="23" t="s">
        <v>4782</v>
      </c>
      <c r="H4987" s="23" t="s">
        <v>27</v>
      </c>
      <c r="I4987" s="23" t="s">
        <v>616</v>
      </c>
      <c r="J4987" s="14" t="s">
        <v>29</v>
      </c>
      <c r="K4987" s="15" t="s">
        <v>30</v>
      </c>
      <c r="L4987" s="87"/>
      <c r="M4987" s="14"/>
      <c r="N4987" s="14" t="s">
        <v>70</v>
      </c>
      <c r="O4987" s="14"/>
      <c r="P4987" s="15" t="s">
        <v>4784</v>
      </c>
      <c r="Q4987" s="16">
        <v>2099</v>
      </c>
      <c r="R4987" s="17">
        <v>45</v>
      </c>
      <c r="S4987" s="18">
        <v>1327.6174999999998</v>
      </c>
      <c r="T4987" s="19" t="s">
        <v>117</v>
      </c>
      <c r="U4987" s="20" t="s">
        <v>91</v>
      </c>
      <c r="V4987" s="21">
        <v>134</v>
      </c>
      <c r="W4987" s="21">
        <v>2</v>
      </c>
      <c r="X4987" s="22"/>
    </row>
    <row r="4988" spans="1:24" s="1" customFormat="1" ht="17.100000000000001" customHeight="1" x14ac:dyDescent="0.3">
      <c r="A4988" s="23" t="s">
        <v>3129</v>
      </c>
      <c r="B4988" s="23" t="s">
        <v>4780</v>
      </c>
      <c r="C4988" s="12" t="s">
        <v>4781</v>
      </c>
      <c r="D4988" s="85"/>
      <c r="E4988" s="69" t="str">
        <f t="shared" si="268"/>
        <v>Еще фото</v>
      </c>
      <c r="F4988" s="13"/>
      <c r="G4988" s="23" t="s">
        <v>4782</v>
      </c>
      <c r="H4988" s="23" t="s">
        <v>27</v>
      </c>
      <c r="I4988" s="23" t="s">
        <v>616</v>
      </c>
      <c r="J4988" s="14" t="s">
        <v>29</v>
      </c>
      <c r="K4988" s="15" t="s">
        <v>30</v>
      </c>
      <c r="L4988" s="88"/>
      <c r="M4988" s="14"/>
      <c r="N4988" s="14" t="s">
        <v>70</v>
      </c>
      <c r="O4988" s="14"/>
      <c r="P4988" s="15" t="s">
        <v>4784</v>
      </c>
      <c r="Q4988" s="16">
        <v>2099</v>
      </c>
      <c r="R4988" s="17">
        <v>45</v>
      </c>
      <c r="S4988" s="18">
        <v>1327.6174999999998</v>
      </c>
      <c r="T4988" s="19" t="s">
        <v>117</v>
      </c>
      <c r="U4988" s="20" t="s">
        <v>290</v>
      </c>
      <c r="V4988" s="21">
        <v>140</v>
      </c>
      <c r="W4988" s="21">
        <v>1</v>
      </c>
      <c r="X4988" s="22"/>
    </row>
    <row r="4989" spans="1:24" s="1" customFormat="1" ht="14.1" customHeight="1" x14ac:dyDescent="0.3">
      <c r="A4989" s="11" t="s">
        <v>3129</v>
      </c>
      <c r="B4989" s="11" t="s">
        <v>4780</v>
      </c>
      <c r="C4989" s="12" t="s">
        <v>4785</v>
      </c>
      <c r="D4989" s="83"/>
      <c r="E4989" s="69" t="str">
        <f t="shared" ref="E4989:E4995" si="269">HYPERLINK("https://www.google.ru/search?q=741429-7850&amp;newwindow=1&amp;tbm=isch","Еще фото")</f>
        <v>Еще фото</v>
      </c>
      <c r="F4989" s="13"/>
      <c r="G4989" s="11" t="s">
        <v>4782</v>
      </c>
      <c r="H4989" s="11" t="s">
        <v>27</v>
      </c>
      <c r="I4989" s="14" t="s">
        <v>616</v>
      </c>
      <c r="J4989" s="14" t="s">
        <v>29</v>
      </c>
      <c r="K4989" s="15" t="s">
        <v>30</v>
      </c>
      <c r="L4989" s="86" t="s">
        <v>4783</v>
      </c>
      <c r="M4989" s="14"/>
      <c r="N4989" s="14" t="s">
        <v>70</v>
      </c>
      <c r="O4989" s="14"/>
      <c r="P4989" s="15" t="s">
        <v>4784</v>
      </c>
      <c r="Q4989" s="16">
        <v>2099</v>
      </c>
      <c r="R4989" s="17">
        <v>45</v>
      </c>
      <c r="S4989" s="18">
        <v>1327.6174999999998</v>
      </c>
      <c r="T4989" s="19" t="s">
        <v>117</v>
      </c>
      <c r="U4989" s="20" t="s">
        <v>2961</v>
      </c>
      <c r="V4989" s="21">
        <v>98</v>
      </c>
      <c r="W4989" s="21">
        <v>2</v>
      </c>
      <c r="X4989" s="22"/>
    </row>
    <row r="4990" spans="1:24" s="1" customFormat="1" ht="14.1" customHeight="1" x14ac:dyDescent="0.3">
      <c r="A4990" s="23" t="s">
        <v>3129</v>
      </c>
      <c r="B4990" s="23" t="s">
        <v>4780</v>
      </c>
      <c r="C4990" s="12" t="s">
        <v>4785</v>
      </c>
      <c r="D4990" s="84"/>
      <c r="E4990" s="69" t="str">
        <f t="shared" si="269"/>
        <v>Еще фото</v>
      </c>
      <c r="F4990" s="13"/>
      <c r="G4990" s="23" t="s">
        <v>4782</v>
      </c>
      <c r="H4990" s="23" t="s">
        <v>27</v>
      </c>
      <c r="I4990" s="23" t="s">
        <v>616</v>
      </c>
      <c r="J4990" s="14" t="s">
        <v>29</v>
      </c>
      <c r="K4990" s="15" t="s">
        <v>30</v>
      </c>
      <c r="L4990" s="87"/>
      <c r="M4990" s="14"/>
      <c r="N4990" s="14" t="s">
        <v>70</v>
      </c>
      <c r="O4990" s="14"/>
      <c r="P4990" s="15" t="s">
        <v>4784</v>
      </c>
      <c r="Q4990" s="16">
        <v>2099</v>
      </c>
      <c r="R4990" s="17">
        <v>45</v>
      </c>
      <c r="S4990" s="18">
        <v>1327.6174999999998</v>
      </c>
      <c r="T4990" s="19" t="s">
        <v>117</v>
      </c>
      <c r="U4990" s="20" t="s">
        <v>94</v>
      </c>
      <c r="V4990" s="21">
        <v>104</v>
      </c>
      <c r="W4990" s="21">
        <v>2</v>
      </c>
      <c r="X4990" s="22"/>
    </row>
    <row r="4991" spans="1:24" s="1" customFormat="1" ht="14.1" customHeight="1" x14ac:dyDescent="0.3">
      <c r="A4991" s="23" t="s">
        <v>3129</v>
      </c>
      <c r="B4991" s="23" t="s">
        <v>4780</v>
      </c>
      <c r="C4991" s="12" t="s">
        <v>4785</v>
      </c>
      <c r="D4991" s="84"/>
      <c r="E4991" s="69" t="str">
        <f t="shared" si="269"/>
        <v>Еще фото</v>
      </c>
      <c r="F4991" s="13"/>
      <c r="G4991" s="23" t="s">
        <v>4782</v>
      </c>
      <c r="H4991" s="23" t="s">
        <v>27</v>
      </c>
      <c r="I4991" s="23" t="s">
        <v>616</v>
      </c>
      <c r="J4991" s="14" t="s">
        <v>29</v>
      </c>
      <c r="K4991" s="15" t="s">
        <v>30</v>
      </c>
      <c r="L4991" s="87"/>
      <c r="M4991" s="14"/>
      <c r="N4991" s="14" t="s">
        <v>70</v>
      </c>
      <c r="O4991" s="14"/>
      <c r="P4991" s="15" t="s">
        <v>4784</v>
      </c>
      <c r="Q4991" s="16">
        <v>2099</v>
      </c>
      <c r="R4991" s="17">
        <v>45</v>
      </c>
      <c r="S4991" s="18">
        <v>1327.6174999999998</v>
      </c>
      <c r="T4991" s="19" t="s">
        <v>117</v>
      </c>
      <c r="U4991" s="20" t="s">
        <v>43</v>
      </c>
      <c r="V4991" s="21">
        <v>110</v>
      </c>
      <c r="W4991" s="21">
        <v>2</v>
      </c>
      <c r="X4991" s="22"/>
    </row>
    <row r="4992" spans="1:24" s="1" customFormat="1" ht="14.1" customHeight="1" x14ac:dyDescent="0.3">
      <c r="A4992" s="23" t="s">
        <v>3129</v>
      </c>
      <c r="B4992" s="23" t="s">
        <v>4780</v>
      </c>
      <c r="C4992" s="12" t="s">
        <v>4785</v>
      </c>
      <c r="D4992" s="84"/>
      <c r="E4992" s="69" t="str">
        <f t="shared" si="269"/>
        <v>Еще фото</v>
      </c>
      <c r="F4992" s="13"/>
      <c r="G4992" s="23" t="s">
        <v>4782</v>
      </c>
      <c r="H4992" s="23" t="s">
        <v>27</v>
      </c>
      <c r="I4992" s="23" t="s">
        <v>616</v>
      </c>
      <c r="J4992" s="14" t="s">
        <v>29</v>
      </c>
      <c r="K4992" s="15" t="s">
        <v>30</v>
      </c>
      <c r="L4992" s="87"/>
      <c r="M4992" s="14"/>
      <c r="N4992" s="14" t="s">
        <v>70</v>
      </c>
      <c r="O4992" s="14"/>
      <c r="P4992" s="15" t="s">
        <v>4784</v>
      </c>
      <c r="Q4992" s="16">
        <v>2099</v>
      </c>
      <c r="R4992" s="17">
        <v>45</v>
      </c>
      <c r="S4992" s="18">
        <v>1327.6174999999998</v>
      </c>
      <c r="T4992" s="19" t="s">
        <v>117</v>
      </c>
      <c r="U4992" s="20" t="s">
        <v>35</v>
      </c>
      <c r="V4992" s="21">
        <v>116</v>
      </c>
      <c r="W4992" s="21">
        <v>2</v>
      </c>
      <c r="X4992" s="22"/>
    </row>
    <row r="4993" spans="1:24" s="1" customFormat="1" ht="14.1" customHeight="1" x14ac:dyDescent="0.3">
      <c r="A4993" s="23" t="s">
        <v>3129</v>
      </c>
      <c r="B4993" s="23" t="s">
        <v>4780</v>
      </c>
      <c r="C4993" s="12" t="s">
        <v>4785</v>
      </c>
      <c r="D4993" s="84"/>
      <c r="E4993" s="69" t="str">
        <f t="shared" si="269"/>
        <v>Еще фото</v>
      </c>
      <c r="F4993" s="13"/>
      <c r="G4993" s="23" t="s">
        <v>4782</v>
      </c>
      <c r="H4993" s="23" t="s">
        <v>27</v>
      </c>
      <c r="I4993" s="23" t="s">
        <v>616</v>
      </c>
      <c r="J4993" s="14" t="s">
        <v>29</v>
      </c>
      <c r="K4993" s="15" t="s">
        <v>30</v>
      </c>
      <c r="L4993" s="87"/>
      <c r="M4993" s="14"/>
      <c r="N4993" s="14" t="s">
        <v>70</v>
      </c>
      <c r="O4993" s="14"/>
      <c r="P4993" s="15" t="s">
        <v>4784</v>
      </c>
      <c r="Q4993" s="16">
        <v>2099</v>
      </c>
      <c r="R4993" s="17">
        <v>45</v>
      </c>
      <c r="S4993" s="18">
        <v>1327.6174999999998</v>
      </c>
      <c r="T4993" s="19" t="s">
        <v>117</v>
      </c>
      <c r="U4993" s="20" t="s">
        <v>36</v>
      </c>
      <c r="V4993" s="21">
        <v>122</v>
      </c>
      <c r="W4993" s="21">
        <v>4</v>
      </c>
      <c r="X4993" s="22"/>
    </row>
    <row r="4994" spans="1:24" s="1" customFormat="1" ht="14.1" customHeight="1" x14ac:dyDescent="0.3">
      <c r="A4994" s="23" t="s">
        <v>3129</v>
      </c>
      <c r="B4994" s="23" t="s">
        <v>4780</v>
      </c>
      <c r="C4994" s="12" t="s">
        <v>4785</v>
      </c>
      <c r="D4994" s="84"/>
      <c r="E4994" s="69" t="str">
        <f t="shared" si="269"/>
        <v>Еще фото</v>
      </c>
      <c r="F4994" s="13"/>
      <c r="G4994" s="23" t="s">
        <v>4782</v>
      </c>
      <c r="H4994" s="23" t="s">
        <v>27</v>
      </c>
      <c r="I4994" s="23" t="s">
        <v>616</v>
      </c>
      <c r="J4994" s="14" t="s">
        <v>29</v>
      </c>
      <c r="K4994" s="15" t="s">
        <v>30</v>
      </c>
      <c r="L4994" s="87"/>
      <c r="M4994" s="14"/>
      <c r="N4994" s="14" t="s">
        <v>70</v>
      </c>
      <c r="O4994" s="14"/>
      <c r="P4994" s="15" t="s">
        <v>4784</v>
      </c>
      <c r="Q4994" s="16">
        <v>2099</v>
      </c>
      <c r="R4994" s="17">
        <v>45</v>
      </c>
      <c r="S4994" s="18">
        <v>1327.6174999999998</v>
      </c>
      <c r="T4994" s="19" t="s">
        <v>117</v>
      </c>
      <c r="U4994" s="20" t="s">
        <v>37</v>
      </c>
      <c r="V4994" s="21">
        <v>128</v>
      </c>
      <c r="W4994" s="21">
        <v>4</v>
      </c>
      <c r="X4994" s="22"/>
    </row>
    <row r="4995" spans="1:24" s="1" customFormat="1" ht="17.100000000000001" customHeight="1" x14ac:dyDescent="0.3">
      <c r="A4995" s="23" t="s">
        <v>3129</v>
      </c>
      <c r="B4995" s="23" t="s">
        <v>4780</v>
      </c>
      <c r="C4995" s="12" t="s">
        <v>4785</v>
      </c>
      <c r="D4995" s="85"/>
      <c r="E4995" s="69" t="str">
        <f t="shared" si="269"/>
        <v>Еще фото</v>
      </c>
      <c r="F4995" s="13"/>
      <c r="G4995" s="23" t="s">
        <v>4782</v>
      </c>
      <c r="H4995" s="23" t="s">
        <v>27</v>
      </c>
      <c r="I4995" s="23" t="s">
        <v>616</v>
      </c>
      <c r="J4995" s="14" t="s">
        <v>29</v>
      </c>
      <c r="K4995" s="15" t="s">
        <v>30</v>
      </c>
      <c r="L4995" s="88"/>
      <c r="M4995" s="14"/>
      <c r="N4995" s="14" t="s">
        <v>70</v>
      </c>
      <c r="O4995" s="14"/>
      <c r="P4995" s="15" t="s">
        <v>4784</v>
      </c>
      <c r="Q4995" s="16">
        <v>2099</v>
      </c>
      <c r="R4995" s="17">
        <v>45</v>
      </c>
      <c r="S4995" s="18">
        <v>1327.6174999999998</v>
      </c>
      <c r="T4995" s="19" t="s">
        <v>117</v>
      </c>
      <c r="U4995" s="20" t="s">
        <v>91</v>
      </c>
      <c r="V4995" s="21">
        <v>134</v>
      </c>
      <c r="W4995" s="21">
        <v>3</v>
      </c>
      <c r="X4995" s="22"/>
    </row>
    <row r="4996" spans="1:24" s="1" customFormat="1" ht="14.1" customHeight="1" x14ac:dyDescent="0.3">
      <c r="A4996" s="11" t="s">
        <v>3129</v>
      </c>
      <c r="B4996" s="11" t="s">
        <v>4780</v>
      </c>
      <c r="C4996" s="12" t="s">
        <v>4786</v>
      </c>
      <c r="D4996" s="83"/>
      <c r="E4996" s="69" t="str">
        <f t="shared" ref="E4996:E5002" si="270">HYPERLINK("https://www.google.ru/search?q=741437-7150&amp;newwindow=1&amp;tbm=isch","Еще фото")</f>
        <v>Еще фото</v>
      </c>
      <c r="F4996" s="13"/>
      <c r="G4996" s="11" t="s">
        <v>4782</v>
      </c>
      <c r="H4996" s="11" t="s">
        <v>27</v>
      </c>
      <c r="I4996" s="14" t="s">
        <v>616</v>
      </c>
      <c r="J4996" s="14" t="s">
        <v>29</v>
      </c>
      <c r="K4996" s="15" t="s">
        <v>30</v>
      </c>
      <c r="L4996" s="86" t="s">
        <v>4787</v>
      </c>
      <c r="M4996" s="14"/>
      <c r="N4996" s="14" t="s">
        <v>70</v>
      </c>
      <c r="O4996" s="14"/>
      <c r="P4996" s="15" t="s">
        <v>4294</v>
      </c>
      <c r="Q4996" s="16">
        <v>2099</v>
      </c>
      <c r="R4996" s="17">
        <v>45</v>
      </c>
      <c r="S4996" s="18">
        <v>1327.6174999999998</v>
      </c>
      <c r="T4996" s="19" t="s">
        <v>117</v>
      </c>
      <c r="U4996" s="20" t="s">
        <v>94</v>
      </c>
      <c r="V4996" s="21">
        <v>104</v>
      </c>
      <c r="W4996" s="21">
        <v>2</v>
      </c>
      <c r="X4996" s="22"/>
    </row>
    <row r="4997" spans="1:24" s="1" customFormat="1" ht="14.1" customHeight="1" x14ac:dyDescent="0.3">
      <c r="A4997" s="23" t="s">
        <v>3129</v>
      </c>
      <c r="B4997" s="23" t="s">
        <v>4780</v>
      </c>
      <c r="C4997" s="12" t="s">
        <v>4786</v>
      </c>
      <c r="D4997" s="84"/>
      <c r="E4997" s="69" t="str">
        <f t="shared" si="270"/>
        <v>Еще фото</v>
      </c>
      <c r="F4997" s="13"/>
      <c r="G4997" s="23" t="s">
        <v>4782</v>
      </c>
      <c r="H4997" s="23" t="s">
        <v>27</v>
      </c>
      <c r="I4997" s="23" t="s">
        <v>616</v>
      </c>
      <c r="J4997" s="14" t="s">
        <v>29</v>
      </c>
      <c r="K4997" s="15" t="s">
        <v>30</v>
      </c>
      <c r="L4997" s="87"/>
      <c r="M4997" s="14"/>
      <c r="N4997" s="14" t="s">
        <v>70</v>
      </c>
      <c r="O4997" s="14"/>
      <c r="P4997" s="15" t="s">
        <v>4294</v>
      </c>
      <c r="Q4997" s="16">
        <v>2099</v>
      </c>
      <c r="R4997" s="17">
        <v>45</v>
      </c>
      <c r="S4997" s="18">
        <v>1327.6174999999998</v>
      </c>
      <c r="T4997" s="19" t="s">
        <v>117</v>
      </c>
      <c r="U4997" s="20" t="s">
        <v>43</v>
      </c>
      <c r="V4997" s="21">
        <v>110</v>
      </c>
      <c r="W4997" s="21">
        <v>2</v>
      </c>
      <c r="X4997" s="22"/>
    </row>
    <row r="4998" spans="1:24" s="1" customFormat="1" ht="14.1" customHeight="1" x14ac:dyDescent="0.3">
      <c r="A4998" s="23" t="s">
        <v>3129</v>
      </c>
      <c r="B4998" s="23" t="s">
        <v>4780</v>
      </c>
      <c r="C4998" s="12" t="s">
        <v>4786</v>
      </c>
      <c r="D4998" s="84"/>
      <c r="E4998" s="69" t="str">
        <f t="shared" si="270"/>
        <v>Еще фото</v>
      </c>
      <c r="F4998" s="13"/>
      <c r="G4998" s="23" t="s">
        <v>4782</v>
      </c>
      <c r="H4998" s="23" t="s">
        <v>27</v>
      </c>
      <c r="I4998" s="23" t="s">
        <v>616</v>
      </c>
      <c r="J4998" s="14" t="s">
        <v>29</v>
      </c>
      <c r="K4998" s="15" t="s">
        <v>30</v>
      </c>
      <c r="L4998" s="87"/>
      <c r="M4998" s="14"/>
      <c r="N4998" s="14" t="s">
        <v>70</v>
      </c>
      <c r="O4998" s="14"/>
      <c r="P4998" s="15" t="s">
        <v>4294</v>
      </c>
      <c r="Q4998" s="16">
        <v>2099</v>
      </c>
      <c r="R4998" s="17">
        <v>45</v>
      </c>
      <c r="S4998" s="18">
        <v>1327.6174999999998</v>
      </c>
      <c r="T4998" s="19" t="s">
        <v>117</v>
      </c>
      <c r="U4998" s="20" t="s">
        <v>35</v>
      </c>
      <c r="V4998" s="21">
        <v>116</v>
      </c>
      <c r="W4998" s="21">
        <v>2</v>
      </c>
      <c r="X4998" s="22"/>
    </row>
    <row r="4999" spans="1:24" s="1" customFormat="1" ht="14.1" customHeight="1" x14ac:dyDescent="0.3">
      <c r="A4999" s="23" t="s">
        <v>3129</v>
      </c>
      <c r="B4999" s="23" t="s">
        <v>4780</v>
      </c>
      <c r="C4999" s="12" t="s">
        <v>4786</v>
      </c>
      <c r="D4999" s="84"/>
      <c r="E4999" s="69" t="str">
        <f t="shared" si="270"/>
        <v>Еще фото</v>
      </c>
      <c r="F4999" s="13"/>
      <c r="G4999" s="23" t="s">
        <v>4782</v>
      </c>
      <c r="H4999" s="23" t="s">
        <v>27</v>
      </c>
      <c r="I4999" s="23" t="s">
        <v>616</v>
      </c>
      <c r="J4999" s="14" t="s">
        <v>29</v>
      </c>
      <c r="K4999" s="15" t="s">
        <v>30</v>
      </c>
      <c r="L4999" s="87"/>
      <c r="M4999" s="14"/>
      <c r="N4999" s="14" t="s">
        <v>70</v>
      </c>
      <c r="O4999" s="14"/>
      <c r="P4999" s="15" t="s">
        <v>4294</v>
      </c>
      <c r="Q4999" s="16">
        <v>2099</v>
      </c>
      <c r="R4999" s="17">
        <v>45</v>
      </c>
      <c r="S4999" s="18">
        <v>1327.6174999999998</v>
      </c>
      <c r="T4999" s="19" t="s">
        <v>117</v>
      </c>
      <c r="U4999" s="20" t="s">
        <v>36</v>
      </c>
      <c r="V4999" s="21">
        <v>122</v>
      </c>
      <c r="W4999" s="21">
        <v>1</v>
      </c>
      <c r="X4999" s="22"/>
    </row>
    <row r="5000" spans="1:24" s="1" customFormat="1" ht="14.1" customHeight="1" x14ac:dyDescent="0.3">
      <c r="A5000" s="23" t="s">
        <v>3129</v>
      </c>
      <c r="B5000" s="23" t="s">
        <v>4780</v>
      </c>
      <c r="C5000" s="12" t="s">
        <v>4786</v>
      </c>
      <c r="D5000" s="84"/>
      <c r="E5000" s="69" t="str">
        <f t="shared" si="270"/>
        <v>Еще фото</v>
      </c>
      <c r="F5000" s="13"/>
      <c r="G5000" s="23" t="s">
        <v>4782</v>
      </c>
      <c r="H5000" s="23" t="s">
        <v>27</v>
      </c>
      <c r="I5000" s="23" t="s">
        <v>616</v>
      </c>
      <c r="J5000" s="14" t="s">
        <v>29</v>
      </c>
      <c r="K5000" s="15" t="s">
        <v>30</v>
      </c>
      <c r="L5000" s="87"/>
      <c r="M5000" s="14"/>
      <c r="N5000" s="14" t="s">
        <v>70</v>
      </c>
      <c r="O5000" s="14"/>
      <c r="P5000" s="15" t="s">
        <v>4294</v>
      </c>
      <c r="Q5000" s="16">
        <v>2099</v>
      </c>
      <c r="R5000" s="17">
        <v>45</v>
      </c>
      <c r="S5000" s="18">
        <v>1327.6174999999998</v>
      </c>
      <c r="T5000" s="19" t="s">
        <v>117</v>
      </c>
      <c r="U5000" s="20" t="s">
        <v>37</v>
      </c>
      <c r="V5000" s="21">
        <v>128</v>
      </c>
      <c r="W5000" s="21">
        <v>1</v>
      </c>
      <c r="X5000" s="22"/>
    </row>
    <row r="5001" spans="1:24" s="1" customFormat="1" ht="14.1" customHeight="1" x14ac:dyDescent="0.3">
      <c r="A5001" s="23" t="s">
        <v>3129</v>
      </c>
      <c r="B5001" s="23" t="s">
        <v>4780</v>
      </c>
      <c r="C5001" s="12" t="s">
        <v>4786</v>
      </c>
      <c r="D5001" s="84"/>
      <c r="E5001" s="69" t="str">
        <f t="shared" si="270"/>
        <v>Еще фото</v>
      </c>
      <c r="F5001" s="13"/>
      <c r="G5001" s="23" t="s">
        <v>4782</v>
      </c>
      <c r="H5001" s="23" t="s">
        <v>27</v>
      </c>
      <c r="I5001" s="23" t="s">
        <v>616</v>
      </c>
      <c r="J5001" s="14" t="s">
        <v>29</v>
      </c>
      <c r="K5001" s="15" t="s">
        <v>30</v>
      </c>
      <c r="L5001" s="87"/>
      <c r="M5001" s="14"/>
      <c r="N5001" s="14" t="s">
        <v>70</v>
      </c>
      <c r="O5001" s="14"/>
      <c r="P5001" s="15" t="s">
        <v>4294</v>
      </c>
      <c r="Q5001" s="16">
        <v>2099</v>
      </c>
      <c r="R5001" s="17">
        <v>45</v>
      </c>
      <c r="S5001" s="18">
        <v>1327.6174999999998</v>
      </c>
      <c r="T5001" s="19" t="s">
        <v>117</v>
      </c>
      <c r="U5001" s="20" t="s">
        <v>91</v>
      </c>
      <c r="V5001" s="21">
        <v>134</v>
      </c>
      <c r="W5001" s="21">
        <v>4</v>
      </c>
      <c r="X5001" s="22"/>
    </row>
    <row r="5002" spans="1:24" s="1" customFormat="1" ht="17.100000000000001" customHeight="1" x14ac:dyDescent="0.3">
      <c r="A5002" s="23" t="s">
        <v>3129</v>
      </c>
      <c r="B5002" s="23" t="s">
        <v>4780</v>
      </c>
      <c r="C5002" s="12" t="s">
        <v>4786</v>
      </c>
      <c r="D5002" s="85"/>
      <c r="E5002" s="69" t="str">
        <f t="shared" si="270"/>
        <v>Еще фото</v>
      </c>
      <c r="F5002" s="13"/>
      <c r="G5002" s="23" t="s">
        <v>4782</v>
      </c>
      <c r="H5002" s="23" t="s">
        <v>27</v>
      </c>
      <c r="I5002" s="23" t="s">
        <v>616</v>
      </c>
      <c r="J5002" s="14" t="s">
        <v>29</v>
      </c>
      <c r="K5002" s="15" t="s">
        <v>30</v>
      </c>
      <c r="L5002" s="88"/>
      <c r="M5002" s="14"/>
      <c r="N5002" s="14" t="s">
        <v>70</v>
      </c>
      <c r="O5002" s="14"/>
      <c r="P5002" s="15" t="s">
        <v>4294</v>
      </c>
      <c r="Q5002" s="16">
        <v>2099</v>
      </c>
      <c r="R5002" s="17">
        <v>45</v>
      </c>
      <c r="S5002" s="18">
        <v>1327.6174999999998</v>
      </c>
      <c r="T5002" s="19" t="s">
        <v>117</v>
      </c>
      <c r="U5002" s="20" t="s">
        <v>290</v>
      </c>
      <c r="V5002" s="21">
        <v>140</v>
      </c>
      <c r="W5002" s="21">
        <v>2</v>
      </c>
      <c r="X5002" s="22"/>
    </row>
    <row r="5003" spans="1:24" s="1" customFormat="1" ht="51.95" customHeight="1" x14ac:dyDescent="0.3">
      <c r="A5003" s="11" t="s">
        <v>3560</v>
      </c>
      <c r="B5003" s="11" t="s">
        <v>4788</v>
      </c>
      <c r="C5003" s="12" t="s">
        <v>4789</v>
      </c>
      <c r="D5003" s="89"/>
      <c r="E5003" s="69" t="str">
        <f>HYPERLINK("https://www.google.ru/search?q=N1CMRT2-005&amp;newwindow=1&amp;tbm=isch","Еще фото")</f>
        <v>Еще фото</v>
      </c>
      <c r="F5003" s="13"/>
      <c r="G5003" s="11" t="s">
        <v>2158</v>
      </c>
      <c r="H5003" s="11" t="s">
        <v>27</v>
      </c>
      <c r="I5003" s="14" t="s">
        <v>616</v>
      </c>
      <c r="J5003" s="14" t="s">
        <v>406</v>
      </c>
      <c r="K5003" s="15" t="s">
        <v>114</v>
      </c>
      <c r="L5003" s="86" t="s">
        <v>4790</v>
      </c>
      <c r="M5003" s="14"/>
      <c r="N5003" s="14" t="s">
        <v>49</v>
      </c>
      <c r="O5003" s="14"/>
      <c r="P5003" s="15" t="s">
        <v>2271</v>
      </c>
      <c r="Q5003" s="16">
        <v>7999</v>
      </c>
      <c r="R5003" s="17">
        <v>45</v>
      </c>
      <c r="S5003" s="18">
        <v>5059.3674999999994</v>
      </c>
      <c r="T5003" s="19" t="s">
        <v>51</v>
      </c>
      <c r="U5003" s="20" t="s">
        <v>354</v>
      </c>
      <c r="V5003" s="21">
        <v>44</v>
      </c>
      <c r="W5003" s="21">
        <v>1</v>
      </c>
      <c r="X5003" s="22"/>
    </row>
    <row r="5004" spans="1:24" s="1" customFormat="1" ht="60.95" customHeight="1" x14ac:dyDescent="0.3">
      <c r="A5004" s="23" t="s">
        <v>3560</v>
      </c>
      <c r="B5004" s="23" t="s">
        <v>4788</v>
      </c>
      <c r="C5004" s="12" t="s">
        <v>4789</v>
      </c>
      <c r="D5004" s="90"/>
      <c r="E5004" s="69" t="str">
        <f>HYPERLINK("https://www.google.ru/search?q=N1CMRT2-005&amp;newwindow=1&amp;tbm=isch","Еще фото")</f>
        <v>Еще фото</v>
      </c>
      <c r="F5004" s="13"/>
      <c r="G5004" s="23" t="s">
        <v>2158</v>
      </c>
      <c r="H5004" s="23" t="s">
        <v>27</v>
      </c>
      <c r="I5004" s="23" t="s">
        <v>616</v>
      </c>
      <c r="J5004" s="14" t="s">
        <v>406</v>
      </c>
      <c r="K5004" s="15" t="s">
        <v>114</v>
      </c>
      <c r="L5004" s="88"/>
      <c r="M5004" s="14"/>
      <c r="N5004" s="14" t="s">
        <v>49</v>
      </c>
      <c r="O5004" s="14"/>
      <c r="P5004" s="15" t="s">
        <v>2271</v>
      </c>
      <c r="Q5004" s="16">
        <v>7999</v>
      </c>
      <c r="R5004" s="17">
        <v>45</v>
      </c>
      <c r="S5004" s="18">
        <v>5059.3674999999994</v>
      </c>
      <c r="T5004" s="19" t="s">
        <v>51</v>
      </c>
      <c r="U5004" s="20" t="s">
        <v>64</v>
      </c>
      <c r="V5004" s="21">
        <v>46</v>
      </c>
      <c r="W5004" s="21">
        <v>1</v>
      </c>
      <c r="X5004" s="22"/>
    </row>
    <row r="5005" spans="1:24" s="1" customFormat="1" ht="108" customHeight="1" x14ac:dyDescent="0.3">
      <c r="A5005" s="11" t="s">
        <v>2957</v>
      </c>
      <c r="B5005" s="11" t="s">
        <v>4791</v>
      </c>
      <c r="C5005" s="12" t="s">
        <v>4792</v>
      </c>
      <c r="D5005" s="24"/>
      <c r="E5005" s="69" t="str">
        <f>HYPERLINK("https://www.google.ru/search?q=528575-9781&amp;newwindow=1&amp;tbm=isch","Еще фото")</f>
        <v>Еще фото</v>
      </c>
      <c r="F5005" s="13"/>
      <c r="G5005" s="11" t="s">
        <v>2880</v>
      </c>
      <c r="H5005" s="11" t="s">
        <v>112</v>
      </c>
      <c r="I5005" s="14" t="s">
        <v>667</v>
      </c>
      <c r="J5005" s="14" t="s">
        <v>138</v>
      </c>
      <c r="K5005" s="15" t="s">
        <v>30</v>
      </c>
      <c r="L5005" s="14" t="s">
        <v>4793</v>
      </c>
      <c r="M5005" s="14"/>
      <c r="N5005" s="14" t="s">
        <v>32</v>
      </c>
      <c r="O5005" s="14"/>
      <c r="P5005" s="15" t="s">
        <v>74</v>
      </c>
      <c r="Q5005" s="16">
        <v>1399</v>
      </c>
      <c r="R5005" s="17">
        <v>78</v>
      </c>
      <c r="S5005" s="29">
        <v>353.93549999999993</v>
      </c>
      <c r="T5005" s="19" t="s">
        <v>117</v>
      </c>
      <c r="U5005" s="20" t="s">
        <v>3250</v>
      </c>
      <c r="V5005" s="21">
        <v>44</v>
      </c>
      <c r="W5005" s="21">
        <v>15</v>
      </c>
      <c r="X5005" s="22"/>
    </row>
    <row r="5006" spans="1:24" s="1" customFormat="1" ht="51.95" customHeight="1" x14ac:dyDescent="0.3">
      <c r="A5006" s="11" t="s">
        <v>2957</v>
      </c>
      <c r="B5006" s="11" t="s">
        <v>4791</v>
      </c>
      <c r="C5006" s="12" t="s">
        <v>4794</v>
      </c>
      <c r="D5006" s="89"/>
      <c r="E5006" s="69" t="str">
        <f>HYPERLINK("https://www.google.ru/search?q=518585-1124&amp;newwindow=1&amp;tbm=isch","Еще фото")</f>
        <v>Еще фото</v>
      </c>
      <c r="F5006" s="13"/>
      <c r="G5006" s="11" t="s">
        <v>4795</v>
      </c>
      <c r="H5006" s="11" t="s">
        <v>112</v>
      </c>
      <c r="I5006" s="14" t="s">
        <v>667</v>
      </c>
      <c r="J5006" s="14" t="s">
        <v>138</v>
      </c>
      <c r="K5006" s="15" t="s">
        <v>30</v>
      </c>
      <c r="L5006" s="86" t="s">
        <v>4796</v>
      </c>
      <c r="M5006" s="14"/>
      <c r="N5006" s="14" t="s">
        <v>4797</v>
      </c>
      <c r="O5006" s="14"/>
      <c r="P5006" s="15" t="s">
        <v>74</v>
      </c>
      <c r="Q5006" s="16">
        <v>1499</v>
      </c>
      <c r="R5006" s="17">
        <v>76.8</v>
      </c>
      <c r="S5006" s="29">
        <v>399.93549999999993</v>
      </c>
      <c r="T5006" s="19" t="s">
        <v>117</v>
      </c>
      <c r="U5006" s="20" t="s">
        <v>4246</v>
      </c>
      <c r="V5006" s="21">
        <v>36</v>
      </c>
      <c r="W5006" s="21">
        <v>6</v>
      </c>
      <c r="X5006" s="22"/>
    </row>
    <row r="5007" spans="1:24" s="1" customFormat="1" ht="60.95" customHeight="1" x14ac:dyDescent="0.3">
      <c r="A5007" s="23" t="s">
        <v>2957</v>
      </c>
      <c r="B5007" s="23" t="s">
        <v>4791</v>
      </c>
      <c r="C5007" s="12" t="s">
        <v>4794</v>
      </c>
      <c r="D5007" s="90"/>
      <c r="E5007" s="69" t="str">
        <f>HYPERLINK("https://www.google.ru/search?q=518585-1124&amp;newwindow=1&amp;tbm=isch","Еще фото")</f>
        <v>Еще фото</v>
      </c>
      <c r="F5007" s="13"/>
      <c r="G5007" s="23" t="s">
        <v>4795</v>
      </c>
      <c r="H5007" s="23" t="s">
        <v>112</v>
      </c>
      <c r="I5007" s="23" t="s">
        <v>667</v>
      </c>
      <c r="J5007" s="14" t="s">
        <v>138</v>
      </c>
      <c r="K5007" s="15" t="s">
        <v>30</v>
      </c>
      <c r="L5007" s="88"/>
      <c r="M5007" s="14"/>
      <c r="N5007" s="14" t="s">
        <v>4797</v>
      </c>
      <c r="O5007" s="14"/>
      <c r="P5007" s="15" t="s">
        <v>74</v>
      </c>
      <c r="Q5007" s="16">
        <v>1499</v>
      </c>
      <c r="R5007" s="17">
        <v>76.8</v>
      </c>
      <c r="S5007" s="29">
        <v>399.93549999999993</v>
      </c>
      <c r="T5007" s="19" t="s">
        <v>117</v>
      </c>
      <c r="U5007" s="20" t="s">
        <v>726</v>
      </c>
      <c r="V5007" s="21">
        <v>40</v>
      </c>
      <c r="W5007" s="21">
        <v>1</v>
      </c>
      <c r="X5007" s="22"/>
    </row>
    <row r="5008" spans="1:24" s="1" customFormat="1" ht="108" customHeight="1" x14ac:dyDescent="0.3">
      <c r="A5008" s="11" t="s">
        <v>2957</v>
      </c>
      <c r="B5008" s="11" t="s">
        <v>4791</v>
      </c>
      <c r="C5008" s="12" t="s">
        <v>4798</v>
      </c>
      <c r="D5008" s="24"/>
      <c r="E5008" s="69" t="str">
        <f>HYPERLINK("https://www.google.ru/search?q=528575-4621&amp;newwindow=1&amp;tbm=isch","Еще фото")</f>
        <v>Еще фото</v>
      </c>
      <c r="F5008" s="13"/>
      <c r="G5008" s="11" t="s">
        <v>2880</v>
      </c>
      <c r="H5008" s="11" t="s">
        <v>112</v>
      </c>
      <c r="I5008" s="14" t="s">
        <v>667</v>
      </c>
      <c r="J5008" s="14" t="s">
        <v>138</v>
      </c>
      <c r="K5008" s="15" t="s">
        <v>30</v>
      </c>
      <c r="L5008" s="14" t="s">
        <v>4793</v>
      </c>
      <c r="M5008" s="14"/>
      <c r="N5008" s="14" t="s">
        <v>275</v>
      </c>
      <c r="O5008" s="14"/>
      <c r="P5008" s="15" t="s">
        <v>74</v>
      </c>
      <c r="Q5008" s="16">
        <v>1399</v>
      </c>
      <c r="R5008" s="17">
        <v>75.14</v>
      </c>
      <c r="S5008" s="29">
        <v>399.93549999999993</v>
      </c>
      <c r="T5008" s="19" t="s">
        <v>117</v>
      </c>
      <c r="U5008" s="20" t="s">
        <v>3250</v>
      </c>
      <c r="V5008" s="21">
        <v>44</v>
      </c>
      <c r="W5008" s="21">
        <v>12</v>
      </c>
      <c r="X5008" s="22"/>
    </row>
    <row r="5009" spans="1:24" s="1" customFormat="1" ht="108" customHeight="1" x14ac:dyDescent="0.3">
      <c r="A5009" s="11" t="s">
        <v>2957</v>
      </c>
      <c r="B5009" s="11" t="s">
        <v>4799</v>
      </c>
      <c r="C5009" s="12" t="s">
        <v>4800</v>
      </c>
      <c r="D5009" s="24"/>
      <c r="E5009" s="69" t="str">
        <f>HYPERLINK("https://www.google.ru/search?q=5300099A-4500&amp;newwindow=1&amp;tbm=isch","Еще фото")</f>
        <v>Еще фото</v>
      </c>
      <c r="F5009" s="13"/>
      <c r="G5009" s="11" t="s">
        <v>4795</v>
      </c>
      <c r="H5009" s="11" t="s">
        <v>112</v>
      </c>
      <c r="I5009" s="14" t="s">
        <v>667</v>
      </c>
      <c r="J5009" s="14" t="s">
        <v>29</v>
      </c>
      <c r="K5009" s="15" t="s">
        <v>30</v>
      </c>
      <c r="L5009" s="14" t="s">
        <v>4801</v>
      </c>
      <c r="M5009" s="14"/>
      <c r="N5009" s="14" t="s">
        <v>275</v>
      </c>
      <c r="O5009" s="14"/>
      <c r="P5009" s="15" t="s">
        <v>4802</v>
      </c>
      <c r="Q5009" s="16">
        <v>3599</v>
      </c>
      <c r="R5009" s="17">
        <v>72.83</v>
      </c>
      <c r="S5009" s="29">
        <v>1124.4354999999998</v>
      </c>
      <c r="T5009" s="19" t="s">
        <v>117</v>
      </c>
      <c r="U5009" s="20" t="s">
        <v>3164</v>
      </c>
      <c r="V5009" s="21">
        <v>48</v>
      </c>
      <c r="W5009" s="21">
        <v>2</v>
      </c>
      <c r="X5009" s="22"/>
    </row>
    <row r="5010" spans="1:24" s="1" customFormat="1" ht="108" customHeight="1" x14ac:dyDescent="0.3">
      <c r="A5010" s="11" t="s">
        <v>2957</v>
      </c>
      <c r="B5010" s="11" t="s">
        <v>4803</v>
      </c>
      <c r="C5010" s="12" t="s">
        <v>4804</v>
      </c>
      <c r="D5010" s="24"/>
      <c r="E5010" s="69" t="str">
        <f>HYPERLINK("https://www.google.ru/search?q=528721-4011&amp;newwindow=1&amp;tbm=isch","Еще фото")</f>
        <v>Еще фото</v>
      </c>
      <c r="F5010" s="13"/>
      <c r="G5010" s="11" t="s">
        <v>2880</v>
      </c>
      <c r="H5010" s="11" t="s">
        <v>112</v>
      </c>
      <c r="I5010" s="14" t="s">
        <v>667</v>
      </c>
      <c r="J5010" s="14" t="s">
        <v>29</v>
      </c>
      <c r="K5010" s="15" t="s">
        <v>30</v>
      </c>
      <c r="L5010" s="14" t="s">
        <v>4805</v>
      </c>
      <c r="M5010" s="14"/>
      <c r="N5010" s="14" t="s">
        <v>275</v>
      </c>
      <c r="O5010" s="14"/>
      <c r="P5010" s="15" t="s">
        <v>4802</v>
      </c>
      <c r="Q5010" s="16">
        <v>3299</v>
      </c>
      <c r="R5010" s="17">
        <v>72.790000000000006</v>
      </c>
      <c r="S5010" s="29">
        <v>1032.4354999999998</v>
      </c>
      <c r="T5010" s="19" t="s">
        <v>117</v>
      </c>
      <c r="U5010" s="20" t="s">
        <v>3164</v>
      </c>
      <c r="V5010" s="21">
        <v>48</v>
      </c>
      <c r="W5010" s="21">
        <v>3</v>
      </c>
      <c r="X5010" s="22"/>
    </row>
    <row r="5011" spans="1:24" s="1" customFormat="1" ht="108" customHeight="1" x14ac:dyDescent="0.3">
      <c r="A5011" s="11" t="s">
        <v>4806</v>
      </c>
      <c r="B5011" s="11" t="s">
        <v>4807</v>
      </c>
      <c r="C5011" s="12" t="s">
        <v>4808</v>
      </c>
      <c r="D5011" s="24"/>
      <c r="E5011" s="69" t="str">
        <f>HYPERLINK("https://www.google.ru/search?q=80-317-02-00&amp;newwindow=1&amp;tbm=isch","Еще фото")</f>
        <v>Еще фото</v>
      </c>
      <c r="F5011" s="13"/>
      <c r="G5011" s="11" t="s">
        <v>667</v>
      </c>
      <c r="H5011" s="11" t="s">
        <v>112</v>
      </c>
      <c r="I5011" s="14" t="s">
        <v>667</v>
      </c>
      <c r="J5011" s="14" t="s">
        <v>29</v>
      </c>
      <c r="K5011" s="15" t="s">
        <v>47</v>
      </c>
      <c r="L5011" s="14" t="s">
        <v>4809</v>
      </c>
      <c r="M5011" s="14"/>
      <c r="N5011" s="14" t="s">
        <v>326</v>
      </c>
      <c r="O5011" s="14"/>
      <c r="P5011" s="15" t="s">
        <v>4810</v>
      </c>
      <c r="Q5011" s="16">
        <v>4299</v>
      </c>
      <c r="R5011" s="17">
        <v>66.09</v>
      </c>
      <c r="S5011" s="18">
        <v>1676.4354999999998</v>
      </c>
      <c r="T5011" s="19" t="s">
        <v>117</v>
      </c>
      <c r="U5011" s="20" t="s">
        <v>4811</v>
      </c>
      <c r="V5011" s="25" t="s">
        <v>4812</v>
      </c>
      <c r="W5011" s="21">
        <v>1</v>
      </c>
      <c r="X5011" s="22"/>
    </row>
    <row r="5012" spans="1:24" s="1" customFormat="1" ht="108" customHeight="1" x14ac:dyDescent="0.3">
      <c r="A5012" s="11" t="s">
        <v>2957</v>
      </c>
      <c r="B5012" s="11" t="s">
        <v>4813</v>
      </c>
      <c r="C5012" s="12" t="s">
        <v>4814</v>
      </c>
      <c r="D5012" s="24"/>
      <c r="E5012" s="69" t="str">
        <f>HYPERLINK("https://www.google.ru/search?q=528718-4011&amp;newwindow=1&amp;tbm=isch","Еще фото")</f>
        <v>Еще фото</v>
      </c>
      <c r="F5012" s="13"/>
      <c r="G5012" s="11" t="s">
        <v>4795</v>
      </c>
      <c r="H5012" s="11" t="s">
        <v>112</v>
      </c>
      <c r="I5012" s="14" t="s">
        <v>667</v>
      </c>
      <c r="J5012" s="14" t="s">
        <v>29</v>
      </c>
      <c r="K5012" s="15" t="s">
        <v>30</v>
      </c>
      <c r="L5012" s="14" t="s">
        <v>4815</v>
      </c>
      <c r="M5012" s="14"/>
      <c r="N5012" s="14" t="s">
        <v>275</v>
      </c>
      <c r="O5012" s="14"/>
      <c r="P5012" s="15" t="s">
        <v>4802</v>
      </c>
      <c r="Q5012" s="16">
        <v>3299</v>
      </c>
      <c r="R5012" s="17">
        <v>64.3</v>
      </c>
      <c r="S5012" s="18">
        <v>1354.4354999999998</v>
      </c>
      <c r="T5012" s="19" t="s">
        <v>117</v>
      </c>
      <c r="U5012" s="20" t="s">
        <v>3164</v>
      </c>
      <c r="V5012" s="21">
        <v>48</v>
      </c>
      <c r="W5012" s="21">
        <v>1</v>
      </c>
      <c r="X5012" s="22"/>
    </row>
    <row r="5013" spans="1:24" s="1" customFormat="1" ht="108" customHeight="1" x14ac:dyDescent="0.3">
      <c r="A5013" s="11" t="s">
        <v>2957</v>
      </c>
      <c r="B5013" s="11" t="s">
        <v>4791</v>
      </c>
      <c r="C5013" s="12" t="s">
        <v>4816</v>
      </c>
      <c r="D5013" s="24"/>
      <c r="E5013" s="69" t="str">
        <f>HYPERLINK("https://www.google.ru/search?q=518585-8921&amp;newwindow=1&amp;tbm=isch","Еще фото")</f>
        <v>Еще фото</v>
      </c>
      <c r="F5013" s="13"/>
      <c r="G5013" s="11" t="s">
        <v>4795</v>
      </c>
      <c r="H5013" s="11" t="s">
        <v>112</v>
      </c>
      <c r="I5013" s="14" t="s">
        <v>667</v>
      </c>
      <c r="J5013" s="14" t="s">
        <v>138</v>
      </c>
      <c r="K5013" s="15" t="s">
        <v>30</v>
      </c>
      <c r="L5013" s="14" t="s">
        <v>4796</v>
      </c>
      <c r="M5013" s="14"/>
      <c r="N5013" s="14" t="s">
        <v>242</v>
      </c>
      <c r="O5013" s="14"/>
      <c r="P5013" s="15" t="s">
        <v>74</v>
      </c>
      <c r="Q5013" s="16">
        <v>1499</v>
      </c>
      <c r="R5013" s="17">
        <v>55.45</v>
      </c>
      <c r="S5013" s="29">
        <v>767.93549999999993</v>
      </c>
      <c r="T5013" s="19" t="s">
        <v>117</v>
      </c>
      <c r="U5013" s="20" t="s">
        <v>4246</v>
      </c>
      <c r="V5013" s="21">
        <v>36</v>
      </c>
      <c r="W5013" s="21">
        <v>4</v>
      </c>
      <c r="X5013" s="22"/>
    </row>
    <row r="5014" spans="1:24" s="1" customFormat="1" ht="108" customHeight="1" x14ac:dyDescent="0.3">
      <c r="A5014" s="11" t="s">
        <v>4817</v>
      </c>
      <c r="B5014" s="11" t="s">
        <v>4818</v>
      </c>
      <c r="C5014" s="12" t="s">
        <v>4819</v>
      </c>
      <c r="D5014" s="24"/>
      <c r="E5014" s="69" t="str">
        <f>HYPERLINK("https://www.google.ru/search?q=G90002KP-YGI&amp;newwindow=1&amp;tbm=isch","Еще фото")</f>
        <v>Еще фото</v>
      </c>
      <c r="F5014" s="13"/>
      <c r="G5014" s="11" t="s">
        <v>2880</v>
      </c>
      <c r="H5014" s="11" t="s">
        <v>112</v>
      </c>
      <c r="I5014" s="14" t="s">
        <v>667</v>
      </c>
      <c r="J5014" s="14" t="s">
        <v>29</v>
      </c>
      <c r="K5014" s="15" t="s">
        <v>47</v>
      </c>
      <c r="L5014" s="14" t="s">
        <v>4820</v>
      </c>
      <c r="M5014" s="14"/>
      <c r="N5014" s="14" t="s">
        <v>41</v>
      </c>
      <c r="O5014" s="14"/>
      <c r="P5014" s="15" t="s">
        <v>4821</v>
      </c>
      <c r="Q5014" s="16">
        <v>1980</v>
      </c>
      <c r="R5014" s="17">
        <v>50</v>
      </c>
      <c r="S5014" s="29">
        <v>1138.5</v>
      </c>
      <c r="T5014" s="19" t="s">
        <v>117</v>
      </c>
      <c r="U5014" s="20" t="s">
        <v>2387</v>
      </c>
      <c r="V5014" s="25" t="s">
        <v>4822</v>
      </c>
      <c r="W5014" s="21">
        <v>1</v>
      </c>
      <c r="X5014" s="22"/>
    </row>
    <row r="5015" spans="1:24" s="1" customFormat="1" ht="108" customHeight="1" x14ac:dyDescent="0.3">
      <c r="A5015" s="11" t="s">
        <v>4817</v>
      </c>
      <c r="B5015" s="11" t="s">
        <v>4823</v>
      </c>
      <c r="C5015" s="12" t="s">
        <v>4824</v>
      </c>
      <c r="D5015" s="24"/>
      <c r="E5015" s="69" t="str">
        <f>HYPERLINK("https://www.google.ru/search?q=G90003YN-YDA&amp;newwindow=1&amp;tbm=isch","Еще фото")</f>
        <v>Еще фото</v>
      </c>
      <c r="F5015" s="13"/>
      <c r="G5015" s="11" t="s">
        <v>2880</v>
      </c>
      <c r="H5015" s="11" t="s">
        <v>112</v>
      </c>
      <c r="I5015" s="14" t="s">
        <v>667</v>
      </c>
      <c r="J5015" s="14" t="s">
        <v>29</v>
      </c>
      <c r="K5015" s="15" t="s">
        <v>47</v>
      </c>
      <c r="L5015" s="14" t="s">
        <v>4825</v>
      </c>
      <c r="M5015" s="14"/>
      <c r="N5015" s="14" t="s">
        <v>70</v>
      </c>
      <c r="O5015" s="14"/>
      <c r="P5015" s="15" t="s">
        <v>4821</v>
      </c>
      <c r="Q5015" s="16">
        <v>1299</v>
      </c>
      <c r="R5015" s="17">
        <v>50</v>
      </c>
      <c r="S5015" s="29">
        <v>746.92499999999995</v>
      </c>
      <c r="T5015" s="19" t="s">
        <v>117</v>
      </c>
      <c r="U5015" s="20" t="s">
        <v>2387</v>
      </c>
      <c r="V5015" s="25" t="s">
        <v>4822</v>
      </c>
      <c r="W5015" s="21">
        <v>1</v>
      </c>
      <c r="X5015" s="22"/>
    </row>
    <row r="5016" spans="1:24" s="1" customFormat="1" ht="108" customHeight="1" x14ac:dyDescent="0.3">
      <c r="A5016" s="11" t="s">
        <v>4817</v>
      </c>
      <c r="B5016" s="11" t="s">
        <v>4826</v>
      </c>
      <c r="C5016" s="12" t="s">
        <v>4827</v>
      </c>
      <c r="D5016" s="24"/>
      <c r="E5016" s="69" t="str">
        <f>HYPERLINK("https://www.google.ru/search?q=G90003YP-02A&amp;newwindow=1&amp;tbm=isch","Еще фото")</f>
        <v>Еще фото</v>
      </c>
      <c r="F5016" s="13"/>
      <c r="G5016" s="11" t="s">
        <v>2880</v>
      </c>
      <c r="H5016" s="11" t="s">
        <v>112</v>
      </c>
      <c r="I5016" s="14" t="s">
        <v>667</v>
      </c>
      <c r="J5016" s="14" t="s">
        <v>29</v>
      </c>
      <c r="K5016" s="15" t="s">
        <v>47</v>
      </c>
      <c r="L5016" s="14" t="s">
        <v>4828</v>
      </c>
      <c r="M5016" s="14"/>
      <c r="N5016" s="14" t="s">
        <v>49</v>
      </c>
      <c r="O5016" s="14"/>
      <c r="P5016" s="15" t="s">
        <v>4829</v>
      </c>
      <c r="Q5016" s="16">
        <v>1599</v>
      </c>
      <c r="R5016" s="17">
        <v>50</v>
      </c>
      <c r="S5016" s="29">
        <v>919.42499999999995</v>
      </c>
      <c r="T5016" s="19" t="s">
        <v>117</v>
      </c>
      <c r="U5016" s="20" t="s">
        <v>2387</v>
      </c>
      <c r="V5016" s="25" t="s">
        <v>4822</v>
      </c>
      <c r="W5016" s="21">
        <v>2</v>
      </c>
      <c r="X5016" s="22"/>
    </row>
    <row r="5017" spans="1:24" s="1" customFormat="1" ht="108" customHeight="1" x14ac:dyDescent="0.3">
      <c r="A5017" s="11" t="s">
        <v>4817</v>
      </c>
      <c r="B5017" s="11" t="s">
        <v>4830</v>
      </c>
      <c r="C5017" s="12" t="s">
        <v>4831</v>
      </c>
      <c r="D5017" s="24"/>
      <c r="E5017" s="69" t="str">
        <f>HYPERLINK("https://www.google.ru/search?q=G90012YP-07Q&amp;newwindow=1&amp;tbm=isch","Еще фото")</f>
        <v>Еще фото</v>
      </c>
      <c r="F5017" s="13"/>
      <c r="G5017" s="11" t="s">
        <v>2880</v>
      </c>
      <c r="H5017" s="11" t="s">
        <v>112</v>
      </c>
      <c r="I5017" s="14" t="s">
        <v>667</v>
      </c>
      <c r="J5017" s="14" t="s">
        <v>29</v>
      </c>
      <c r="K5017" s="15" t="s">
        <v>47</v>
      </c>
      <c r="L5017" s="14" t="s">
        <v>4832</v>
      </c>
      <c r="M5017" s="14"/>
      <c r="N5017" s="14" t="s">
        <v>41</v>
      </c>
      <c r="O5017" s="14"/>
      <c r="P5017" s="15" t="s">
        <v>4833</v>
      </c>
      <c r="Q5017" s="16">
        <v>1499</v>
      </c>
      <c r="R5017" s="17">
        <v>50</v>
      </c>
      <c r="S5017" s="29">
        <v>861.92499999999995</v>
      </c>
      <c r="T5017" s="19" t="s">
        <v>117</v>
      </c>
      <c r="U5017" s="20" t="s">
        <v>2387</v>
      </c>
      <c r="V5017" s="25" t="s">
        <v>4822</v>
      </c>
      <c r="W5017" s="21">
        <v>1</v>
      </c>
      <c r="X5017" s="22"/>
    </row>
    <row r="5018" spans="1:24" s="1" customFormat="1" ht="51.95" customHeight="1" x14ac:dyDescent="0.3">
      <c r="A5018" s="11" t="s">
        <v>3014</v>
      </c>
      <c r="B5018" s="11" t="s">
        <v>4834</v>
      </c>
      <c r="C5018" s="12" t="s">
        <v>4835</v>
      </c>
      <c r="D5018" s="89"/>
      <c r="E5018" s="69" t="str">
        <f>HYPERLINK("https://www.google.ru/search?q=7300046A-3631&amp;newwindow=1&amp;tbm=isch","Еще фото")</f>
        <v>Еще фото</v>
      </c>
      <c r="F5018" s="13"/>
      <c r="G5018" s="11" t="s">
        <v>2880</v>
      </c>
      <c r="H5018" s="11" t="s">
        <v>112</v>
      </c>
      <c r="I5018" s="14" t="s">
        <v>667</v>
      </c>
      <c r="J5018" s="14" t="s">
        <v>29</v>
      </c>
      <c r="K5018" s="15" t="s">
        <v>30</v>
      </c>
      <c r="L5018" s="86" t="s">
        <v>4836</v>
      </c>
      <c r="M5018" s="14"/>
      <c r="N5018" s="14" t="s">
        <v>576</v>
      </c>
      <c r="O5018" s="14"/>
      <c r="P5018" s="15" t="s">
        <v>76</v>
      </c>
      <c r="Q5018" s="16">
        <v>1899</v>
      </c>
      <c r="R5018" s="17">
        <v>48</v>
      </c>
      <c r="S5018" s="29">
        <v>1135.6019999999999</v>
      </c>
      <c r="T5018" s="19" t="s">
        <v>117</v>
      </c>
      <c r="U5018" s="20" t="s">
        <v>3146</v>
      </c>
      <c r="V5018" s="21">
        <v>46</v>
      </c>
      <c r="W5018" s="21">
        <v>1</v>
      </c>
      <c r="X5018" s="22"/>
    </row>
    <row r="5019" spans="1:24" s="1" customFormat="1" ht="60.95" customHeight="1" x14ac:dyDescent="0.3">
      <c r="A5019" s="23" t="s">
        <v>3014</v>
      </c>
      <c r="B5019" s="23" t="s">
        <v>4834</v>
      </c>
      <c r="C5019" s="12" t="s">
        <v>4835</v>
      </c>
      <c r="D5019" s="90"/>
      <c r="E5019" s="69" t="str">
        <f>HYPERLINK("https://www.google.ru/search?q=7300046A-3631&amp;newwindow=1&amp;tbm=isch","Еще фото")</f>
        <v>Еще фото</v>
      </c>
      <c r="F5019" s="13"/>
      <c r="G5019" s="23" t="s">
        <v>2880</v>
      </c>
      <c r="H5019" s="23" t="s">
        <v>112</v>
      </c>
      <c r="I5019" s="23" t="s">
        <v>667</v>
      </c>
      <c r="J5019" s="14" t="s">
        <v>29</v>
      </c>
      <c r="K5019" s="15" t="s">
        <v>30</v>
      </c>
      <c r="L5019" s="88"/>
      <c r="M5019" s="14"/>
      <c r="N5019" s="14" t="s">
        <v>576</v>
      </c>
      <c r="O5019" s="14"/>
      <c r="P5019" s="15" t="s">
        <v>76</v>
      </c>
      <c r="Q5019" s="16">
        <v>1899</v>
      </c>
      <c r="R5019" s="17">
        <v>48</v>
      </c>
      <c r="S5019" s="29">
        <v>1135.6019999999999</v>
      </c>
      <c r="T5019" s="19" t="s">
        <v>117</v>
      </c>
      <c r="U5019" s="20" t="s">
        <v>728</v>
      </c>
      <c r="V5019" s="21">
        <v>50</v>
      </c>
      <c r="W5019" s="21">
        <v>2</v>
      </c>
      <c r="X5019" s="22"/>
    </row>
    <row r="5020" spans="1:24" s="1" customFormat="1" ht="108" customHeight="1" x14ac:dyDescent="0.3">
      <c r="A5020" s="11" t="s">
        <v>3014</v>
      </c>
      <c r="B5020" s="11" t="s">
        <v>4834</v>
      </c>
      <c r="C5020" s="12" t="s">
        <v>4837</v>
      </c>
      <c r="D5020" s="24"/>
      <c r="E5020" s="69" t="str">
        <f>HYPERLINK("https://www.google.ru/search?q=7300046A-4671&amp;newwindow=1&amp;tbm=isch","Еще фото")</f>
        <v>Еще фото</v>
      </c>
      <c r="F5020" s="13"/>
      <c r="G5020" s="11" t="s">
        <v>2880</v>
      </c>
      <c r="H5020" s="11" t="s">
        <v>112</v>
      </c>
      <c r="I5020" s="14" t="s">
        <v>667</v>
      </c>
      <c r="J5020" s="14" t="s">
        <v>29</v>
      </c>
      <c r="K5020" s="15" t="s">
        <v>30</v>
      </c>
      <c r="L5020" s="14" t="s">
        <v>4838</v>
      </c>
      <c r="M5020" s="14"/>
      <c r="N5020" s="14" t="s">
        <v>275</v>
      </c>
      <c r="O5020" s="14"/>
      <c r="P5020" s="15" t="s">
        <v>76</v>
      </c>
      <c r="Q5020" s="16">
        <v>1899</v>
      </c>
      <c r="R5020" s="17">
        <v>48</v>
      </c>
      <c r="S5020" s="29">
        <v>1135.6019999999999</v>
      </c>
      <c r="T5020" s="19" t="s">
        <v>117</v>
      </c>
      <c r="U5020" s="20" t="s">
        <v>3146</v>
      </c>
      <c r="V5020" s="21">
        <v>46</v>
      </c>
      <c r="W5020" s="21">
        <v>1</v>
      </c>
      <c r="X5020" s="22"/>
    </row>
    <row r="5021" spans="1:24" s="1" customFormat="1" ht="108" customHeight="1" x14ac:dyDescent="0.3">
      <c r="A5021" s="11" t="s">
        <v>3014</v>
      </c>
      <c r="B5021" s="11" t="s">
        <v>4834</v>
      </c>
      <c r="C5021" s="12" t="s">
        <v>4839</v>
      </c>
      <c r="D5021" s="24"/>
      <c r="E5021" s="69" t="str">
        <f>HYPERLINK("https://www.google.ru/search?q=7300046A-6961&amp;newwindow=1&amp;tbm=isch","Еще фото")</f>
        <v>Еще фото</v>
      </c>
      <c r="F5021" s="13"/>
      <c r="G5021" s="11" t="s">
        <v>2880</v>
      </c>
      <c r="H5021" s="11" t="s">
        <v>112</v>
      </c>
      <c r="I5021" s="14" t="s">
        <v>667</v>
      </c>
      <c r="J5021" s="14" t="s">
        <v>29</v>
      </c>
      <c r="K5021" s="15" t="s">
        <v>30</v>
      </c>
      <c r="L5021" s="14" t="s">
        <v>4840</v>
      </c>
      <c r="M5021" s="14"/>
      <c r="N5021" s="14" t="s">
        <v>70</v>
      </c>
      <c r="O5021" s="14"/>
      <c r="P5021" s="15" t="s">
        <v>76</v>
      </c>
      <c r="Q5021" s="16">
        <v>1899</v>
      </c>
      <c r="R5021" s="17">
        <v>48</v>
      </c>
      <c r="S5021" s="29">
        <v>1135.6019999999999</v>
      </c>
      <c r="T5021" s="19" t="s">
        <v>117</v>
      </c>
      <c r="U5021" s="20" t="s">
        <v>3146</v>
      </c>
      <c r="V5021" s="21">
        <v>46</v>
      </c>
      <c r="W5021" s="21">
        <v>1</v>
      </c>
      <c r="X5021" s="22"/>
    </row>
    <row r="5022" spans="1:24" s="1" customFormat="1" ht="108" customHeight="1" x14ac:dyDescent="0.3">
      <c r="A5022" s="11" t="s">
        <v>3014</v>
      </c>
      <c r="B5022" s="11" t="s">
        <v>4841</v>
      </c>
      <c r="C5022" s="12" t="s">
        <v>4842</v>
      </c>
      <c r="D5022" s="24"/>
      <c r="E5022" s="69" t="str">
        <f>HYPERLINK("https://www.google.ru/search?q=7300048A-6961&amp;newwindow=1&amp;tbm=isch","Еще фото")</f>
        <v>Еще фото</v>
      </c>
      <c r="F5022" s="13"/>
      <c r="G5022" s="11" t="s">
        <v>2880</v>
      </c>
      <c r="H5022" s="11" t="s">
        <v>112</v>
      </c>
      <c r="I5022" s="14" t="s">
        <v>667</v>
      </c>
      <c r="J5022" s="14" t="s">
        <v>29</v>
      </c>
      <c r="K5022" s="15" t="s">
        <v>30</v>
      </c>
      <c r="L5022" s="14" t="s">
        <v>4843</v>
      </c>
      <c r="M5022" s="14"/>
      <c r="N5022" s="14" t="s">
        <v>70</v>
      </c>
      <c r="O5022" s="14"/>
      <c r="P5022" s="15" t="s">
        <v>3253</v>
      </c>
      <c r="Q5022" s="16">
        <v>1699</v>
      </c>
      <c r="R5022" s="17">
        <v>48</v>
      </c>
      <c r="S5022" s="29">
        <v>1016.002</v>
      </c>
      <c r="T5022" s="19" t="s">
        <v>117</v>
      </c>
      <c r="U5022" s="20" t="s">
        <v>3146</v>
      </c>
      <c r="V5022" s="21">
        <v>46</v>
      </c>
      <c r="W5022" s="21">
        <v>2</v>
      </c>
      <c r="X5022" s="22"/>
    </row>
    <row r="5023" spans="1:24" s="1" customFormat="1" ht="108" customHeight="1" x14ac:dyDescent="0.3">
      <c r="A5023" s="11" t="s">
        <v>3014</v>
      </c>
      <c r="B5023" s="11" t="s">
        <v>4841</v>
      </c>
      <c r="C5023" s="12" t="s">
        <v>4844</v>
      </c>
      <c r="D5023" s="24"/>
      <c r="E5023" s="69" t="str">
        <f>HYPERLINK("https://www.google.ru/search?q=7300048A-9991&amp;newwindow=1&amp;tbm=isch","Еще фото")</f>
        <v>Еще фото</v>
      </c>
      <c r="F5023" s="13"/>
      <c r="G5023" s="11" t="s">
        <v>2880</v>
      </c>
      <c r="H5023" s="11" t="s">
        <v>112</v>
      </c>
      <c r="I5023" s="14" t="s">
        <v>667</v>
      </c>
      <c r="J5023" s="14" t="s">
        <v>29</v>
      </c>
      <c r="K5023" s="15" t="s">
        <v>30</v>
      </c>
      <c r="L5023" s="14" t="s">
        <v>4845</v>
      </c>
      <c r="M5023" s="14"/>
      <c r="N5023" s="14" t="s">
        <v>49</v>
      </c>
      <c r="O5023" s="14"/>
      <c r="P5023" s="15" t="s">
        <v>3253</v>
      </c>
      <c r="Q5023" s="16">
        <v>1699</v>
      </c>
      <c r="R5023" s="17">
        <v>48</v>
      </c>
      <c r="S5023" s="29">
        <v>1016.002</v>
      </c>
      <c r="T5023" s="19" t="s">
        <v>117</v>
      </c>
      <c r="U5023" s="20" t="s">
        <v>3146</v>
      </c>
      <c r="V5023" s="21">
        <v>46</v>
      </c>
      <c r="W5023" s="21">
        <v>1</v>
      </c>
      <c r="X5023" s="22"/>
    </row>
    <row r="5024" spans="1:24" s="1" customFormat="1" ht="108" customHeight="1" x14ac:dyDescent="0.3">
      <c r="A5024" s="11" t="s">
        <v>3029</v>
      </c>
      <c r="B5024" s="11" t="s">
        <v>4791</v>
      </c>
      <c r="C5024" s="12" t="s">
        <v>4846</v>
      </c>
      <c r="D5024" s="24"/>
      <c r="E5024" s="69" t="str">
        <f>HYPERLINK("https://www.google.ru/search?q=162231-5416&amp;newwindow=1&amp;tbm=isch","Еще фото")</f>
        <v>Еще фото</v>
      </c>
      <c r="F5024" s="13"/>
      <c r="G5024" s="11" t="s">
        <v>2880</v>
      </c>
      <c r="H5024" s="11" t="s">
        <v>112</v>
      </c>
      <c r="I5024" s="14" t="s">
        <v>667</v>
      </c>
      <c r="J5024" s="14" t="s">
        <v>29</v>
      </c>
      <c r="K5024" s="15" t="s">
        <v>30</v>
      </c>
      <c r="L5024" s="14" t="s">
        <v>4847</v>
      </c>
      <c r="M5024" s="14"/>
      <c r="N5024" s="14" t="s">
        <v>275</v>
      </c>
      <c r="O5024" s="14"/>
      <c r="P5024" s="15" t="s">
        <v>3032</v>
      </c>
      <c r="Q5024" s="16">
        <v>1799</v>
      </c>
      <c r="R5024" s="17">
        <v>45</v>
      </c>
      <c r="S5024" s="29">
        <v>1137.8675000000001</v>
      </c>
      <c r="T5024" s="19" t="s">
        <v>117</v>
      </c>
      <c r="U5024" s="20" t="s">
        <v>104</v>
      </c>
      <c r="V5024" s="21">
        <v>50</v>
      </c>
      <c r="W5024" s="21">
        <v>1</v>
      </c>
      <c r="X5024" s="22"/>
    </row>
    <row r="5025" spans="1:24" s="1" customFormat="1" ht="108" customHeight="1" x14ac:dyDescent="0.3">
      <c r="A5025" s="11" t="s">
        <v>3029</v>
      </c>
      <c r="B5025" s="11" t="s">
        <v>4791</v>
      </c>
      <c r="C5025" s="12" t="s">
        <v>4848</v>
      </c>
      <c r="D5025" s="24"/>
      <c r="E5025" s="69" t="str">
        <f>HYPERLINK("https://www.google.ru/search?q=162231-9113&amp;newwindow=1&amp;tbm=isch","Еще фото")</f>
        <v>Еще фото</v>
      </c>
      <c r="F5025" s="13"/>
      <c r="G5025" s="11" t="s">
        <v>2880</v>
      </c>
      <c r="H5025" s="11" t="s">
        <v>112</v>
      </c>
      <c r="I5025" s="14" t="s">
        <v>667</v>
      </c>
      <c r="J5025" s="14" t="s">
        <v>29</v>
      </c>
      <c r="K5025" s="15" t="s">
        <v>30</v>
      </c>
      <c r="L5025" s="14" t="s">
        <v>4847</v>
      </c>
      <c r="M5025" s="14"/>
      <c r="N5025" s="14" t="s">
        <v>242</v>
      </c>
      <c r="O5025" s="14"/>
      <c r="P5025" s="15" t="s">
        <v>3032</v>
      </c>
      <c r="Q5025" s="16">
        <v>1799</v>
      </c>
      <c r="R5025" s="17">
        <v>45</v>
      </c>
      <c r="S5025" s="29">
        <v>1137.8675000000001</v>
      </c>
      <c r="T5025" s="19" t="s">
        <v>117</v>
      </c>
      <c r="U5025" s="20" t="s">
        <v>1257</v>
      </c>
      <c r="V5025" s="21">
        <v>48</v>
      </c>
      <c r="W5025" s="21">
        <v>1</v>
      </c>
      <c r="X5025" s="22"/>
    </row>
    <row r="5026" spans="1:24" s="1" customFormat="1" ht="108" customHeight="1" x14ac:dyDescent="0.3">
      <c r="A5026" s="11" t="s">
        <v>2957</v>
      </c>
      <c r="B5026" s="11" t="s">
        <v>4791</v>
      </c>
      <c r="C5026" s="12" t="s">
        <v>4849</v>
      </c>
      <c r="D5026" s="24"/>
      <c r="E5026" s="69" t="str">
        <f>HYPERLINK("https://www.google.ru/search?q=518486-9150&amp;newwindow=1&amp;tbm=isch","Еще фото")</f>
        <v>Еще фото</v>
      </c>
      <c r="F5026" s="13"/>
      <c r="G5026" s="11" t="s">
        <v>2880</v>
      </c>
      <c r="H5026" s="11" t="s">
        <v>112</v>
      </c>
      <c r="I5026" s="14" t="s">
        <v>667</v>
      </c>
      <c r="J5026" s="14" t="s">
        <v>29</v>
      </c>
      <c r="K5026" s="15" t="s">
        <v>30</v>
      </c>
      <c r="L5026" s="14" t="s">
        <v>4850</v>
      </c>
      <c r="M5026" s="14"/>
      <c r="N5026" s="14" t="s">
        <v>41</v>
      </c>
      <c r="O5026" s="14"/>
      <c r="P5026" s="15" t="s">
        <v>4851</v>
      </c>
      <c r="Q5026" s="16">
        <v>1799</v>
      </c>
      <c r="R5026" s="17">
        <v>45</v>
      </c>
      <c r="S5026" s="29">
        <v>1137.8675000000001</v>
      </c>
      <c r="T5026" s="19" t="s">
        <v>117</v>
      </c>
      <c r="U5026" s="20" t="s">
        <v>3250</v>
      </c>
      <c r="V5026" s="21">
        <v>44</v>
      </c>
      <c r="W5026" s="21">
        <v>3</v>
      </c>
      <c r="X5026" s="22"/>
    </row>
    <row r="5027" spans="1:24" s="1" customFormat="1" ht="108" customHeight="1" x14ac:dyDescent="0.3">
      <c r="A5027" s="11" t="s">
        <v>2957</v>
      </c>
      <c r="B5027" s="11" t="s">
        <v>4852</v>
      </c>
      <c r="C5027" s="12" t="s">
        <v>4853</v>
      </c>
      <c r="D5027" s="24"/>
      <c r="E5027" s="69" t="str">
        <f>HYPERLINK("https://www.google.ru/search?q=528716-9991&amp;newwindow=1&amp;tbm=isch","Еще фото")</f>
        <v>Еще фото</v>
      </c>
      <c r="F5027" s="13"/>
      <c r="G5027" s="11" t="s">
        <v>2880</v>
      </c>
      <c r="H5027" s="11" t="s">
        <v>112</v>
      </c>
      <c r="I5027" s="14" t="s">
        <v>667</v>
      </c>
      <c r="J5027" s="14" t="s">
        <v>29</v>
      </c>
      <c r="K5027" s="15" t="s">
        <v>30</v>
      </c>
      <c r="L5027" s="14" t="s">
        <v>4854</v>
      </c>
      <c r="M5027" s="14"/>
      <c r="N5027" s="14" t="s">
        <v>49</v>
      </c>
      <c r="O5027" s="14"/>
      <c r="P5027" s="15" t="s">
        <v>4855</v>
      </c>
      <c r="Q5027" s="16">
        <v>2499</v>
      </c>
      <c r="R5027" s="17">
        <v>45</v>
      </c>
      <c r="S5027" s="18">
        <v>1580.6174999999998</v>
      </c>
      <c r="T5027" s="19" t="s">
        <v>117</v>
      </c>
      <c r="U5027" s="20" t="s">
        <v>3164</v>
      </c>
      <c r="V5027" s="21">
        <v>48</v>
      </c>
      <c r="W5027" s="21">
        <v>1</v>
      </c>
      <c r="X5027" s="22"/>
    </row>
    <row r="5028" spans="1:24" s="1" customFormat="1" ht="108" customHeight="1" x14ac:dyDescent="0.3">
      <c r="A5028" s="11" t="s">
        <v>3014</v>
      </c>
      <c r="B5028" s="11" t="s">
        <v>4791</v>
      </c>
      <c r="C5028" s="12" t="s">
        <v>4856</v>
      </c>
      <c r="D5028" s="24"/>
      <c r="E5028" s="69" t="str">
        <f>HYPERLINK("https://www.google.ru/search?q=7300004A-6961&amp;newwindow=1&amp;tbm=isch","Еще фото")</f>
        <v>Еще фото</v>
      </c>
      <c r="F5028" s="13"/>
      <c r="G5028" s="11" t="s">
        <v>4795</v>
      </c>
      <c r="H5028" s="11" t="s">
        <v>112</v>
      </c>
      <c r="I5028" s="14" t="s">
        <v>667</v>
      </c>
      <c r="J5028" s="14" t="s">
        <v>138</v>
      </c>
      <c r="K5028" s="15" t="s">
        <v>30</v>
      </c>
      <c r="L5028" s="14" t="s">
        <v>4857</v>
      </c>
      <c r="M5028" s="14"/>
      <c r="N5028" s="14" t="s">
        <v>70</v>
      </c>
      <c r="O5028" s="14"/>
      <c r="P5028" s="15" t="s">
        <v>4858</v>
      </c>
      <c r="Q5028" s="16">
        <v>1799</v>
      </c>
      <c r="R5028" s="17">
        <v>45</v>
      </c>
      <c r="S5028" s="29">
        <v>1137.8675000000001</v>
      </c>
      <c r="T5028" s="19" t="s">
        <v>117</v>
      </c>
      <c r="U5028" s="20" t="s">
        <v>3146</v>
      </c>
      <c r="V5028" s="21">
        <v>46</v>
      </c>
      <c r="W5028" s="21">
        <v>2</v>
      </c>
      <c r="X5028" s="22"/>
    </row>
    <row r="5029" spans="1:24" s="1" customFormat="1" ht="108" customHeight="1" x14ac:dyDescent="0.3">
      <c r="A5029" s="11" t="s">
        <v>3014</v>
      </c>
      <c r="B5029" s="11" t="s">
        <v>4791</v>
      </c>
      <c r="C5029" s="12" t="s">
        <v>4859</v>
      </c>
      <c r="D5029" s="24"/>
      <c r="E5029" s="69" t="str">
        <f>HYPERLINK("https://www.google.ru/search?q=7300004A-9751&amp;newwindow=1&amp;tbm=isch","Еще фото")</f>
        <v>Еще фото</v>
      </c>
      <c r="F5029" s="13"/>
      <c r="G5029" s="11" t="s">
        <v>4795</v>
      </c>
      <c r="H5029" s="11" t="s">
        <v>112</v>
      </c>
      <c r="I5029" s="14" t="s">
        <v>667</v>
      </c>
      <c r="J5029" s="14" t="s">
        <v>138</v>
      </c>
      <c r="K5029" s="15" t="s">
        <v>30</v>
      </c>
      <c r="L5029" s="14" t="s">
        <v>4857</v>
      </c>
      <c r="M5029" s="14"/>
      <c r="N5029" s="14" t="s">
        <v>41</v>
      </c>
      <c r="O5029" s="14"/>
      <c r="P5029" s="15" t="s">
        <v>4858</v>
      </c>
      <c r="Q5029" s="16">
        <v>1799</v>
      </c>
      <c r="R5029" s="17">
        <v>45</v>
      </c>
      <c r="S5029" s="29">
        <v>1137.8675000000001</v>
      </c>
      <c r="T5029" s="19" t="s">
        <v>117</v>
      </c>
      <c r="U5029" s="20" t="s">
        <v>3146</v>
      </c>
      <c r="V5029" s="21">
        <v>46</v>
      </c>
      <c r="W5029" s="21">
        <v>1</v>
      </c>
      <c r="X5029" s="22"/>
    </row>
    <row r="5030" spans="1:24" s="1" customFormat="1" ht="26.1" customHeight="1" x14ac:dyDescent="0.3">
      <c r="A5030" s="11" t="s">
        <v>3014</v>
      </c>
      <c r="B5030" s="11" t="s">
        <v>4791</v>
      </c>
      <c r="C5030" s="12" t="s">
        <v>4860</v>
      </c>
      <c r="D5030" s="83"/>
      <c r="E5030" s="69" t="str">
        <f>HYPERLINK("https://www.google.ru/search?q=7300035A-4040&amp;newwindow=1&amp;tbm=isch","Еще фото")</f>
        <v>Еще фото</v>
      </c>
      <c r="F5030" s="13"/>
      <c r="G5030" s="11" t="s">
        <v>4795</v>
      </c>
      <c r="H5030" s="11" t="s">
        <v>112</v>
      </c>
      <c r="I5030" s="14" t="s">
        <v>667</v>
      </c>
      <c r="J5030" s="14" t="s">
        <v>138</v>
      </c>
      <c r="K5030" s="15" t="s">
        <v>30</v>
      </c>
      <c r="L5030" s="86" t="s">
        <v>4861</v>
      </c>
      <c r="M5030" s="14"/>
      <c r="N5030" s="14" t="s">
        <v>275</v>
      </c>
      <c r="O5030" s="14"/>
      <c r="P5030" s="15" t="s">
        <v>2891</v>
      </c>
      <c r="Q5030" s="16">
        <v>1899</v>
      </c>
      <c r="R5030" s="17">
        <v>45</v>
      </c>
      <c r="S5030" s="18">
        <v>1201.1175000000001</v>
      </c>
      <c r="T5030" s="19" t="s">
        <v>117</v>
      </c>
      <c r="U5030" s="20" t="s">
        <v>3522</v>
      </c>
      <c r="V5030" s="21">
        <v>34</v>
      </c>
      <c r="W5030" s="21">
        <v>4</v>
      </c>
      <c r="X5030" s="22"/>
    </row>
    <row r="5031" spans="1:24" s="1" customFormat="1" ht="26.1" customHeight="1" x14ac:dyDescent="0.3">
      <c r="A5031" s="23" t="s">
        <v>3014</v>
      </c>
      <c r="B5031" s="23" t="s">
        <v>4791</v>
      </c>
      <c r="C5031" s="12" t="s">
        <v>4860</v>
      </c>
      <c r="D5031" s="84"/>
      <c r="E5031" s="69" t="str">
        <f>HYPERLINK("https://www.google.ru/search?q=7300035A-4040&amp;newwindow=1&amp;tbm=isch","Еще фото")</f>
        <v>Еще фото</v>
      </c>
      <c r="F5031" s="13"/>
      <c r="G5031" s="23" t="s">
        <v>4795</v>
      </c>
      <c r="H5031" s="23" t="s">
        <v>112</v>
      </c>
      <c r="I5031" s="23" t="s">
        <v>667</v>
      </c>
      <c r="J5031" s="14" t="s">
        <v>138</v>
      </c>
      <c r="K5031" s="15" t="s">
        <v>30</v>
      </c>
      <c r="L5031" s="87"/>
      <c r="M5031" s="14"/>
      <c r="N5031" s="14" t="s">
        <v>275</v>
      </c>
      <c r="O5031" s="14"/>
      <c r="P5031" s="15" t="s">
        <v>2891</v>
      </c>
      <c r="Q5031" s="16">
        <v>1899</v>
      </c>
      <c r="R5031" s="17">
        <v>45</v>
      </c>
      <c r="S5031" s="18">
        <v>1201.1175000000001</v>
      </c>
      <c r="T5031" s="19" t="s">
        <v>117</v>
      </c>
      <c r="U5031" s="20" t="s">
        <v>4247</v>
      </c>
      <c r="V5031" s="25" t="s">
        <v>829</v>
      </c>
      <c r="W5031" s="21">
        <v>3</v>
      </c>
      <c r="X5031" s="22"/>
    </row>
    <row r="5032" spans="1:24" s="1" customFormat="1" ht="26.1" customHeight="1" x14ac:dyDescent="0.3">
      <c r="A5032" s="23" t="s">
        <v>3014</v>
      </c>
      <c r="B5032" s="23" t="s">
        <v>4791</v>
      </c>
      <c r="C5032" s="12" t="s">
        <v>4860</v>
      </c>
      <c r="D5032" s="84"/>
      <c r="E5032" s="69" t="str">
        <f>HYPERLINK("https://www.google.ru/search?q=7300035A-4040&amp;newwindow=1&amp;tbm=isch","Еще фото")</f>
        <v>Еще фото</v>
      </c>
      <c r="F5032" s="13"/>
      <c r="G5032" s="23" t="s">
        <v>4795</v>
      </c>
      <c r="H5032" s="23" t="s">
        <v>112</v>
      </c>
      <c r="I5032" s="23" t="s">
        <v>667</v>
      </c>
      <c r="J5032" s="14" t="s">
        <v>138</v>
      </c>
      <c r="K5032" s="15" t="s">
        <v>30</v>
      </c>
      <c r="L5032" s="87"/>
      <c r="M5032" s="14"/>
      <c r="N5032" s="14" t="s">
        <v>275</v>
      </c>
      <c r="O5032" s="14"/>
      <c r="P5032" s="15" t="s">
        <v>2891</v>
      </c>
      <c r="Q5032" s="16">
        <v>1899</v>
      </c>
      <c r="R5032" s="17">
        <v>45</v>
      </c>
      <c r="S5032" s="18">
        <v>1201.1175000000001</v>
      </c>
      <c r="T5032" s="19" t="s">
        <v>117</v>
      </c>
      <c r="U5032" s="20" t="s">
        <v>3145</v>
      </c>
      <c r="V5032" s="25" t="s">
        <v>65</v>
      </c>
      <c r="W5032" s="21">
        <v>4</v>
      </c>
      <c r="X5032" s="22"/>
    </row>
    <row r="5033" spans="1:24" s="1" customFormat="1" ht="26.1" customHeight="1" x14ac:dyDescent="0.3">
      <c r="A5033" s="23" t="s">
        <v>3014</v>
      </c>
      <c r="B5033" s="23" t="s">
        <v>4791</v>
      </c>
      <c r="C5033" s="12" t="s">
        <v>4860</v>
      </c>
      <c r="D5033" s="85"/>
      <c r="E5033" s="69" t="str">
        <f>HYPERLINK("https://www.google.ru/search?q=7300035A-4040&amp;newwindow=1&amp;tbm=isch","Еще фото")</f>
        <v>Еще фото</v>
      </c>
      <c r="F5033" s="13"/>
      <c r="G5033" s="23" t="s">
        <v>4795</v>
      </c>
      <c r="H5033" s="23" t="s">
        <v>112</v>
      </c>
      <c r="I5033" s="23" t="s">
        <v>667</v>
      </c>
      <c r="J5033" s="14" t="s">
        <v>138</v>
      </c>
      <c r="K5033" s="15" t="s">
        <v>30</v>
      </c>
      <c r="L5033" s="88"/>
      <c r="M5033" s="14"/>
      <c r="N5033" s="14" t="s">
        <v>275</v>
      </c>
      <c r="O5033" s="14"/>
      <c r="P5033" s="15" t="s">
        <v>2891</v>
      </c>
      <c r="Q5033" s="16">
        <v>1899</v>
      </c>
      <c r="R5033" s="17">
        <v>45</v>
      </c>
      <c r="S5033" s="18">
        <v>1201.1175000000001</v>
      </c>
      <c r="T5033" s="19" t="s">
        <v>117</v>
      </c>
      <c r="U5033" s="20" t="s">
        <v>3146</v>
      </c>
      <c r="V5033" s="21">
        <v>46</v>
      </c>
      <c r="W5033" s="21">
        <v>1</v>
      </c>
      <c r="X5033" s="22"/>
    </row>
    <row r="5034" spans="1:24" s="1" customFormat="1" ht="108" customHeight="1" x14ac:dyDescent="0.3">
      <c r="A5034" s="11" t="s">
        <v>3014</v>
      </c>
      <c r="B5034" s="11" t="s">
        <v>4862</v>
      </c>
      <c r="C5034" s="12" t="s">
        <v>4863</v>
      </c>
      <c r="D5034" s="24"/>
      <c r="E5034" s="69" t="str">
        <f>HYPERLINK("https://www.google.ru/search?q=7300047A-9091&amp;newwindow=1&amp;tbm=isch","Еще фото")</f>
        <v>Еще фото</v>
      </c>
      <c r="F5034" s="13"/>
      <c r="G5034" s="11" t="s">
        <v>2880</v>
      </c>
      <c r="H5034" s="11" t="s">
        <v>112</v>
      </c>
      <c r="I5034" s="14" t="s">
        <v>667</v>
      </c>
      <c r="J5034" s="14" t="s">
        <v>29</v>
      </c>
      <c r="K5034" s="15" t="s">
        <v>30</v>
      </c>
      <c r="L5034" s="14" t="s">
        <v>4864</v>
      </c>
      <c r="M5034" s="14"/>
      <c r="N5034" s="14" t="s">
        <v>41</v>
      </c>
      <c r="O5034" s="14"/>
      <c r="P5034" s="15" t="s">
        <v>76</v>
      </c>
      <c r="Q5034" s="16">
        <v>1899</v>
      </c>
      <c r="R5034" s="17">
        <v>45</v>
      </c>
      <c r="S5034" s="18">
        <v>1201.1175000000001</v>
      </c>
      <c r="T5034" s="19" t="s">
        <v>117</v>
      </c>
      <c r="U5034" s="20" t="s">
        <v>3146</v>
      </c>
      <c r="V5034" s="21">
        <v>46</v>
      </c>
      <c r="W5034" s="21">
        <v>1</v>
      </c>
      <c r="X5034" s="22"/>
    </row>
    <row r="5035" spans="1:24" s="1" customFormat="1" ht="108" customHeight="1" x14ac:dyDescent="0.3">
      <c r="A5035" s="11" t="s">
        <v>4865</v>
      </c>
      <c r="B5035" s="11" t="s">
        <v>4866</v>
      </c>
      <c r="C5035" s="12" t="s">
        <v>4867</v>
      </c>
      <c r="D5035" s="24"/>
      <c r="E5035" s="69" t="str">
        <f>HYPERLINK("https://www.google.ru/search?q=67147-990&amp;newwindow=1&amp;tbm=isch","Еще фото")</f>
        <v>Еще фото</v>
      </c>
      <c r="F5035" s="13"/>
      <c r="G5035" s="11" t="s">
        <v>2880</v>
      </c>
      <c r="H5035" s="11" t="s">
        <v>112</v>
      </c>
      <c r="I5035" s="14" t="s">
        <v>667</v>
      </c>
      <c r="J5035" s="14" t="s">
        <v>29</v>
      </c>
      <c r="K5035" s="15" t="s">
        <v>114</v>
      </c>
      <c r="L5035" s="14"/>
      <c r="M5035" s="14"/>
      <c r="N5035" s="14" t="s">
        <v>49</v>
      </c>
      <c r="O5035" s="14"/>
      <c r="P5035" s="15" t="s">
        <v>4868</v>
      </c>
      <c r="Q5035" s="16">
        <v>3799</v>
      </c>
      <c r="R5035" s="17">
        <v>30</v>
      </c>
      <c r="S5035" s="18">
        <v>3058.1950000000002</v>
      </c>
      <c r="T5035" s="19" t="s">
        <v>117</v>
      </c>
      <c r="U5035" s="20" t="s">
        <v>4869</v>
      </c>
      <c r="V5035" s="25" t="s">
        <v>119</v>
      </c>
      <c r="W5035" s="21">
        <v>2</v>
      </c>
      <c r="X5035" s="22"/>
    </row>
    <row r="5036" spans="1:24" s="1" customFormat="1" ht="51.95" customHeight="1" x14ac:dyDescent="0.3">
      <c r="A5036" s="11" t="s">
        <v>3165</v>
      </c>
      <c r="B5036" s="11" t="s">
        <v>4870</v>
      </c>
      <c r="C5036" s="12" t="s">
        <v>4871</v>
      </c>
      <c r="D5036" s="89"/>
      <c r="E5036" s="69" t="str">
        <f>HYPERLINK("https://www.google.ru/search?q=IU0IU00342-YAF&amp;newwindow=1&amp;tbm=isch","Еще фото")</f>
        <v>Еще фото</v>
      </c>
      <c r="F5036" s="13"/>
      <c r="G5036" s="11" t="s">
        <v>675</v>
      </c>
      <c r="H5036" s="11" t="s">
        <v>27</v>
      </c>
      <c r="I5036" s="14" t="s">
        <v>675</v>
      </c>
      <c r="J5036" s="14" t="s">
        <v>29</v>
      </c>
      <c r="K5036" s="15" t="s">
        <v>30</v>
      </c>
      <c r="L5036" s="86" t="s">
        <v>4872</v>
      </c>
      <c r="M5036" s="14"/>
      <c r="N5036" s="14" t="s">
        <v>89</v>
      </c>
      <c r="O5036" s="14"/>
      <c r="P5036" s="15" t="s">
        <v>74</v>
      </c>
      <c r="Q5036" s="16">
        <v>6499</v>
      </c>
      <c r="R5036" s="17">
        <v>90.8</v>
      </c>
      <c r="S5036" s="29">
        <v>687.43549999999993</v>
      </c>
      <c r="T5036" s="19" t="s">
        <v>185</v>
      </c>
      <c r="U5036" s="20" t="s">
        <v>163</v>
      </c>
      <c r="V5036" s="25" t="s">
        <v>2923</v>
      </c>
      <c r="W5036" s="21">
        <v>3</v>
      </c>
      <c r="X5036" s="22"/>
    </row>
    <row r="5037" spans="1:24" s="1" customFormat="1" ht="60.95" customHeight="1" x14ac:dyDescent="0.3">
      <c r="A5037" s="23" t="s">
        <v>3165</v>
      </c>
      <c r="B5037" s="23" t="s">
        <v>4870</v>
      </c>
      <c r="C5037" s="12" t="s">
        <v>4871</v>
      </c>
      <c r="D5037" s="90"/>
      <c r="E5037" s="69" t="str">
        <f>HYPERLINK("https://www.google.ru/search?q=IU0IU00342-YAF&amp;newwindow=1&amp;tbm=isch","Еще фото")</f>
        <v>Еще фото</v>
      </c>
      <c r="F5037" s="13"/>
      <c r="G5037" s="23" t="s">
        <v>675</v>
      </c>
      <c r="H5037" s="23" t="s">
        <v>27</v>
      </c>
      <c r="I5037" s="23" t="s">
        <v>675</v>
      </c>
      <c r="J5037" s="14" t="s">
        <v>29</v>
      </c>
      <c r="K5037" s="15" t="s">
        <v>30</v>
      </c>
      <c r="L5037" s="88"/>
      <c r="M5037" s="14"/>
      <c r="N5037" s="14" t="s">
        <v>89</v>
      </c>
      <c r="O5037" s="14"/>
      <c r="P5037" s="15" t="s">
        <v>74</v>
      </c>
      <c r="Q5037" s="16">
        <v>6499</v>
      </c>
      <c r="R5037" s="17">
        <v>90.8</v>
      </c>
      <c r="S5037" s="29">
        <v>687.43549999999993</v>
      </c>
      <c r="T5037" s="19" t="s">
        <v>185</v>
      </c>
      <c r="U5037" s="20" t="s">
        <v>462</v>
      </c>
      <c r="V5037" s="25" t="s">
        <v>2925</v>
      </c>
      <c r="W5037" s="21">
        <v>2</v>
      </c>
      <c r="X5037" s="22"/>
    </row>
    <row r="5038" spans="1:24" s="1" customFormat="1" ht="51.95" customHeight="1" x14ac:dyDescent="0.3">
      <c r="A5038" s="11" t="s">
        <v>3304</v>
      </c>
      <c r="B5038" s="11" t="s">
        <v>4873</v>
      </c>
      <c r="C5038" s="12" t="s">
        <v>4874</v>
      </c>
      <c r="D5038" s="89"/>
      <c r="E5038" s="69" t="str">
        <f>HYPERLINK("https://www.google.ru/search?q=6227DK1009-432&amp;newwindow=1&amp;tbm=isch","Еще фото")</f>
        <v>Еще фото</v>
      </c>
      <c r="F5038" s="13"/>
      <c r="G5038" s="11" t="s">
        <v>675</v>
      </c>
      <c r="H5038" s="11" t="s">
        <v>27</v>
      </c>
      <c r="I5038" s="14" t="s">
        <v>675</v>
      </c>
      <c r="J5038" s="14" t="s">
        <v>29</v>
      </c>
      <c r="K5038" s="15" t="s">
        <v>55</v>
      </c>
      <c r="L5038" s="86" t="s">
        <v>4875</v>
      </c>
      <c r="M5038" s="14"/>
      <c r="N5038" s="14" t="s">
        <v>70</v>
      </c>
      <c r="O5038" s="14"/>
      <c r="P5038" s="15" t="s">
        <v>108</v>
      </c>
      <c r="Q5038" s="16">
        <v>3599</v>
      </c>
      <c r="R5038" s="17">
        <v>89.23</v>
      </c>
      <c r="S5038" s="29">
        <v>445.93549999999993</v>
      </c>
      <c r="T5038" s="19" t="s">
        <v>328</v>
      </c>
      <c r="U5038" s="20" t="s">
        <v>3308</v>
      </c>
      <c r="V5038" s="25" t="s">
        <v>53</v>
      </c>
      <c r="W5038" s="21">
        <v>1</v>
      </c>
      <c r="X5038" s="22"/>
    </row>
    <row r="5039" spans="1:24" s="1" customFormat="1" ht="60.95" customHeight="1" x14ac:dyDescent="0.3">
      <c r="A5039" s="23" t="s">
        <v>3304</v>
      </c>
      <c r="B5039" s="23" t="s">
        <v>4873</v>
      </c>
      <c r="C5039" s="12" t="s">
        <v>4874</v>
      </c>
      <c r="D5039" s="90"/>
      <c r="E5039" s="69" t="str">
        <f>HYPERLINK("https://www.google.ru/search?q=6227DK1009-432&amp;newwindow=1&amp;tbm=isch","Еще фото")</f>
        <v>Еще фото</v>
      </c>
      <c r="F5039" s="13"/>
      <c r="G5039" s="23" t="s">
        <v>675</v>
      </c>
      <c r="H5039" s="23" t="s">
        <v>27</v>
      </c>
      <c r="I5039" s="23" t="s">
        <v>675</v>
      </c>
      <c r="J5039" s="14" t="s">
        <v>29</v>
      </c>
      <c r="K5039" s="15" t="s">
        <v>55</v>
      </c>
      <c r="L5039" s="88"/>
      <c r="M5039" s="14"/>
      <c r="N5039" s="14" t="s">
        <v>70</v>
      </c>
      <c r="O5039" s="14"/>
      <c r="P5039" s="15" t="s">
        <v>108</v>
      </c>
      <c r="Q5039" s="16">
        <v>3599</v>
      </c>
      <c r="R5039" s="17">
        <v>89.23</v>
      </c>
      <c r="S5039" s="29">
        <v>445.93549999999993</v>
      </c>
      <c r="T5039" s="19" t="s">
        <v>328</v>
      </c>
      <c r="U5039" s="20" t="s">
        <v>595</v>
      </c>
      <c r="V5039" s="25" t="s">
        <v>59</v>
      </c>
      <c r="W5039" s="21">
        <v>1</v>
      </c>
      <c r="X5039" s="22"/>
    </row>
    <row r="5040" spans="1:24" s="1" customFormat="1" ht="51.95" customHeight="1" x14ac:dyDescent="0.3">
      <c r="A5040" s="11" t="s">
        <v>2952</v>
      </c>
      <c r="B5040" s="11" t="s">
        <v>4876</v>
      </c>
      <c r="C5040" s="12" t="s">
        <v>4877</v>
      </c>
      <c r="D5040" s="89"/>
      <c r="E5040" s="69" t="str">
        <f>HYPERLINK("https://www.google.ru/search?q=114093-WW001&amp;newwindow=1&amp;tbm=isch","Еще фото")</f>
        <v>Еще фото</v>
      </c>
      <c r="F5040" s="13"/>
      <c r="G5040" s="11" t="s">
        <v>675</v>
      </c>
      <c r="H5040" s="11" t="s">
        <v>27</v>
      </c>
      <c r="I5040" s="14" t="s">
        <v>675</v>
      </c>
      <c r="J5040" s="14" t="s">
        <v>29</v>
      </c>
      <c r="K5040" s="15" t="s">
        <v>47</v>
      </c>
      <c r="L5040" s="86" t="s">
        <v>4878</v>
      </c>
      <c r="M5040" s="14" t="s">
        <v>73</v>
      </c>
      <c r="N5040" s="14" t="s">
        <v>89</v>
      </c>
      <c r="O5040" s="14" t="s">
        <v>940</v>
      </c>
      <c r="P5040" s="15" t="s">
        <v>1294</v>
      </c>
      <c r="Q5040" s="16">
        <v>1799</v>
      </c>
      <c r="R5040" s="17">
        <v>82.89</v>
      </c>
      <c r="S5040" s="29">
        <v>353.93549999999993</v>
      </c>
      <c r="T5040" s="19" t="s">
        <v>51</v>
      </c>
      <c r="U5040" s="20" t="s">
        <v>354</v>
      </c>
      <c r="V5040" s="25" t="s">
        <v>355</v>
      </c>
      <c r="W5040" s="21">
        <v>7</v>
      </c>
      <c r="X5040" s="22"/>
    </row>
    <row r="5041" spans="1:24" s="1" customFormat="1" ht="60.95" customHeight="1" x14ac:dyDescent="0.3">
      <c r="A5041" s="23" t="s">
        <v>2952</v>
      </c>
      <c r="B5041" s="23" t="s">
        <v>4876</v>
      </c>
      <c r="C5041" s="12" t="s">
        <v>4877</v>
      </c>
      <c r="D5041" s="90"/>
      <c r="E5041" s="69" t="str">
        <f>HYPERLINK("https://www.google.ru/search?q=114093-WW001&amp;newwindow=1&amp;tbm=isch","Еще фото")</f>
        <v>Еще фото</v>
      </c>
      <c r="F5041" s="13"/>
      <c r="G5041" s="23" t="s">
        <v>675</v>
      </c>
      <c r="H5041" s="23" t="s">
        <v>27</v>
      </c>
      <c r="I5041" s="23" t="s">
        <v>675</v>
      </c>
      <c r="J5041" s="14" t="s">
        <v>29</v>
      </c>
      <c r="K5041" s="15" t="s">
        <v>47</v>
      </c>
      <c r="L5041" s="88"/>
      <c r="M5041" s="14" t="s">
        <v>73</v>
      </c>
      <c r="N5041" s="14" t="s">
        <v>89</v>
      </c>
      <c r="O5041" s="14" t="s">
        <v>940</v>
      </c>
      <c r="P5041" s="15" t="s">
        <v>1294</v>
      </c>
      <c r="Q5041" s="16">
        <v>1799</v>
      </c>
      <c r="R5041" s="17">
        <v>82.89</v>
      </c>
      <c r="S5041" s="29">
        <v>353.93549999999993</v>
      </c>
      <c r="T5041" s="19" t="s">
        <v>51</v>
      </c>
      <c r="U5041" s="20" t="s">
        <v>52</v>
      </c>
      <c r="V5041" s="25" t="s">
        <v>59</v>
      </c>
      <c r="W5041" s="21">
        <v>1</v>
      </c>
      <c r="X5041" s="22"/>
    </row>
    <row r="5042" spans="1:24" s="1" customFormat="1" ht="108" customHeight="1" x14ac:dyDescent="0.3">
      <c r="A5042" s="11" t="s">
        <v>2957</v>
      </c>
      <c r="B5042" s="11" t="s">
        <v>673</v>
      </c>
      <c r="C5042" s="12" t="s">
        <v>4879</v>
      </c>
      <c r="D5042" s="24"/>
      <c r="E5042" s="69" t="str">
        <f>HYPERLINK("https://www.google.ru/search?q=516348-2442&amp;newwindow=1&amp;tbm=isch","Еще фото")</f>
        <v>Еще фото</v>
      </c>
      <c r="F5042" s="13"/>
      <c r="G5042" s="11" t="s">
        <v>675</v>
      </c>
      <c r="H5042" s="11" t="s">
        <v>27</v>
      </c>
      <c r="I5042" s="14" t="s">
        <v>675</v>
      </c>
      <c r="J5042" s="14" t="s">
        <v>138</v>
      </c>
      <c r="K5042" s="15" t="s">
        <v>30</v>
      </c>
      <c r="L5042" s="14" t="s">
        <v>4880</v>
      </c>
      <c r="M5042" s="14"/>
      <c r="N5042" s="14" t="s">
        <v>313</v>
      </c>
      <c r="O5042" s="14"/>
      <c r="P5042" s="15" t="s">
        <v>4881</v>
      </c>
      <c r="Q5042" s="16">
        <v>1799</v>
      </c>
      <c r="R5042" s="17">
        <v>80.67</v>
      </c>
      <c r="S5042" s="29">
        <v>399.93549999999993</v>
      </c>
      <c r="T5042" s="19" t="s">
        <v>117</v>
      </c>
      <c r="U5042" s="20" t="s">
        <v>4882</v>
      </c>
      <c r="V5042" s="21">
        <v>62</v>
      </c>
      <c r="W5042" s="21">
        <v>2</v>
      </c>
      <c r="X5042" s="22"/>
    </row>
    <row r="5043" spans="1:24" s="1" customFormat="1" ht="35.1" customHeight="1" x14ac:dyDescent="0.3">
      <c r="A5043" s="11" t="s">
        <v>3165</v>
      </c>
      <c r="B5043" s="11" t="s">
        <v>4883</v>
      </c>
      <c r="C5043" s="12" t="s">
        <v>4884</v>
      </c>
      <c r="D5043" s="83"/>
      <c r="E5043" s="69" t="str">
        <f>HYPERLINK("https://www.google.ru/search?q=IG0IG01456-1AA&amp;newwindow=1&amp;tbm=isch","Еще фото")</f>
        <v>Еще фото</v>
      </c>
      <c r="F5043" s="13"/>
      <c r="G5043" s="11" t="s">
        <v>675</v>
      </c>
      <c r="H5043" s="11" t="s">
        <v>27</v>
      </c>
      <c r="I5043" s="14" t="s">
        <v>675</v>
      </c>
      <c r="J5043" s="14" t="s">
        <v>29</v>
      </c>
      <c r="K5043" s="15" t="s">
        <v>30</v>
      </c>
      <c r="L5043" s="86" t="s">
        <v>4885</v>
      </c>
      <c r="M5043" s="14"/>
      <c r="N5043" s="14" t="s">
        <v>313</v>
      </c>
      <c r="O5043" s="14"/>
      <c r="P5043" s="15" t="s">
        <v>145</v>
      </c>
      <c r="Q5043" s="16">
        <v>7099</v>
      </c>
      <c r="R5043" s="17">
        <v>77.349999999999994</v>
      </c>
      <c r="S5043" s="18">
        <v>1848.9354999999998</v>
      </c>
      <c r="T5043" s="19" t="s">
        <v>185</v>
      </c>
      <c r="U5043" s="20" t="s">
        <v>821</v>
      </c>
      <c r="V5043" s="25" t="s">
        <v>3171</v>
      </c>
      <c r="W5043" s="21">
        <v>1</v>
      </c>
      <c r="X5043" s="22"/>
    </row>
    <row r="5044" spans="1:24" s="1" customFormat="1" ht="35.1" customHeight="1" x14ac:dyDescent="0.3">
      <c r="A5044" s="23" t="s">
        <v>3165</v>
      </c>
      <c r="B5044" s="23" t="s">
        <v>4883</v>
      </c>
      <c r="C5044" s="12" t="s">
        <v>4884</v>
      </c>
      <c r="D5044" s="84"/>
      <c r="E5044" s="69" t="str">
        <f>HYPERLINK("https://www.google.ru/search?q=IG0IG01456-1AA&amp;newwindow=1&amp;tbm=isch","Еще фото")</f>
        <v>Еще фото</v>
      </c>
      <c r="F5044" s="13"/>
      <c r="G5044" s="23" t="s">
        <v>675</v>
      </c>
      <c r="H5044" s="23" t="s">
        <v>27</v>
      </c>
      <c r="I5044" s="23" t="s">
        <v>675</v>
      </c>
      <c r="J5044" s="14" t="s">
        <v>29</v>
      </c>
      <c r="K5044" s="15" t="s">
        <v>30</v>
      </c>
      <c r="L5044" s="87"/>
      <c r="M5044" s="14"/>
      <c r="N5044" s="14" t="s">
        <v>313</v>
      </c>
      <c r="O5044" s="14"/>
      <c r="P5044" s="15" t="s">
        <v>145</v>
      </c>
      <c r="Q5044" s="16">
        <v>7099</v>
      </c>
      <c r="R5044" s="17">
        <v>77.349999999999994</v>
      </c>
      <c r="S5044" s="18">
        <v>1848.9354999999998</v>
      </c>
      <c r="T5044" s="19" t="s">
        <v>185</v>
      </c>
      <c r="U5044" s="20" t="s">
        <v>157</v>
      </c>
      <c r="V5044" s="25" t="s">
        <v>2921</v>
      </c>
      <c r="W5044" s="21">
        <v>1</v>
      </c>
      <c r="X5044" s="22"/>
    </row>
    <row r="5045" spans="1:24" s="1" customFormat="1" ht="36.950000000000003" customHeight="1" x14ac:dyDescent="0.3">
      <c r="A5045" s="23" t="s">
        <v>3165</v>
      </c>
      <c r="B5045" s="23" t="s">
        <v>4883</v>
      </c>
      <c r="C5045" s="12" t="s">
        <v>4884</v>
      </c>
      <c r="D5045" s="85"/>
      <c r="E5045" s="69" t="str">
        <f>HYPERLINK("https://www.google.ru/search?q=IG0IG01456-1AA&amp;newwindow=1&amp;tbm=isch","Еще фото")</f>
        <v>Еще фото</v>
      </c>
      <c r="F5045" s="13"/>
      <c r="G5045" s="23" t="s">
        <v>675</v>
      </c>
      <c r="H5045" s="23" t="s">
        <v>27</v>
      </c>
      <c r="I5045" s="23" t="s">
        <v>675</v>
      </c>
      <c r="J5045" s="14" t="s">
        <v>29</v>
      </c>
      <c r="K5045" s="15" t="s">
        <v>30</v>
      </c>
      <c r="L5045" s="88"/>
      <c r="M5045" s="14"/>
      <c r="N5045" s="14" t="s">
        <v>313</v>
      </c>
      <c r="O5045" s="14"/>
      <c r="P5045" s="15" t="s">
        <v>145</v>
      </c>
      <c r="Q5045" s="16">
        <v>7099</v>
      </c>
      <c r="R5045" s="17">
        <v>77.349999999999994</v>
      </c>
      <c r="S5045" s="18">
        <v>1848.9354999999998</v>
      </c>
      <c r="T5045" s="19" t="s">
        <v>185</v>
      </c>
      <c r="U5045" s="20" t="s">
        <v>942</v>
      </c>
      <c r="V5045" s="25" t="s">
        <v>2927</v>
      </c>
      <c r="W5045" s="21">
        <v>1</v>
      </c>
      <c r="X5045" s="22"/>
    </row>
    <row r="5046" spans="1:24" s="1" customFormat="1" ht="108" customHeight="1" x14ac:dyDescent="0.3">
      <c r="A5046" s="11" t="s">
        <v>3165</v>
      </c>
      <c r="B5046" s="11" t="s">
        <v>4886</v>
      </c>
      <c r="C5046" s="12" t="s">
        <v>4887</v>
      </c>
      <c r="D5046" s="24"/>
      <c r="E5046" s="69" t="str">
        <f>HYPERLINK("https://www.google.ru/search?q=IU0IU00344-0LD&amp;newwindow=1&amp;tbm=isch","Еще фото")</f>
        <v>Еще фото</v>
      </c>
      <c r="F5046" s="13"/>
      <c r="G5046" s="11" t="s">
        <v>675</v>
      </c>
      <c r="H5046" s="11" t="s">
        <v>27</v>
      </c>
      <c r="I5046" s="14" t="s">
        <v>675</v>
      </c>
      <c r="J5046" s="14" t="s">
        <v>29</v>
      </c>
      <c r="K5046" s="15" t="s">
        <v>30</v>
      </c>
      <c r="L5046" s="14" t="s">
        <v>4888</v>
      </c>
      <c r="M5046" s="14"/>
      <c r="N5046" s="14" t="s">
        <v>275</v>
      </c>
      <c r="O5046" s="14"/>
      <c r="P5046" s="15" t="s">
        <v>74</v>
      </c>
      <c r="Q5046" s="16">
        <v>7099</v>
      </c>
      <c r="R5046" s="17">
        <v>77.349999999999994</v>
      </c>
      <c r="S5046" s="18">
        <v>1848.9354999999998</v>
      </c>
      <c r="T5046" s="19" t="s">
        <v>185</v>
      </c>
      <c r="U5046" s="20" t="s">
        <v>163</v>
      </c>
      <c r="V5046" s="25" t="s">
        <v>2923</v>
      </c>
      <c r="W5046" s="21">
        <v>2</v>
      </c>
      <c r="X5046" s="22"/>
    </row>
    <row r="5047" spans="1:24" s="1" customFormat="1" ht="35.1" customHeight="1" x14ac:dyDescent="0.3">
      <c r="A5047" s="11" t="s">
        <v>3165</v>
      </c>
      <c r="B5047" s="11" t="s">
        <v>4889</v>
      </c>
      <c r="C5047" s="12" t="s">
        <v>4890</v>
      </c>
      <c r="D5047" s="83"/>
      <c r="E5047" s="69" t="str">
        <f>HYPERLINK("https://www.google.ru/search?q=IG0IG01449-0K4&amp;newwindow=1&amp;tbm=isch","Еще фото")</f>
        <v>Еще фото</v>
      </c>
      <c r="F5047" s="13"/>
      <c r="G5047" s="11" t="s">
        <v>675</v>
      </c>
      <c r="H5047" s="11" t="s">
        <v>27</v>
      </c>
      <c r="I5047" s="14" t="s">
        <v>675</v>
      </c>
      <c r="J5047" s="14" t="s">
        <v>29</v>
      </c>
      <c r="K5047" s="15" t="s">
        <v>30</v>
      </c>
      <c r="L5047" s="86" t="s">
        <v>4891</v>
      </c>
      <c r="M5047" s="14"/>
      <c r="N5047" s="14" t="s">
        <v>89</v>
      </c>
      <c r="O5047" s="14"/>
      <c r="P5047" s="15" t="s">
        <v>4688</v>
      </c>
      <c r="Q5047" s="16">
        <v>7599</v>
      </c>
      <c r="R5047" s="17">
        <v>71.739999999999995</v>
      </c>
      <c r="S5047" s="18">
        <v>2469.9354999999996</v>
      </c>
      <c r="T5047" s="19" t="s">
        <v>185</v>
      </c>
      <c r="U5047" s="20" t="s">
        <v>462</v>
      </c>
      <c r="V5047" s="25" t="s">
        <v>2925</v>
      </c>
      <c r="W5047" s="21">
        <v>1</v>
      </c>
      <c r="X5047" s="22"/>
    </row>
    <row r="5048" spans="1:24" s="1" customFormat="1" ht="35.1" customHeight="1" x14ac:dyDescent="0.3">
      <c r="A5048" s="23" t="s">
        <v>3165</v>
      </c>
      <c r="B5048" s="23" t="s">
        <v>4889</v>
      </c>
      <c r="C5048" s="12" t="s">
        <v>4890</v>
      </c>
      <c r="D5048" s="84"/>
      <c r="E5048" s="69" t="str">
        <f>HYPERLINK("https://www.google.ru/search?q=IG0IG01449-0K4&amp;newwindow=1&amp;tbm=isch","Еще фото")</f>
        <v>Еще фото</v>
      </c>
      <c r="F5048" s="13"/>
      <c r="G5048" s="23" t="s">
        <v>675</v>
      </c>
      <c r="H5048" s="23" t="s">
        <v>27</v>
      </c>
      <c r="I5048" s="23" t="s">
        <v>675</v>
      </c>
      <c r="J5048" s="14" t="s">
        <v>29</v>
      </c>
      <c r="K5048" s="15" t="s">
        <v>30</v>
      </c>
      <c r="L5048" s="87"/>
      <c r="M5048" s="14"/>
      <c r="N5048" s="14" t="s">
        <v>89</v>
      </c>
      <c r="O5048" s="14"/>
      <c r="P5048" s="15" t="s">
        <v>4688</v>
      </c>
      <c r="Q5048" s="16">
        <v>7599</v>
      </c>
      <c r="R5048" s="17">
        <v>71.739999999999995</v>
      </c>
      <c r="S5048" s="18">
        <v>2469.9354999999996</v>
      </c>
      <c r="T5048" s="19" t="s">
        <v>185</v>
      </c>
      <c r="U5048" s="20" t="s">
        <v>942</v>
      </c>
      <c r="V5048" s="25" t="s">
        <v>2927</v>
      </c>
      <c r="W5048" s="21">
        <v>3</v>
      </c>
      <c r="X5048" s="22"/>
    </row>
    <row r="5049" spans="1:24" s="1" customFormat="1" ht="36.950000000000003" customHeight="1" x14ac:dyDescent="0.3">
      <c r="A5049" s="23" t="s">
        <v>3165</v>
      </c>
      <c r="B5049" s="23" t="s">
        <v>4889</v>
      </c>
      <c r="C5049" s="12" t="s">
        <v>4890</v>
      </c>
      <c r="D5049" s="85"/>
      <c r="E5049" s="69" t="str">
        <f>HYPERLINK("https://www.google.ru/search?q=IG0IG01449-0K4&amp;newwindow=1&amp;tbm=isch","Еще фото")</f>
        <v>Еще фото</v>
      </c>
      <c r="F5049" s="13"/>
      <c r="G5049" s="23" t="s">
        <v>675</v>
      </c>
      <c r="H5049" s="23" t="s">
        <v>27</v>
      </c>
      <c r="I5049" s="23" t="s">
        <v>675</v>
      </c>
      <c r="J5049" s="14" t="s">
        <v>29</v>
      </c>
      <c r="K5049" s="15" t="s">
        <v>30</v>
      </c>
      <c r="L5049" s="88"/>
      <c r="M5049" s="14"/>
      <c r="N5049" s="14" t="s">
        <v>89</v>
      </c>
      <c r="O5049" s="14"/>
      <c r="P5049" s="15" t="s">
        <v>4688</v>
      </c>
      <c r="Q5049" s="16">
        <v>7599</v>
      </c>
      <c r="R5049" s="17">
        <v>71.739999999999995</v>
      </c>
      <c r="S5049" s="18">
        <v>2469.9354999999996</v>
      </c>
      <c r="T5049" s="19" t="s">
        <v>185</v>
      </c>
      <c r="U5049" s="20" t="s">
        <v>4892</v>
      </c>
      <c r="V5049" s="25" t="s">
        <v>4893</v>
      </c>
      <c r="W5049" s="21">
        <v>1</v>
      </c>
      <c r="X5049" s="22"/>
    </row>
    <row r="5050" spans="1:24" s="1" customFormat="1" ht="35.1" customHeight="1" x14ac:dyDescent="0.3">
      <c r="A5050" s="11" t="s">
        <v>3165</v>
      </c>
      <c r="B5050" s="11" t="s">
        <v>4894</v>
      </c>
      <c r="C5050" s="12" t="s">
        <v>4895</v>
      </c>
      <c r="D5050" s="83"/>
      <c r="E5050" s="69" t="str">
        <f>HYPERLINK("https://www.google.ru/search?q=IG0IG01455-ZJD&amp;newwindow=1&amp;tbm=isch","Еще фото")</f>
        <v>Еще фото</v>
      </c>
      <c r="F5050" s="13"/>
      <c r="G5050" s="11" t="s">
        <v>675</v>
      </c>
      <c r="H5050" s="11" t="s">
        <v>27</v>
      </c>
      <c r="I5050" s="14" t="s">
        <v>675</v>
      </c>
      <c r="J5050" s="14" t="s">
        <v>29</v>
      </c>
      <c r="K5050" s="15" t="s">
        <v>30</v>
      </c>
      <c r="L5050" s="86" t="s">
        <v>4896</v>
      </c>
      <c r="M5050" s="14"/>
      <c r="N5050" s="14" t="s">
        <v>4897</v>
      </c>
      <c r="O5050" s="14"/>
      <c r="P5050" s="15" t="s">
        <v>4898</v>
      </c>
      <c r="Q5050" s="16">
        <v>6499</v>
      </c>
      <c r="R5050" s="17">
        <v>71.72</v>
      </c>
      <c r="S5050" s="18">
        <v>2113.4354999999996</v>
      </c>
      <c r="T5050" s="19" t="s">
        <v>185</v>
      </c>
      <c r="U5050" s="20" t="s">
        <v>157</v>
      </c>
      <c r="V5050" s="25" t="s">
        <v>2921</v>
      </c>
      <c r="W5050" s="21">
        <v>1</v>
      </c>
      <c r="X5050" s="22"/>
    </row>
    <row r="5051" spans="1:24" s="1" customFormat="1" ht="35.1" customHeight="1" x14ac:dyDescent="0.3">
      <c r="A5051" s="23" t="s">
        <v>3165</v>
      </c>
      <c r="B5051" s="23" t="s">
        <v>4894</v>
      </c>
      <c r="C5051" s="12" t="s">
        <v>4895</v>
      </c>
      <c r="D5051" s="84"/>
      <c r="E5051" s="69" t="str">
        <f>HYPERLINK("https://www.google.ru/search?q=IG0IG01455-ZJD&amp;newwindow=1&amp;tbm=isch","Еще фото")</f>
        <v>Еще фото</v>
      </c>
      <c r="F5051" s="13"/>
      <c r="G5051" s="23" t="s">
        <v>675</v>
      </c>
      <c r="H5051" s="23" t="s">
        <v>27</v>
      </c>
      <c r="I5051" s="23" t="s">
        <v>675</v>
      </c>
      <c r="J5051" s="14" t="s">
        <v>29</v>
      </c>
      <c r="K5051" s="15" t="s">
        <v>30</v>
      </c>
      <c r="L5051" s="87"/>
      <c r="M5051" s="14"/>
      <c r="N5051" s="14" t="s">
        <v>4897</v>
      </c>
      <c r="O5051" s="14"/>
      <c r="P5051" s="15" t="s">
        <v>4898</v>
      </c>
      <c r="Q5051" s="16">
        <v>6499</v>
      </c>
      <c r="R5051" s="17">
        <v>71.72</v>
      </c>
      <c r="S5051" s="18">
        <v>2113.4354999999996</v>
      </c>
      <c r="T5051" s="19" t="s">
        <v>185</v>
      </c>
      <c r="U5051" s="20" t="s">
        <v>942</v>
      </c>
      <c r="V5051" s="25" t="s">
        <v>2927</v>
      </c>
      <c r="W5051" s="21">
        <v>2</v>
      </c>
      <c r="X5051" s="22"/>
    </row>
    <row r="5052" spans="1:24" s="1" customFormat="1" ht="36.950000000000003" customHeight="1" x14ac:dyDescent="0.3">
      <c r="A5052" s="23" t="s">
        <v>3165</v>
      </c>
      <c r="B5052" s="23" t="s">
        <v>4894</v>
      </c>
      <c r="C5052" s="12" t="s">
        <v>4895</v>
      </c>
      <c r="D5052" s="85"/>
      <c r="E5052" s="69" t="str">
        <f>HYPERLINK("https://www.google.ru/search?q=IG0IG01455-ZJD&amp;newwindow=1&amp;tbm=isch","Еще фото")</f>
        <v>Еще фото</v>
      </c>
      <c r="F5052" s="13"/>
      <c r="G5052" s="23" t="s">
        <v>675</v>
      </c>
      <c r="H5052" s="23" t="s">
        <v>27</v>
      </c>
      <c r="I5052" s="23" t="s">
        <v>675</v>
      </c>
      <c r="J5052" s="14" t="s">
        <v>29</v>
      </c>
      <c r="K5052" s="15" t="s">
        <v>30</v>
      </c>
      <c r="L5052" s="88"/>
      <c r="M5052" s="14"/>
      <c r="N5052" s="14" t="s">
        <v>4897</v>
      </c>
      <c r="O5052" s="14"/>
      <c r="P5052" s="15" t="s">
        <v>4898</v>
      </c>
      <c r="Q5052" s="16">
        <v>6499</v>
      </c>
      <c r="R5052" s="17">
        <v>71.72</v>
      </c>
      <c r="S5052" s="18">
        <v>2113.4354999999996</v>
      </c>
      <c r="T5052" s="19" t="s">
        <v>185</v>
      </c>
      <c r="U5052" s="20" t="s">
        <v>4892</v>
      </c>
      <c r="V5052" s="25" t="s">
        <v>4893</v>
      </c>
      <c r="W5052" s="21">
        <v>2</v>
      </c>
      <c r="X5052" s="22"/>
    </row>
    <row r="5053" spans="1:24" s="1" customFormat="1" ht="108" customHeight="1" x14ac:dyDescent="0.3">
      <c r="A5053" s="11" t="s">
        <v>2936</v>
      </c>
      <c r="B5053" s="11" t="s">
        <v>2965</v>
      </c>
      <c r="C5053" s="12" t="s">
        <v>4899</v>
      </c>
      <c r="D5053" s="24"/>
      <c r="E5053" s="69" t="str">
        <f>HYPERLINK("https://www.google.ru/search?q=TB22WL09S0115-1-1002&amp;newwindow=1&amp;tbm=isch","Еще фото")</f>
        <v>Еще фото</v>
      </c>
      <c r="F5053" s="13"/>
      <c r="G5053" s="11" t="s">
        <v>4900</v>
      </c>
      <c r="H5053" s="11" t="s">
        <v>27</v>
      </c>
      <c r="I5053" s="14" t="s">
        <v>675</v>
      </c>
      <c r="J5053" s="14" t="s">
        <v>406</v>
      </c>
      <c r="K5053" s="15" t="s">
        <v>47</v>
      </c>
      <c r="L5053" s="14" t="s">
        <v>4901</v>
      </c>
      <c r="M5053" s="14" t="s">
        <v>73</v>
      </c>
      <c r="N5053" s="14" t="s">
        <v>70</v>
      </c>
      <c r="O5053" s="14"/>
      <c r="P5053" s="15" t="s">
        <v>4902</v>
      </c>
      <c r="Q5053" s="16">
        <v>2499</v>
      </c>
      <c r="R5053" s="17">
        <v>55.27</v>
      </c>
      <c r="S5053" s="18">
        <v>1285.4354999999998</v>
      </c>
      <c r="T5053" s="19" t="s">
        <v>328</v>
      </c>
      <c r="U5053" s="20" t="s">
        <v>354</v>
      </c>
      <c r="V5053" s="25" t="s">
        <v>355</v>
      </c>
      <c r="W5053" s="21">
        <v>1</v>
      </c>
      <c r="X5053" s="22"/>
    </row>
    <row r="5054" spans="1:24" s="1" customFormat="1" ht="108" customHeight="1" x14ac:dyDescent="0.3">
      <c r="A5054" s="11" t="s">
        <v>3165</v>
      </c>
      <c r="B5054" s="11" t="s">
        <v>4903</v>
      </c>
      <c r="C5054" s="12" t="s">
        <v>4904</v>
      </c>
      <c r="D5054" s="24"/>
      <c r="E5054" s="69" t="str">
        <f>HYPERLINK("https://www.google.ru/search?q=IB0IB01248-ACF&amp;newwindow=1&amp;tbm=isch","Еще фото")</f>
        <v>Еще фото</v>
      </c>
      <c r="F5054" s="13"/>
      <c r="G5054" s="11" t="s">
        <v>675</v>
      </c>
      <c r="H5054" s="11" t="s">
        <v>27</v>
      </c>
      <c r="I5054" s="14" t="s">
        <v>675</v>
      </c>
      <c r="J5054" s="14" t="s">
        <v>29</v>
      </c>
      <c r="K5054" s="15" t="s">
        <v>30</v>
      </c>
      <c r="L5054" s="14" t="s">
        <v>4905</v>
      </c>
      <c r="M5054" s="14"/>
      <c r="N5054" s="14" t="s">
        <v>326</v>
      </c>
      <c r="O5054" s="14"/>
      <c r="P5054" s="15" t="s">
        <v>74</v>
      </c>
      <c r="Q5054" s="16">
        <v>7599</v>
      </c>
      <c r="R5054" s="17">
        <v>50</v>
      </c>
      <c r="S5054" s="18">
        <v>4369.4249999999993</v>
      </c>
      <c r="T5054" s="19" t="s">
        <v>185</v>
      </c>
      <c r="U5054" s="20" t="s">
        <v>157</v>
      </c>
      <c r="V5054" s="25" t="s">
        <v>2921</v>
      </c>
      <c r="W5054" s="21">
        <v>1</v>
      </c>
      <c r="X5054" s="22"/>
    </row>
    <row r="5055" spans="1:24" s="1" customFormat="1" ht="35.1" customHeight="1" x14ac:dyDescent="0.3">
      <c r="A5055" s="11" t="s">
        <v>3560</v>
      </c>
      <c r="B5055" s="11" t="s">
        <v>4906</v>
      </c>
      <c r="C5055" s="12" t="s">
        <v>4907</v>
      </c>
      <c r="D5055" s="83"/>
      <c r="E5055" s="69" t="str">
        <f>HYPERLINK("https://www.google.ru/search?q=N1CWRS2-001&amp;newwindow=1&amp;tbm=isch","Еще фото")</f>
        <v>Еще фото</v>
      </c>
      <c r="F5055" s="13"/>
      <c r="G5055" s="11" t="s">
        <v>675</v>
      </c>
      <c r="H5055" s="11" t="s">
        <v>27</v>
      </c>
      <c r="I5055" s="14" t="s">
        <v>675</v>
      </c>
      <c r="J5055" s="14" t="s">
        <v>406</v>
      </c>
      <c r="K5055" s="15" t="s">
        <v>47</v>
      </c>
      <c r="L5055" s="86" t="s">
        <v>4908</v>
      </c>
      <c r="M5055" s="14"/>
      <c r="N5055" s="14" t="s">
        <v>49</v>
      </c>
      <c r="O5055" s="14"/>
      <c r="P5055" s="15" t="s">
        <v>827</v>
      </c>
      <c r="Q5055" s="16">
        <v>12999</v>
      </c>
      <c r="R5055" s="17">
        <v>48.86</v>
      </c>
      <c r="S5055" s="18">
        <v>7644.9354999999996</v>
      </c>
      <c r="T5055" s="19" t="s">
        <v>51</v>
      </c>
      <c r="U5055" s="20" t="s">
        <v>66</v>
      </c>
      <c r="V5055" s="21">
        <v>46</v>
      </c>
      <c r="W5055" s="21">
        <v>1</v>
      </c>
      <c r="X5055" s="22"/>
    </row>
    <row r="5056" spans="1:24" s="1" customFormat="1" ht="35.1" customHeight="1" x14ac:dyDescent="0.3">
      <c r="A5056" s="23" t="s">
        <v>3560</v>
      </c>
      <c r="B5056" s="23" t="s">
        <v>4906</v>
      </c>
      <c r="C5056" s="12" t="s">
        <v>4907</v>
      </c>
      <c r="D5056" s="84"/>
      <c r="E5056" s="69" t="str">
        <f>HYPERLINK("https://www.google.ru/search?q=N1CWRS2-001&amp;newwindow=1&amp;tbm=isch","Еще фото")</f>
        <v>Еще фото</v>
      </c>
      <c r="F5056" s="13"/>
      <c r="G5056" s="23" t="s">
        <v>675</v>
      </c>
      <c r="H5056" s="23" t="s">
        <v>27</v>
      </c>
      <c r="I5056" s="23" t="s">
        <v>675</v>
      </c>
      <c r="J5056" s="14" t="s">
        <v>406</v>
      </c>
      <c r="K5056" s="15" t="s">
        <v>47</v>
      </c>
      <c r="L5056" s="87"/>
      <c r="M5056" s="14"/>
      <c r="N5056" s="14" t="s">
        <v>49</v>
      </c>
      <c r="O5056" s="14"/>
      <c r="P5056" s="15" t="s">
        <v>827</v>
      </c>
      <c r="Q5056" s="16">
        <v>12999</v>
      </c>
      <c r="R5056" s="17">
        <v>48.86</v>
      </c>
      <c r="S5056" s="18">
        <v>7644.9354999999996</v>
      </c>
      <c r="T5056" s="19" t="s">
        <v>51</v>
      </c>
      <c r="U5056" s="20" t="s">
        <v>58</v>
      </c>
      <c r="V5056" s="21">
        <v>48</v>
      </c>
      <c r="W5056" s="21">
        <v>3</v>
      </c>
      <c r="X5056" s="22"/>
    </row>
    <row r="5057" spans="1:24" s="1" customFormat="1" ht="36.950000000000003" customHeight="1" x14ac:dyDescent="0.3">
      <c r="A5057" s="23" t="s">
        <v>3560</v>
      </c>
      <c r="B5057" s="23" t="s">
        <v>4906</v>
      </c>
      <c r="C5057" s="12" t="s">
        <v>4907</v>
      </c>
      <c r="D5057" s="85"/>
      <c r="E5057" s="69" t="str">
        <f>HYPERLINK("https://www.google.ru/search?q=N1CWRS2-001&amp;newwindow=1&amp;tbm=isch","Еще фото")</f>
        <v>Еще фото</v>
      </c>
      <c r="F5057" s="13"/>
      <c r="G5057" s="23" t="s">
        <v>675</v>
      </c>
      <c r="H5057" s="23" t="s">
        <v>27</v>
      </c>
      <c r="I5057" s="23" t="s">
        <v>675</v>
      </c>
      <c r="J5057" s="14" t="s">
        <v>406</v>
      </c>
      <c r="K5057" s="15" t="s">
        <v>47</v>
      </c>
      <c r="L5057" s="88"/>
      <c r="M5057" s="14"/>
      <c r="N5057" s="14" t="s">
        <v>49</v>
      </c>
      <c r="O5057" s="14"/>
      <c r="P5057" s="15" t="s">
        <v>827</v>
      </c>
      <c r="Q5057" s="16">
        <v>12999</v>
      </c>
      <c r="R5057" s="17">
        <v>48.86</v>
      </c>
      <c r="S5057" s="18">
        <v>7644.9354999999996</v>
      </c>
      <c r="T5057" s="19" t="s">
        <v>51</v>
      </c>
      <c r="U5057" s="20" t="s">
        <v>52</v>
      </c>
      <c r="V5057" s="21">
        <v>50</v>
      </c>
      <c r="W5057" s="21">
        <v>2</v>
      </c>
      <c r="X5057" s="22"/>
    </row>
    <row r="5058" spans="1:24" s="1" customFormat="1" ht="108" customHeight="1" x14ac:dyDescent="0.3">
      <c r="A5058" s="11" t="s">
        <v>3560</v>
      </c>
      <c r="B5058" s="11" t="s">
        <v>4909</v>
      </c>
      <c r="C5058" s="12" t="s">
        <v>4910</v>
      </c>
      <c r="D5058" s="24"/>
      <c r="E5058" s="69" t="str">
        <f>HYPERLINK("https://www.google.ru/search?q=N1CMRS2-001&amp;newwindow=1&amp;tbm=isch","Еще фото")</f>
        <v>Еще фото</v>
      </c>
      <c r="F5058" s="13"/>
      <c r="G5058" s="11" t="s">
        <v>675</v>
      </c>
      <c r="H5058" s="11" t="s">
        <v>27</v>
      </c>
      <c r="I5058" s="14" t="s">
        <v>675</v>
      </c>
      <c r="J5058" s="14" t="s">
        <v>406</v>
      </c>
      <c r="K5058" s="15" t="s">
        <v>55</v>
      </c>
      <c r="L5058" s="14" t="s">
        <v>3628</v>
      </c>
      <c r="M5058" s="14"/>
      <c r="N5058" s="14" t="s">
        <v>49</v>
      </c>
      <c r="O5058" s="14"/>
      <c r="P5058" s="15" t="s">
        <v>827</v>
      </c>
      <c r="Q5058" s="16">
        <v>12999</v>
      </c>
      <c r="R5058" s="17">
        <v>45.38</v>
      </c>
      <c r="S5058" s="18">
        <v>8164.9884999999995</v>
      </c>
      <c r="T5058" s="19" t="s">
        <v>51</v>
      </c>
      <c r="U5058" s="20" t="s">
        <v>354</v>
      </c>
      <c r="V5058" s="21">
        <v>44</v>
      </c>
      <c r="W5058" s="21">
        <v>5</v>
      </c>
      <c r="X5058" s="22"/>
    </row>
    <row r="5059" spans="1:24" s="1" customFormat="1" ht="51.95" customHeight="1" x14ac:dyDescent="0.3">
      <c r="A5059" s="11" t="s">
        <v>2957</v>
      </c>
      <c r="B5059" s="11" t="s">
        <v>4911</v>
      </c>
      <c r="C5059" s="12" t="s">
        <v>4912</v>
      </c>
      <c r="D5059" s="89"/>
      <c r="E5059" s="69" t="str">
        <f>HYPERLINK("https://www.google.ru/search?q=512104-4410&amp;newwindow=1&amp;tbm=isch","Еще фото")</f>
        <v>Еще фото</v>
      </c>
      <c r="F5059" s="13"/>
      <c r="G5059" s="11" t="s">
        <v>4913</v>
      </c>
      <c r="H5059" s="11" t="s">
        <v>27</v>
      </c>
      <c r="I5059" s="14" t="s">
        <v>675</v>
      </c>
      <c r="J5059" s="14" t="s">
        <v>255</v>
      </c>
      <c r="K5059" s="15" t="s">
        <v>30</v>
      </c>
      <c r="L5059" s="86" t="s">
        <v>4914</v>
      </c>
      <c r="M5059" s="14"/>
      <c r="N5059" s="14" t="s">
        <v>275</v>
      </c>
      <c r="O5059" s="14"/>
      <c r="P5059" s="15" t="s">
        <v>193</v>
      </c>
      <c r="Q5059" s="16">
        <v>2199</v>
      </c>
      <c r="R5059" s="17">
        <v>45</v>
      </c>
      <c r="S5059" s="18">
        <v>1390.8674999999998</v>
      </c>
      <c r="T5059" s="19" t="s">
        <v>117</v>
      </c>
      <c r="U5059" s="20" t="s">
        <v>94</v>
      </c>
      <c r="V5059" s="21">
        <v>104</v>
      </c>
      <c r="W5059" s="21">
        <v>3</v>
      </c>
      <c r="X5059" s="22"/>
    </row>
    <row r="5060" spans="1:24" s="1" customFormat="1" ht="60.95" customHeight="1" x14ac:dyDescent="0.3">
      <c r="A5060" s="23" t="s">
        <v>2957</v>
      </c>
      <c r="B5060" s="23" t="s">
        <v>4911</v>
      </c>
      <c r="C5060" s="12" t="s">
        <v>4912</v>
      </c>
      <c r="D5060" s="90"/>
      <c r="E5060" s="69" t="str">
        <f>HYPERLINK("https://www.google.ru/search?q=512104-4410&amp;newwindow=1&amp;tbm=isch","Еще фото")</f>
        <v>Еще фото</v>
      </c>
      <c r="F5060" s="13"/>
      <c r="G5060" s="23" t="s">
        <v>4913</v>
      </c>
      <c r="H5060" s="23" t="s">
        <v>27</v>
      </c>
      <c r="I5060" s="23" t="s">
        <v>675</v>
      </c>
      <c r="J5060" s="14" t="s">
        <v>255</v>
      </c>
      <c r="K5060" s="15" t="s">
        <v>30</v>
      </c>
      <c r="L5060" s="88"/>
      <c r="M5060" s="14"/>
      <c r="N5060" s="14" t="s">
        <v>275</v>
      </c>
      <c r="O5060" s="14"/>
      <c r="P5060" s="15" t="s">
        <v>193</v>
      </c>
      <c r="Q5060" s="16">
        <v>2199</v>
      </c>
      <c r="R5060" s="17">
        <v>45</v>
      </c>
      <c r="S5060" s="18">
        <v>1390.8674999999998</v>
      </c>
      <c r="T5060" s="19" t="s">
        <v>117</v>
      </c>
      <c r="U5060" s="20" t="s">
        <v>43</v>
      </c>
      <c r="V5060" s="21">
        <v>110</v>
      </c>
      <c r="W5060" s="21">
        <v>2</v>
      </c>
      <c r="X5060" s="22"/>
    </row>
    <row r="5061" spans="1:24" s="1" customFormat="1" ht="12.95" customHeight="1" x14ac:dyDescent="0.3">
      <c r="A5061" s="11" t="s">
        <v>3014</v>
      </c>
      <c r="B5061" s="11" t="s">
        <v>4915</v>
      </c>
      <c r="C5061" s="12" t="s">
        <v>4916</v>
      </c>
      <c r="D5061" s="83"/>
      <c r="E5061" s="69" t="str">
        <f t="shared" ref="E5061:E5068" si="271">HYPERLINK("https://www.google.ru/search?q=7200057A-6930&amp;newwindow=1&amp;tbm=isch","Еще фото")</f>
        <v>Еще фото</v>
      </c>
      <c r="F5061" s="13"/>
      <c r="G5061" s="11" t="s">
        <v>4917</v>
      </c>
      <c r="H5061" s="11" t="s">
        <v>27</v>
      </c>
      <c r="I5061" s="14" t="s">
        <v>675</v>
      </c>
      <c r="J5061" s="14" t="s">
        <v>255</v>
      </c>
      <c r="K5061" s="15" t="s">
        <v>30</v>
      </c>
      <c r="L5061" s="86" t="s">
        <v>4918</v>
      </c>
      <c r="M5061" s="14"/>
      <c r="N5061" s="14" t="s">
        <v>70</v>
      </c>
      <c r="O5061" s="14"/>
      <c r="P5061" s="15" t="s">
        <v>193</v>
      </c>
      <c r="Q5061" s="16">
        <v>3199</v>
      </c>
      <c r="R5061" s="17">
        <v>45</v>
      </c>
      <c r="S5061" s="18">
        <v>2023.3674999999998</v>
      </c>
      <c r="T5061" s="19" t="s">
        <v>117</v>
      </c>
      <c r="U5061" s="26" t="s">
        <v>94</v>
      </c>
      <c r="V5061" s="21">
        <v>104</v>
      </c>
      <c r="W5061" s="21">
        <v>2</v>
      </c>
      <c r="X5061" s="22"/>
    </row>
    <row r="5062" spans="1:24" s="1" customFormat="1" ht="12.95" customHeight="1" x14ac:dyDescent="0.3">
      <c r="A5062" s="23" t="s">
        <v>3014</v>
      </c>
      <c r="B5062" s="23" t="s">
        <v>4915</v>
      </c>
      <c r="C5062" s="12" t="s">
        <v>4916</v>
      </c>
      <c r="D5062" s="84"/>
      <c r="E5062" s="69" t="str">
        <f t="shared" si="271"/>
        <v>Еще фото</v>
      </c>
      <c r="F5062" s="13"/>
      <c r="G5062" s="23" t="s">
        <v>4917</v>
      </c>
      <c r="H5062" s="23" t="s">
        <v>27</v>
      </c>
      <c r="I5062" s="23" t="s">
        <v>675</v>
      </c>
      <c r="J5062" s="14" t="s">
        <v>255</v>
      </c>
      <c r="K5062" s="15" t="s">
        <v>30</v>
      </c>
      <c r="L5062" s="87"/>
      <c r="M5062" s="14"/>
      <c r="N5062" s="14" t="s">
        <v>70</v>
      </c>
      <c r="O5062" s="14"/>
      <c r="P5062" s="15" t="s">
        <v>193</v>
      </c>
      <c r="Q5062" s="16">
        <v>3199</v>
      </c>
      <c r="R5062" s="17">
        <v>45</v>
      </c>
      <c r="S5062" s="18">
        <v>2023.3674999999998</v>
      </c>
      <c r="T5062" s="19" t="s">
        <v>117</v>
      </c>
      <c r="U5062" s="20" t="s">
        <v>43</v>
      </c>
      <c r="V5062" s="21">
        <v>110</v>
      </c>
      <c r="W5062" s="21">
        <v>2</v>
      </c>
      <c r="X5062" s="22"/>
    </row>
    <row r="5063" spans="1:24" s="1" customFormat="1" ht="12.95" customHeight="1" x14ac:dyDescent="0.3">
      <c r="A5063" s="23" t="s">
        <v>3014</v>
      </c>
      <c r="B5063" s="23" t="s">
        <v>4915</v>
      </c>
      <c r="C5063" s="12" t="s">
        <v>4916</v>
      </c>
      <c r="D5063" s="84"/>
      <c r="E5063" s="69" t="str">
        <f t="shared" si="271"/>
        <v>Еще фото</v>
      </c>
      <c r="F5063" s="13"/>
      <c r="G5063" s="23" t="s">
        <v>4917</v>
      </c>
      <c r="H5063" s="23" t="s">
        <v>27</v>
      </c>
      <c r="I5063" s="23" t="s">
        <v>675</v>
      </c>
      <c r="J5063" s="14" t="s">
        <v>255</v>
      </c>
      <c r="K5063" s="15" t="s">
        <v>30</v>
      </c>
      <c r="L5063" s="87"/>
      <c r="M5063" s="14"/>
      <c r="N5063" s="14" t="s">
        <v>70</v>
      </c>
      <c r="O5063" s="14"/>
      <c r="P5063" s="15" t="s">
        <v>193</v>
      </c>
      <c r="Q5063" s="16">
        <v>3199</v>
      </c>
      <c r="R5063" s="17">
        <v>45</v>
      </c>
      <c r="S5063" s="18">
        <v>2023.3674999999998</v>
      </c>
      <c r="T5063" s="19" t="s">
        <v>117</v>
      </c>
      <c r="U5063" s="20" t="s">
        <v>35</v>
      </c>
      <c r="V5063" s="21">
        <v>116</v>
      </c>
      <c r="W5063" s="21">
        <v>2</v>
      </c>
      <c r="X5063" s="22"/>
    </row>
    <row r="5064" spans="1:24" s="1" customFormat="1" ht="12.95" customHeight="1" x14ac:dyDescent="0.3">
      <c r="A5064" s="23" t="s">
        <v>3014</v>
      </c>
      <c r="B5064" s="23" t="s">
        <v>4915</v>
      </c>
      <c r="C5064" s="12" t="s">
        <v>4916</v>
      </c>
      <c r="D5064" s="84"/>
      <c r="E5064" s="69" t="str">
        <f t="shared" si="271"/>
        <v>Еще фото</v>
      </c>
      <c r="F5064" s="13"/>
      <c r="G5064" s="23" t="s">
        <v>4917</v>
      </c>
      <c r="H5064" s="23" t="s">
        <v>27</v>
      </c>
      <c r="I5064" s="23" t="s">
        <v>675</v>
      </c>
      <c r="J5064" s="14" t="s">
        <v>255</v>
      </c>
      <c r="K5064" s="15" t="s">
        <v>30</v>
      </c>
      <c r="L5064" s="87"/>
      <c r="M5064" s="14"/>
      <c r="N5064" s="14" t="s">
        <v>70</v>
      </c>
      <c r="O5064" s="14"/>
      <c r="P5064" s="15" t="s">
        <v>193</v>
      </c>
      <c r="Q5064" s="16">
        <v>3199</v>
      </c>
      <c r="R5064" s="17">
        <v>45</v>
      </c>
      <c r="S5064" s="18">
        <v>2023.3674999999998</v>
      </c>
      <c r="T5064" s="19" t="s">
        <v>117</v>
      </c>
      <c r="U5064" s="20" t="s">
        <v>36</v>
      </c>
      <c r="V5064" s="21">
        <v>122</v>
      </c>
      <c r="W5064" s="21">
        <v>2</v>
      </c>
      <c r="X5064" s="22"/>
    </row>
    <row r="5065" spans="1:24" s="1" customFormat="1" ht="12.95" customHeight="1" x14ac:dyDescent="0.3">
      <c r="A5065" s="23" t="s">
        <v>3014</v>
      </c>
      <c r="B5065" s="23" t="s">
        <v>4915</v>
      </c>
      <c r="C5065" s="12" t="s">
        <v>4916</v>
      </c>
      <c r="D5065" s="84"/>
      <c r="E5065" s="69" t="str">
        <f t="shared" si="271"/>
        <v>Еще фото</v>
      </c>
      <c r="F5065" s="13"/>
      <c r="G5065" s="23" t="s">
        <v>4917</v>
      </c>
      <c r="H5065" s="23" t="s">
        <v>27</v>
      </c>
      <c r="I5065" s="23" t="s">
        <v>675</v>
      </c>
      <c r="J5065" s="14" t="s">
        <v>255</v>
      </c>
      <c r="K5065" s="15" t="s">
        <v>30</v>
      </c>
      <c r="L5065" s="87"/>
      <c r="M5065" s="14"/>
      <c r="N5065" s="14" t="s">
        <v>70</v>
      </c>
      <c r="O5065" s="14"/>
      <c r="P5065" s="15" t="s">
        <v>193</v>
      </c>
      <c r="Q5065" s="16">
        <v>3199</v>
      </c>
      <c r="R5065" s="17">
        <v>45</v>
      </c>
      <c r="S5065" s="18">
        <v>2023.3674999999998</v>
      </c>
      <c r="T5065" s="19" t="s">
        <v>117</v>
      </c>
      <c r="U5065" s="20" t="s">
        <v>37</v>
      </c>
      <c r="V5065" s="21">
        <v>128</v>
      </c>
      <c r="W5065" s="21">
        <v>4</v>
      </c>
      <c r="X5065" s="22"/>
    </row>
    <row r="5066" spans="1:24" s="1" customFormat="1" ht="12.95" customHeight="1" x14ac:dyDescent="0.3">
      <c r="A5066" s="23" t="s">
        <v>3014</v>
      </c>
      <c r="B5066" s="23" t="s">
        <v>4915</v>
      </c>
      <c r="C5066" s="12" t="s">
        <v>4916</v>
      </c>
      <c r="D5066" s="84"/>
      <c r="E5066" s="69" t="str">
        <f t="shared" si="271"/>
        <v>Еще фото</v>
      </c>
      <c r="F5066" s="13"/>
      <c r="G5066" s="23" t="s">
        <v>4917</v>
      </c>
      <c r="H5066" s="23" t="s">
        <v>27</v>
      </c>
      <c r="I5066" s="23" t="s">
        <v>675</v>
      </c>
      <c r="J5066" s="14" t="s">
        <v>255</v>
      </c>
      <c r="K5066" s="15" t="s">
        <v>30</v>
      </c>
      <c r="L5066" s="87"/>
      <c r="M5066" s="14"/>
      <c r="N5066" s="14" t="s">
        <v>70</v>
      </c>
      <c r="O5066" s="14"/>
      <c r="P5066" s="15" t="s">
        <v>193</v>
      </c>
      <c r="Q5066" s="16">
        <v>3199</v>
      </c>
      <c r="R5066" s="17">
        <v>45</v>
      </c>
      <c r="S5066" s="18">
        <v>2023.3674999999998</v>
      </c>
      <c r="T5066" s="19" t="s">
        <v>117</v>
      </c>
      <c r="U5066" s="20" t="s">
        <v>91</v>
      </c>
      <c r="V5066" s="21">
        <v>134</v>
      </c>
      <c r="W5066" s="21">
        <v>2</v>
      </c>
      <c r="X5066" s="22"/>
    </row>
    <row r="5067" spans="1:24" s="1" customFormat="1" ht="12.95" customHeight="1" x14ac:dyDescent="0.3">
      <c r="A5067" s="23" t="s">
        <v>3014</v>
      </c>
      <c r="B5067" s="23" t="s">
        <v>4915</v>
      </c>
      <c r="C5067" s="12" t="s">
        <v>4916</v>
      </c>
      <c r="D5067" s="84"/>
      <c r="E5067" s="69" t="str">
        <f t="shared" si="271"/>
        <v>Еще фото</v>
      </c>
      <c r="F5067" s="13"/>
      <c r="G5067" s="23" t="s">
        <v>4917</v>
      </c>
      <c r="H5067" s="23" t="s">
        <v>27</v>
      </c>
      <c r="I5067" s="23" t="s">
        <v>675</v>
      </c>
      <c r="J5067" s="14" t="s">
        <v>255</v>
      </c>
      <c r="K5067" s="15" t="s">
        <v>30</v>
      </c>
      <c r="L5067" s="87"/>
      <c r="M5067" s="14"/>
      <c r="N5067" s="14" t="s">
        <v>70</v>
      </c>
      <c r="O5067" s="14"/>
      <c r="P5067" s="15" t="s">
        <v>193</v>
      </c>
      <c r="Q5067" s="16">
        <v>3199</v>
      </c>
      <c r="R5067" s="17">
        <v>45</v>
      </c>
      <c r="S5067" s="18">
        <v>2023.3674999999998</v>
      </c>
      <c r="T5067" s="19" t="s">
        <v>117</v>
      </c>
      <c r="U5067" s="20" t="s">
        <v>290</v>
      </c>
      <c r="V5067" s="21">
        <v>140</v>
      </c>
      <c r="W5067" s="21">
        <v>1</v>
      </c>
      <c r="X5067" s="22"/>
    </row>
    <row r="5068" spans="1:24" s="1" customFormat="1" ht="18" customHeight="1" x14ac:dyDescent="0.3">
      <c r="A5068" s="23" t="s">
        <v>3014</v>
      </c>
      <c r="B5068" s="23" t="s">
        <v>4915</v>
      </c>
      <c r="C5068" s="12" t="s">
        <v>4916</v>
      </c>
      <c r="D5068" s="85"/>
      <c r="E5068" s="69" t="str">
        <f t="shared" si="271"/>
        <v>Еще фото</v>
      </c>
      <c r="F5068" s="13"/>
      <c r="G5068" s="23" t="s">
        <v>4917</v>
      </c>
      <c r="H5068" s="23" t="s">
        <v>27</v>
      </c>
      <c r="I5068" s="23" t="s">
        <v>675</v>
      </c>
      <c r="J5068" s="14" t="s">
        <v>255</v>
      </c>
      <c r="K5068" s="15" t="s">
        <v>30</v>
      </c>
      <c r="L5068" s="88"/>
      <c r="M5068" s="14"/>
      <c r="N5068" s="14" t="s">
        <v>70</v>
      </c>
      <c r="O5068" s="14"/>
      <c r="P5068" s="15" t="s">
        <v>193</v>
      </c>
      <c r="Q5068" s="16">
        <v>3199</v>
      </c>
      <c r="R5068" s="17">
        <v>45</v>
      </c>
      <c r="S5068" s="18">
        <v>2023.3674999999998</v>
      </c>
      <c r="T5068" s="19" t="s">
        <v>117</v>
      </c>
      <c r="U5068" s="20" t="s">
        <v>2993</v>
      </c>
      <c r="V5068" s="21">
        <v>146</v>
      </c>
      <c r="W5068" s="21">
        <v>2</v>
      </c>
      <c r="X5068" s="22"/>
    </row>
    <row r="5069" spans="1:24" s="1" customFormat="1" ht="14.1" customHeight="1" x14ac:dyDescent="0.3">
      <c r="A5069" s="11" t="s">
        <v>3014</v>
      </c>
      <c r="B5069" s="11" t="s">
        <v>4915</v>
      </c>
      <c r="C5069" s="12" t="s">
        <v>4919</v>
      </c>
      <c r="D5069" s="83"/>
      <c r="E5069" s="69" t="str">
        <f t="shared" ref="E5069:E5075" si="272">HYPERLINK("https://www.google.ru/search?q=7200057A-6961&amp;newwindow=1&amp;tbm=isch","Еще фото")</f>
        <v>Еще фото</v>
      </c>
      <c r="F5069" s="13"/>
      <c r="G5069" s="11" t="s">
        <v>4917</v>
      </c>
      <c r="H5069" s="11" t="s">
        <v>27</v>
      </c>
      <c r="I5069" s="14" t="s">
        <v>675</v>
      </c>
      <c r="J5069" s="14" t="s">
        <v>255</v>
      </c>
      <c r="K5069" s="15" t="s">
        <v>30</v>
      </c>
      <c r="L5069" s="86" t="s">
        <v>4920</v>
      </c>
      <c r="M5069" s="14"/>
      <c r="N5069" s="14" t="s">
        <v>70</v>
      </c>
      <c r="O5069" s="14"/>
      <c r="P5069" s="15" t="s">
        <v>193</v>
      </c>
      <c r="Q5069" s="16">
        <v>3199</v>
      </c>
      <c r="R5069" s="17">
        <v>45</v>
      </c>
      <c r="S5069" s="18">
        <v>2023.3674999999998</v>
      </c>
      <c r="T5069" s="19" t="s">
        <v>117</v>
      </c>
      <c r="U5069" s="20" t="s">
        <v>94</v>
      </c>
      <c r="V5069" s="21">
        <v>104</v>
      </c>
      <c r="W5069" s="21">
        <v>1</v>
      </c>
      <c r="X5069" s="22"/>
    </row>
    <row r="5070" spans="1:24" s="1" customFormat="1" ht="14.1" customHeight="1" x14ac:dyDescent="0.3">
      <c r="A5070" s="23" t="s">
        <v>3014</v>
      </c>
      <c r="B5070" s="23" t="s">
        <v>4915</v>
      </c>
      <c r="C5070" s="12" t="s">
        <v>4919</v>
      </c>
      <c r="D5070" s="84"/>
      <c r="E5070" s="69" t="str">
        <f t="shared" si="272"/>
        <v>Еще фото</v>
      </c>
      <c r="F5070" s="13"/>
      <c r="G5070" s="23" t="s">
        <v>4917</v>
      </c>
      <c r="H5070" s="23" t="s">
        <v>27</v>
      </c>
      <c r="I5070" s="23" t="s">
        <v>675</v>
      </c>
      <c r="J5070" s="14" t="s">
        <v>255</v>
      </c>
      <c r="K5070" s="15" t="s">
        <v>30</v>
      </c>
      <c r="L5070" s="87"/>
      <c r="M5070" s="14"/>
      <c r="N5070" s="14" t="s">
        <v>70</v>
      </c>
      <c r="O5070" s="14"/>
      <c r="P5070" s="15" t="s">
        <v>193</v>
      </c>
      <c r="Q5070" s="16">
        <v>3199</v>
      </c>
      <c r="R5070" s="17">
        <v>45</v>
      </c>
      <c r="S5070" s="18">
        <v>2023.3674999999998</v>
      </c>
      <c r="T5070" s="19" t="s">
        <v>117</v>
      </c>
      <c r="U5070" s="20" t="s">
        <v>43</v>
      </c>
      <c r="V5070" s="21">
        <v>110</v>
      </c>
      <c r="W5070" s="21">
        <v>2</v>
      </c>
      <c r="X5070" s="22"/>
    </row>
    <row r="5071" spans="1:24" s="1" customFormat="1" ht="14.1" customHeight="1" x14ac:dyDescent="0.3">
      <c r="A5071" s="23" t="s">
        <v>3014</v>
      </c>
      <c r="B5071" s="23" t="s">
        <v>4915</v>
      </c>
      <c r="C5071" s="12" t="s">
        <v>4919</v>
      </c>
      <c r="D5071" s="84"/>
      <c r="E5071" s="69" t="str">
        <f t="shared" si="272"/>
        <v>Еще фото</v>
      </c>
      <c r="F5071" s="13"/>
      <c r="G5071" s="23" t="s">
        <v>4917</v>
      </c>
      <c r="H5071" s="23" t="s">
        <v>27</v>
      </c>
      <c r="I5071" s="23" t="s">
        <v>675</v>
      </c>
      <c r="J5071" s="14" t="s">
        <v>255</v>
      </c>
      <c r="K5071" s="15" t="s">
        <v>30</v>
      </c>
      <c r="L5071" s="87"/>
      <c r="M5071" s="14"/>
      <c r="N5071" s="14" t="s">
        <v>70</v>
      </c>
      <c r="O5071" s="14"/>
      <c r="P5071" s="15" t="s">
        <v>193</v>
      </c>
      <c r="Q5071" s="16">
        <v>3199</v>
      </c>
      <c r="R5071" s="17">
        <v>45</v>
      </c>
      <c r="S5071" s="18">
        <v>2023.3674999999998</v>
      </c>
      <c r="T5071" s="19" t="s">
        <v>117</v>
      </c>
      <c r="U5071" s="20" t="s">
        <v>35</v>
      </c>
      <c r="V5071" s="21">
        <v>116</v>
      </c>
      <c r="W5071" s="21">
        <v>1</v>
      </c>
      <c r="X5071" s="22"/>
    </row>
    <row r="5072" spans="1:24" s="1" customFormat="1" ht="14.1" customHeight="1" x14ac:dyDescent="0.3">
      <c r="A5072" s="23" t="s">
        <v>3014</v>
      </c>
      <c r="B5072" s="23" t="s">
        <v>4915</v>
      </c>
      <c r="C5072" s="12" t="s">
        <v>4919</v>
      </c>
      <c r="D5072" s="84"/>
      <c r="E5072" s="69" t="str">
        <f t="shared" si="272"/>
        <v>Еще фото</v>
      </c>
      <c r="F5072" s="13"/>
      <c r="G5072" s="23" t="s">
        <v>4917</v>
      </c>
      <c r="H5072" s="23" t="s">
        <v>27</v>
      </c>
      <c r="I5072" s="23" t="s">
        <v>675</v>
      </c>
      <c r="J5072" s="14" t="s">
        <v>255</v>
      </c>
      <c r="K5072" s="15" t="s">
        <v>30</v>
      </c>
      <c r="L5072" s="87"/>
      <c r="M5072" s="14"/>
      <c r="N5072" s="14" t="s">
        <v>70</v>
      </c>
      <c r="O5072" s="14"/>
      <c r="P5072" s="15" t="s">
        <v>193</v>
      </c>
      <c r="Q5072" s="16">
        <v>3199</v>
      </c>
      <c r="R5072" s="17">
        <v>45</v>
      </c>
      <c r="S5072" s="18">
        <v>2023.3674999999998</v>
      </c>
      <c r="T5072" s="19" t="s">
        <v>117</v>
      </c>
      <c r="U5072" s="20" t="s">
        <v>36</v>
      </c>
      <c r="V5072" s="21">
        <v>122</v>
      </c>
      <c r="W5072" s="21">
        <v>2</v>
      </c>
      <c r="X5072" s="22"/>
    </row>
    <row r="5073" spans="1:24" s="1" customFormat="1" ht="14.1" customHeight="1" x14ac:dyDescent="0.3">
      <c r="A5073" s="23" t="s">
        <v>3014</v>
      </c>
      <c r="B5073" s="23" t="s">
        <v>4915</v>
      </c>
      <c r="C5073" s="12" t="s">
        <v>4919</v>
      </c>
      <c r="D5073" s="84"/>
      <c r="E5073" s="69" t="str">
        <f t="shared" si="272"/>
        <v>Еще фото</v>
      </c>
      <c r="F5073" s="13"/>
      <c r="G5073" s="23" t="s">
        <v>4917</v>
      </c>
      <c r="H5073" s="23" t="s">
        <v>27</v>
      </c>
      <c r="I5073" s="23" t="s">
        <v>675</v>
      </c>
      <c r="J5073" s="14" t="s">
        <v>255</v>
      </c>
      <c r="K5073" s="15" t="s">
        <v>30</v>
      </c>
      <c r="L5073" s="87"/>
      <c r="M5073" s="14"/>
      <c r="N5073" s="14" t="s">
        <v>70</v>
      </c>
      <c r="O5073" s="14"/>
      <c r="P5073" s="15" t="s">
        <v>193</v>
      </c>
      <c r="Q5073" s="16">
        <v>3199</v>
      </c>
      <c r="R5073" s="17">
        <v>45</v>
      </c>
      <c r="S5073" s="18">
        <v>2023.3674999999998</v>
      </c>
      <c r="T5073" s="19" t="s">
        <v>117</v>
      </c>
      <c r="U5073" s="20" t="s">
        <v>37</v>
      </c>
      <c r="V5073" s="21">
        <v>128</v>
      </c>
      <c r="W5073" s="21">
        <v>3</v>
      </c>
      <c r="X5073" s="22"/>
    </row>
    <row r="5074" spans="1:24" s="1" customFormat="1" ht="14.1" customHeight="1" x14ac:dyDescent="0.3">
      <c r="A5074" s="23" t="s">
        <v>3014</v>
      </c>
      <c r="B5074" s="23" t="s">
        <v>4915</v>
      </c>
      <c r="C5074" s="12" t="s">
        <v>4919</v>
      </c>
      <c r="D5074" s="84"/>
      <c r="E5074" s="69" t="str">
        <f t="shared" si="272"/>
        <v>Еще фото</v>
      </c>
      <c r="F5074" s="13"/>
      <c r="G5074" s="23" t="s">
        <v>4917</v>
      </c>
      <c r="H5074" s="23" t="s">
        <v>27</v>
      </c>
      <c r="I5074" s="23" t="s">
        <v>675</v>
      </c>
      <c r="J5074" s="14" t="s">
        <v>255</v>
      </c>
      <c r="K5074" s="15" t="s">
        <v>30</v>
      </c>
      <c r="L5074" s="87"/>
      <c r="M5074" s="14"/>
      <c r="N5074" s="14" t="s">
        <v>70</v>
      </c>
      <c r="O5074" s="14"/>
      <c r="P5074" s="15" t="s">
        <v>193</v>
      </c>
      <c r="Q5074" s="16">
        <v>3199</v>
      </c>
      <c r="R5074" s="17">
        <v>45</v>
      </c>
      <c r="S5074" s="18">
        <v>2023.3674999999998</v>
      </c>
      <c r="T5074" s="19" t="s">
        <v>117</v>
      </c>
      <c r="U5074" s="20" t="s">
        <v>91</v>
      </c>
      <c r="V5074" s="21">
        <v>134</v>
      </c>
      <c r="W5074" s="21">
        <v>2</v>
      </c>
      <c r="X5074" s="22"/>
    </row>
    <row r="5075" spans="1:24" s="1" customFormat="1" ht="17.100000000000001" customHeight="1" x14ac:dyDescent="0.3">
      <c r="A5075" s="23" t="s">
        <v>3014</v>
      </c>
      <c r="B5075" s="23" t="s">
        <v>4915</v>
      </c>
      <c r="C5075" s="12" t="s">
        <v>4919</v>
      </c>
      <c r="D5075" s="85"/>
      <c r="E5075" s="69" t="str">
        <f t="shared" si="272"/>
        <v>Еще фото</v>
      </c>
      <c r="F5075" s="13"/>
      <c r="G5075" s="23" t="s">
        <v>4917</v>
      </c>
      <c r="H5075" s="23" t="s">
        <v>27</v>
      </c>
      <c r="I5075" s="23" t="s">
        <v>675</v>
      </c>
      <c r="J5075" s="14" t="s">
        <v>255</v>
      </c>
      <c r="K5075" s="15" t="s">
        <v>30</v>
      </c>
      <c r="L5075" s="88"/>
      <c r="M5075" s="14"/>
      <c r="N5075" s="14" t="s">
        <v>70</v>
      </c>
      <c r="O5075" s="14"/>
      <c r="P5075" s="15" t="s">
        <v>193</v>
      </c>
      <c r="Q5075" s="16">
        <v>3199</v>
      </c>
      <c r="R5075" s="17">
        <v>45</v>
      </c>
      <c r="S5075" s="18">
        <v>2023.3674999999998</v>
      </c>
      <c r="T5075" s="19" t="s">
        <v>117</v>
      </c>
      <c r="U5075" s="20" t="s">
        <v>2993</v>
      </c>
      <c r="V5075" s="21">
        <v>146</v>
      </c>
      <c r="W5075" s="21">
        <v>3</v>
      </c>
      <c r="X5075" s="22"/>
    </row>
    <row r="5076" spans="1:24" s="1" customFormat="1" ht="17.100000000000001" customHeight="1" x14ac:dyDescent="0.3">
      <c r="A5076" s="11" t="s">
        <v>3014</v>
      </c>
      <c r="B5076" s="11" t="s">
        <v>4915</v>
      </c>
      <c r="C5076" s="12" t="s">
        <v>4921</v>
      </c>
      <c r="D5076" s="83"/>
      <c r="E5076" s="69" t="str">
        <f t="shared" ref="E5076:E5081" si="273">HYPERLINK("https://www.google.ru/search?q=7200057A-7850&amp;newwindow=1&amp;tbm=isch","Еще фото")</f>
        <v>Еще фото</v>
      </c>
      <c r="F5076" s="13"/>
      <c r="G5076" s="11" t="s">
        <v>4917</v>
      </c>
      <c r="H5076" s="11" t="s">
        <v>27</v>
      </c>
      <c r="I5076" s="14" t="s">
        <v>675</v>
      </c>
      <c r="J5076" s="14" t="s">
        <v>255</v>
      </c>
      <c r="K5076" s="15" t="s">
        <v>30</v>
      </c>
      <c r="L5076" s="86" t="s">
        <v>4918</v>
      </c>
      <c r="M5076" s="14"/>
      <c r="N5076" s="14" t="s">
        <v>242</v>
      </c>
      <c r="O5076" s="14"/>
      <c r="P5076" s="15" t="s">
        <v>193</v>
      </c>
      <c r="Q5076" s="16">
        <v>3199</v>
      </c>
      <c r="R5076" s="17">
        <v>45</v>
      </c>
      <c r="S5076" s="18">
        <v>2023.3674999999998</v>
      </c>
      <c r="T5076" s="19" t="s">
        <v>117</v>
      </c>
      <c r="U5076" s="20" t="s">
        <v>94</v>
      </c>
      <c r="V5076" s="21">
        <v>104</v>
      </c>
      <c r="W5076" s="21">
        <v>2</v>
      </c>
      <c r="X5076" s="22"/>
    </row>
    <row r="5077" spans="1:24" s="1" customFormat="1" ht="17.100000000000001" customHeight="1" x14ac:dyDescent="0.3">
      <c r="A5077" s="23" t="s">
        <v>3014</v>
      </c>
      <c r="B5077" s="23" t="s">
        <v>4915</v>
      </c>
      <c r="C5077" s="12" t="s">
        <v>4921</v>
      </c>
      <c r="D5077" s="84"/>
      <c r="E5077" s="69" t="str">
        <f t="shared" si="273"/>
        <v>Еще фото</v>
      </c>
      <c r="F5077" s="13"/>
      <c r="G5077" s="23" t="s">
        <v>4917</v>
      </c>
      <c r="H5077" s="23" t="s">
        <v>27</v>
      </c>
      <c r="I5077" s="23" t="s">
        <v>675</v>
      </c>
      <c r="J5077" s="14" t="s">
        <v>255</v>
      </c>
      <c r="K5077" s="15" t="s">
        <v>30</v>
      </c>
      <c r="L5077" s="87"/>
      <c r="M5077" s="14"/>
      <c r="N5077" s="14" t="s">
        <v>242</v>
      </c>
      <c r="O5077" s="14"/>
      <c r="P5077" s="15" t="s">
        <v>193</v>
      </c>
      <c r="Q5077" s="16">
        <v>3199</v>
      </c>
      <c r="R5077" s="17">
        <v>45</v>
      </c>
      <c r="S5077" s="18">
        <v>2023.3674999999998</v>
      </c>
      <c r="T5077" s="19" t="s">
        <v>117</v>
      </c>
      <c r="U5077" s="20" t="s">
        <v>36</v>
      </c>
      <c r="V5077" s="21">
        <v>122</v>
      </c>
      <c r="W5077" s="21">
        <v>1</v>
      </c>
      <c r="X5077" s="22"/>
    </row>
    <row r="5078" spans="1:24" s="1" customFormat="1" ht="17.100000000000001" customHeight="1" x14ac:dyDescent="0.3">
      <c r="A5078" s="23" t="s">
        <v>3014</v>
      </c>
      <c r="B5078" s="23" t="s">
        <v>4915</v>
      </c>
      <c r="C5078" s="12" t="s">
        <v>4921</v>
      </c>
      <c r="D5078" s="84"/>
      <c r="E5078" s="69" t="str">
        <f t="shared" si="273"/>
        <v>Еще фото</v>
      </c>
      <c r="F5078" s="13"/>
      <c r="G5078" s="23" t="s">
        <v>4917</v>
      </c>
      <c r="H5078" s="23" t="s">
        <v>27</v>
      </c>
      <c r="I5078" s="23" t="s">
        <v>675</v>
      </c>
      <c r="J5078" s="14" t="s">
        <v>255</v>
      </c>
      <c r="K5078" s="15" t="s">
        <v>30</v>
      </c>
      <c r="L5078" s="87"/>
      <c r="M5078" s="14"/>
      <c r="N5078" s="14" t="s">
        <v>242</v>
      </c>
      <c r="O5078" s="14"/>
      <c r="P5078" s="15" t="s">
        <v>193</v>
      </c>
      <c r="Q5078" s="16">
        <v>3199</v>
      </c>
      <c r="R5078" s="17">
        <v>45</v>
      </c>
      <c r="S5078" s="18">
        <v>2023.3674999999998</v>
      </c>
      <c r="T5078" s="19" t="s">
        <v>117</v>
      </c>
      <c r="U5078" s="20" t="s">
        <v>37</v>
      </c>
      <c r="V5078" s="21">
        <v>128</v>
      </c>
      <c r="W5078" s="21">
        <v>2</v>
      </c>
      <c r="X5078" s="22"/>
    </row>
    <row r="5079" spans="1:24" s="1" customFormat="1" ht="17.100000000000001" customHeight="1" x14ac:dyDescent="0.3">
      <c r="A5079" s="23" t="s">
        <v>3014</v>
      </c>
      <c r="B5079" s="23" t="s">
        <v>4915</v>
      </c>
      <c r="C5079" s="12" t="s">
        <v>4921</v>
      </c>
      <c r="D5079" s="84"/>
      <c r="E5079" s="69" t="str">
        <f t="shared" si="273"/>
        <v>Еще фото</v>
      </c>
      <c r="F5079" s="13"/>
      <c r="G5079" s="23" t="s">
        <v>4917</v>
      </c>
      <c r="H5079" s="23" t="s">
        <v>27</v>
      </c>
      <c r="I5079" s="23" t="s">
        <v>675</v>
      </c>
      <c r="J5079" s="14" t="s">
        <v>255</v>
      </c>
      <c r="K5079" s="15" t="s">
        <v>30</v>
      </c>
      <c r="L5079" s="87"/>
      <c r="M5079" s="14"/>
      <c r="N5079" s="14" t="s">
        <v>242</v>
      </c>
      <c r="O5079" s="14"/>
      <c r="P5079" s="15" t="s">
        <v>193</v>
      </c>
      <c r="Q5079" s="16">
        <v>3199</v>
      </c>
      <c r="R5079" s="17">
        <v>45</v>
      </c>
      <c r="S5079" s="18">
        <v>2023.3674999999998</v>
      </c>
      <c r="T5079" s="19" t="s">
        <v>117</v>
      </c>
      <c r="U5079" s="20" t="s">
        <v>91</v>
      </c>
      <c r="V5079" s="21">
        <v>134</v>
      </c>
      <c r="W5079" s="21">
        <v>1</v>
      </c>
      <c r="X5079" s="22"/>
    </row>
    <row r="5080" spans="1:24" s="1" customFormat="1" ht="17.100000000000001" customHeight="1" x14ac:dyDescent="0.3">
      <c r="A5080" s="23" t="s">
        <v>3014</v>
      </c>
      <c r="B5080" s="23" t="s">
        <v>4915</v>
      </c>
      <c r="C5080" s="12" t="s">
        <v>4921</v>
      </c>
      <c r="D5080" s="84"/>
      <c r="E5080" s="69" t="str">
        <f t="shared" si="273"/>
        <v>Еще фото</v>
      </c>
      <c r="F5080" s="13"/>
      <c r="G5080" s="23" t="s">
        <v>4917</v>
      </c>
      <c r="H5080" s="23" t="s">
        <v>27</v>
      </c>
      <c r="I5080" s="23" t="s">
        <v>675</v>
      </c>
      <c r="J5080" s="14" t="s">
        <v>255</v>
      </c>
      <c r="K5080" s="15" t="s">
        <v>30</v>
      </c>
      <c r="L5080" s="87"/>
      <c r="M5080" s="14"/>
      <c r="N5080" s="14" t="s">
        <v>242</v>
      </c>
      <c r="O5080" s="14"/>
      <c r="P5080" s="15" t="s">
        <v>193</v>
      </c>
      <c r="Q5080" s="16">
        <v>3199</v>
      </c>
      <c r="R5080" s="17">
        <v>45</v>
      </c>
      <c r="S5080" s="18">
        <v>2023.3674999999998</v>
      </c>
      <c r="T5080" s="19" t="s">
        <v>117</v>
      </c>
      <c r="U5080" s="20" t="s">
        <v>290</v>
      </c>
      <c r="V5080" s="21">
        <v>140</v>
      </c>
      <c r="W5080" s="21">
        <v>2</v>
      </c>
      <c r="X5080" s="22"/>
    </row>
    <row r="5081" spans="1:24" s="1" customFormat="1" ht="21.95" customHeight="1" x14ac:dyDescent="0.3">
      <c r="A5081" s="23" t="s">
        <v>3014</v>
      </c>
      <c r="B5081" s="23" t="s">
        <v>4915</v>
      </c>
      <c r="C5081" s="12" t="s">
        <v>4921</v>
      </c>
      <c r="D5081" s="85"/>
      <c r="E5081" s="69" t="str">
        <f t="shared" si="273"/>
        <v>Еще фото</v>
      </c>
      <c r="F5081" s="13"/>
      <c r="G5081" s="23" t="s">
        <v>4917</v>
      </c>
      <c r="H5081" s="23" t="s">
        <v>27</v>
      </c>
      <c r="I5081" s="23" t="s">
        <v>675</v>
      </c>
      <c r="J5081" s="14" t="s">
        <v>255</v>
      </c>
      <c r="K5081" s="15" t="s">
        <v>30</v>
      </c>
      <c r="L5081" s="88"/>
      <c r="M5081" s="14"/>
      <c r="N5081" s="14" t="s">
        <v>242</v>
      </c>
      <c r="O5081" s="14"/>
      <c r="P5081" s="15" t="s">
        <v>193</v>
      </c>
      <c r="Q5081" s="16">
        <v>3199</v>
      </c>
      <c r="R5081" s="17">
        <v>45</v>
      </c>
      <c r="S5081" s="18">
        <v>2023.3674999999998</v>
      </c>
      <c r="T5081" s="19" t="s">
        <v>117</v>
      </c>
      <c r="U5081" s="20" t="s">
        <v>2993</v>
      </c>
      <c r="V5081" s="21">
        <v>146</v>
      </c>
      <c r="W5081" s="21">
        <v>3</v>
      </c>
      <c r="X5081" s="22"/>
    </row>
    <row r="5082" spans="1:24" s="1" customFormat="1" ht="26.1" customHeight="1" x14ac:dyDescent="0.3">
      <c r="A5082" s="11" t="s">
        <v>3014</v>
      </c>
      <c r="B5082" s="11" t="s">
        <v>4922</v>
      </c>
      <c r="C5082" s="12" t="s">
        <v>4923</v>
      </c>
      <c r="D5082" s="83"/>
      <c r="E5082" s="69" t="str">
        <f>HYPERLINK("https://www.google.ru/search?q=72204307-0670&amp;newwindow=1&amp;tbm=isch","Еще фото")</f>
        <v>Еще фото</v>
      </c>
      <c r="F5082" s="13"/>
      <c r="G5082" s="11" t="s">
        <v>675</v>
      </c>
      <c r="H5082" s="11" t="s">
        <v>27</v>
      </c>
      <c r="I5082" s="14" t="s">
        <v>675</v>
      </c>
      <c r="J5082" s="14" t="s">
        <v>29</v>
      </c>
      <c r="K5082" s="15" t="s">
        <v>30</v>
      </c>
      <c r="L5082" s="86" t="s">
        <v>4924</v>
      </c>
      <c r="M5082" s="14"/>
      <c r="N5082" s="14" t="s">
        <v>326</v>
      </c>
      <c r="O5082" s="14"/>
      <c r="P5082" s="15" t="s">
        <v>4925</v>
      </c>
      <c r="Q5082" s="16">
        <v>3499</v>
      </c>
      <c r="R5082" s="17">
        <v>45</v>
      </c>
      <c r="S5082" s="18">
        <v>2213.1174999999998</v>
      </c>
      <c r="T5082" s="19" t="s">
        <v>117</v>
      </c>
      <c r="U5082" s="20" t="s">
        <v>94</v>
      </c>
      <c r="V5082" s="21">
        <v>104</v>
      </c>
      <c r="W5082" s="21">
        <v>5</v>
      </c>
      <c r="X5082" s="22"/>
    </row>
    <row r="5083" spans="1:24" s="1" customFormat="1" ht="26.1" customHeight="1" x14ac:dyDescent="0.3">
      <c r="A5083" s="23" t="s">
        <v>3014</v>
      </c>
      <c r="B5083" s="23" t="s">
        <v>4922</v>
      </c>
      <c r="C5083" s="12" t="s">
        <v>4923</v>
      </c>
      <c r="D5083" s="84"/>
      <c r="E5083" s="69" t="str">
        <f>HYPERLINK("https://www.google.ru/search?q=72204307-0670&amp;newwindow=1&amp;tbm=isch","Еще фото")</f>
        <v>Еще фото</v>
      </c>
      <c r="F5083" s="13"/>
      <c r="G5083" s="23" t="s">
        <v>675</v>
      </c>
      <c r="H5083" s="23" t="s">
        <v>27</v>
      </c>
      <c r="I5083" s="23" t="s">
        <v>675</v>
      </c>
      <c r="J5083" s="14" t="s">
        <v>29</v>
      </c>
      <c r="K5083" s="15" t="s">
        <v>30</v>
      </c>
      <c r="L5083" s="87"/>
      <c r="M5083" s="14"/>
      <c r="N5083" s="14" t="s">
        <v>326</v>
      </c>
      <c r="O5083" s="14"/>
      <c r="P5083" s="15" t="s">
        <v>4925</v>
      </c>
      <c r="Q5083" s="16">
        <v>3499</v>
      </c>
      <c r="R5083" s="17">
        <v>45</v>
      </c>
      <c r="S5083" s="18">
        <v>2213.1174999999998</v>
      </c>
      <c r="T5083" s="19" t="s">
        <v>117</v>
      </c>
      <c r="U5083" s="20" t="s">
        <v>43</v>
      </c>
      <c r="V5083" s="21">
        <v>110</v>
      </c>
      <c r="W5083" s="21">
        <v>5</v>
      </c>
      <c r="X5083" s="22"/>
    </row>
    <row r="5084" spans="1:24" s="1" customFormat="1" ht="26.1" customHeight="1" x14ac:dyDescent="0.3">
      <c r="A5084" s="23" t="s">
        <v>3014</v>
      </c>
      <c r="B5084" s="23" t="s">
        <v>4922</v>
      </c>
      <c r="C5084" s="12" t="s">
        <v>4923</v>
      </c>
      <c r="D5084" s="84"/>
      <c r="E5084" s="69" t="str">
        <f>HYPERLINK("https://www.google.ru/search?q=72204307-0670&amp;newwindow=1&amp;tbm=isch","Еще фото")</f>
        <v>Еще фото</v>
      </c>
      <c r="F5084" s="13"/>
      <c r="G5084" s="23" t="s">
        <v>675</v>
      </c>
      <c r="H5084" s="23" t="s">
        <v>27</v>
      </c>
      <c r="I5084" s="23" t="s">
        <v>675</v>
      </c>
      <c r="J5084" s="14" t="s">
        <v>29</v>
      </c>
      <c r="K5084" s="15" t="s">
        <v>30</v>
      </c>
      <c r="L5084" s="87"/>
      <c r="M5084" s="14"/>
      <c r="N5084" s="14" t="s">
        <v>326</v>
      </c>
      <c r="O5084" s="14"/>
      <c r="P5084" s="15" t="s">
        <v>4925</v>
      </c>
      <c r="Q5084" s="16">
        <v>3499</v>
      </c>
      <c r="R5084" s="17">
        <v>45</v>
      </c>
      <c r="S5084" s="18">
        <v>2213.1174999999998</v>
      </c>
      <c r="T5084" s="19" t="s">
        <v>117</v>
      </c>
      <c r="U5084" s="20" t="s">
        <v>35</v>
      </c>
      <c r="V5084" s="21">
        <v>116</v>
      </c>
      <c r="W5084" s="21">
        <v>5</v>
      </c>
      <c r="X5084" s="22"/>
    </row>
    <row r="5085" spans="1:24" s="1" customFormat="1" ht="26.1" customHeight="1" x14ac:dyDescent="0.3">
      <c r="A5085" s="23" t="s">
        <v>3014</v>
      </c>
      <c r="B5085" s="23" t="s">
        <v>4922</v>
      </c>
      <c r="C5085" s="12" t="s">
        <v>4923</v>
      </c>
      <c r="D5085" s="85"/>
      <c r="E5085" s="69" t="str">
        <f>HYPERLINK("https://www.google.ru/search?q=72204307-0670&amp;newwindow=1&amp;tbm=isch","Еще фото")</f>
        <v>Еще фото</v>
      </c>
      <c r="F5085" s="13"/>
      <c r="G5085" s="23" t="s">
        <v>675</v>
      </c>
      <c r="H5085" s="23" t="s">
        <v>27</v>
      </c>
      <c r="I5085" s="23" t="s">
        <v>675</v>
      </c>
      <c r="J5085" s="14" t="s">
        <v>29</v>
      </c>
      <c r="K5085" s="15" t="s">
        <v>30</v>
      </c>
      <c r="L5085" s="88"/>
      <c r="M5085" s="14"/>
      <c r="N5085" s="14" t="s">
        <v>326</v>
      </c>
      <c r="O5085" s="14"/>
      <c r="P5085" s="15" t="s">
        <v>4925</v>
      </c>
      <c r="Q5085" s="16">
        <v>3499</v>
      </c>
      <c r="R5085" s="17">
        <v>45</v>
      </c>
      <c r="S5085" s="18">
        <v>2213.1174999999998</v>
      </c>
      <c r="T5085" s="19" t="s">
        <v>117</v>
      </c>
      <c r="U5085" s="20" t="s">
        <v>36</v>
      </c>
      <c r="V5085" s="21">
        <v>122</v>
      </c>
      <c r="W5085" s="21">
        <v>5</v>
      </c>
      <c r="X5085" s="22"/>
    </row>
    <row r="5086" spans="1:24" s="1" customFormat="1" ht="26.1" customHeight="1" x14ac:dyDescent="0.3">
      <c r="A5086" s="11" t="s">
        <v>3014</v>
      </c>
      <c r="B5086" s="11" t="s">
        <v>4922</v>
      </c>
      <c r="C5086" s="12" t="s">
        <v>4926</v>
      </c>
      <c r="D5086" s="83"/>
      <c r="E5086" s="69" t="str">
        <f>HYPERLINK("https://www.google.ru/search?q=72204307-9990&amp;newwindow=1&amp;tbm=isch","Еще фото")</f>
        <v>Еще фото</v>
      </c>
      <c r="F5086" s="13"/>
      <c r="G5086" s="11" t="s">
        <v>675</v>
      </c>
      <c r="H5086" s="11" t="s">
        <v>27</v>
      </c>
      <c r="I5086" s="14" t="s">
        <v>675</v>
      </c>
      <c r="J5086" s="14" t="s">
        <v>29</v>
      </c>
      <c r="K5086" s="15" t="s">
        <v>30</v>
      </c>
      <c r="L5086" s="86" t="s">
        <v>4924</v>
      </c>
      <c r="M5086" s="14"/>
      <c r="N5086" s="14" t="s">
        <v>49</v>
      </c>
      <c r="O5086" s="14"/>
      <c r="P5086" s="15" t="s">
        <v>4925</v>
      </c>
      <c r="Q5086" s="16">
        <v>3499</v>
      </c>
      <c r="R5086" s="17">
        <v>45</v>
      </c>
      <c r="S5086" s="18">
        <v>2213.1174999999998</v>
      </c>
      <c r="T5086" s="19" t="s">
        <v>117</v>
      </c>
      <c r="U5086" s="20" t="s">
        <v>94</v>
      </c>
      <c r="V5086" s="21">
        <v>104</v>
      </c>
      <c r="W5086" s="21">
        <v>5</v>
      </c>
      <c r="X5086" s="22"/>
    </row>
    <row r="5087" spans="1:24" s="1" customFormat="1" ht="26.1" customHeight="1" x14ac:dyDescent="0.3">
      <c r="A5087" s="23" t="s">
        <v>3014</v>
      </c>
      <c r="B5087" s="23" t="s">
        <v>4922</v>
      </c>
      <c r="C5087" s="12" t="s">
        <v>4926</v>
      </c>
      <c r="D5087" s="84"/>
      <c r="E5087" s="69" t="str">
        <f>HYPERLINK("https://www.google.ru/search?q=72204307-9990&amp;newwindow=1&amp;tbm=isch","Еще фото")</f>
        <v>Еще фото</v>
      </c>
      <c r="F5087" s="13"/>
      <c r="G5087" s="23" t="s">
        <v>675</v>
      </c>
      <c r="H5087" s="23" t="s">
        <v>27</v>
      </c>
      <c r="I5087" s="23" t="s">
        <v>675</v>
      </c>
      <c r="J5087" s="14" t="s">
        <v>29</v>
      </c>
      <c r="K5087" s="15" t="s">
        <v>30</v>
      </c>
      <c r="L5087" s="87"/>
      <c r="M5087" s="14"/>
      <c r="N5087" s="14" t="s">
        <v>49</v>
      </c>
      <c r="O5087" s="14"/>
      <c r="P5087" s="15" t="s">
        <v>4925</v>
      </c>
      <c r="Q5087" s="16">
        <v>3499</v>
      </c>
      <c r="R5087" s="17">
        <v>45</v>
      </c>
      <c r="S5087" s="18">
        <v>2213.1174999999998</v>
      </c>
      <c r="T5087" s="19" t="s">
        <v>117</v>
      </c>
      <c r="U5087" s="20" t="s">
        <v>43</v>
      </c>
      <c r="V5087" s="21">
        <v>110</v>
      </c>
      <c r="W5087" s="21">
        <v>5</v>
      </c>
      <c r="X5087" s="22"/>
    </row>
    <row r="5088" spans="1:24" s="1" customFormat="1" ht="26.1" customHeight="1" x14ac:dyDescent="0.3">
      <c r="A5088" s="23" t="s">
        <v>3014</v>
      </c>
      <c r="B5088" s="23" t="s">
        <v>4922</v>
      </c>
      <c r="C5088" s="12" t="s">
        <v>4926</v>
      </c>
      <c r="D5088" s="84"/>
      <c r="E5088" s="69" t="str">
        <f>HYPERLINK("https://www.google.ru/search?q=72204307-9990&amp;newwindow=1&amp;tbm=isch","Еще фото")</f>
        <v>Еще фото</v>
      </c>
      <c r="F5088" s="13"/>
      <c r="G5088" s="23" t="s">
        <v>675</v>
      </c>
      <c r="H5088" s="23" t="s">
        <v>27</v>
      </c>
      <c r="I5088" s="23" t="s">
        <v>675</v>
      </c>
      <c r="J5088" s="14" t="s">
        <v>29</v>
      </c>
      <c r="K5088" s="15" t="s">
        <v>30</v>
      </c>
      <c r="L5088" s="87"/>
      <c r="M5088" s="14"/>
      <c r="N5088" s="14" t="s">
        <v>49</v>
      </c>
      <c r="O5088" s="14"/>
      <c r="P5088" s="15" t="s">
        <v>4925</v>
      </c>
      <c r="Q5088" s="16">
        <v>3499</v>
      </c>
      <c r="R5088" s="17">
        <v>45</v>
      </c>
      <c r="S5088" s="18">
        <v>2213.1174999999998</v>
      </c>
      <c r="T5088" s="19" t="s">
        <v>117</v>
      </c>
      <c r="U5088" s="20" t="s">
        <v>35</v>
      </c>
      <c r="V5088" s="21">
        <v>116</v>
      </c>
      <c r="W5088" s="21">
        <v>5</v>
      </c>
      <c r="X5088" s="22"/>
    </row>
    <row r="5089" spans="1:24" s="1" customFormat="1" ht="26.1" customHeight="1" x14ac:dyDescent="0.3">
      <c r="A5089" s="23" t="s">
        <v>3014</v>
      </c>
      <c r="B5089" s="23" t="s">
        <v>4922</v>
      </c>
      <c r="C5089" s="12" t="s">
        <v>4926</v>
      </c>
      <c r="D5089" s="85"/>
      <c r="E5089" s="69" t="str">
        <f>HYPERLINK("https://www.google.ru/search?q=72204307-9990&amp;newwindow=1&amp;tbm=isch","Еще фото")</f>
        <v>Еще фото</v>
      </c>
      <c r="F5089" s="13"/>
      <c r="G5089" s="23" t="s">
        <v>675</v>
      </c>
      <c r="H5089" s="23" t="s">
        <v>27</v>
      </c>
      <c r="I5089" s="23" t="s">
        <v>675</v>
      </c>
      <c r="J5089" s="14" t="s">
        <v>29</v>
      </c>
      <c r="K5089" s="15" t="s">
        <v>30</v>
      </c>
      <c r="L5089" s="88"/>
      <c r="M5089" s="14"/>
      <c r="N5089" s="14" t="s">
        <v>49</v>
      </c>
      <c r="O5089" s="14"/>
      <c r="P5089" s="15" t="s">
        <v>4925</v>
      </c>
      <c r="Q5089" s="16">
        <v>3499</v>
      </c>
      <c r="R5089" s="17">
        <v>45</v>
      </c>
      <c r="S5089" s="18">
        <v>2213.1174999999998</v>
      </c>
      <c r="T5089" s="19" t="s">
        <v>117</v>
      </c>
      <c r="U5089" s="20" t="s">
        <v>36</v>
      </c>
      <c r="V5089" s="21">
        <v>122</v>
      </c>
      <c r="W5089" s="21">
        <v>5</v>
      </c>
      <c r="X5089" s="22"/>
    </row>
    <row r="5090" spans="1:24" s="1" customFormat="1" ht="14.1" customHeight="1" x14ac:dyDescent="0.3">
      <c r="A5090" s="11" t="s">
        <v>3014</v>
      </c>
      <c r="B5090" s="11" t="s">
        <v>4927</v>
      </c>
      <c r="C5090" s="12" t="s">
        <v>4928</v>
      </c>
      <c r="D5090" s="83"/>
      <c r="E5090" s="69" t="str">
        <f t="shared" ref="E5090:E5096" si="274">HYPERLINK("https://www.google.ru/search?q=72206307-6610&amp;newwindow=1&amp;tbm=isch","Еще фото")</f>
        <v>Еще фото</v>
      </c>
      <c r="F5090" s="13"/>
      <c r="G5090" s="11" t="s">
        <v>4913</v>
      </c>
      <c r="H5090" s="11" t="s">
        <v>27</v>
      </c>
      <c r="I5090" s="14" t="s">
        <v>675</v>
      </c>
      <c r="J5090" s="14" t="s">
        <v>255</v>
      </c>
      <c r="K5090" s="15" t="s">
        <v>30</v>
      </c>
      <c r="L5090" s="86"/>
      <c r="M5090" s="14"/>
      <c r="N5090" s="14" t="s">
        <v>70</v>
      </c>
      <c r="O5090" s="14"/>
      <c r="P5090" s="15" t="s">
        <v>3299</v>
      </c>
      <c r="Q5090" s="16">
        <v>1999</v>
      </c>
      <c r="R5090" s="17">
        <v>45</v>
      </c>
      <c r="S5090" s="18">
        <v>1264.3675000000001</v>
      </c>
      <c r="T5090" s="19" t="s">
        <v>117</v>
      </c>
      <c r="U5090" s="20" t="s">
        <v>744</v>
      </c>
      <c r="V5090" s="21">
        <v>80</v>
      </c>
      <c r="W5090" s="21">
        <v>4</v>
      </c>
      <c r="X5090" s="22"/>
    </row>
    <row r="5091" spans="1:24" s="1" customFormat="1" ht="14.1" customHeight="1" x14ac:dyDescent="0.3">
      <c r="A5091" s="23" t="s">
        <v>3014</v>
      </c>
      <c r="B5091" s="23" t="s">
        <v>4927</v>
      </c>
      <c r="C5091" s="12" t="s">
        <v>4928</v>
      </c>
      <c r="D5091" s="84"/>
      <c r="E5091" s="69" t="str">
        <f t="shared" si="274"/>
        <v>Еще фото</v>
      </c>
      <c r="F5091" s="13"/>
      <c r="G5091" s="23" t="s">
        <v>4913</v>
      </c>
      <c r="H5091" s="23" t="s">
        <v>27</v>
      </c>
      <c r="I5091" s="23" t="s">
        <v>675</v>
      </c>
      <c r="J5091" s="14" t="s">
        <v>255</v>
      </c>
      <c r="K5091" s="15" t="s">
        <v>30</v>
      </c>
      <c r="L5091" s="87"/>
      <c r="M5091" s="14"/>
      <c r="N5091" s="14" t="s">
        <v>70</v>
      </c>
      <c r="O5091" s="14"/>
      <c r="P5091" s="15" t="s">
        <v>3299</v>
      </c>
      <c r="Q5091" s="16">
        <v>1999</v>
      </c>
      <c r="R5091" s="17">
        <v>45</v>
      </c>
      <c r="S5091" s="18">
        <v>1264.3675000000001</v>
      </c>
      <c r="T5091" s="19" t="s">
        <v>117</v>
      </c>
      <c r="U5091" s="20" t="s">
        <v>2976</v>
      </c>
      <c r="V5091" s="21">
        <v>86</v>
      </c>
      <c r="W5091" s="21">
        <v>3</v>
      </c>
      <c r="X5091" s="22"/>
    </row>
    <row r="5092" spans="1:24" s="1" customFormat="1" ht="14.1" customHeight="1" x14ac:dyDescent="0.3">
      <c r="A5092" s="23" t="s">
        <v>3014</v>
      </c>
      <c r="B5092" s="23" t="s">
        <v>4927</v>
      </c>
      <c r="C5092" s="12" t="s">
        <v>4928</v>
      </c>
      <c r="D5092" s="84"/>
      <c r="E5092" s="69" t="str">
        <f t="shared" si="274"/>
        <v>Еще фото</v>
      </c>
      <c r="F5092" s="13"/>
      <c r="G5092" s="23" t="s">
        <v>4913</v>
      </c>
      <c r="H5092" s="23" t="s">
        <v>27</v>
      </c>
      <c r="I5092" s="23" t="s">
        <v>675</v>
      </c>
      <c r="J5092" s="14" t="s">
        <v>255</v>
      </c>
      <c r="K5092" s="15" t="s">
        <v>30</v>
      </c>
      <c r="L5092" s="87"/>
      <c r="M5092" s="14"/>
      <c r="N5092" s="14" t="s">
        <v>70</v>
      </c>
      <c r="O5092" s="14"/>
      <c r="P5092" s="15" t="s">
        <v>3299</v>
      </c>
      <c r="Q5092" s="16">
        <v>1999</v>
      </c>
      <c r="R5092" s="17">
        <v>45</v>
      </c>
      <c r="S5092" s="18">
        <v>1264.3675000000001</v>
      </c>
      <c r="T5092" s="19" t="s">
        <v>117</v>
      </c>
      <c r="U5092" s="20" t="s">
        <v>2977</v>
      </c>
      <c r="V5092" s="21">
        <v>92</v>
      </c>
      <c r="W5092" s="21">
        <v>3</v>
      </c>
      <c r="X5092" s="22"/>
    </row>
    <row r="5093" spans="1:24" s="1" customFormat="1" ht="14.1" customHeight="1" x14ac:dyDescent="0.3">
      <c r="A5093" s="23" t="s">
        <v>3014</v>
      </c>
      <c r="B5093" s="23" t="s">
        <v>4927</v>
      </c>
      <c r="C5093" s="12" t="s">
        <v>4928</v>
      </c>
      <c r="D5093" s="84"/>
      <c r="E5093" s="69" t="str">
        <f t="shared" si="274"/>
        <v>Еще фото</v>
      </c>
      <c r="F5093" s="13"/>
      <c r="G5093" s="23" t="s">
        <v>4913</v>
      </c>
      <c r="H5093" s="23" t="s">
        <v>27</v>
      </c>
      <c r="I5093" s="23" t="s">
        <v>675</v>
      </c>
      <c r="J5093" s="14" t="s">
        <v>255</v>
      </c>
      <c r="K5093" s="15" t="s">
        <v>30</v>
      </c>
      <c r="L5093" s="87"/>
      <c r="M5093" s="14"/>
      <c r="N5093" s="14" t="s">
        <v>70</v>
      </c>
      <c r="O5093" s="14"/>
      <c r="P5093" s="15" t="s">
        <v>3299</v>
      </c>
      <c r="Q5093" s="16">
        <v>1999</v>
      </c>
      <c r="R5093" s="17">
        <v>45</v>
      </c>
      <c r="S5093" s="18">
        <v>1264.3675000000001</v>
      </c>
      <c r="T5093" s="19" t="s">
        <v>117</v>
      </c>
      <c r="U5093" s="20" t="s">
        <v>2961</v>
      </c>
      <c r="V5093" s="21">
        <v>98</v>
      </c>
      <c r="W5093" s="21">
        <v>4</v>
      </c>
      <c r="X5093" s="22"/>
    </row>
    <row r="5094" spans="1:24" s="1" customFormat="1" ht="14.1" customHeight="1" x14ac:dyDescent="0.3">
      <c r="A5094" s="23" t="s">
        <v>3014</v>
      </c>
      <c r="B5094" s="23" t="s">
        <v>4927</v>
      </c>
      <c r="C5094" s="12" t="s">
        <v>4928</v>
      </c>
      <c r="D5094" s="84"/>
      <c r="E5094" s="69" t="str">
        <f t="shared" si="274"/>
        <v>Еще фото</v>
      </c>
      <c r="F5094" s="13"/>
      <c r="G5094" s="23" t="s">
        <v>4913</v>
      </c>
      <c r="H5094" s="23" t="s">
        <v>27</v>
      </c>
      <c r="I5094" s="23" t="s">
        <v>675</v>
      </c>
      <c r="J5094" s="14" t="s">
        <v>255</v>
      </c>
      <c r="K5094" s="15" t="s">
        <v>30</v>
      </c>
      <c r="L5094" s="87"/>
      <c r="M5094" s="14"/>
      <c r="N5094" s="14" t="s">
        <v>70</v>
      </c>
      <c r="O5094" s="14"/>
      <c r="P5094" s="15" t="s">
        <v>3299</v>
      </c>
      <c r="Q5094" s="16">
        <v>1999</v>
      </c>
      <c r="R5094" s="17">
        <v>45</v>
      </c>
      <c r="S5094" s="18">
        <v>1264.3675000000001</v>
      </c>
      <c r="T5094" s="19" t="s">
        <v>117</v>
      </c>
      <c r="U5094" s="20" t="s">
        <v>94</v>
      </c>
      <c r="V5094" s="21">
        <v>104</v>
      </c>
      <c r="W5094" s="21">
        <v>4</v>
      </c>
      <c r="X5094" s="22"/>
    </row>
    <row r="5095" spans="1:24" s="1" customFormat="1" ht="14.1" customHeight="1" x14ac:dyDescent="0.3">
      <c r="A5095" s="23" t="s">
        <v>3014</v>
      </c>
      <c r="B5095" s="23" t="s">
        <v>4927</v>
      </c>
      <c r="C5095" s="12" t="s">
        <v>4928</v>
      </c>
      <c r="D5095" s="84"/>
      <c r="E5095" s="69" t="str">
        <f t="shared" si="274"/>
        <v>Еще фото</v>
      </c>
      <c r="F5095" s="13"/>
      <c r="G5095" s="23" t="s">
        <v>4913</v>
      </c>
      <c r="H5095" s="23" t="s">
        <v>27</v>
      </c>
      <c r="I5095" s="23" t="s">
        <v>675</v>
      </c>
      <c r="J5095" s="14" t="s">
        <v>255</v>
      </c>
      <c r="K5095" s="15" t="s">
        <v>30</v>
      </c>
      <c r="L5095" s="87"/>
      <c r="M5095" s="14"/>
      <c r="N5095" s="14" t="s">
        <v>70</v>
      </c>
      <c r="O5095" s="14"/>
      <c r="P5095" s="15" t="s">
        <v>3299</v>
      </c>
      <c r="Q5095" s="16">
        <v>1999</v>
      </c>
      <c r="R5095" s="17">
        <v>45</v>
      </c>
      <c r="S5095" s="18">
        <v>1264.3675000000001</v>
      </c>
      <c r="T5095" s="19" t="s">
        <v>117</v>
      </c>
      <c r="U5095" s="20" t="s">
        <v>43</v>
      </c>
      <c r="V5095" s="21">
        <v>110</v>
      </c>
      <c r="W5095" s="21">
        <v>3</v>
      </c>
      <c r="X5095" s="22"/>
    </row>
    <row r="5096" spans="1:24" s="1" customFormat="1" ht="17.100000000000001" customHeight="1" x14ac:dyDescent="0.3">
      <c r="A5096" s="23" t="s">
        <v>3014</v>
      </c>
      <c r="B5096" s="23" t="s">
        <v>4927</v>
      </c>
      <c r="C5096" s="12" t="s">
        <v>4928</v>
      </c>
      <c r="D5096" s="85"/>
      <c r="E5096" s="69" t="str">
        <f t="shared" si="274"/>
        <v>Еще фото</v>
      </c>
      <c r="F5096" s="13"/>
      <c r="G5096" s="23" t="s">
        <v>4913</v>
      </c>
      <c r="H5096" s="23" t="s">
        <v>27</v>
      </c>
      <c r="I5096" s="23" t="s">
        <v>675</v>
      </c>
      <c r="J5096" s="14" t="s">
        <v>255</v>
      </c>
      <c r="K5096" s="15" t="s">
        <v>30</v>
      </c>
      <c r="L5096" s="88"/>
      <c r="M5096" s="14"/>
      <c r="N5096" s="14" t="s">
        <v>70</v>
      </c>
      <c r="O5096" s="14"/>
      <c r="P5096" s="15" t="s">
        <v>3299</v>
      </c>
      <c r="Q5096" s="16">
        <v>1999</v>
      </c>
      <c r="R5096" s="17">
        <v>45</v>
      </c>
      <c r="S5096" s="18">
        <v>1264.3675000000001</v>
      </c>
      <c r="T5096" s="19" t="s">
        <v>117</v>
      </c>
      <c r="U5096" s="20" t="s">
        <v>35</v>
      </c>
      <c r="V5096" s="21">
        <v>116</v>
      </c>
      <c r="W5096" s="21">
        <v>1</v>
      </c>
      <c r="X5096" s="22"/>
    </row>
    <row r="5097" spans="1:24" s="1" customFormat="1" ht="17.100000000000001" customHeight="1" x14ac:dyDescent="0.3">
      <c r="A5097" s="11" t="s">
        <v>3014</v>
      </c>
      <c r="B5097" s="11" t="s">
        <v>4927</v>
      </c>
      <c r="C5097" s="12" t="s">
        <v>4929</v>
      </c>
      <c r="D5097" s="83"/>
      <c r="E5097" s="69" t="str">
        <f t="shared" ref="E5097:E5102" si="275">HYPERLINK("https://www.google.ru/search?q=72206307-6960&amp;newwindow=1&amp;tbm=isch","Еще фото")</f>
        <v>Еще фото</v>
      </c>
      <c r="F5097" s="13"/>
      <c r="G5097" s="11" t="s">
        <v>4913</v>
      </c>
      <c r="H5097" s="11" t="s">
        <v>27</v>
      </c>
      <c r="I5097" s="14" t="s">
        <v>675</v>
      </c>
      <c r="J5097" s="14" t="s">
        <v>255</v>
      </c>
      <c r="K5097" s="15" t="s">
        <v>30</v>
      </c>
      <c r="L5097" s="86"/>
      <c r="M5097" s="14"/>
      <c r="N5097" s="14" t="s">
        <v>70</v>
      </c>
      <c r="O5097" s="14"/>
      <c r="P5097" s="15" t="s">
        <v>3299</v>
      </c>
      <c r="Q5097" s="16">
        <v>1999</v>
      </c>
      <c r="R5097" s="17">
        <v>45</v>
      </c>
      <c r="S5097" s="18">
        <v>1264.3675000000001</v>
      </c>
      <c r="T5097" s="19" t="s">
        <v>117</v>
      </c>
      <c r="U5097" s="20" t="s">
        <v>744</v>
      </c>
      <c r="V5097" s="21">
        <v>80</v>
      </c>
      <c r="W5097" s="21">
        <v>5</v>
      </c>
      <c r="X5097" s="22"/>
    </row>
    <row r="5098" spans="1:24" s="1" customFormat="1" ht="17.100000000000001" customHeight="1" x14ac:dyDescent="0.3">
      <c r="A5098" s="23" t="s">
        <v>3014</v>
      </c>
      <c r="B5098" s="23" t="s">
        <v>4927</v>
      </c>
      <c r="C5098" s="12" t="s">
        <v>4929</v>
      </c>
      <c r="D5098" s="84"/>
      <c r="E5098" s="69" t="str">
        <f t="shared" si="275"/>
        <v>Еще фото</v>
      </c>
      <c r="F5098" s="13"/>
      <c r="G5098" s="23" t="s">
        <v>4913</v>
      </c>
      <c r="H5098" s="23" t="s">
        <v>27</v>
      </c>
      <c r="I5098" s="23" t="s">
        <v>675</v>
      </c>
      <c r="J5098" s="14" t="s">
        <v>255</v>
      </c>
      <c r="K5098" s="15" t="s">
        <v>30</v>
      </c>
      <c r="L5098" s="87"/>
      <c r="M5098" s="14"/>
      <c r="N5098" s="14" t="s">
        <v>70</v>
      </c>
      <c r="O5098" s="14"/>
      <c r="P5098" s="15" t="s">
        <v>3299</v>
      </c>
      <c r="Q5098" s="16">
        <v>1999</v>
      </c>
      <c r="R5098" s="17">
        <v>45</v>
      </c>
      <c r="S5098" s="18">
        <v>1264.3675000000001</v>
      </c>
      <c r="T5098" s="19" t="s">
        <v>117</v>
      </c>
      <c r="U5098" s="20" t="s">
        <v>2976</v>
      </c>
      <c r="V5098" s="21">
        <v>86</v>
      </c>
      <c r="W5098" s="21">
        <v>2</v>
      </c>
      <c r="X5098" s="22"/>
    </row>
    <row r="5099" spans="1:24" s="1" customFormat="1" ht="17.100000000000001" customHeight="1" x14ac:dyDescent="0.3">
      <c r="A5099" s="23" t="s">
        <v>3014</v>
      </c>
      <c r="B5099" s="23" t="s">
        <v>4927</v>
      </c>
      <c r="C5099" s="12" t="s">
        <v>4929</v>
      </c>
      <c r="D5099" s="84"/>
      <c r="E5099" s="69" t="str">
        <f t="shared" si="275"/>
        <v>Еще фото</v>
      </c>
      <c r="F5099" s="13"/>
      <c r="G5099" s="23" t="s">
        <v>4913</v>
      </c>
      <c r="H5099" s="23" t="s">
        <v>27</v>
      </c>
      <c r="I5099" s="23" t="s">
        <v>675</v>
      </c>
      <c r="J5099" s="14" t="s">
        <v>255</v>
      </c>
      <c r="K5099" s="15" t="s">
        <v>30</v>
      </c>
      <c r="L5099" s="87"/>
      <c r="M5099" s="14"/>
      <c r="N5099" s="14" t="s">
        <v>70</v>
      </c>
      <c r="O5099" s="14"/>
      <c r="P5099" s="15" t="s">
        <v>3299</v>
      </c>
      <c r="Q5099" s="16">
        <v>1999</v>
      </c>
      <c r="R5099" s="17">
        <v>45</v>
      </c>
      <c r="S5099" s="18">
        <v>1264.3675000000001</v>
      </c>
      <c r="T5099" s="19" t="s">
        <v>117</v>
      </c>
      <c r="U5099" s="20" t="s">
        <v>2977</v>
      </c>
      <c r="V5099" s="21">
        <v>92</v>
      </c>
      <c r="W5099" s="21">
        <v>1</v>
      </c>
      <c r="X5099" s="22"/>
    </row>
    <row r="5100" spans="1:24" s="1" customFormat="1" ht="17.100000000000001" customHeight="1" x14ac:dyDescent="0.3">
      <c r="A5100" s="23" t="s">
        <v>3014</v>
      </c>
      <c r="B5100" s="23" t="s">
        <v>4927</v>
      </c>
      <c r="C5100" s="12" t="s">
        <v>4929</v>
      </c>
      <c r="D5100" s="84"/>
      <c r="E5100" s="69" t="str">
        <f t="shared" si="275"/>
        <v>Еще фото</v>
      </c>
      <c r="F5100" s="13"/>
      <c r="G5100" s="23" t="s">
        <v>4913</v>
      </c>
      <c r="H5100" s="23" t="s">
        <v>27</v>
      </c>
      <c r="I5100" s="23" t="s">
        <v>675</v>
      </c>
      <c r="J5100" s="14" t="s">
        <v>255</v>
      </c>
      <c r="K5100" s="15" t="s">
        <v>30</v>
      </c>
      <c r="L5100" s="87"/>
      <c r="M5100" s="14"/>
      <c r="N5100" s="14" t="s">
        <v>70</v>
      </c>
      <c r="O5100" s="14"/>
      <c r="P5100" s="15" t="s">
        <v>3299</v>
      </c>
      <c r="Q5100" s="16">
        <v>1999</v>
      </c>
      <c r="R5100" s="17">
        <v>45</v>
      </c>
      <c r="S5100" s="18">
        <v>1264.3675000000001</v>
      </c>
      <c r="T5100" s="19" t="s">
        <v>117</v>
      </c>
      <c r="U5100" s="20" t="s">
        <v>94</v>
      </c>
      <c r="V5100" s="21">
        <v>104</v>
      </c>
      <c r="W5100" s="21">
        <v>3</v>
      </c>
      <c r="X5100" s="22"/>
    </row>
    <row r="5101" spans="1:24" s="1" customFormat="1" ht="17.100000000000001" customHeight="1" x14ac:dyDescent="0.3">
      <c r="A5101" s="23" t="s">
        <v>3014</v>
      </c>
      <c r="B5101" s="23" t="s">
        <v>4927</v>
      </c>
      <c r="C5101" s="12" t="s">
        <v>4929</v>
      </c>
      <c r="D5101" s="84"/>
      <c r="E5101" s="69" t="str">
        <f t="shared" si="275"/>
        <v>Еще фото</v>
      </c>
      <c r="F5101" s="13"/>
      <c r="G5101" s="23" t="s">
        <v>4913</v>
      </c>
      <c r="H5101" s="23" t="s">
        <v>27</v>
      </c>
      <c r="I5101" s="23" t="s">
        <v>675</v>
      </c>
      <c r="J5101" s="14" t="s">
        <v>255</v>
      </c>
      <c r="K5101" s="15" t="s">
        <v>30</v>
      </c>
      <c r="L5101" s="87"/>
      <c r="M5101" s="14"/>
      <c r="N5101" s="14" t="s">
        <v>70</v>
      </c>
      <c r="O5101" s="14"/>
      <c r="P5101" s="15" t="s">
        <v>3299</v>
      </c>
      <c r="Q5101" s="16">
        <v>1999</v>
      </c>
      <c r="R5101" s="17">
        <v>45</v>
      </c>
      <c r="S5101" s="18">
        <v>1264.3675000000001</v>
      </c>
      <c r="T5101" s="19" t="s">
        <v>117</v>
      </c>
      <c r="U5101" s="20" t="s">
        <v>43</v>
      </c>
      <c r="V5101" s="21">
        <v>110</v>
      </c>
      <c r="W5101" s="21">
        <v>3</v>
      </c>
      <c r="X5101" s="22"/>
    </row>
    <row r="5102" spans="1:24" s="1" customFormat="1" ht="21.95" customHeight="1" x14ac:dyDescent="0.3">
      <c r="A5102" s="23" t="s">
        <v>3014</v>
      </c>
      <c r="B5102" s="23" t="s">
        <v>4927</v>
      </c>
      <c r="C5102" s="12" t="s">
        <v>4929</v>
      </c>
      <c r="D5102" s="85"/>
      <c r="E5102" s="69" t="str">
        <f t="shared" si="275"/>
        <v>Еще фото</v>
      </c>
      <c r="F5102" s="13"/>
      <c r="G5102" s="23" t="s">
        <v>4913</v>
      </c>
      <c r="H5102" s="23" t="s">
        <v>27</v>
      </c>
      <c r="I5102" s="23" t="s">
        <v>675</v>
      </c>
      <c r="J5102" s="14" t="s">
        <v>255</v>
      </c>
      <c r="K5102" s="15" t="s">
        <v>30</v>
      </c>
      <c r="L5102" s="88"/>
      <c r="M5102" s="14"/>
      <c r="N5102" s="14" t="s">
        <v>70</v>
      </c>
      <c r="O5102" s="14"/>
      <c r="P5102" s="15" t="s">
        <v>3299</v>
      </c>
      <c r="Q5102" s="16">
        <v>1999</v>
      </c>
      <c r="R5102" s="17">
        <v>45</v>
      </c>
      <c r="S5102" s="18">
        <v>1264.3675000000001</v>
      </c>
      <c r="T5102" s="19" t="s">
        <v>117</v>
      </c>
      <c r="U5102" s="20" t="s">
        <v>35</v>
      </c>
      <c r="V5102" s="21">
        <v>116</v>
      </c>
      <c r="W5102" s="21">
        <v>2</v>
      </c>
      <c r="X5102" s="22"/>
    </row>
    <row r="5103" spans="1:24" s="1" customFormat="1" ht="17.100000000000001" customHeight="1" x14ac:dyDescent="0.3">
      <c r="A5103" s="11" t="s">
        <v>3014</v>
      </c>
      <c r="B5103" s="11" t="s">
        <v>4930</v>
      </c>
      <c r="C5103" s="12" t="s">
        <v>4931</v>
      </c>
      <c r="D5103" s="83"/>
      <c r="E5103" s="69" t="str">
        <f t="shared" ref="E5103:E5108" si="276">HYPERLINK("https://www.google.ru/search?q=73204310-6960&amp;newwindow=1&amp;tbm=isch","Еще фото")</f>
        <v>Еще фото</v>
      </c>
      <c r="F5103" s="13"/>
      <c r="G5103" s="11" t="s">
        <v>675</v>
      </c>
      <c r="H5103" s="11" t="s">
        <v>27</v>
      </c>
      <c r="I5103" s="14" t="s">
        <v>675</v>
      </c>
      <c r="J5103" s="14" t="s">
        <v>29</v>
      </c>
      <c r="K5103" s="15" t="s">
        <v>30</v>
      </c>
      <c r="L5103" s="86" t="s">
        <v>4932</v>
      </c>
      <c r="M5103" s="14"/>
      <c r="N5103" s="14" t="s">
        <v>70</v>
      </c>
      <c r="O5103" s="14"/>
      <c r="P5103" s="15" t="s">
        <v>193</v>
      </c>
      <c r="Q5103" s="16">
        <v>2999</v>
      </c>
      <c r="R5103" s="17">
        <v>45</v>
      </c>
      <c r="S5103" s="18">
        <v>1896.8674999999998</v>
      </c>
      <c r="T5103" s="19" t="s">
        <v>117</v>
      </c>
      <c r="U5103" s="20" t="s">
        <v>37</v>
      </c>
      <c r="V5103" s="21">
        <v>128</v>
      </c>
      <c r="W5103" s="21">
        <v>6</v>
      </c>
      <c r="X5103" s="22"/>
    </row>
    <row r="5104" spans="1:24" s="1" customFormat="1" ht="17.100000000000001" customHeight="1" x14ac:dyDescent="0.3">
      <c r="A5104" s="23" t="s">
        <v>3014</v>
      </c>
      <c r="B5104" s="23" t="s">
        <v>4930</v>
      </c>
      <c r="C5104" s="12" t="s">
        <v>4931</v>
      </c>
      <c r="D5104" s="84"/>
      <c r="E5104" s="69" t="str">
        <f t="shared" si="276"/>
        <v>Еще фото</v>
      </c>
      <c r="F5104" s="13"/>
      <c r="G5104" s="23" t="s">
        <v>675</v>
      </c>
      <c r="H5104" s="23" t="s">
        <v>27</v>
      </c>
      <c r="I5104" s="23" t="s">
        <v>675</v>
      </c>
      <c r="J5104" s="14" t="s">
        <v>29</v>
      </c>
      <c r="K5104" s="15" t="s">
        <v>30</v>
      </c>
      <c r="L5104" s="87"/>
      <c r="M5104" s="14"/>
      <c r="N5104" s="14" t="s">
        <v>70</v>
      </c>
      <c r="O5104" s="14"/>
      <c r="P5104" s="15" t="s">
        <v>193</v>
      </c>
      <c r="Q5104" s="16">
        <v>2999</v>
      </c>
      <c r="R5104" s="17">
        <v>45</v>
      </c>
      <c r="S5104" s="18">
        <v>1896.8674999999998</v>
      </c>
      <c r="T5104" s="19" t="s">
        <v>117</v>
      </c>
      <c r="U5104" s="20" t="s">
        <v>91</v>
      </c>
      <c r="V5104" s="21">
        <v>134</v>
      </c>
      <c r="W5104" s="21">
        <v>6</v>
      </c>
      <c r="X5104" s="22"/>
    </row>
    <row r="5105" spans="1:24" s="1" customFormat="1" ht="17.100000000000001" customHeight="1" x14ac:dyDescent="0.3">
      <c r="A5105" s="23" t="s">
        <v>3014</v>
      </c>
      <c r="B5105" s="23" t="s">
        <v>4930</v>
      </c>
      <c r="C5105" s="12" t="s">
        <v>4931</v>
      </c>
      <c r="D5105" s="84"/>
      <c r="E5105" s="69" t="str">
        <f t="shared" si="276"/>
        <v>Еще фото</v>
      </c>
      <c r="F5105" s="13"/>
      <c r="G5105" s="23" t="s">
        <v>675</v>
      </c>
      <c r="H5105" s="23" t="s">
        <v>27</v>
      </c>
      <c r="I5105" s="23" t="s">
        <v>675</v>
      </c>
      <c r="J5105" s="14" t="s">
        <v>29</v>
      </c>
      <c r="K5105" s="15" t="s">
        <v>30</v>
      </c>
      <c r="L5105" s="87"/>
      <c r="M5105" s="14"/>
      <c r="N5105" s="14" t="s">
        <v>70</v>
      </c>
      <c r="O5105" s="14"/>
      <c r="P5105" s="15" t="s">
        <v>193</v>
      </c>
      <c r="Q5105" s="16">
        <v>2999</v>
      </c>
      <c r="R5105" s="17">
        <v>45</v>
      </c>
      <c r="S5105" s="18">
        <v>1896.8674999999998</v>
      </c>
      <c r="T5105" s="19" t="s">
        <v>117</v>
      </c>
      <c r="U5105" s="20" t="s">
        <v>290</v>
      </c>
      <c r="V5105" s="21">
        <v>140</v>
      </c>
      <c r="W5105" s="21">
        <v>6</v>
      </c>
      <c r="X5105" s="22"/>
    </row>
    <row r="5106" spans="1:24" s="1" customFormat="1" ht="17.100000000000001" customHeight="1" x14ac:dyDescent="0.3">
      <c r="A5106" s="23" t="s">
        <v>3014</v>
      </c>
      <c r="B5106" s="23" t="s">
        <v>4930</v>
      </c>
      <c r="C5106" s="12" t="s">
        <v>4931</v>
      </c>
      <c r="D5106" s="84"/>
      <c r="E5106" s="69" t="str">
        <f t="shared" si="276"/>
        <v>Еще фото</v>
      </c>
      <c r="F5106" s="13"/>
      <c r="G5106" s="23" t="s">
        <v>675</v>
      </c>
      <c r="H5106" s="23" t="s">
        <v>27</v>
      </c>
      <c r="I5106" s="23" t="s">
        <v>675</v>
      </c>
      <c r="J5106" s="14" t="s">
        <v>29</v>
      </c>
      <c r="K5106" s="15" t="s">
        <v>30</v>
      </c>
      <c r="L5106" s="87"/>
      <c r="M5106" s="14"/>
      <c r="N5106" s="14" t="s">
        <v>70</v>
      </c>
      <c r="O5106" s="14"/>
      <c r="P5106" s="15" t="s">
        <v>193</v>
      </c>
      <c r="Q5106" s="16">
        <v>2999</v>
      </c>
      <c r="R5106" s="17">
        <v>45</v>
      </c>
      <c r="S5106" s="18">
        <v>1896.8674999999998</v>
      </c>
      <c r="T5106" s="19" t="s">
        <v>117</v>
      </c>
      <c r="U5106" s="20" t="s">
        <v>2993</v>
      </c>
      <c r="V5106" s="21">
        <v>146</v>
      </c>
      <c r="W5106" s="21">
        <v>6</v>
      </c>
      <c r="X5106" s="22"/>
    </row>
    <row r="5107" spans="1:24" s="1" customFormat="1" ht="17.100000000000001" customHeight="1" x14ac:dyDescent="0.3">
      <c r="A5107" s="23" t="s">
        <v>3014</v>
      </c>
      <c r="B5107" s="23" t="s">
        <v>4930</v>
      </c>
      <c r="C5107" s="12" t="s">
        <v>4931</v>
      </c>
      <c r="D5107" s="84"/>
      <c r="E5107" s="69" t="str">
        <f t="shared" si="276"/>
        <v>Еще фото</v>
      </c>
      <c r="F5107" s="13"/>
      <c r="G5107" s="23" t="s">
        <v>675</v>
      </c>
      <c r="H5107" s="23" t="s">
        <v>27</v>
      </c>
      <c r="I5107" s="23" t="s">
        <v>675</v>
      </c>
      <c r="J5107" s="14" t="s">
        <v>29</v>
      </c>
      <c r="K5107" s="15" t="s">
        <v>30</v>
      </c>
      <c r="L5107" s="87"/>
      <c r="M5107" s="14"/>
      <c r="N5107" s="14" t="s">
        <v>70</v>
      </c>
      <c r="O5107" s="14"/>
      <c r="P5107" s="15" t="s">
        <v>193</v>
      </c>
      <c r="Q5107" s="16">
        <v>2999</v>
      </c>
      <c r="R5107" s="17">
        <v>45</v>
      </c>
      <c r="S5107" s="18">
        <v>1896.8674999999998</v>
      </c>
      <c r="T5107" s="19" t="s">
        <v>117</v>
      </c>
      <c r="U5107" s="20" t="s">
        <v>2160</v>
      </c>
      <c r="V5107" s="21">
        <v>152</v>
      </c>
      <c r="W5107" s="21">
        <v>6</v>
      </c>
      <c r="X5107" s="22"/>
    </row>
    <row r="5108" spans="1:24" s="1" customFormat="1" ht="21.95" customHeight="1" x14ac:dyDescent="0.3">
      <c r="A5108" s="23" t="s">
        <v>3014</v>
      </c>
      <c r="B5108" s="23" t="s">
        <v>4930</v>
      </c>
      <c r="C5108" s="12" t="s">
        <v>4931</v>
      </c>
      <c r="D5108" s="85"/>
      <c r="E5108" s="69" t="str">
        <f t="shared" si="276"/>
        <v>Еще фото</v>
      </c>
      <c r="F5108" s="13"/>
      <c r="G5108" s="23" t="s">
        <v>675</v>
      </c>
      <c r="H5108" s="23" t="s">
        <v>27</v>
      </c>
      <c r="I5108" s="23" t="s">
        <v>675</v>
      </c>
      <c r="J5108" s="14" t="s">
        <v>29</v>
      </c>
      <c r="K5108" s="15" t="s">
        <v>30</v>
      </c>
      <c r="L5108" s="88"/>
      <c r="M5108" s="14"/>
      <c r="N5108" s="14" t="s">
        <v>70</v>
      </c>
      <c r="O5108" s="14"/>
      <c r="P5108" s="15" t="s">
        <v>193</v>
      </c>
      <c r="Q5108" s="16">
        <v>2999</v>
      </c>
      <c r="R5108" s="17">
        <v>45</v>
      </c>
      <c r="S5108" s="18">
        <v>1896.8674999999998</v>
      </c>
      <c r="T5108" s="19" t="s">
        <v>117</v>
      </c>
      <c r="U5108" s="20" t="s">
        <v>3088</v>
      </c>
      <c r="V5108" s="21">
        <v>158</v>
      </c>
      <c r="W5108" s="21">
        <v>5</v>
      </c>
      <c r="X5108" s="22"/>
    </row>
    <row r="5109" spans="1:24" s="1" customFormat="1" ht="17.100000000000001" customHeight="1" x14ac:dyDescent="0.3">
      <c r="A5109" s="11" t="s">
        <v>3014</v>
      </c>
      <c r="B5109" s="11" t="s">
        <v>4933</v>
      </c>
      <c r="C5109" s="12" t="s">
        <v>4934</v>
      </c>
      <c r="D5109" s="83"/>
      <c r="E5109" s="69" t="str">
        <f t="shared" ref="E5109:E5114" si="277">HYPERLINK("https://www.google.ru/search?q=73204406-8020&amp;newwindow=1&amp;tbm=isch","Еще фото")</f>
        <v>Еще фото</v>
      </c>
      <c r="F5109" s="13"/>
      <c r="G5109" s="11" t="s">
        <v>675</v>
      </c>
      <c r="H5109" s="11" t="s">
        <v>27</v>
      </c>
      <c r="I5109" s="14" t="s">
        <v>675</v>
      </c>
      <c r="J5109" s="14" t="s">
        <v>29</v>
      </c>
      <c r="K5109" s="15" t="s">
        <v>30</v>
      </c>
      <c r="L5109" s="86" t="s">
        <v>4935</v>
      </c>
      <c r="M5109" s="14"/>
      <c r="N5109" s="14" t="s">
        <v>242</v>
      </c>
      <c r="O5109" s="14"/>
      <c r="P5109" s="15" t="s">
        <v>193</v>
      </c>
      <c r="Q5109" s="16">
        <v>2499</v>
      </c>
      <c r="R5109" s="17">
        <v>45</v>
      </c>
      <c r="S5109" s="18">
        <v>1580.6174999999998</v>
      </c>
      <c r="T5109" s="19" t="s">
        <v>117</v>
      </c>
      <c r="U5109" s="20" t="s">
        <v>37</v>
      </c>
      <c r="V5109" s="21">
        <v>128</v>
      </c>
      <c r="W5109" s="21">
        <v>6</v>
      </c>
      <c r="X5109" s="22"/>
    </row>
    <row r="5110" spans="1:24" s="1" customFormat="1" ht="17.100000000000001" customHeight="1" x14ac:dyDescent="0.3">
      <c r="A5110" s="23" t="s">
        <v>3014</v>
      </c>
      <c r="B5110" s="23" t="s">
        <v>4933</v>
      </c>
      <c r="C5110" s="12" t="s">
        <v>4934</v>
      </c>
      <c r="D5110" s="84"/>
      <c r="E5110" s="69" t="str">
        <f t="shared" si="277"/>
        <v>Еще фото</v>
      </c>
      <c r="F5110" s="13"/>
      <c r="G5110" s="23" t="s">
        <v>675</v>
      </c>
      <c r="H5110" s="23" t="s">
        <v>27</v>
      </c>
      <c r="I5110" s="23" t="s">
        <v>675</v>
      </c>
      <c r="J5110" s="14" t="s">
        <v>29</v>
      </c>
      <c r="K5110" s="15" t="s">
        <v>30</v>
      </c>
      <c r="L5110" s="87"/>
      <c r="M5110" s="14"/>
      <c r="N5110" s="14" t="s">
        <v>242</v>
      </c>
      <c r="O5110" s="14"/>
      <c r="P5110" s="15" t="s">
        <v>193</v>
      </c>
      <c r="Q5110" s="16">
        <v>2499</v>
      </c>
      <c r="R5110" s="17">
        <v>45</v>
      </c>
      <c r="S5110" s="18">
        <v>1580.6174999999998</v>
      </c>
      <c r="T5110" s="19" t="s">
        <v>117</v>
      </c>
      <c r="U5110" s="20" t="s">
        <v>91</v>
      </c>
      <c r="V5110" s="21">
        <v>134</v>
      </c>
      <c r="W5110" s="21">
        <v>5</v>
      </c>
      <c r="X5110" s="22"/>
    </row>
    <row r="5111" spans="1:24" s="1" customFormat="1" ht="17.100000000000001" customHeight="1" x14ac:dyDescent="0.3">
      <c r="A5111" s="23" t="s">
        <v>3014</v>
      </c>
      <c r="B5111" s="23" t="s">
        <v>4933</v>
      </c>
      <c r="C5111" s="12" t="s">
        <v>4934</v>
      </c>
      <c r="D5111" s="84"/>
      <c r="E5111" s="69" t="str">
        <f t="shared" si="277"/>
        <v>Еще фото</v>
      </c>
      <c r="F5111" s="13"/>
      <c r="G5111" s="23" t="s">
        <v>675</v>
      </c>
      <c r="H5111" s="23" t="s">
        <v>27</v>
      </c>
      <c r="I5111" s="23" t="s">
        <v>675</v>
      </c>
      <c r="J5111" s="14" t="s">
        <v>29</v>
      </c>
      <c r="K5111" s="15" t="s">
        <v>30</v>
      </c>
      <c r="L5111" s="87"/>
      <c r="M5111" s="14"/>
      <c r="N5111" s="14" t="s">
        <v>242</v>
      </c>
      <c r="O5111" s="14"/>
      <c r="P5111" s="15" t="s">
        <v>193</v>
      </c>
      <c r="Q5111" s="16">
        <v>2499</v>
      </c>
      <c r="R5111" s="17">
        <v>45</v>
      </c>
      <c r="S5111" s="18">
        <v>1580.6174999999998</v>
      </c>
      <c r="T5111" s="19" t="s">
        <v>117</v>
      </c>
      <c r="U5111" s="20" t="s">
        <v>290</v>
      </c>
      <c r="V5111" s="21">
        <v>140</v>
      </c>
      <c r="W5111" s="21">
        <v>5</v>
      </c>
      <c r="X5111" s="22"/>
    </row>
    <row r="5112" spans="1:24" s="1" customFormat="1" ht="17.100000000000001" customHeight="1" x14ac:dyDescent="0.3">
      <c r="A5112" s="23" t="s">
        <v>3014</v>
      </c>
      <c r="B5112" s="23" t="s">
        <v>4933</v>
      </c>
      <c r="C5112" s="12" t="s">
        <v>4934</v>
      </c>
      <c r="D5112" s="84"/>
      <c r="E5112" s="69" t="str">
        <f t="shared" si="277"/>
        <v>Еще фото</v>
      </c>
      <c r="F5112" s="13"/>
      <c r="G5112" s="23" t="s">
        <v>675</v>
      </c>
      <c r="H5112" s="23" t="s">
        <v>27</v>
      </c>
      <c r="I5112" s="23" t="s">
        <v>675</v>
      </c>
      <c r="J5112" s="14" t="s">
        <v>29</v>
      </c>
      <c r="K5112" s="15" t="s">
        <v>30</v>
      </c>
      <c r="L5112" s="87"/>
      <c r="M5112" s="14"/>
      <c r="N5112" s="14" t="s">
        <v>242</v>
      </c>
      <c r="O5112" s="14"/>
      <c r="P5112" s="15" t="s">
        <v>193</v>
      </c>
      <c r="Q5112" s="16">
        <v>2499</v>
      </c>
      <c r="R5112" s="17">
        <v>45</v>
      </c>
      <c r="S5112" s="18">
        <v>1580.6174999999998</v>
      </c>
      <c r="T5112" s="19" t="s">
        <v>117</v>
      </c>
      <c r="U5112" s="20" t="s">
        <v>2993</v>
      </c>
      <c r="V5112" s="21">
        <v>146</v>
      </c>
      <c r="W5112" s="21">
        <v>6</v>
      </c>
      <c r="X5112" s="22"/>
    </row>
    <row r="5113" spans="1:24" s="1" customFormat="1" ht="17.100000000000001" customHeight="1" x14ac:dyDescent="0.3">
      <c r="A5113" s="23" t="s">
        <v>3014</v>
      </c>
      <c r="B5113" s="23" t="s">
        <v>4933</v>
      </c>
      <c r="C5113" s="12" t="s">
        <v>4934</v>
      </c>
      <c r="D5113" s="84"/>
      <c r="E5113" s="69" t="str">
        <f t="shared" si="277"/>
        <v>Еще фото</v>
      </c>
      <c r="F5113" s="13"/>
      <c r="G5113" s="23" t="s">
        <v>675</v>
      </c>
      <c r="H5113" s="23" t="s">
        <v>27</v>
      </c>
      <c r="I5113" s="23" t="s">
        <v>675</v>
      </c>
      <c r="J5113" s="14" t="s">
        <v>29</v>
      </c>
      <c r="K5113" s="15" t="s">
        <v>30</v>
      </c>
      <c r="L5113" s="87"/>
      <c r="M5113" s="14"/>
      <c r="N5113" s="14" t="s">
        <v>242</v>
      </c>
      <c r="O5113" s="14"/>
      <c r="P5113" s="15" t="s">
        <v>193</v>
      </c>
      <c r="Q5113" s="16">
        <v>2499</v>
      </c>
      <c r="R5113" s="17">
        <v>45</v>
      </c>
      <c r="S5113" s="18">
        <v>1580.6174999999998</v>
      </c>
      <c r="T5113" s="19" t="s">
        <v>117</v>
      </c>
      <c r="U5113" s="20" t="s">
        <v>2160</v>
      </c>
      <c r="V5113" s="21">
        <v>152</v>
      </c>
      <c r="W5113" s="21">
        <v>6</v>
      </c>
      <c r="X5113" s="22"/>
    </row>
    <row r="5114" spans="1:24" s="1" customFormat="1" ht="21.95" customHeight="1" x14ac:dyDescent="0.3">
      <c r="A5114" s="23" t="s">
        <v>3014</v>
      </c>
      <c r="B5114" s="23" t="s">
        <v>4933</v>
      </c>
      <c r="C5114" s="12" t="s">
        <v>4934</v>
      </c>
      <c r="D5114" s="85"/>
      <c r="E5114" s="69" t="str">
        <f t="shared" si="277"/>
        <v>Еще фото</v>
      </c>
      <c r="F5114" s="13"/>
      <c r="G5114" s="23" t="s">
        <v>675</v>
      </c>
      <c r="H5114" s="23" t="s">
        <v>27</v>
      </c>
      <c r="I5114" s="23" t="s">
        <v>675</v>
      </c>
      <c r="J5114" s="14" t="s">
        <v>29</v>
      </c>
      <c r="K5114" s="15" t="s">
        <v>30</v>
      </c>
      <c r="L5114" s="88"/>
      <c r="M5114" s="14"/>
      <c r="N5114" s="14" t="s">
        <v>242</v>
      </c>
      <c r="O5114" s="14"/>
      <c r="P5114" s="15" t="s">
        <v>193</v>
      </c>
      <c r="Q5114" s="16">
        <v>2499</v>
      </c>
      <c r="R5114" s="17">
        <v>45</v>
      </c>
      <c r="S5114" s="18">
        <v>1580.6174999999998</v>
      </c>
      <c r="T5114" s="19" t="s">
        <v>117</v>
      </c>
      <c r="U5114" s="20" t="s">
        <v>3088</v>
      </c>
      <c r="V5114" s="21">
        <v>158</v>
      </c>
      <c r="W5114" s="21">
        <v>6</v>
      </c>
      <c r="X5114" s="22"/>
    </row>
    <row r="5115" spans="1:24" s="1" customFormat="1" ht="17.100000000000001" customHeight="1" x14ac:dyDescent="0.3">
      <c r="A5115" s="11" t="s">
        <v>3014</v>
      </c>
      <c r="B5115" s="11" t="s">
        <v>4936</v>
      </c>
      <c r="C5115" s="12" t="s">
        <v>4937</v>
      </c>
      <c r="D5115" s="83"/>
      <c r="E5115" s="69" t="str">
        <f t="shared" ref="E5115:E5120" si="278">HYPERLINK("https://www.google.ru/search?q=73204411-2670&amp;newwindow=1&amp;tbm=isch","Еще фото")</f>
        <v>Еще фото</v>
      </c>
      <c r="F5115" s="13"/>
      <c r="G5115" s="11" t="s">
        <v>675</v>
      </c>
      <c r="H5115" s="11" t="s">
        <v>27</v>
      </c>
      <c r="I5115" s="14" t="s">
        <v>675</v>
      </c>
      <c r="J5115" s="14" t="s">
        <v>29</v>
      </c>
      <c r="K5115" s="15" t="s">
        <v>30</v>
      </c>
      <c r="L5115" s="86" t="s">
        <v>4938</v>
      </c>
      <c r="M5115" s="14"/>
      <c r="N5115" s="14" t="s">
        <v>636</v>
      </c>
      <c r="O5115" s="14"/>
      <c r="P5115" s="15" t="s">
        <v>193</v>
      </c>
      <c r="Q5115" s="16">
        <v>2499</v>
      </c>
      <c r="R5115" s="17">
        <v>45</v>
      </c>
      <c r="S5115" s="18">
        <v>1580.6174999999998</v>
      </c>
      <c r="T5115" s="19" t="s">
        <v>117</v>
      </c>
      <c r="U5115" s="20" t="s">
        <v>37</v>
      </c>
      <c r="V5115" s="21">
        <v>128</v>
      </c>
      <c r="W5115" s="21">
        <v>4</v>
      </c>
      <c r="X5115" s="22"/>
    </row>
    <row r="5116" spans="1:24" s="1" customFormat="1" ht="17.100000000000001" customHeight="1" x14ac:dyDescent="0.3">
      <c r="A5116" s="23" t="s">
        <v>3014</v>
      </c>
      <c r="B5116" s="23" t="s">
        <v>4936</v>
      </c>
      <c r="C5116" s="12" t="s">
        <v>4937</v>
      </c>
      <c r="D5116" s="84"/>
      <c r="E5116" s="69" t="str">
        <f t="shared" si="278"/>
        <v>Еще фото</v>
      </c>
      <c r="F5116" s="13"/>
      <c r="G5116" s="23" t="s">
        <v>675</v>
      </c>
      <c r="H5116" s="23" t="s">
        <v>27</v>
      </c>
      <c r="I5116" s="23" t="s">
        <v>675</v>
      </c>
      <c r="J5116" s="14" t="s">
        <v>29</v>
      </c>
      <c r="K5116" s="15" t="s">
        <v>30</v>
      </c>
      <c r="L5116" s="87"/>
      <c r="M5116" s="14"/>
      <c r="N5116" s="14" t="s">
        <v>636</v>
      </c>
      <c r="O5116" s="14"/>
      <c r="P5116" s="15" t="s">
        <v>193</v>
      </c>
      <c r="Q5116" s="16">
        <v>2499</v>
      </c>
      <c r="R5116" s="17">
        <v>45</v>
      </c>
      <c r="S5116" s="18">
        <v>1580.6174999999998</v>
      </c>
      <c r="T5116" s="19" t="s">
        <v>117</v>
      </c>
      <c r="U5116" s="20" t="s">
        <v>91</v>
      </c>
      <c r="V5116" s="21">
        <v>134</v>
      </c>
      <c r="W5116" s="21">
        <v>4</v>
      </c>
      <c r="X5116" s="22"/>
    </row>
    <row r="5117" spans="1:24" s="1" customFormat="1" ht="17.100000000000001" customHeight="1" x14ac:dyDescent="0.3">
      <c r="A5117" s="23" t="s">
        <v>3014</v>
      </c>
      <c r="B5117" s="23" t="s">
        <v>4936</v>
      </c>
      <c r="C5117" s="12" t="s">
        <v>4937</v>
      </c>
      <c r="D5117" s="84"/>
      <c r="E5117" s="69" t="str">
        <f t="shared" si="278"/>
        <v>Еще фото</v>
      </c>
      <c r="F5117" s="13"/>
      <c r="G5117" s="23" t="s">
        <v>675</v>
      </c>
      <c r="H5117" s="23" t="s">
        <v>27</v>
      </c>
      <c r="I5117" s="23" t="s">
        <v>675</v>
      </c>
      <c r="J5117" s="14" t="s">
        <v>29</v>
      </c>
      <c r="K5117" s="15" t="s">
        <v>30</v>
      </c>
      <c r="L5117" s="87"/>
      <c r="M5117" s="14"/>
      <c r="N5117" s="14" t="s">
        <v>636</v>
      </c>
      <c r="O5117" s="14"/>
      <c r="P5117" s="15" t="s">
        <v>193</v>
      </c>
      <c r="Q5117" s="16">
        <v>2499</v>
      </c>
      <c r="R5117" s="17">
        <v>45</v>
      </c>
      <c r="S5117" s="18">
        <v>1580.6174999999998</v>
      </c>
      <c r="T5117" s="19" t="s">
        <v>117</v>
      </c>
      <c r="U5117" s="20" t="s">
        <v>290</v>
      </c>
      <c r="V5117" s="21">
        <v>140</v>
      </c>
      <c r="W5117" s="21">
        <v>3</v>
      </c>
      <c r="X5117" s="22"/>
    </row>
    <row r="5118" spans="1:24" s="1" customFormat="1" ht="17.100000000000001" customHeight="1" x14ac:dyDescent="0.3">
      <c r="A5118" s="23" t="s">
        <v>3014</v>
      </c>
      <c r="B5118" s="23" t="s">
        <v>4936</v>
      </c>
      <c r="C5118" s="12" t="s">
        <v>4937</v>
      </c>
      <c r="D5118" s="84"/>
      <c r="E5118" s="69" t="str">
        <f t="shared" si="278"/>
        <v>Еще фото</v>
      </c>
      <c r="F5118" s="13"/>
      <c r="G5118" s="23" t="s">
        <v>675</v>
      </c>
      <c r="H5118" s="23" t="s">
        <v>27</v>
      </c>
      <c r="I5118" s="23" t="s">
        <v>675</v>
      </c>
      <c r="J5118" s="14" t="s">
        <v>29</v>
      </c>
      <c r="K5118" s="15" t="s">
        <v>30</v>
      </c>
      <c r="L5118" s="87"/>
      <c r="M5118" s="14"/>
      <c r="N5118" s="14" t="s">
        <v>636</v>
      </c>
      <c r="O5118" s="14"/>
      <c r="P5118" s="15" t="s">
        <v>193</v>
      </c>
      <c r="Q5118" s="16">
        <v>2499</v>
      </c>
      <c r="R5118" s="17">
        <v>45</v>
      </c>
      <c r="S5118" s="18">
        <v>1580.6174999999998</v>
      </c>
      <c r="T5118" s="19" t="s">
        <v>117</v>
      </c>
      <c r="U5118" s="20" t="s">
        <v>2993</v>
      </c>
      <c r="V5118" s="21">
        <v>146</v>
      </c>
      <c r="W5118" s="21">
        <v>4</v>
      </c>
      <c r="X5118" s="22"/>
    </row>
    <row r="5119" spans="1:24" s="1" customFormat="1" ht="17.100000000000001" customHeight="1" x14ac:dyDescent="0.3">
      <c r="A5119" s="23" t="s">
        <v>3014</v>
      </c>
      <c r="B5119" s="23" t="s">
        <v>4936</v>
      </c>
      <c r="C5119" s="12" t="s">
        <v>4937</v>
      </c>
      <c r="D5119" s="84"/>
      <c r="E5119" s="69" t="str">
        <f t="shared" si="278"/>
        <v>Еще фото</v>
      </c>
      <c r="F5119" s="13"/>
      <c r="G5119" s="23" t="s">
        <v>675</v>
      </c>
      <c r="H5119" s="23" t="s">
        <v>27</v>
      </c>
      <c r="I5119" s="23" t="s">
        <v>675</v>
      </c>
      <c r="J5119" s="14" t="s">
        <v>29</v>
      </c>
      <c r="K5119" s="15" t="s">
        <v>30</v>
      </c>
      <c r="L5119" s="87"/>
      <c r="M5119" s="14"/>
      <c r="N5119" s="14" t="s">
        <v>636</v>
      </c>
      <c r="O5119" s="14"/>
      <c r="P5119" s="15" t="s">
        <v>193</v>
      </c>
      <c r="Q5119" s="16">
        <v>2499</v>
      </c>
      <c r="R5119" s="17">
        <v>45</v>
      </c>
      <c r="S5119" s="18">
        <v>1580.6174999999998</v>
      </c>
      <c r="T5119" s="19" t="s">
        <v>117</v>
      </c>
      <c r="U5119" s="20" t="s">
        <v>2160</v>
      </c>
      <c r="V5119" s="21">
        <v>152</v>
      </c>
      <c r="W5119" s="21">
        <v>3</v>
      </c>
      <c r="X5119" s="22"/>
    </row>
    <row r="5120" spans="1:24" s="1" customFormat="1" ht="21.95" customHeight="1" x14ac:dyDescent="0.3">
      <c r="A5120" s="23" t="s">
        <v>3014</v>
      </c>
      <c r="B5120" s="23" t="s">
        <v>4936</v>
      </c>
      <c r="C5120" s="12" t="s">
        <v>4937</v>
      </c>
      <c r="D5120" s="85"/>
      <c r="E5120" s="69" t="str">
        <f t="shared" si="278"/>
        <v>Еще фото</v>
      </c>
      <c r="F5120" s="13"/>
      <c r="G5120" s="23" t="s">
        <v>675</v>
      </c>
      <c r="H5120" s="23" t="s">
        <v>27</v>
      </c>
      <c r="I5120" s="23" t="s">
        <v>675</v>
      </c>
      <c r="J5120" s="14" t="s">
        <v>29</v>
      </c>
      <c r="K5120" s="15" t="s">
        <v>30</v>
      </c>
      <c r="L5120" s="88"/>
      <c r="M5120" s="14"/>
      <c r="N5120" s="14" t="s">
        <v>636</v>
      </c>
      <c r="O5120" s="14"/>
      <c r="P5120" s="15" t="s">
        <v>193</v>
      </c>
      <c r="Q5120" s="16">
        <v>2499</v>
      </c>
      <c r="R5120" s="17">
        <v>45</v>
      </c>
      <c r="S5120" s="18">
        <v>1580.6174999999998</v>
      </c>
      <c r="T5120" s="19" t="s">
        <v>117</v>
      </c>
      <c r="U5120" s="20" t="s">
        <v>3088</v>
      </c>
      <c r="V5120" s="21">
        <v>158</v>
      </c>
      <c r="W5120" s="21">
        <v>4</v>
      </c>
      <c r="X5120" s="22"/>
    </row>
    <row r="5121" spans="1:24" s="1" customFormat="1" ht="17.100000000000001" customHeight="1" x14ac:dyDescent="0.3">
      <c r="A5121" s="11" t="s">
        <v>3014</v>
      </c>
      <c r="B5121" s="11" t="s">
        <v>4936</v>
      </c>
      <c r="C5121" s="12" t="s">
        <v>4939</v>
      </c>
      <c r="D5121" s="83"/>
      <c r="E5121" s="69" t="str">
        <f t="shared" ref="E5121:E5126" si="279">HYPERLINK("https://www.google.ru/search?q=73204411-8020&amp;newwindow=1&amp;tbm=isch","Еще фото")</f>
        <v>Еще фото</v>
      </c>
      <c r="F5121" s="13"/>
      <c r="G5121" s="11" t="s">
        <v>675</v>
      </c>
      <c r="H5121" s="11" t="s">
        <v>27</v>
      </c>
      <c r="I5121" s="14" t="s">
        <v>675</v>
      </c>
      <c r="J5121" s="14" t="s">
        <v>29</v>
      </c>
      <c r="K5121" s="15" t="s">
        <v>30</v>
      </c>
      <c r="L5121" s="86" t="s">
        <v>4938</v>
      </c>
      <c r="M5121" s="14"/>
      <c r="N5121" s="14" t="s">
        <v>242</v>
      </c>
      <c r="O5121" s="14"/>
      <c r="P5121" s="15" t="s">
        <v>193</v>
      </c>
      <c r="Q5121" s="16">
        <v>2499</v>
      </c>
      <c r="R5121" s="17">
        <v>45</v>
      </c>
      <c r="S5121" s="18">
        <v>1580.6174999999998</v>
      </c>
      <c r="T5121" s="19" t="s">
        <v>117</v>
      </c>
      <c r="U5121" s="20" t="s">
        <v>37</v>
      </c>
      <c r="V5121" s="21">
        <v>128</v>
      </c>
      <c r="W5121" s="21">
        <v>4</v>
      </c>
      <c r="X5121" s="22"/>
    </row>
    <row r="5122" spans="1:24" s="1" customFormat="1" ht="17.100000000000001" customHeight="1" x14ac:dyDescent="0.3">
      <c r="A5122" s="23" t="s">
        <v>3014</v>
      </c>
      <c r="B5122" s="23" t="s">
        <v>4936</v>
      </c>
      <c r="C5122" s="12" t="s">
        <v>4939</v>
      </c>
      <c r="D5122" s="84"/>
      <c r="E5122" s="69" t="str">
        <f t="shared" si="279"/>
        <v>Еще фото</v>
      </c>
      <c r="F5122" s="13"/>
      <c r="G5122" s="23" t="s">
        <v>675</v>
      </c>
      <c r="H5122" s="23" t="s">
        <v>27</v>
      </c>
      <c r="I5122" s="23" t="s">
        <v>675</v>
      </c>
      <c r="J5122" s="14" t="s">
        <v>29</v>
      </c>
      <c r="K5122" s="15" t="s">
        <v>30</v>
      </c>
      <c r="L5122" s="87"/>
      <c r="M5122" s="14"/>
      <c r="N5122" s="14" t="s">
        <v>242</v>
      </c>
      <c r="O5122" s="14"/>
      <c r="P5122" s="15" t="s">
        <v>193</v>
      </c>
      <c r="Q5122" s="16">
        <v>2499</v>
      </c>
      <c r="R5122" s="17">
        <v>45</v>
      </c>
      <c r="S5122" s="18">
        <v>1580.6174999999998</v>
      </c>
      <c r="T5122" s="19" t="s">
        <v>117</v>
      </c>
      <c r="U5122" s="20" t="s">
        <v>91</v>
      </c>
      <c r="V5122" s="21">
        <v>134</v>
      </c>
      <c r="W5122" s="21">
        <v>2</v>
      </c>
      <c r="X5122" s="22"/>
    </row>
    <row r="5123" spans="1:24" s="1" customFormat="1" ht="17.100000000000001" customHeight="1" x14ac:dyDescent="0.3">
      <c r="A5123" s="23" t="s">
        <v>3014</v>
      </c>
      <c r="B5123" s="23" t="s">
        <v>4936</v>
      </c>
      <c r="C5123" s="12" t="s">
        <v>4939</v>
      </c>
      <c r="D5123" s="84"/>
      <c r="E5123" s="69" t="str">
        <f t="shared" si="279"/>
        <v>Еще фото</v>
      </c>
      <c r="F5123" s="13"/>
      <c r="G5123" s="23" t="s">
        <v>675</v>
      </c>
      <c r="H5123" s="23" t="s">
        <v>27</v>
      </c>
      <c r="I5123" s="23" t="s">
        <v>675</v>
      </c>
      <c r="J5123" s="14" t="s">
        <v>29</v>
      </c>
      <c r="K5123" s="15" t="s">
        <v>30</v>
      </c>
      <c r="L5123" s="87"/>
      <c r="M5123" s="14"/>
      <c r="N5123" s="14" t="s">
        <v>242</v>
      </c>
      <c r="O5123" s="14"/>
      <c r="P5123" s="15" t="s">
        <v>193</v>
      </c>
      <c r="Q5123" s="16">
        <v>2499</v>
      </c>
      <c r="R5123" s="17">
        <v>45</v>
      </c>
      <c r="S5123" s="18">
        <v>1580.6174999999998</v>
      </c>
      <c r="T5123" s="19" t="s">
        <v>117</v>
      </c>
      <c r="U5123" s="20" t="s">
        <v>290</v>
      </c>
      <c r="V5123" s="21">
        <v>140</v>
      </c>
      <c r="W5123" s="21">
        <v>2</v>
      </c>
      <c r="X5123" s="22"/>
    </row>
    <row r="5124" spans="1:24" s="1" customFormat="1" ht="17.100000000000001" customHeight="1" x14ac:dyDescent="0.3">
      <c r="A5124" s="23" t="s">
        <v>3014</v>
      </c>
      <c r="B5124" s="23" t="s">
        <v>4936</v>
      </c>
      <c r="C5124" s="12" t="s">
        <v>4939</v>
      </c>
      <c r="D5124" s="84"/>
      <c r="E5124" s="69" t="str">
        <f t="shared" si="279"/>
        <v>Еще фото</v>
      </c>
      <c r="F5124" s="13"/>
      <c r="G5124" s="23" t="s">
        <v>675</v>
      </c>
      <c r="H5124" s="23" t="s">
        <v>27</v>
      </c>
      <c r="I5124" s="23" t="s">
        <v>675</v>
      </c>
      <c r="J5124" s="14" t="s">
        <v>29</v>
      </c>
      <c r="K5124" s="15" t="s">
        <v>30</v>
      </c>
      <c r="L5124" s="87"/>
      <c r="M5124" s="14"/>
      <c r="N5124" s="14" t="s">
        <v>242</v>
      </c>
      <c r="O5124" s="14"/>
      <c r="P5124" s="15" t="s">
        <v>193</v>
      </c>
      <c r="Q5124" s="16">
        <v>2499</v>
      </c>
      <c r="R5124" s="17">
        <v>45</v>
      </c>
      <c r="S5124" s="18">
        <v>1580.6174999999998</v>
      </c>
      <c r="T5124" s="19" t="s">
        <v>117</v>
      </c>
      <c r="U5124" s="20" t="s">
        <v>2993</v>
      </c>
      <c r="V5124" s="21">
        <v>146</v>
      </c>
      <c r="W5124" s="21">
        <v>4</v>
      </c>
      <c r="X5124" s="22"/>
    </row>
    <row r="5125" spans="1:24" s="1" customFormat="1" ht="17.100000000000001" customHeight="1" x14ac:dyDescent="0.3">
      <c r="A5125" s="23" t="s">
        <v>3014</v>
      </c>
      <c r="B5125" s="23" t="s">
        <v>4936</v>
      </c>
      <c r="C5125" s="12" t="s">
        <v>4939</v>
      </c>
      <c r="D5125" s="84"/>
      <c r="E5125" s="69" t="str">
        <f t="shared" si="279"/>
        <v>Еще фото</v>
      </c>
      <c r="F5125" s="13"/>
      <c r="G5125" s="23" t="s">
        <v>675</v>
      </c>
      <c r="H5125" s="23" t="s">
        <v>27</v>
      </c>
      <c r="I5125" s="23" t="s">
        <v>675</v>
      </c>
      <c r="J5125" s="14" t="s">
        <v>29</v>
      </c>
      <c r="K5125" s="15" t="s">
        <v>30</v>
      </c>
      <c r="L5125" s="87"/>
      <c r="M5125" s="14"/>
      <c r="N5125" s="14" t="s">
        <v>242</v>
      </c>
      <c r="O5125" s="14"/>
      <c r="P5125" s="15" t="s">
        <v>193</v>
      </c>
      <c r="Q5125" s="16">
        <v>2499</v>
      </c>
      <c r="R5125" s="17">
        <v>45</v>
      </c>
      <c r="S5125" s="18">
        <v>1580.6174999999998</v>
      </c>
      <c r="T5125" s="19" t="s">
        <v>117</v>
      </c>
      <c r="U5125" s="20" t="s">
        <v>2160</v>
      </c>
      <c r="V5125" s="21">
        <v>152</v>
      </c>
      <c r="W5125" s="21">
        <v>4</v>
      </c>
      <c r="X5125" s="22"/>
    </row>
    <row r="5126" spans="1:24" s="1" customFormat="1" ht="21.95" customHeight="1" x14ac:dyDescent="0.3">
      <c r="A5126" s="23" t="s">
        <v>3014</v>
      </c>
      <c r="B5126" s="23" t="s">
        <v>4936</v>
      </c>
      <c r="C5126" s="12" t="s">
        <v>4939</v>
      </c>
      <c r="D5126" s="85"/>
      <c r="E5126" s="69" t="str">
        <f t="shared" si="279"/>
        <v>Еще фото</v>
      </c>
      <c r="F5126" s="13"/>
      <c r="G5126" s="23" t="s">
        <v>675</v>
      </c>
      <c r="H5126" s="23" t="s">
        <v>27</v>
      </c>
      <c r="I5126" s="23" t="s">
        <v>675</v>
      </c>
      <c r="J5126" s="14" t="s">
        <v>29</v>
      </c>
      <c r="K5126" s="15" t="s">
        <v>30</v>
      </c>
      <c r="L5126" s="88"/>
      <c r="M5126" s="14"/>
      <c r="N5126" s="14" t="s">
        <v>242</v>
      </c>
      <c r="O5126" s="14"/>
      <c r="P5126" s="15" t="s">
        <v>193</v>
      </c>
      <c r="Q5126" s="16">
        <v>2499</v>
      </c>
      <c r="R5126" s="17">
        <v>45</v>
      </c>
      <c r="S5126" s="18">
        <v>1580.6174999999998</v>
      </c>
      <c r="T5126" s="19" t="s">
        <v>117</v>
      </c>
      <c r="U5126" s="20" t="s">
        <v>3088</v>
      </c>
      <c r="V5126" s="21">
        <v>158</v>
      </c>
      <c r="W5126" s="21">
        <v>4</v>
      </c>
      <c r="X5126" s="22"/>
    </row>
    <row r="5127" spans="1:24" s="1" customFormat="1" ht="12.95" customHeight="1" x14ac:dyDescent="0.3">
      <c r="A5127" s="11" t="s">
        <v>3014</v>
      </c>
      <c r="B5127" s="11" t="s">
        <v>4940</v>
      </c>
      <c r="C5127" s="12" t="s">
        <v>4941</v>
      </c>
      <c r="D5127" s="83"/>
      <c r="E5127" s="69" t="str">
        <f t="shared" ref="E5127:E5134" si="280">HYPERLINK("https://www.google.ru/search?q=73206105-6960&amp;newwindow=1&amp;tbm=isch","Еще фото")</f>
        <v>Еще фото</v>
      </c>
      <c r="F5127" s="13"/>
      <c r="G5127" s="11" t="s">
        <v>675</v>
      </c>
      <c r="H5127" s="11" t="s">
        <v>27</v>
      </c>
      <c r="I5127" s="14" t="s">
        <v>675</v>
      </c>
      <c r="J5127" s="14" t="s">
        <v>29</v>
      </c>
      <c r="K5127" s="15" t="s">
        <v>30</v>
      </c>
      <c r="L5127" s="86"/>
      <c r="M5127" s="14"/>
      <c r="N5127" s="14" t="s">
        <v>70</v>
      </c>
      <c r="O5127" s="14"/>
      <c r="P5127" s="15" t="s">
        <v>2678</v>
      </c>
      <c r="Q5127" s="16">
        <v>2599</v>
      </c>
      <c r="R5127" s="17">
        <v>45</v>
      </c>
      <c r="S5127" s="18">
        <v>1643.8674999999998</v>
      </c>
      <c r="T5127" s="19" t="s">
        <v>117</v>
      </c>
      <c r="U5127" s="26" t="s">
        <v>35</v>
      </c>
      <c r="V5127" s="21">
        <v>116</v>
      </c>
      <c r="W5127" s="21">
        <v>1</v>
      </c>
      <c r="X5127" s="22"/>
    </row>
    <row r="5128" spans="1:24" s="1" customFormat="1" ht="12.95" customHeight="1" x14ac:dyDescent="0.3">
      <c r="A5128" s="23" t="s">
        <v>3014</v>
      </c>
      <c r="B5128" s="23" t="s">
        <v>4940</v>
      </c>
      <c r="C5128" s="12" t="s">
        <v>4941</v>
      </c>
      <c r="D5128" s="84"/>
      <c r="E5128" s="69" t="str">
        <f t="shared" si="280"/>
        <v>Еще фото</v>
      </c>
      <c r="F5128" s="13"/>
      <c r="G5128" s="23" t="s">
        <v>675</v>
      </c>
      <c r="H5128" s="23" t="s">
        <v>27</v>
      </c>
      <c r="I5128" s="23" t="s">
        <v>675</v>
      </c>
      <c r="J5128" s="14" t="s">
        <v>29</v>
      </c>
      <c r="K5128" s="15" t="s">
        <v>30</v>
      </c>
      <c r="L5128" s="87"/>
      <c r="M5128" s="14"/>
      <c r="N5128" s="14" t="s">
        <v>70</v>
      </c>
      <c r="O5128" s="14"/>
      <c r="P5128" s="15" t="s">
        <v>2678</v>
      </c>
      <c r="Q5128" s="16">
        <v>2599</v>
      </c>
      <c r="R5128" s="17">
        <v>45</v>
      </c>
      <c r="S5128" s="18">
        <v>1643.8674999999998</v>
      </c>
      <c r="T5128" s="19" t="s">
        <v>117</v>
      </c>
      <c r="U5128" s="20" t="s">
        <v>36</v>
      </c>
      <c r="V5128" s="21">
        <v>122</v>
      </c>
      <c r="W5128" s="21">
        <v>2</v>
      </c>
      <c r="X5128" s="22"/>
    </row>
    <row r="5129" spans="1:24" s="1" customFormat="1" ht="12.95" customHeight="1" x14ac:dyDescent="0.3">
      <c r="A5129" s="23" t="s">
        <v>3014</v>
      </c>
      <c r="B5129" s="23" t="s">
        <v>4940</v>
      </c>
      <c r="C5129" s="12" t="s">
        <v>4941</v>
      </c>
      <c r="D5129" s="84"/>
      <c r="E5129" s="69" t="str">
        <f t="shared" si="280"/>
        <v>Еще фото</v>
      </c>
      <c r="F5129" s="13"/>
      <c r="G5129" s="23" t="s">
        <v>675</v>
      </c>
      <c r="H5129" s="23" t="s">
        <v>27</v>
      </c>
      <c r="I5129" s="23" t="s">
        <v>675</v>
      </c>
      <c r="J5129" s="14" t="s">
        <v>29</v>
      </c>
      <c r="K5129" s="15" t="s">
        <v>30</v>
      </c>
      <c r="L5129" s="87"/>
      <c r="M5129" s="14"/>
      <c r="N5129" s="14" t="s">
        <v>70</v>
      </c>
      <c r="O5129" s="14"/>
      <c r="P5129" s="15" t="s">
        <v>2678</v>
      </c>
      <c r="Q5129" s="16">
        <v>2599</v>
      </c>
      <c r="R5129" s="17">
        <v>45</v>
      </c>
      <c r="S5129" s="18">
        <v>1643.8674999999998</v>
      </c>
      <c r="T5129" s="19" t="s">
        <v>117</v>
      </c>
      <c r="U5129" s="20" t="s">
        <v>37</v>
      </c>
      <c r="V5129" s="21">
        <v>128</v>
      </c>
      <c r="W5129" s="21">
        <v>1</v>
      </c>
      <c r="X5129" s="22"/>
    </row>
    <row r="5130" spans="1:24" s="1" customFormat="1" ht="12.95" customHeight="1" x14ac:dyDescent="0.3">
      <c r="A5130" s="23" t="s">
        <v>3014</v>
      </c>
      <c r="B5130" s="23" t="s">
        <v>4940</v>
      </c>
      <c r="C5130" s="12" t="s">
        <v>4941</v>
      </c>
      <c r="D5130" s="84"/>
      <c r="E5130" s="69" t="str">
        <f t="shared" si="280"/>
        <v>Еще фото</v>
      </c>
      <c r="F5130" s="13"/>
      <c r="G5130" s="23" t="s">
        <v>675</v>
      </c>
      <c r="H5130" s="23" t="s">
        <v>27</v>
      </c>
      <c r="I5130" s="23" t="s">
        <v>675</v>
      </c>
      <c r="J5130" s="14" t="s">
        <v>29</v>
      </c>
      <c r="K5130" s="15" t="s">
        <v>30</v>
      </c>
      <c r="L5130" s="87"/>
      <c r="M5130" s="14"/>
      <c r="N5130" s="14" t="s">
        <v>70</v>
      </c>
      <c r="O5130" s="14"/>
      <c r="P5130" s="15" t="s">
        <v>2678</v>
      </c>
      <c r="Q5130" s="16">
        <v>2599</v>
      </c>
      <c r="R5130" s="17">
        <v>45</v>
      </c>
      <c r="S5130" s="18">
        <v>1643.8674999999998</v>
      </c>
      <c r="T5130" s="19" t="s">
        <v>117</v>
      </c>
      <c r="U5130" s="20" t="s">
        <v>91</v>
      </c>
      <c r="V5130" s="21">
        <v>134</v>
      </c>
      <c r="W5130" s="21">
        <v>2</v>
      </c>
      <c r="X5130" s="22"/>
    </row>
    <row r="5131" spans="1:24" s="1" customFormat="1" ht="12.95" customHeight="1" x14ac:dyDescent="0.3">
      <c r="A5131" s="23" t="s">
        <v>3014</v>
      </c>
      <c r="B5131" s="23" t="s">
        <v>4940</v>
      </c>
      <c r="C5131" s="12" t="s">
        <v>4941</v>
      </c>
      <c r="D5131" s="84"/>
      <c r="E5131" s="69" t="str">
        <f t="shared" si="280"/>
        <v>Еще фото</v>
      </c>
      <c r="F5131" s="13"/>
      <c r="G5131" s="23" t="s">
        <v>675</v>
      </c>
      <c r="H5131" s="23" t="s">
        <v>27</v>
      </c>
      <c r="I5131" s="23" t="s">
        <v>675</v>
      </c>
      <c r="J5131" s="14" t="s">
        <v>29</v>
      </c>
      <c r="K5131" s="15" t="s">
        <v>30</v>
      </c>
      <c r="L5131" s="87"/>
      <c r="M5131" s="14"/>
      <c r="N5131" s="14" t="s">
        <v>70</v>
      </c>
      <c r="O5131" s="14"/>
      <c r="P5131" s="15" t="s">
        <v>2678</v>
      </c>
      <c r="Q5131" s="16">
        <v>2599</v>
      </c>
      <c r="R5131" s="17">
        <v>45</v>
      </c>
      <c r="S5131" s="18">
        <v>1643.8674999999998</v>
      </c>
      <c r="T5131" s="19" t="s">
        <v>117</v>
      </c>
      <c r="U5131" s="20" t="s">
        <v>290</v>
      </c>
      <c r="V5131" s="21">
        <v>140</v>
      </c>
      <c r="W5131" s="21">
        <v>4</v>
      </c>
      <c r="X5131" s="22"/>
    </row>
    <row r="5132" spans="1:24" s="1" customFormat="1" ht="12.95" customHeight="1" x14ac:dyDescent="0.3">
      <c r="A5132" s="23" t="s">
        <v>3014</v>
      </c>
      <c r="B5132" s="23" t="s">
        <v>4940</v>
      </c>
      <c r="C5132" s="12" t="s">
        <v>4941</v>
      </c>
      <c r="D5132" s="84"/>
      <c r="E5132" s="69" t="str">
        <f t="shared" si="280"/>
        <v>Еще фото</v>
      </c>
      <c r="F5132" s="13"/>
      <c r="G5132" s="23" t="s">
        <v>675</v>
      </c>
      <c r="H5132" s="23" t="s">
        <v>27</v>
      </c>
      <c r="I5132" s="23" t="s">
        <v>675</v>
      </c>
      <c r="J5132" s="14" t="s">
        <v>29</v>
      </c>
      <c r="K5132" s="15" t="s">
        <v>30</v>
      </c>
      <c r="L5132" s="87"/>
      <c r="M5132" s="14"/>
      <c r="N5132" s="14" t="s">
        <v>70</v>
      </c>
      <c r="O5132" s="14"/>
      <c r="P5132" s="15" t="s">
        <v>2678</v>
      </c>
      <c r="Q5132" s="16">
        <v>2599</v>
      </c>
      <c r="R5132" s="17">
        <v>45</v>
      </c>
      <c r="S5132" s="18">
        <v>1643.8674999999998</v>
      </c>
      <c r="T5132" s="19" t="s">
        <v>117</v>
      </c>
      <c r="U5132" s="20" t="s">
        <v>2993</v>
      </c>
      <c r="V5132" s="21">
        <v>146</v>
      </c>
      <c r="W5132" s="21">
        <v>4</v>
      </c>
      <c r="X5132" s="22"/>
    </row>
    <row r="5133" spans="1:24" s="1" customFormat="1" ht="12.95" customHeight="1" x14ac:dyDescent="0.3">
      <c r="A5133" s="23" t="s">
        <v>3014</v>
      </c>
      <c r="B5133" s="23" t="s">
        <v>4940</v>
      </c>
      <c r="C5133" s="12" t="s">
        <v>4941</v>
      </c>
      <c r="D5133" s="84"/>
      <c r="E5133" s="69" t="str">
        <f t="shared" si="280"/>
        <v>Еще фото</v>
      </c>
      <c r="F5133" s="13"/>
      <c r="G5133" s="23" t="s">
        <v>675</v>
      </c>
      <c r="H5133" s="23" t="s">
        <v>27</v>
      </c>
      <c r="I5133" s="23" t="s">
        <v>675</v>
      </c>
      <c r="J5133" s="14" t="s">
        <v>29</v>
      </c>
      <c r="K5133" s="15" t="s">
        <v>30</v>
      </c>
      <c r="L5133" s="87"/>
      <c r="M5133" s="14"/>
      <c r="N5133" s="14" t="s">
        <v>70</v>
      </c>
      <c r="O5133" s="14"/>
      <c r="P5133" s="15" t="s">
        <v>2678</v>
      </c>
      <c r="Q5133" s="16">
        <v>2599</v>
      </c>
      <c r="R5133" s="17">
        <v>45</v>
      </c>
      <c r="S5133" s="18">
        <v>1643.8674999999998</v>
      </c>
      <c r="T5133" s="19" t="s">
        <v>117</v>
      </c>
      <c r="U5133" s="20" t="s">
        <v>2160</v>
      </c>
      <c r="V5133" s="21">
        <v>152</v>
      </c>
      <c r="W5133" s="21">
        <v>2</v>
      </c>
      <c r="X5133" s="22"/>
    </row>
    <row r="5134" spans="1:24" s="1" customFormat="1" ht="18" customHeight="1" x14ac:dyDescent="0.3">
      <c r="A5134" s="23" t="s">
        <v>3014</v>
      </c>
      <c r="B5134" s="23" t="s">
        <v>4940</v>
      </c>
      <c r="C5134" s="12" t="s">
        <v>4941</v>
      </c>
      <c r="D5134" s="85"/>
      <c r="E5134" s="69" t="str">
        <f t="shared" si="280"/>
        <v>Еще фото</v>
      </c>
      <c r="F5134" s="13"/>
      <c r="G5134" s="23" t="s">
        <v>675</v>
      </c>
      <c r="H5134" s="23" t="s">
        <v>27</v>
      </c>
      <c r="I5134" s="23" t="s">
        <v>675</v>
      </c>
      <c r="J5134" s="14" t="s">
        <v>29</v>
      </c>
      <c r="K5134" s="15" t="s">
        <v>30</v>
      </c>
      <c r="L5134" s="88"/>
      <c r="M5134" s="14"/>
      <c r="N5134" s="14" t="s">
        <v>70</v>
      </c>
      <c r="O5134" s="14"/>
      <c r="P5134" s="15" t="s">
        <v>2678</v>
      </c>
      <c r="Q5134" s="16">
        <v>2599</v>
      </c>
      <c r="R5134" s="17">
        <v>45</v>
      </c>
      <c r="S5134" s="18">
        <v>1643.8674999999998</v>
      </c>
      <c r="T5134" s="19" t="s">
        <v>117</v>
      </c>
      <c r="U5134" s="20" t="s">
        <v>3088</v>
      </c>
      <c r="V5134" s="21">
        <v>158</v>
      </c>
      <c r="W5134" s="21">
        <v>2</v>
      </c>
      <c r="X5134" s="22"/>
    </row>
    <row r="5135" spans="1:24" s="1" customFormat="1" ht="17.100000000000001" customHeight="1" x14ac:dyDescent="0.3">
      <c r="A5135" s="11" t="s">
        <v>3014</v>
      </c>
      <c r="B5135" s="11" t="s">
        <v>4940</v>
      </c>
      <c r="C5135" s="12" t="s">
        <v>4942</v>
      </c>
      <c r="D5135" s="83"/>
      <c r="E5135" s="69" t="str">
        <f t="shared" ref="E5135:E5140" si="281">HYPERLINK("https://www.google.ru/search?q=73206105-9990&amp;newwindow=1&amp;tbm=isch","Еще фото")</f>
        <v>Еще фото</v>
      </c>
      <c r="F5135" s="13"/>
      <c r="G5135" s="11" t="s">
        <v>675</v>
      </c>
      <c r="H5135" s="11" t="s">
        <v>27</v>
      </c>
      <c r="I5135" s="14" t="s">
        <v>675</v>
      </c>
      <c r="J5135" s="14" t="s">
        <v>29</v>
      </c>
      <c r="K5135" s="15" t="s">
        <v>30</v>
      </c>
      <c r="L5135" s="86"/>
      <c r="M5135" s="14"/>
      <c r="N5135" s="14" t="s">
        <v>49</v>
      </c>
      <c r="O5135" s="14"/>
      <c r="P5135" s="15" t="s">
        <v>2678</v>
      </c>
      <c r="Q5135" s="16">
        <v>2599</v>
      </c>
      <c r="R5135" s="17">
        <v>45</v>
      </c>
      <c r="S5135" s="18">
        <v>1643.8674999999998</v>
      </c>
      <c r="T5135" s="19" t="s">
        <v>117</v>
      </c>
      <c r="U5135" s="20" t="s">
        <v>36</v>
      </c>
      <c r="V5135" s="21">
        <v>122</v>
      </c>
      <c r="W5135" s="21">
        <v>1</v>
      </c>
      <c r="X5135" s="22"/>
    </row>
    <row r="5136" spans="1:24" s="1" customFormat="1" ht="17.100000000000001" customHeight="1" x14ac:dyDescent="0.3">
      <c r="A5136" s="23" t="s">
        <v>3014</v>
      </c>
      <c r="B5136" s="23" t="s">
        <v>4940</v>
      </c>
      <c r="C5136" s="12" t="s">
        <v>4942</v>
      </c>
      <c r="D5136" s="84"/>
      <c r="E5136" s="69" t="str">
        <f t="shared" si="281"/>
        <v>Еще фото</v>
      </c>
      <c r="F5136" s="13"/>
      <c r="G5136" s="23" t="s">
        <v>675</v>
      </c>
      <c r="H5136" s="23" t="s">
        <v>27</v>
      </c>
      <c r="I5136" s="23" t="s">
        <v>675</v>
      </c>
      <c r="J5136" s="14" t="s">
        <v>29</v>
      </c>
      <c r="K5136" s="15" t="s">
        <v>30</v>
      </c>
      <c r="L5136" s="87"/>
      <c r="M5136" s="14"/>
      <c r="N5136" s="14" t="s">
        <v>49</v>
      </c>
      <c r="O5136" s="14"/>
      <c r="P5136" s="15" t="s">
        <v>2678</v>
      </c>
      <c r="Q5136" s="16">
        <v>2599</v>
      </c>
      <c r="R5136" s="17">
        <v>45</v>
      </c>
      <c r="S5136" s="18">
        <v>1643.8674999999998</v>
      </c>
      <c r="T5136" s="19" t="s">
        <v>117</v>
      </c>
      <c r="U5136" s="20" t="s">
        <v>37</v>
      </c>
      <c r="V5136" s="21">
        <v>128</v>
      </c>
      <c r="W5136" s="21">
        <v>2</v>
      </c>
      <c r="X5136" s="22"/>
    </row>
    <row r="5137" spans="1:24" s="1" customFormat="1" ht="17.100000000000001" customHeight="1" x14ac:dyDescent="0.3">
      <c r="A5137" s="23" t="s">
        <v>3014</v>
      </c>
      <c r="B5137" s="23" t="s">
        <v>4940</v>
      </c>
      <c r="C5137" s="12" t="s">
        <v>4942</v>
      </c>
      <c r="D5137" s="84"/>
      <c r="E5137" s="69" t="str">
        <f t="shared" si="281"/>
        <v>Еще фото</v>
      </c>
      <c r="F5137" s="13"/>
      <c r="G5137" s="23" t="s">
        <v>675</v>
      </c>
      <c r="H5137" s="23" t="s">
        <v>27</v>
      </c>
      <c r="I5137" s="23" t="s">
        <v>675</v>
      </c>
      <c r="J5137" s="14" t="s">
        <v>29</v>
      </c>
      <c r="K5137" s="15" t="s">
        <v>30</v>
      </c>
      <c r="L5137" s="87"/>
      <c r="M5137" s="14"/>
      <c r="N5137" s="14" t="s">
        <v>49</v>
      </c>
      <c r="O5137" s="14"/>
      <c r="P5137" s="15" t="s">
        <v>2678</v>
      </c>
      <c r="Q5137" s="16">
        <v>2599</v>
      </c>
      <c r="R5137" s="17">
        <v>45</v>
      </c>
      <c r="S5137" s="18">
        <v>1643.8674999999998</v>
      </c>
      <c r="T5137" s="19" t="s">
        <v>117</v>
      </c>
      <c r="U5137" s="20" t="s">
        <v>91</v>
      </c>
      <c r="V5137" s="21">
        <v>134</v>
      </c>
      <c r="W5137" s="21">
        <v>2</v>
      </c>
      <c r="X5137" s="22"/>
    </row>
    <row r="5138" spans="1:24" s="1" customFormat="1" ht="17.100000000000001" customHeight="1" x14ac:dyDescent="0.3">
      <c r="A5138" s="23" t="s">
        <v>3014</v>
      </c>
      <c r="B5138" s="23" t="s">
        <v>4940</v>
      </c>
      <c r="C5138" s="12" t="s">
        <v>4942</v>
      </c>
      <c r="D5138" s="84"/>
      <c r="E5138" s="69" t="str">
        <f t="shared" si="281"/>
        <v>Еще фото</v>
      </c>
      <c r="F5138" s="13"/>
      <c r="G5138" s="23" t="s">
        <v>675</v>
      </c>
      <c r="H5138" s="23" t="s">
        <v>27</v>
      </c>
      <c r="I5138" s="23" t="s">
        <v>675</v>
      </c>
      <c r="J5138" s="14" t="s">
        <v>29</v>
      </c>
      <c r="K5138" s="15" t="s">
        <v>30</v>
      </c>
      <c r="L5138" s="87"/>
      <c r="M5138" s="14"/>
      <c r="N5138" s="14" t="s">
        <v>49</v>
      </c>
      <c r="O5138" s="14"/>
      <c r="P5138" s="15" t="s">
        <v>2678</v>
      </c>
      <c r="Q5138" s="16">
        <v>2599</v>
      </c>
      <c r="R5138" s="17">
        <v>45</v>
      </c>
      <c r="S5138" s="18">
        <v>1643.8674999999998</v>
      </c>
      <c r="T5138" s="19" t="s">
        <v>117</v>
      </c>
      <c r="U5138" s="20" t="s">
        <v>290</v>
      </c>
      <c r="V5138" s="21">
        <v>140</v>
      </c>
      <c r="W5138" s="21">
        <v>3</v>
      </c>
      <c r="X5138" s="22"/>
    </row>
    <row r="5139" spans="1:24" s="1" customFormat="1" ht="17.100000000000001" customHeight="1" x14ac:dyDescent="0.3">
      <c r="A5139" s="23" t="s">
        <v>3014</v>
      </c>
      <c r="B5139" s="23" t="s">
        <v>4940</v>
      </c>
      <c r="C5139" s="12" t="s">
        <v>4942</v>
      </c>
      <c r="D5139" s="84"/>
      <c r="E5139" s="69" t="str">
        <f t="shared" si="281"/>
        <v>Еще фото</v>
      </c>
      <c r="F5139" s="13"/>
      <c r="G5139" s="23" t="s">
        <v>675</v>
      </c>
      <c r="H5139" s="23" t="s">
        <v>27</v>
      </c>
      <c r="I5139" s="23" t="s">
        <v>675</v>
      </c>
      <c r="J5139" s="14" t="s">
        <v>29</v>
      </c>
      <c r="K5139" s="15" t="s">
        <v>30</v>
      </c>
      <c r="L5139" s="87"/>
      <c r="M5139" s="14"/>
      <c r="N5139" s="14" t="s">
        <v>49</v>
      </c>
      <c r="O5139" s="14"/>
      <c r="P5139" s="15" t="s">
        <v>2678</v>
      </c>
      <c r="Q5139" s="16">
        <v>2599</v>
      </c>
      <c r="R5139" s="17">
        <v>45</v>
      </c>
      <c r="S5139" s="18">
        <v>1643.8674999999998</v>
      </c>
      <c r="T5139" s="19" t="s">
        <v>117</v>
      </c>
      <c r="U5139" s="20" t="s">
        <v>2160</v>
      </c>
      <c r="V5139" s="21">
        <v>152</v>
      </c>
      <c r="W5139" s="21">
        <v>3</v>
      </c>
      <c r="X5139" s="22"/>
    </row>
    <row r="5140" spans="1:24" s="1" customFormat="1" ht="21.95" customHeight="1" x14ac:dyDescent="0.3">
      <c r="A5140" s="23" t="s">
        <v>3014</v>
      </c>
      <c r="B5140" s="23" t="s">
        <v>4940</v>
      </c>
      <c r="C5140" s="12" t="s">
        <v>4942</v>
      </c>
      <c r="D5140" s="85"/>
      <c r="E5140" s="69" t="str">
        <f t="shared" si="281"/>
        <v>Еще фото</v>
      </c>
      <c r="F5140" s="13"/>
      <c r="G5140" s="23" t="s">
        <v>675</v>
      </c>
      <c r="H5140" s="23" t="s">
        <v>27</v>
      </c>
      <c r="I5140" s="23" t="s">
        <v>675</v>
      </c>
      <c r="J5140" s="14" t="s">
        <v>29</v>
      </c>
      <c r="K5140" s="15" t="s">
        <v>30</v>
      </c>
      <c r="L5140" s="88"/>
      <c r="M5140" s="14"/>
      <c r="N5140" s="14" t="s">
        <v>49</v>
      </c>
      <c r="O5140" s="14"/>
      <c r="P5140" s="15" t="s">
        <v>2678</v>
      </c>
      <c r="Q5140" s="16">
        <v>2599</v>
      </c>
      <c r="R5140" s="17">
        <v>45</v>
      </c>
      <c r="S5140" s="18">
        <v>1643.8674999999998</v>
      </c>
      <c r="T5140" s="19" t="s">
        <v>117</v>
      </c>
      <c r="U5140" s="20" t="s">
        <v>3088</v>
      </c>
      <c r="V5140" s="21">
        <v>158</v>
      </c>
      <c r="W5140" s="21">
        <v>1</v>
      </c>
      <c r="X5140" s="22"/>
    </row>
    <row r="5141" spans="1:24" s="1" customFormat="1" ht="14.1" customHeight="1" x14ac:dyDescent="0.3">
      <c r="A5141" s="11" t="s">
        <v>3014</v>
      </c>
      <c r="B5141" s="11" t="s">
        <v>4943</v>
      </c>
      <c r="C5141" s="12" t="s">
        <v>4944</v>
      </c>
      <c r="D5141" s="83"/>
      <c r="E5141" s="69" t="str">
        <f t="shared" ref="E5141:E5147" si="282">HYPERLINK("https://www.google.ru/search?q=73206121-0790&amp;newwindow=1&amp;tbm=isch","Еще фото")</f>
        <v>Еще фото</v>
      </c>
      <c r="F5141" s="13"/>
      <c r="G5141" s="11" t="s">
        <v>675</v>
      </c>
      <c r="H5141" s="11" t="s">
        <v>27</v>
      </c>
      <c r="I5141" s="14" t="s">
        <v>675</v>
      </c>
      <c r="J5141" s="14" t="s">
        <v>29</v>
      </c>
      <c r="K5141" s="15" t="s">
        <v>30</v>
      </c>
      <c r="L5141" s="86"/>
      <c r="M5141" s="14"/>
      <c r="N5141" s="14" t="s">
        <v>326</v>
      </c>
      <c r="O5141" s="14"/>
      <c r="P5141" s="15" t="s">
        <v>4945</v>
      </c>
      <c r="Q5141" s="16">
        <v>1999</v>
      </c>
      <c r="R5141" s="17">
        <v>45</v>
      </c>
      <c r="S5141" s="18">
        <v>1264.3675000000001</v>
      </c>
      <c r="T5141" s="19" t="s">
        <v>117</v>
      </c>
      <c r="U5141" s="20" t="s">
        <v>36</v>
      </c>
      <c r="V5141" s="21">
        <v>122</v>
      </c>
      <c r="W5141" s="21">
        <v>3</v>
      </c>
      <c r="X5141" s="22"/>
    </row>
    <row r="5142" spans="1:24" s="1" customFormat="1" ht="14.1" customHeight="1" x14ac:dyDescent="0.3">
      <c r="A5142" s="23" t="s">
        <v>3014</v>
      </c>
      <c r="B5142" s="23" t="s">
        <v>4943</v>
      </c>
      <c r="C5142" s="12" t="s">
        <v>4944</v>
      </c>
      <c r="D5142" s="84"/>
      <c r="E5142" s="69" t="str">
        <f t="shared" si="282"/>
        <v>Еще фото</v>
      </c>
      <c r="F5142" s="13"/>
      <c r="G5142" s="23" t="s">
        <v>675</v>
      </c>
      <c r="H5142" s="23" t="s">
        <v>27</v>
      </c>
      <c r="I5142" s="23" t="s">
        <v>675</v>
      </c>
      <c r="J5142" s="14" t="s">
        <v>29</v>
      </c>
      <c r="K5142" s="15" t="s">
        <v>30</v>
      </c>
      <c r="L5142" s="87"/>
      <c r="M5142" s="14"/>
      <c r="N5142" s="14" t="s">
        <v>326</v>
      </c>
      <c r="O5142" s="14"/>
      <c r="P5142" s="15" t="s">
        <v>4945</v>
      </c>
      <c r="Q5142" s="16">
        <v>1999</v>
      </c>
      <c r="R5142" s="17">
        <v>45</v>
      </c>
      <c r="S5142" s="18">
        <v>1264.3675000000001</v>
      </c>
      <c r="T5142" s="19" t="s">
        <v>117</v>
      </c>
      <c r="U5142" s="20" t="s">
        <v>37</v>
      </c>
      <c r="V5142" s="21">
        <v>128</v>
      </c>
      <c r="W5142" s="21">
        <v>4</v>
      </c>
      <c r="X5142" s="22"/>
    </row>
    <row r="5143" spans="1:24" s="1" customFormat="1" ht="14.1" customHeight="1" x14ac:dyDescent="0.3">
      <c r="A5143" s="23" t="s">
        <v>3014</v>
      </c>
      <c r="B5143" s="23" t="s">
        <v>4943</v>
      </c>
      <c r="C5143" s="12" t="s">
        <v>4944</v>
      </c>
      <c r="D5143" s="84"/>
      <c r="E5143" s="69" t="str">
        <f t="shared" si="282"/>
        <v>Еще фото</v>
      </c>
      <c r="F5143" s="13"/>
      <c r="G5143" s="23" t="s">
        <v>675</v>
      </c>
      <c r="H5143" s="23" t="s">
        <v>27</v>
      </c>
      <c r="I5143" s="23" t="s">
        <v>675</v>
      </c>
      <c r="J5143" s="14" t="s">
        <v>29</v>
      </c>
      <c r="K5143" s="15" t="s">
        <v>30</v>
      </c>
      <c r="L5143" s="87"/>
      <c r="M5143" s="14"/>
      <c r="N5143" s="14" t="s">
        <v>326</v>
      </c>
      <c r="O5143" s="14"/>
      <c r="P5143" s="15" t="s">
        <v>4945</v>
      </c>
      <c r="Q5143" s="16">
        <v>1999</v>
      </c>
      <c r="R5143" s="17">
        <v>45</v>
      </c>
      <c r="S5143" s="18">
        <v>1264.3675000000001</v>
      </c>
      <c r="T5143" s="19" t="s">
        <v>117</v>
      </c>
      <c r="U5143" s="20" t="s">
        <v>91</v>
      </c>
      <c r="V5143" s="21">
        <v>134</v>
      </c>
      <c r="W5143" s="21">
        <v>4</v>
      </c>
      <c r="X5143" s="22"/>
    </row>
    <row r="5144" spans="1:24" s="1" customFormat="1" ht="14.1" customHeight="1" x14ac:dyDescent="0.3">
      <c r="A5144" s="23" t="s">
        <v>3014</v>
      </c>
      <c r="B5144" s="23" t="s">
        <v>4943</v>
      </c>
      <c r="C5144" s="12" t="s">
        <v>4944</v>
      </c>
      <c r="D5144" s="84"/>
      <c r="E5144" s="69" t="str">
        <f t="shared" si="282"/>
        <v>Еще фото</v>
      </c>
      <c r="F5144" s="13"/>
      <c r="G5144" s="23" t="s">
        <v>675</v>
      </c>
      <c r="H5144" s="23" t="s">
        <v>27</v>
      </c>
      <c r="I5144" s="23" t="s">
        <v>675</v>
      </c>
      <c r="J5144" s="14" t="s">
        <v>29</v>
      </c>
      <c r="K5144" s="15" t="s">
        <v>30</v>
      </c>
      <c r="L5144" s="87"/>
      <c r="M5144" s="14"/>
      <c r="N5144" s="14" t="s">
        <v>326</v>
      </c>
      <c r="O5144" s="14"/>
      <c r="P5144" s="15" t="s">
        <v>4945</v>
      </c>
      <c r="Q5144" s="16">
        <v>1999</v>
      </c>
      <c r="R5144" s="17">
        <v>45</v>
      </c>
      <c r="S5144" s="18">
        <v>1264.3675000000001</v>
      </c>
      <c r="T5144" s="19" t="s">
        <v>117</v>
      </c>
      <c r="U5144" s="20" t="s">
        <v>290</v>
      </c>
      <c r="V5144" s="21">
        <v>140</v>
      </c>
      <c r="W5144" s="21">
        <v>2</v>
      </c>
      <c r="X5144" s="22"/>
    </row>
    <row r="5145" spans="1:24" s="1" customFormat="1" ht="14.1" customHeight="1" x14ac:dyDescent="0.3">
      <c r="A5145" s="23" t="s">
        <v>3014</v>
      </c>
      <c r="B5145" s="23" t="s">
        <v>4943</v>
      </c>
      <c r="C5145" s="12" t="s">
        <v>4944</v>
      </c>
      <c r="D5145" s="84"/>
      <c r="E5145" s="69" t="str">
        <f t="shared" si="282"/>
        <v>Еще фото</v>
      </c>
      <c r="F5145" s="13"/>
      <c r="G5145" s="23" t="s">
        <v>675</v>
      </c>
      <c r="H5145" s="23" t="s">
        <v>27</v>
      </c>
      <c r="I5145" s="23" t="s">
        <v>675</v>
      </c>
      <c r="J5145" s="14" t="s">
        <v>29</v>
      </c>
      <c r="K5145" s="15" t="s">
        <v>30</v>
      </c>
      <c r="L5145" s="87"/>
      <c r="M5145" s="14"/>
      <c r="N5145" s="14" t="s">
        <v>326</v>
      </c>
      <c r="O5145" s="14"/>
      <c r="P5145" s="15" t="s">
        <v>4945</v>
      </c>
      <c r="Q5145" s="16">
        <v>1999</v>
      </c>
      <c r="R5145" s="17">
        <v>45</v>
      </c>
      <c r="S5145" s="18">
        <v>1264.3675000000001</v>
      </c>
      <c r="T5145" s="19" t="s">
        <v>117</v>
      </c>
      <c r="U5145" s="20" t="s">
        <v>2993</v>
      </c>
      <c r="V5145" s="21">
        <v>146</v>
      </c>
      <c r="W5145" s="21">
        <v>1</v>
      </c>
      <c r="X5145" s="22"/>
    </row>
    <row r="5146" spans="1:24" s="1" customFormat="1" ht="14.1" customHeight="1" x14ac:dyDescent="0.3">
      <c r="A5146" s="23" t="s">
        <v>3014</v>
      </c>
      <c r="B5146" s="23" t="s">
        <v>4943</v>
      </c>
      <c r="C5146" s="12" t="s">
        <v>4944</v>
      </c>
      <c r="D5146" s="84"/>
      <c r="E5146" s="69" t="str">
        <f t="shared" si="282"/>
        <v>Еще фото</v>
      </c>
      <c r="F5146" s="13"/>
      <c r="G5146" s="23" t="s">
        <v>675</v>
      </c>
      <c r="H5146" s="23" t="s">
        <v>27</v>
      </c>
      <c r="I5146" s="23" t="s">
        <v>675</v>
      </c>
      <c r="J5146" s="14" t="s">
        <v>29</v>
      </c>
      <c r="K5146" s="15" t="s">
        <v>30</v>
      </c>
      <c r="L5146" s="87"/>
      <c r="M5146" s="14"/>
      <c r="N5146" s="14" t="s">
        <v>326</v>
      </c>
      <c r="O5146" s="14"/>
      <c r="P5146" s="15" t="s">
        <v>4945</v>
      </c>
      <c r="Q5146" s="16">
        <v>1999</v>
      </c>
      <c r="R5146" s="17">
        <v>45</v>
      </c>
      <c r="S5146" s="18">
        <v>1264.3675000000001</v>
      </c>
      <c r="T5146" s="19" t="s">
        <v>117</v>
      </c>
      <c r="U5146" s="20" t="s">
        <v>2160</v>
      </c>
      <c r="V5146" s="21">
        <v>152</v>
      </c>
      <c r="W5146" s="21">
        <v>3</v>
      </c>
      <c r="X5146" s="22"/>
    </row>
    <row r="5147" spans="1:24" s="1" customFormat="1" ht="17.100000000000001" customHeight="1" x14ac:dyDescent="0.3">
      <c r="A5147" s="23" t="s">
        <v>3014</v>
      </c>
      <c r="B5147" s="23" t="s">
        <v>4943</v>
      </c>
      <c r="C5147" s="12" t="s">
        <v>4944</v>
      </c>
      <c r="D5147" s="85"/>
      <c r="E5147" s="69" t="str">
        <f t="shared" si="282"/>
        <v>Еще фото</v>
      </c>
      <c r="F5147" s="13"/>
      <c r="G5147" s="23" t="s">
        <v>675</v>
      </c>
      <c r="H5147" s="23" t="s">
        <v>27</v>
      </c>
      <c r="I5147" s="23" t="s">
        <v>675</v>
      </c>
      <c r="J5147" s="14" t="s">
        <v>29</v>
      </c>
      <c r="K5147" s="15" t="s">
        <v>30</v>
      </c>
      <c r="L5147" s="88"/>
      <c r="M5147" s="14"/>
      <c r="N5147" s="14" t="s">
        <v>326</v>
      </c>
      <c r="O5147" s="14"/>
      <c r="P5147" s="15" t="s">
        <v>4945</v>
      </c>
      <c r="Q5147" s="16">
        <v>1999</v>
      </c>
      <c r="R5147" s="17">
        <v>45</v>
      </c>
      <c r="S5147" s="18">
        <v>1264.3675000000001</v>
      </c>
      <c r="T5147" s="19" t="s">
        <v>117</v>
      </c>
      <c r="U5147" s="20" t="s">
        <v>3088</v>
      </c>
      <c r="V5147" s="21">
        <v>158</v>
      </c>
      <c r="W5147" s="21">
        <v>1</v>
      </c>
      <c r="X5147" s="22"/>
    </row>
    <row r="5148" spans="1:24" s="1" customFormat="1" ht="12.95" customHeight="1" x14ac:dyDescent="0.3">
      <c r="A5148" s="11" t="s">
        <v>3014</v>
      </c>
      <c r="B5148" s="11" t="s">
        <v>4943</v>
      </c>
      <c r="C5148" s="12" t="s">
        <v>4946</v>
      </c>
      <c r="D5148" s="83"/>
      <c r="E5148" s="69" t="str">
        <f t="shared" ref="E5148:E5155" si="283">HYPERLINK("https://www.google.ru/search?q=73206121-6960&amp;newwindow=1&amp;tbm=isch","Еще фото")</f>
        <v>Еще фото</v>
      </c>
      <c r="F5148" s="13"/>
      <c r="G5148" s="11" t="s">
        <v>675</v>
      </c>
      <c r="H5148" s="11" t="s">
        <v>27</v>
      </c>
      <c r="I5148" s="14" t="s">
        <v>675</v>
      </c>
      <c r="J5148" s="14" t="s">
        <v>29</v>
      </c>
      <c r="K5148" s="15" t="s">
        <v>30</v>
      </c>
      <c r="L5148" s="86"/>
      <c r="M5148" s="14"/>
      <c r="N5148" s="14" t="s">
        <v>70</v>
      </c>
      <c r="O5148" s="14"/>
      <c r="P5148" s="15" t="s">
        <v>4945</v>
      </c>
      <c r="Q5148" s="16">
        <v>1999</v>
      </c>
      <c r="R5148" s="17">
        <v>45</v>
      </c>
      <c r="S5148" s="18">
        <v>1264.3675000000001</v>
      </c>
      <c r="T5148" s="19" t="s">
        <v>117</v>
      </c>
      <c r="U5148" s="26" t="s">
        <v>36</v>
      </c>
      <c r="V5148" s="21">
        <v>122</v>
      </c>
      <c r="W5148" s="21">
        <v>5</v>
      </c>
      <c r="X5148" s="22"/>
    </row>
    <row r="5149" spans="1:24" s="1" customFormat="1" ht="12.95" customHeight="1" x14ac:dyDescent="0.3">
      <c r="A5149" s="23" t="s">
        <v>3014</v>
      </c>
      <c r="B5149" s="23" t="s">
        <v>4943</v>
      </c>
      <c r="C5149" s="12" t="s">
        <v>4946</v>
      </c>
      <c r="D5149" s="84"/>
      <c r="E5149" s="69" t="str">
        <f t="shared" si="283"/>
        <v>Еще фото</v>
      </c>
      <c r="F5149" s="13"/>
      <c r="G5149" s="23" t="s">
        <v>675</v>
      </c>
      <c r="H5149" s="23" t="s">
        <v>27</v>
      </c>
      <c r="I5149" s="23" t="s">
        <v>675</v>
      </c>
      <c r="J5149" s="14" t="s">
        <v>29</v>
      </c>
      <c r="K5149" s="15" t="s">
        <v>30</v>
      </c>
      <c r="L5149" s="87"/>
      <c r="M5149" s="14"/>
      <c r="N5149" s="14" t="s">
        <v>70</v>
      </c>
      <c r="O5149" s="14"/>
      <c r="P5149" s="15" t="s">
        <v>4945</v>
      </c>
      <c r="Q5149" s="16">
        <v>1999</v>
      </c>
      <c r="R5149" s="17">
        <v>45</v>
      </c>
      <c r="S5149" s="18">
        <v>1264.3675000000001</v>
      </c>
      <c r="T5149" s="19" t="s">
        <v>117</v>
      </c>
      <c r="U5149" s="20" t="s">
        <v>37</v>
      </c>
      <c r="V5149" s="21">
        <v>128</v>
      </c>
      <c r="W5149" s="21">
        <v>3</v>
      </c>
      <c r="X5149" s="22"/>
    </row>
    <row r="5150" spans="1:24" s="1" customFormat="1" ht="12.95" customHeight="1" x14ac:dyDescent="0.3">
      <c r="A5150" s="23" t="s">
        <v>3014</v>
      </c>
      <c r="B5150" s="23" t="s">
        <v>4943</v>
      </c>
      <c r="C5150" s="12" t="s">
        <v>4946</v>
      </c>
      <c r="D5150" s="84"/>
      <c r="E5150" s="69" t="str">
        <f t="shared" si="283"/>
        <v>Еще фото</v>
      </c>
      <c r="F5150" s="13"/>
      <c r="G5150" s="23" t="s">
        <v>675</v>
      </c>
      <c r="H5150" s="23" t="s">
        <v>27</v>
      </c>
      <c r="I5150" s="23" t="s">
        <v>675</v>
      </c>
      <c r="J5150" s="14" t="s">
        <v>29</v>
      </c>
      <c r="K5150" s="15" t="s">
        <v>30</v>
      </c>
      <c r="L5150" s="87"/>
      <c r="M5150" s="14"/>
      <c r="N5150" s="14" t="s">
        <v>70</v>
      </c>
      <c r="O5150" s="14"/>
      <c r="P5150" s="15" t="s">
        <v>4945</v>
      </c>
      <c r="Q5150" s="16">
        <v>1999</v>
      </c>
      <c r="R5150" s="17">
        <v>45</v>
      </c>
      <c r="S5150" s="18">
        <v>1264.3675000000001</v>
      </c>
      <c r="T5150" s="19" t="s">
        <v>117</v>
      </c>
      <c r="U5150" s="20" t="s">
        <v>91</v>
      </c>
      <c r="V5150" s="21">
        <v>134</v>
      </c>
      <c r="W5150" s="21">
        <v>4</v>
      </c>
      <c r="X5150" s="22"/>
    </row>
    <row r="5151" spans="1:24" s="1" customFormat="1" ht="12.95" customHeight="1" x14ac:dyDescent="0.3">
      <c r="A5151" s="23" t="s">
        <v>3014</v>
      </c>
      <c r="B5151" s="23" t="s">
        <v>4943</v>
      </c>
      <c r="C5151" s="12" t="s">
        <v>4946</v>
      </c>
      <c r="D5151" s="84"/>
      <c r="E5151" s="69" t="str">
        <f t="shared" si="283"/>
        <v>Еще фото</v>
      </c>
      <c r="F5151" s="13"/>
      <c r="G5151" s="23" t="s">
        <v>675</v>
      </c>
      <c r="H5151" s="23" t="s">
        <v>27</v>
      </c>
      <c r="I5151" s="23" t="s">
        <v>675</v>
      </c>
      <c r="J5151" s="14" t="s">
        <v>29</v>
      </c>
      <c r="K5151" s="15" t="s">
        <v>30</v>
      </c>
      <c r="L5151" s="87"/>
      <c r="M5151" s="14"/>
      <c r="N5151" s="14" t="s">
        <v>70</v>
      </c>
      <c r="O5151" s="14"/>
      <c r="P5151" s="15" t="s">
        <v>4945</v>
      </c>
      <c r="Q5151" s="16">
        <v>1999</v>
      </c>
      <c r="R5151" s="17">
        <v>45</v>
      </c>
      <c r="S5151" s="18">
        <v>1264.3675000000001</v>
      </c>
      <c r="T5151" s="19" t="s">
        <v>117</v>
      </c>
      <c r="U5151" s="20" t="s">
        <v>290</v>
      </c>
      <c r="V5151" s="21">
        <v>140</v>
      </c>
      <c r="W5151" s="21">
        <v>5</v>
      </c>
      <c r="X5151" s="22"/>
    </row>
    <row r="5152" spans="1:24" s="1" customFormat="1" ht="12.95" customHeight="1" x14ac:dyDescent="0.3">
      <c r="A5152" s="23" t="s">
        <v>3014</v>
      </c>
      <c r="B5152" s="23" t="s">
        <v>4943</v>
      </c>
      <c r="C5152" s="12" t="s">
        <v>4946</v>
      </c>
      <c r="D5152" s="84"/>
      <c r="E5152" s="69" t="str">
        <f t="shared" si="283"/>
        <v>Еще фото</v>
      </c>
      <c r="F5152" s="13"/>
      <c r="G5152" s="23" t="s">
        <v>675</v>
      </c>
      <c r="H5152" s="23" t="s">
        <v>27</v>
      </c>
      <c r="I5152" s="23" t="s">
        <v>675</v>
      </c>
      <c r="J5152" s="14" t="s">
        <v>29</v>
      </c>
      <c r="K5152" s="15" t="s">
        <v>30</v>
      </c>
      <c r="L5152" s="87"/>
      <c r="M5152" s="14"/>
      <c r="N5152" s="14" t="s">
        <v>70</v>
      </c>
      <c r="O5152" s="14"/>
      <c r="P5152" s="15" t="s">
        <v>4945</v>
      </c>
      <c r="Q5152" s="16">
        <v>1999</v>
      </c>
      <c r="R5152" s="17">
        <v>45</v>
      </c>
      <c r="S5152" s="18">
        <v>1264.3675000000001</v>
      </c>
      <c r="T5152" s="19" t="s">
        <v>117</v>
      </c>
      <c r="U5152" s="20" t="s">
        <v>2993</v>
      </c>
      <c r="V5152" s="21">
        <v>146</v>
      </c>
      <c r="W5152" s="21">
        <v>6</v>
      </c>
      <c r="X5152" s="22"/>
    </row>
    <row r="5153" spans="1:24" s="1" customFormat="1" ht="12.95" customHeight="1" x14ac:dyDescent="0.3">
      <c r="A5153" s="23" t="s">
        <v>3014</v>
      </c>
      <c r="B5153" s="23" t="s">
        <v>4943</v>
      </c>
      <c r="C5153" s="12" t="s">
        <v>4946</v>
      </c>
      <c r="D5153" s="84"/>
      <c r="E5153" s="69" t="str">
        <f t="shared" si="283"/>
        <v>Еще фото</v>
      </c>
      <c r="F5153" s="13"/>
      <c r="G5153" s="23" t="s">
        <v>675</v>
      </c>
      <c r="H5153" s="23" t="s">
        <v>27</v>
      </c>
      <c r="I5153" s="23" t="s">
        <v>675</v>
      </c>
      <c r="J5153" s="14" t="s">
        <v>29</v>
      </c>
      <c r="K5153" s="15" t="s">
        <v>30</v>
      </c>
      <c r="L5153" s="87"/>
      <c r="M5153" s="14"/>
      <c r="N5153" s="14" t="s">
        <v>70</v>
      </c>
      <c r="O5153" s="14"/>
      <c r="P5153" s="15" t="s">
        <v>4945</v>
      </c>
      <c r="Q5153" s="16">
        <v>1999</v>
      </c>
      <c r="R5153" s="17">
        <v>45</v>
      </c>
      <c r="S5153" s="18">
        <v>1264.3675000000001</v>
      </c>
      <c r="T5153" s="19" t="s">
        <v>117</v>
      </c>
      <c r="U5153" s="20" t="s">
        <v>2160</v>
      </c>
      <c r="V5153" s="21">
        <v>152</v>
      </c>
      <c r="W5153" s="21">
        <v>7</v>
      </c>
      <c r="X5153" s="22"/>
    </row>
    <row r="5154" spans="1:24" s="1" customFormat="1" ht="12.95" customHeight="1" x14ac:dyDescent="0.3">
      <c r="A5154" s="23" t="s">
        <v>3014</v>
      </c>
      <c r="B5154" s="23" t="s">
        <v>4943</v>
      </c>
      <c r="C5154" s="12" t="s">
        <v>4946</v>
      </c>
      <c r="D5154" s="84"/>
      <c r="E5154" s="69" t="str">
        <f t="shared" si="283"/>
        <v>Еще фото</v>
      </c>
      <c r="F5154" s="13"/>
      <c r="G5154" s="23" t="s">
        <v>675</v>
      </c>
      <c r="H5154" s="23" t="s">
        <v>27</v>
      </c>
      <c r="I5154" s="23" t="s">
        <v>675</v>
      </c>
      <c r="J5154" s="14" t="s">
        <v>29</v>
      </c>
      <c r="K5154" s="15" t="s">
        <v>30</v>
      </c>
      <c r="L5154" s="87"/>
      <c r="M5154" s="14"/>
      <c r="N5154" s="14" t="s">
        <v>70</v>
      </c>
      <c r="O5154" s="14"/>
      <c r="P5154" s="15" t="s">
        <v>4945</v>
      </c>
      <c r="Q5154" s="16">
        <v>1999</v>
      </c>
      <c r="R5154" s="17">
        <v>45</v>
      </c>
      <c r="S5154" s="18">
        <v>1264.3675000000001</v>
      </c>
      <c r="T5154" s="19" t="s">
        <v>117</v>
      </c>
      <c r="U5154" s="20" t="s">
        <v>3088</v>
      </c>
      <c r="V5154" s="21">
        <v>158</v>
      </c>
      <c r="W5154" s="21">
        <v>3</v>
      </c>
      <c r="X5154" s="22"/>
    </row>
    <row r="5155" spans="1:24" s="1" customFormat="1" ht="18" customHeight="1" x14ac:dyDescent="0.3">
      <c r="A5155" s="23" t="s">
        <v>3014</v>
      </c>
      <c r="B5155" s="23" t="s">
        <v>4943</v>
      </c>
      <c r="C5155" s="12" t="s">
        <v>4946</v>
      </c>
      <c r="D5155" s="85"/>
      <c r="E5155" s="69" t="str">
        <f t="shared" si="283"/>
        <v>Еще фото</v>
      </c>
      <c r="F5155" s="13"/>
      <c r="G5155" s="23" t="s">
        <v>675</v>
      </c>
      <c r="H5155" s="23" t="s">
        <v>27</v>
      </c>
      <c r="I5155" s="23" t="s">
        <v>675</v>
      </c>
      <c r="J5155" s="14" t="s">
        <v>29</v>
      </c>
      <c r="K5155" s="15" t="s">
        <v>30</v>
      </c>
      <c r="L5155" s="88"/>
      <c r="M5155" s="14"/>
      <c r="N5155" s="14" t="s">
        <v>70</v>
      </c>
      <c r="O5155" s="14"/>
      <c r="P5155" s="15" t="s">
        <v>4945</v>
      </c>
      <c r="Q5155" s="16">
        <v>1999</v>
      </c>
      <c r="R5155" s="17">
        <v>45</v>
      </c>
      <c r="S5155" s="18">
        <v>1264.3675000000001</v>
      </c>
      <c r="T5155" s="19" t="s">
        <v>117</v>
      </c>
      <c r="U5155" s="20" t="s">
        <v>2161</v>
      </c>
      <c r="V5155" s="21">
        <v>164</v>
      </c>
      <c r="W5155" s="21">
        <v>1</v>
      </c>
      <c r="X5155" s="22"/>
    </row>
    <row r="5156" spans="1:24" s="1" customFormat="1" ht="17.100000000000001" customHeight="1" x14ac:dyDescent="0.3">
      <c r="A5156" s="11" t="s">
        <v>3014</v>
      </c>
      <c r="B5156" s="11" t="s">
        <v>4947</v>
      </c>
      <c r="C5156" s="12" t="s">
        <v>4948</v>
      </c>
      <c r="D5156" s="83"/>
      <c r="E5156" s="69" t="str">
        <f t="shared" ref="E5156:E5161" si="284">HYPERLINK("https://www.google.ru/search?q=73206304-6610&amp;newwindow=1&amp;tbm=isch","Еще фото")</f>
        <v>Еще фото</v>
      </c>
      <c r="F5156" s="13"/>
      <c r="G5156" s="11" t="s">
        <v>4913</v>
      </c>
      <c r="H5156" s="11" t="s">
        <v>27</v>
      </c>
      <c r="I5156" s="14" t="s">
        <v>675</v>
      </c>
      <c r="J5156" s="14" t="s">
        <v>29</v>
      </c>
      <c r="K5156" s="15" t="s">
        <v>30</v>
      </c>
      <c r="L5156" s="86"/>
      <c r="M5156" s="14"/>
      <c r="N5156" s="14" t="s">
        <v>70</v>
      </c>
      <c r="O5156" s="14"/>
      <c r="P5156" s="15" t="s">
        <v>108</v>
      </c>
      <c r="Q5156" s="16">
        <v>2499</v>
      </c>
      <c r="R5156" s="17">
        <v>45</v>
      </c>
      <c r="S5156" s="18">
        <v>1580.6174999999998</v>
      </c>
      <c r="T5156" s="19" t="s">
        <v>117</v>
      </c>
      <c r="U5156" s="20" t="s">
        <v>35</v>
      </c>
      <c r="V5156" s="21">
        <v>116</v>
      </c>
      <c r="W5156" s="21">
        <v>2</v>
      </c>
      <c r="X5156" s="22"/>
    </row>
    <row r="5157" spans="1:24" s="1" customFormat="1" ht="17.100000000000001" customHeight="1" x14ac:dyDescent="0.3">
      <c r="A5157" s="23" t="s">
        <v>3014</v>
      </c>
      <c r="B5157" s="23" t="s">
        <v>4947</v>
      </c>
      <c r="C5157" s="12" t="s">
        <v>4948</v>
      </c>
      <c r="D5157" s="84"/>
      <c r="E5157" s="69" t="str">
        <f t="shared" si="284"/>
        <v>Еще фото</v>
      </c>
      <c r="F5157" s="13"/>
      <c r="G5157" s="23" t="s">
        <v>4913</v>
      </c>
      <c r="H5157" s="23" t="s">
        <v>27</v>
      </c>
      <c r="I5157" s="23" t="s">
        <v>675</v>
      </c>
      <c r="J5157" s="14" t="s">
        <v>29</v>
      </c>
      <c r="K5157" s="15" t="s">
        <v>30</v>
      </c>
      <c r="L5157" s="87"/>
      <c r="M5157" s="14"/>
      <c r="N5157" s="14" t="s">
        <v>70</v>
      </c>
      <c r="O5157" s="14"/>
      <c r="P5157" s="15" t="s">
        <v>108</v>
      </c>
      <c r="Q5157" s="16">
        <v>2499</v>
      </c>
      <c r="R5157" s="17">
        <v>45</v>
      </c>
      <c r="S5157" s="18">
        <v>1580.6174999999998</v>
      </c>
      <c r="T5157" s="19" t="s">
        <v>117</v>
      </c>
      <c r="U5157" s="20" t="s">
        <v>36</v>
      </c>
      <c r="V5157" s="21">
        <v>122</v>
      </c>
      <c r="W5157" s="21">
        <v>1</v>
      </c>
      <c r="X5157" s="22"/>
    </row>
    <row r="5158" spans="1:24" s="1" customFormat="1" ht="17.100000000000001" customHeight="1" x14ac:dyDescent="0.3">
      <c r="A5158" s="23" t="s">
        <v>3014</v>
      </c>
      <c r="B5158" s="23" t="s">
        <v>4947</v>
      </c>
      <c r="C5158" s="12" t="s">
        <v>4948</v>
      </c>
      <c r="D5158" s="84"/>
      <c r="E5158" s="69" t="str">
        <f t="shared" si="284"/>
        <v>Еще фото</v>
      </c>
      <c r="F5158" s="13"/>
      <c r="G5158" s="23" t="s">
        <v>4913</v>
      </c>
      <c r="H5158" s="23" t="s">
        <v>27</v>
      </c>
      <c r="I5158" s="23" t="s">
        <v>675</v>
      </c>
      <c r="J5158" s="14" t="s">
        <v>29</v>
      </c>
      <c r="K5158" s="15" t="s">
        <v>30</v>
      </c>
      <c r="L5158" s="87"/>
      <c r="M5158" s="14"/>
      <c r="N5158" s="14" t="s">
        <v>70</v>
      </c>
      <c r="O5158" s="14"/>
      <c r="P5158" s="15" t="s">
        <v>108</v>
      </c>
      <c r="Q5158" s="16">
        <v>2499</v>
      </c>
      <c r="R5158" s="17">
        <v>45</v>
      </c>
      <c r="S5158" s="18">
        <v>1580.6174999999998</v>
      </c>
      <c r="T5158" s="19" t="s">
        <v>117</v>
      </c>
      <c r="U5158" s="20" t="s">
        <v>37</v>
      </c>
      <c r="V5158" s="21">
        <v>128</v>
      </c>
      <c r="W5158" s="21">
        <v>2</v>
      </c>
      <c r="X5158" s="22"/>
    </row>
    <row r="5159" spans="1:24" s="1" customFormat="1" ht="17.100000000000001" customHeight="1" x14ac:dyDescent="0.3">
      <c r="A5159" s="23" t="s">
        <v>3014</v>
      </c>
      <c r="B5159" s="23" t="s">
        <v>4947</v>
      </c>
      <c r="C5159" s="12" t="s">
        <v>4948</v>
      </c>
      <c r="D5159" s="84"/>
      <c r="E5159" s="69" t="str">
        <f t="shared" si="284"/>
        <v>Еще фото</v>
      </c>
      <c r="F5159" s="13"/>
      <c r="G5159" s="23" t="s">
        <v>4913</v>
      </c>
      <c r="H5159" s="23" t="s">
        <v>27</v>
      </c>
      <c r="I5159" s="23" t="s">
        <v>675</v>
      </c>
      <c r="J5159" s="14" t="s">
        <v>29</v>
      </c>
      <c r="K5159" s="15" t="s">
        <v>30</v>
      </c>
      <c r="L5159" s="87"/>
      <c r="M5159" s="14"/>
      <c r="N5159" s="14" t="s">
        <v>70</v>
      </c>
      <c r="O5159" s="14"/>
      <c r="P5159" s="15" t="s">
        <v>108</v>
      </c>
      <c r="Q5159" s="16">
        <v>2499</v>
      </c>
      <c r="R5159" s="17">
        <v>45</v>
      </c>
      <c r="S5159" s="18">
        <v>1580.6174999999998</v>
      </c>
      <c r="T5159" s="19" t="s">
        <v>117</v>
      </c>
      <c r="U5159" s="20" t="s">
        <v>91</v>
      </c>
      <c r="V5159" s="21">
        <v>134</v>
      </c>
      <c r="W5159" s="21">
        <v>3</v>
      </c>
      <c r="X5159" s="22"/>
    </row>
    <row r="5160" spans="1:24" s="1" customFormat="1" ht="17.100000000000001" customHeight="1" x14ac:dyDescent="0.3">
      <c r="A5160" s="23" t="s">
        <v>3014</v>
      </c>
      <c r="B5160" s="23" t="s">
        <v>4947</v>
      </c>
      <c r="C5160" s="12" t="s">
        <v>4948</v>
      </c>
      <c r="D5160" s="84"/>
      <c r="E5160" s="69" t="str">
        <f t="shared" si="284"/>
        <v>Еще фото</v>
      </c>
      <c r="F5160" s="13"/>
      <c r="G5160" s="23" t="s">
        <v>4913</v>
      </c>
      <c r="H5160" s="23" t="s">
        <v>27</v>
      </c>
      <c r="I5160" s="23" t="s">
        <v>675</v>
      </c>
      <c r="J5160" s="14" t="s">
        <v>29</v>
      </c>
      <c r="K5160" s="15" t="s">
        <v>30</v>
      </c>
      <c r="L5160" s="87"/>
      <c r="M5160" s="14"/>
      <c r="N5160" s="14" t="s">
        <v>70</v>
      </c>
      <c r="O5160" s="14"/>
      <c r="P5160" s="15" t="s">
        <v>108</v>
      </c>
      <c r="Q5160" s="16">
        <v>2499</v>
      </c>
      <c r="R5160" s="17">
        <v>45</v>
      </c>
      <c r="S5160" s="18">
        <v>1580.6174999999998</v>
      </c>
      <c r="T5160" s="19" t="s">
        <v>117</v>
      </c>
      <c r="U5160" s="20" t="s">
        <v>290</v>
      </c>
      <c r="V5160" s="21">
        <v>140</v>
      </c>
      <c r="W5160" s="21">
        <v>3</v>
      </c>
      <c r="X5160" s="22"/>
    </row>
    <row r="5161" spans="1:24" s="1" customFormat="1" ht="21.95" customHeight="1" x14ac:dyDescent="0.3">
      <c r="A5161" s="23" t="s">
        <v>3014</v>
      </c>
      <c r="B5161" s="23" t="s">
        <v>4947</v>
      </c>
      <c r="C5161" s="12" t="s">
        <v>4948</v>
      </c>
      <c r="D5161" s="85"/>
      <c r="E5161" s="69" t="str">
        <f t="shared" si="284"/>
        <v>Еще фото</v>
      </c>
      <c r="F5161" s="13"/>
      <c r="G5161" s="23" t="s">
        <v>4913</v>
      </c>
      <c r="H5161" s="23" t="s">
        <v>27</v>
      </c>
      <c r="I5161" s="23" t="s">
        <v>675</v>
      </c>
      <c r="J5161" s="14" t="s">
        <v>29</v>
      </c>
      <c r="K5161" s="15" t="s">
        <v>30</v>
      </c>
      <c r="L5161" s="88"/>
      <c r="M5161" s="14"/>
      <c r="N5161" s="14" t="s">
        <v>70</v>
      </c>
      <c r="O5161" s="14"/>
      <c r="P5161" s="15" t="s">
        <v>108</v>
      </c>
      <c r="Q5161" s="16">
        <v>2499</v>
      </c>
      <c r="R5161" s="17">
        <v>45</v>
      </c>
      <c r="S5161" s="18">
        <v>1580.6174999999998</v>
      </c>
      <c r="T5161" s="19" t="s">
        <v>117</v>
      </c>
      <c r="U5161" s="20" t="s">
        <v>2993</v>
      </c>
      <c r="V5161" s="21">
        <v>146</v>
      </c>
      <c r="W5161" s="21">
        <v>3</v>
      </c>
      <c r="X5161" s="22"/>
    </row>
    <row r="5162" spans="1:24" s="1" customFormat="1" ht="14.1" customHeight="1" x14ac:dyDescent="0.3">
      <c r="A5162" s="11" t="s">
        <v>3014</v>
      </c>
      <c r="B5162" s="11" t="s">
        <v>4949</v>
      </c>
      <c r="C5162" s="12" t="s">
        <v>4950</v>
      </c>
      <c r="D5162" s="83"/>
      <c r="E5162" s="69" t="str">
        <f t="shared" ref="E5162:E5168" si="285">HYPERLINK("https://www.google.ru/search?q=73206312-6140&amp;newwindow=1&amp;tbm=isch","Еще фото")</f>
        <v>Еще фото</v>
      </c>
      <c r="F5162" s="13"/>
      <c r="G5162" s="11" t="s">
        <v>4951</v>
      </c>
      <c r="H5162" s="11" t="s">
        <v>27</v>
      </c>
      <c r="I5162" s="14" t="s">
        <v>675</v>
      </c>
      <c r="J5162" s="14" t="s">
        <v>29</v>
      </c>
      <c r="K5162" s="15" t="s">
        <v>30</v>
      </c>
      <c r="L5162" s="86"/>
      <c r="M5162" s="14"/>
      <c r="N5162" s="14" t="s">
        <v>265</v>
      </c>
      <c r="O5162" s="14"/>
      <c r="P5162" s="15" t="s">
        <v>74</v>
      </c>
      <c r="Q5162" s="16">
        <v>3599</v>
      </c>
      <c r="R5162" s="17">
        <v>45</v>
      </c>
      <c r="S5162" s="18">
        <v>2276.3674999999998</v>
      </c>
      <c r="T5162" s="19" t="s">
        <v>117</v>
      </c>
      <c r="U5162" s="20" t="s">
        <v>37</v>
      </c>
      <c r="V5162" s="21">
        <v>128</v>
      </c>
      <c r="W5162" s="21">
        <v>3</v>
      </c>
      <c r="X5162" s="22"/>
    </row>
    <row r="5163" spans="1:24" s="1" customFormat="1" ht="14.1" customHeight="1" x14ac:dyDescent="0.3">
      <c r="A5163" s="23" t="s">
        <v>3014</v>
      </c>
      <c r="B5163" s="23" t="s">
        <v>4949</v>
      </c>
      <c r="C5163" s="12" t="s">
        <v>4950</v>
      </c>
      <c r="D5163" s="84"/>
      <c r="E5163" s="69" t="str">
        <f t="shared" si="285"/>
        <v>Еще фото</v>
      </c>
      <c r="F5163" s="13"/>
      <c r="G5163" s="23" t="s">
        <v>4951</v>
      </c>
      <c r="H5163" s="23" t="s">
        <v>27</v>
      </c>
      <c r="I5163" s="23" t="s">
        <v>675</v>
      </c>
      <c r="J5163" s="14" t="s">
        <v>29</v>
      </c>
      <c r="K5163" s="15" t="s">
        <v>30</v>
      </c>
      <c r="L5163" s="87"/>
      <c r="M5163" s="14"/>
      <c r="N5163" s="14" t="s">
        <v>265</v>
      </c>
      <c r="O5163" s="14"/>
      <c r="P5163" s="15" t="s">
        <v>74</v>
      </c>
      <c r="Q5163" s="16">
        <v>3599</v>
      </c>
      <c r="R5163" s="17">
        <v>45</v>
      </c>
      <c r="S5163" s="18">
        <v>2276.3674999999998</v>
      </c>
      <c r="T5163" s="19" t="s">
        <v>117</v>
      </c>
      <c r="U5163" s="20" t="s">
        <v>91</v>
      </c>
      <c r="V5163" s="21">
        <v>134</v>
      </c>
      <c r="W5163" s="21">
        <v>3</v>
      </c>
      <c r="X5163" s="22"/>
    </row>
    <row r="5164" spans="1:24" s="1" customFormat="1" ht="14.1" customHeight="1" x14ac:dyDescent="0.3">
      <c r="A5164" s="23" t="s">
        <v>3014</v>
      </c>
      <c r="B5164" s="23" t="s">
        <v>4949</v>
      </c>
      <c r="C5164" s="12" t="s">
        <v>4950</v>
      </c>
      <c r="D5164" s="84"/>
      <c r="E5164" s="69" t="str">
        <f t="shared" si="285"/>
        <v>Еще фото</v>
      </c>
      <c r="F5164" s="13"/>
      <c r="G5164" s="23" t="s">
        <v>4951</v>
      </c>
      <c r="H5164" s="23" t="s">
        <v>27</v>
      </c>
      <c r="I5164" s="23" t="s">
        <v>675</v>
      </c>
      <c r="J5164" s="14" t="s">
        <v>29</v>
      </c>
      <c r="K5164" s="15" t="s">
        <v>30</v>
      </c>
      <c r="L5164" s="87"/>
      <c r="M5164" s="14"/>
      <c r="N5164" s="14" t="s">
        <v>265</v>
      </c>
      <c r="O5164" s="14"/>
      <c r="P5164" s="15" t="s">
        <v>74</v>
      </c>
      <c r="Q5164" s="16">
        <v>3599</v>
      </c>
      <c r="R5164" s="17">
        <v>45</v>
      </c>
      <c r="S5164" s="18">
        <v>2276.3674999999998</v>
      </c>
      <c r="T5164" s="19" t="s">
        <v>117</v>
      </c>
      <c r="U5164" s="20" t="s">
        <v>290</v>
      </c>
      <c r="V5164" s="21">
        <v>140</v>
      </c>
      <c r="W5164" s="21">
        <v>2</v>
      </c>
      <c r="X5164" s="22"/>
    </row>
    <row r="5165" spans="1:24" s="1" customFormat="1" ht="14.1" customHeight="1" x14ac:dyDescent="0.3">
      <c r="A5165" s="23" t="s">
        <v>3014</v>
      </c>
      <c r="B5165" s="23" t="s">
        <v>4949</v>
      </c>
      <c r="C5165" s="12" t="s">
        <v>4950</v>
      </c>
      <c r="D5165" s="84"/>
      <c r="E5165" s="69" t="str">
        <f t="shared" si="285"/>
        <v>Еще фото</v>
      </c>
      <c r="F5165" s="13"/>
      <c r="G5165" s="23" t="s">
        <v>4951</v>
      </c>
      <c r="H5165" s="23" t="s">
        <v>27</v>
      </c>
      <c r="I5165" s="23" t="s">
        <v>675</v>
      </c>
      <c r="J5165" s="14" t="s">
        <v>29</v>
      </c>
      <c r="K5165" s="15" t="s">
        <v>30</v>
      </c>
      <c r="L5165" s="87"/>
      <c r="M5165" s="14"/>
      <c r="N5165" s="14" t="s">
        <v>265</v>
      </c>
      <c r="O5165" s="14"/>
      <c r="P5165" s="15" t="s">
        <v>74</v>
      </c>
      <c r="Q5165" s="16">
        <v>3599</v>
      </c>
      <c r="R5165" s="17">
        <v>45</v>
      </c>
      <c r="S5165" s="18">
        <v>2276.3674999999998</v>
      </c>
      <c r="T5165" s="19" t="s">
        <v>117</v>
      </c>
      <c r="U5165" s="20" t="s">
        <v>2993</v>
      </c>
      <c r="V5165" s="21">
        <v>146</v>
      </c>
      <c r="W5165" s="21">
        <v>3</v>
      </c>
      <c r="X5165" s="22"/>
    </row>
    <row r="5166" spans="1:24" s="1" customFormat="1" ht="14.1" customHeight="1" x14ac:dyDescent="0.3">
      <c r="A5166" s="23" t="s">
        <v>3014</v>
      </c>
      <c r="B5166" s="23" t="s">
        <v>4949</v>
      </c>
      <c r="C5166" s="12" t="s">
        <v>4950</v>
      </c>
      <c r="D5166" s="84"/>
      <c r="E5166" s="69" t="str">
        <f t="shared" si="285"/>
        <v>Еще фото</v>
      </c>
      <c r="F5166" s="13"/>
      <c r="G5166" s="23" t="s">
        <v>4951</v>
      </c>
      <c r="H5166" s="23" t="s">
        <v>27</v>
      </c>
      <c r="I5166" s="23" t="s">
        <v>675</v>
      </c>
      <c r="J5166" s="14" t="s">
        <v>29</v>
      </c>
      <c r="K5166" s="15" t="s">
        <v>30</v>
      </c>
      <c r="L5166" s="87"/>
      <c r="M5166" s="14"/>
      <c r="N5166" s="14" t="s">
        <v>265</v>
      </c>
      <c r="O5166" s="14"/>
      <c r="P5166" s="15" t="s">
        <v>74</v>
      </c>
      <c r="Q5166" s="16">
        <v>3599</v>
      </c>
      <c r="R5166" s="17">
        <v>45</v>
      </c>
      <c r="S5166" s="18">
        <v>2276.3674999999998</v>
      </c>
      <c r="T5166" s="19" t="s">
        <v>117</v>
      </c>
      <c r="U5166" s="20" t="s">
        <v>2160</v>
      </c>
      <c r="V5166" s="21">
        <v>152</v>
      </c>
      <c r="W5166" s="21">
        <v>4</v>
      </c>
      <c r="X5166" s="22"/>
    </row>
    <row r="5167" spans="1:24" s="1" customFormat="1" ht="14.1" customHeight="1" x14ac:dyDescent="0.3">
      <c r="A5167" s="23" t="s">
        <v>3014</v>
      </c>
      <c r="B5167" s="23" t="s">
        <v>4949</v>
      </c>
      <c r="C5167" s="12" t="s">
        <v>4950</v>
      </c>
      <c r="D5167" s="84"/>
      <c r="E5167" s="69" t="str">
        <f t="shared" si="285"/>
        <v>Еще фото</v>
      </c>
      <c r="F5167" s="13"/>
      <c r="G5167" s="23" t="s">
        <v>4951</v>
      </c>
      <c r="H5167" s="23" t="s">
        <v>27</v>
      </c>
      <c r="I5167" s="23" t="s">
        <v>675</v>
      </c>
      <c r="J5167" s="14" t="s">
        <v>29</v>
      </c>
      <c r="K5167" s="15" t="s">
        <v>30</v>
      </c>
      <c r="L5167" s="87"/>
      <c r="M5167" s="14"/>
      <c r="N5167" s="14" t="s">
        <v>265</v>
      </c>
      <c r="O5167" s="14"/>
      <c r="P5167" s="15" t="s">
        <v>74</v>
      </c>
      <c r="Q5167" s="16">
        <v>3599</v>
      </c>
      <c r="R5167" s="17">
        <v>45</v>
      </c>
      <c r="S5167" s="18">
        <v>2276.3674999999998</v>
      </c>
      <c r="T5167" s="19" t="s">
        <v>117</v>
      </c>
      <c r="U5167" s="20" t="s">
        <v>3088</v>
      </c>
      <c r="V5167" s="21">
        <v>158</v>
      </c>
      <c r="W5167" s="21">
        <v>4</v>
      </c>
      <c r="X5167" s="22"/>
    </row>
    <row r="5168" spans="1:24" s="1" customFormat="1" ht="17.100000000000001" customHeight="1" x14ac:dyDescent="0.3">
      <c r="A5168" s="23" t="s">
        <v>3014</v>
      </c>
      <c r="B5168" s="23" t="s">
        <v>4949</v>
      </c>
      <c r="C5168" s="12" t="s">
        <v>4950</v>
      </c>
      <c r="D5168" s="85"/>
      <c r="E5168" s="69" t="str">
        <f t="shared" si="285"/>
        <v>Еще фото</v>
      </c>
      <c r="F5168" s="13"/>
      <c r="G5168" s="23" t="s">
        <v>4951</v>
      </c>
      <c r="H5168" s="23" t="s">
        <v>27</v>
      </c>
      <c r="I5168" s="23" t="s">
        <v>675</v>
      </c>
      <c r="J5168" s="14" t="s">
        <v>29</v>
      </c>
      <c r="K5168" s="15" t="s">
        <v>30</v>
      </c>
      <c r="L5168" s="88"/>
      <c r="M5168" s="14"/>
      <c r="N5168" s="14" t="s">
        <v>265</v>
      </c>
      <c r="O5168" s="14"/>
      <c r="P5168" s="15" t="s">
        <v>74</v>
      </c>
      <c r="Q5168" s="16">
        <v>3599</v>
      </c>
      <c r="R5168" s="17">
        <v>45</v>
      </c>
      <c r="S5168" s="18">
        <v>2276.3674999999998</v>
      </c>
      <c r="T5168" s="19" t="s">
        <v>117</v>
      </c>
      <c r="U5168" s="20" t="s">
        <v>2161</v>
      </c>
      <c r="V5168" s="21">
        <v>164</v>
      </c>
      <c r="W5168" s="21">
        <v>3</v>
      </c>
      <c r="X5168" s="22"/>
    </row>
    <row r="5169" spans="1:24" s="1" customFormat="1" ht="14.1" customHeight="1" x14ac:dyDescent="0.3">
      <c r="A5169" s="11" t="s">
        <v>3014</v>
      </c>
      <c r="B5169" s="11" t="s">
        <v>4949</v>
      </c>
      <c r="C5169" s="12" t="s">
        <v>4952</v>
      </c>
      <c r="D5169" s="83"/>
      <c r="E5169" s="69" t="str">
        <f t="shared" ref="E5169:E5175" si="286">HYPERLINK("https://www.google.ru/search?q=73206312-9370&amp;newwindow=1&amp;tbm=isch","Еще фото")</f>
        <v>Еще фото</v>
      </c>
      <c r="F5169" s="13"/>
      <c r="G5169" s="11" t="s">
        <v>4951</v>
      </c>
      <c r="H5169" s="11" t="s">
        <v>27</v>
      </c>
      <c r="I5169" s="14" t="s">
        <v>675</v>
      </c>
      <c r="J5169" s="14" t="s">
        <v>29</v>
      </c>
      <c r="K5169" s="15" t="s">
        <v>30</v>
      </c>
      <c r="L5169" s="86"/>
      <c r="M5169" s="14"/>
      <c r="N5169" s="14" t="s">
        <v>41</v>
      </c>
      <c r="O5169" s="14"/>
      <c r="P5169" s="15" t="s">
        <v>74</v>
      </c>
      <c r="Q5169" s="16">
        <v>4499</v>
      </c>
      <c r="R5169" s="17">
        <v>45</v>
      </c>
      <c r="S5169" s="18">
        <v>2845.6174999999994</v>
      </c>
      <c r="T5169" s="19" t="s">
        <v>117</v>
      </c>
      <c r="U5169" s="20" t="s">
        <v>37</v>
      </c>
      <c r="V5169" s="21">
        <v>128</v>
      </c>
      <c r="W5169" s="21">
        <v>3</v>
      </c>
      <c r="X5169" s="22"/>
    </row>
    <row r="5170" spans="1:24" s="1" customFormat="1" ht="14.1" customHeight="1" x14ac:dyDescent="0.3">
      <c r="A5170" s="23" t="s">
        <v>3014</v>
      </c>
      <c r="B5170" s="23" t="s">
        <v>4949</v>
      </c>
      <c r="C5170" s="12" t="s">
        <v>4952</v>
      </c>
      <c r="D5170" s="84"/>
      <c r="E5170" s="69" t="str">
        <f t="shared" si="286"/>
        <v>Еще фото</v>
      </c>
      <c r="F5170" s="13"/>
      <c r="G5170" s="23" t="s">
        <v>4951</v>
      </c>
      <c r="H5170" s="23" t="s">
        <v>27</v>
      </c>
      <c r="I5170" s="23" t="s">
        <v>675</v>
      </c>
      <c r="J5170" s="14" t="s">
        <v>29</v>
      </c>
      <c r="K5170" s="15" t="s">
        <v>30</v>
      </c>
      <c r="L5170" s="87"/>
      <c r="M5170" s="14"/>
      <c r="N5170" s="14" t="s">
        <v>41</v>
      </c>
      <c r="O5170" s="14"/>
      <c r="P5170" s="15" t="s">
        <v>74</v>
      </c>
      <c r="Q5170" s="16">
        <v>4499</v>
      </c>
      <c r="R5170" s="17">
        <v>45</v>
      </c>
      <c r="S5170" s="18">
        <v>2845.6174999999994</v>
      </c>
      <c r="T5170" s="19" t="s">
        <v>117</v>
      </c>
      <c r="U5170" s="20" t="s">
        <v>91</v>
      </c>
      <c r="V5170" s="21">
        <v>134</v>
      </c>
      <c r="W5170" s="21">
        <v>3</v>
      </c>
      <c r="X5170" s="22"/>
    </row>
    <row r="5171" spans="1:24" s="1" customFormat="1" ht="14.1" customHeight="1" x14ac:dyDescent="0.3">
      <c r="A5171" s="23" t="s">
        <v>3014</v>
      </c>
      <c r="B5171" s="23" t="s">
        <v>4949</v>
      </c>
      <c r="C5171" s="12" t="s">
        <v>4952</v>
      </c>
      <c r="D5171" s="84"/>
      <c r="E5171" s="69" t="str">
        <f t="shared" si="286"/>
        <v>Еще фото</v>
      </c>
      <c r="F5171" s="13"/>
      <c r="G5171" s="23" t="s">
        <v>4951</v>
      </c>
      <c r="H5171" s="23" t="s">
        <v>27</v>
      </c>
      <c r="I5171" s="23" t="s">
        <v>675</v>
      </c>
      <c r="J5171" s="14" t="s">
        <v>29</v>
      </c>
      <c r="K5171" s="15" t="s">
        <v>30</v>
      </c>
      <c r="L5171" s="87"/>
      <c r="M5171" s="14"/>
      <c r="N5171" s="14" t="s">
        <v>41</v>
      </c>
      <c r="O5171" s="14"/>
      <c r="P5171" s="15" t="s">
        <v>74</v>
      </c>
      <c r="Q5171" s="16">
        <v>4499</v>
      </c>
      <c r="R5171" s="17">
        <v>45</v>
      </c>
      <c r="S5171" s="18">
        <v>2845.6174999999994</v>
      </c>
      <c r="T5171" s="19" t="s">
        <v>117</v>
      </c>
      <c r="U5171" s="20" t="s">
        <v>290</v>
      </c>
      <c r="V5171" s="21">
        <v>140</v>
      </c>
      <c r="W5171" s="21">
        <v>2</v>
      </c>
      <c r="X5171" s="22"/>
    </row>
    <row r="5172" spans="1:24" s="1" customFormat="1" ht="14.1" customHeight="1" x14ac:dyDescent="0.3">
      <c r="A5172" s="23" t="s">
        <v>3014</v>
      </c>
      <c r="B5172" s="23" t="s">
        <v>4949</v>
      </c>
      <c r="C5172" s="12" t="s">
        <v>4952</v>
      </c>
      <c r="D5172" s="84"/>
      <c r="E5172" s="69" t="str">
        <f t="shared" si="286"/>
        <v>Еще фото</v>
      </c>
      <c r="F5172" s="13"/>
      <c r="G5172" s="23" t="s">
        <v>4951</v>
      </c>
      <c r="H5172" s="23" t="s">
        <v>27</v>
      </c>
      <c r="I5172" s="23" t="s">
        <v>675</v>
      </c>
      <c r="J5172" s="14" t="s">
        <v>29</v>
      </c>
      <c r="K5172" s="15" t="s">
        <v>30</v>
      </c>
      <c r="L5172" s="87"/>
      <c r="M5172" s="14"/>
      <c r="N5172" s="14" t="s">
        <v>41</v>
      </c>
      <c r="O5172" s="14"/>
      <c r="P5172" s="15" t="s">
        <v>74</v>
      </c>
      <c r="Q5172" s="16">
        <v>4499</v>
      </c>
      <c r="R5172" s="17">
        <v>45</v>
      </c>
      <c r="S5172" s="18">
        <v>2845.6174999999994</v>
      </c>
      <c r="T5172" s="19" t="s">
        <v>117</v>
      </c>
      <c r="U5172" s="20" t="s">
        <v>2993</v>
      </c>
      <c r="V5172" s="21">
        <v>146</v>
      </c>
      <c r="W5172" s="21">
        <v>3</v>
      </c>
      <c r="X5172" s="22"/>
    </row>
    <row r="5173" spans="1:24" s="1" customFormat="1" ht="14.1" customHeight="1" x14ac:dyDescent="0.3">
      <c r="A5173" s="23" t="s">
        <v>3014</v>
      </c>
      <c r="B5173" s="23" t="s">
        <v>4949</v>
      </c>
      <c r="C5173" s="12" t="s">
        <v>4952</v>
      </c>
      <c r="D5173" s="84"/>
      <c r="E5173" s="69" t="str">
        <f t="shared" si="286"/>
        <v>Еще фото</v>
      </c>
      <c r="F5173" s="13"/>
      <c r="G5173" s="23" t="s">
        <v>4951</v>
      </c>
      <c r="H5173" s="23" t="s">
        <v>27</v>
      </c>
      <c r="I5173" s="23" t="s">
        <v>675</v>
      </c>
      <c r="J5173" s="14" t="s">
        <v>29</v>
      </c>
      <c r="K5173" s="15" t="s">
        <v>30</v>
      </c>
      <c r="L5173" s="87"/>
      <c r="M5173" s="14"/>
      <c r="N5173" s="14" t="s">
        <v>41</v>
      </c>
      <c r="O5173" s="14"/>
      <c r="P5173" s="15" t="s">
        <v>74</v>
      </c>
      <c r="Q5173" s="16">
        <v>4499</v>
      </c>
      <c r="R5173" s="17">
        <v>45</v>
      </c>
      <c r="S5173" s="18">
        <v>2845.6174999999994</v>
      </c>
      <c r="T5173" s="19" t="s">
        <v>117</v>
      </c>
      <c r="U5173" s="20" t="s">
        <v>2160</v>
      </c>
      <c r="V5173" s="21">
        <v>152</v>
      </c>
      <c r="W5173" s="21">
        <v>3</v>
      </c>
      <c r="X5173" s="22"/>
    </row>
    <row r="5174" spans="1:24" s="1" customFormat="1" ht="14.1" customHeight="1" x14ac:dyDescent="0.3">
      <c r="A5174" s="23" t="s">
        <v>3014</v>
      </c>
      <c r="B5174" s="23" t="s">
        <v>4949</v>
      </c>
      <c r="C5174" s="12" t="s">
        <v>4952</v>
      </c>
      <c r="D5174" s="84"/>
      <c r="E5174" s="69" t="str">
        <f t="shared" si="286"/>
        <v>Еще фото</v>
      </c>
      <c r="F5174" s="13"/>
      <c r="G5174" s="23" t="s">
        <v>4951</v>
      </c>
      <c r="H5174" s="23" t="s">
        <v>27</v>
      </c>
      <c r="I5174" s="23" t="s">
        <v>675</v>
      </c>
      <c r="J5174" s="14" t="s">
        <v>29</v>
      </c>
      <c r="K5174" s="15" t="s">
        <v>30</v>
      </c>
      <c r="L5174" s="87"/>
      <c r="M5174" s="14"/>
      <c r="N5174" s="14" t="s">
        <v>41</v>
      </c>
      <c r="O5174" s="14"/>
      <c r="P5174" s="15" t="s">
        <v>74</v>
      </c>
      <c r="Q5174" s="16">
        <v>4499</v>
      </c>
      <c r="R5174" s="17">
        <v>45</v>
      </c>
      <c r="S5174" s="18">
        <v>2845.6174999999994</v>
      </c>
      <c r="T5174" s="19" t="s">
        <v>117</v>
      </c>
      <c r="U5174" s="20" t="s">
        <v>3088</v>
      </c>
      <c r="V5174" s="21">
        <v>158</v>
      </c>
      <c r="W5174" s="21">
        <v>2</v>
      </c>
      <c r="X5174" s="22"/>
    </row>
    <row r="5175" spans="1:24" s="1" customFormat="1" ht="17.100000000000001" customHeight="1" x14ac:dyDescent="0.3">
      <c r="A5175" s="23" t="s">
        <v>3014</v>
      </c>
      <c r="B5175" s="23" t="s">
        <v>4949</v>
      </c>
      <c r="C5175" s="12" t="s">
        <v>4952</v>
      </c>
      <c r="D5175" s="85"/>
      <c r="E5175" s="69" t="str">
        <f t="shared" si="286"/>
        <v>Еще фото</v>
      </c>
      <c r="F5175" s="13"/>
      <c r="G5175" s="23" t="s">
        <v>4951</v>
      </c>
      <c r="H5175" s="23" t="s">
        <v>27</v>
      </c>
      <c r="I5175" s="23" t="s">
        <v>675</v>
      </c>
      <c r="J5175" s="14" t="s">
        <v>29</v>
      </c>
      <c r="K5175" s="15" t="s">
        <v>30</v>
      </c>
      <c r="L5175" s="88"/>
      <c r="M5175" s="14"/>
      <c r="N5175" s="14" t="s">
        <v>41</v>
      </c>
      <c r="O5175" s="14"/>
      <c r="P5175" s="15" t="s">
        <v>74</v>
      </c>
      <c r="Q5175" s="16">
        <v>4499</v>
      </c>
      <c r="R5175" s="17">
        <v>45</v>
      </c>
      <c r="S5175" s="18">
        <v>2845.6174999999994</v>
      </c>
      <c r="T5175" s="19" t="s">
        <v>117</v>
      </c>
      <c r="U5175" s="20" t="s">
        <v>2161</v>
      </c>
      <c r="V5175" s="21">
        <v>164</v>
      </c>
      <c r="W5175" s="21">
        <v>3</v>
      </c>
      <c r="X5175" s="22"/>
    </row>
    <row r="5176" spans="1:24" s="1" customFormat="1" ht="17.100000000000001" customHeight="1" x14ac:dyDescent="0.3">
      <c r="A5176" s="11" t="s">
        <v>2957</v>
      </c>
      <c r="B5176" s="11" t="s">
        <v>4953</v>
      </c>
      <c r="C5176" s="12" t="s">
        <v>4954</v>
      </c>
      <c r="D5176" s="83"/>
      <c r="E5176" s="69" t="str">
        <f t="shared" ref="E5176:E5181" si="287">HYPERLINK("https://www.google.ru/search?q=535020-3161&amp;newwindow=1&amp;tbm=isch","Еще фото")</f>
        <v>Еще фото</v>
      </c>
      <c r="F5176" s="13"/>
      <c r="G5176" s="11" t="s">
        <v>696</v>
      </c>
      <c r="H5176" s="11" t="s">
        <v>27</v>
      </c>
      <c r="I5176" s="14" t="s">
        <v>697</v>
      </c>
      <c r="J5176" s="14" t="s">
        <v>29</v>
      </c>
      <c r="K5176" s="15" t="s">
        <v>30</v>
      </c>
      <c r="L5176" s="86" t="s">
        <v>4955</v>
      </c>
      <c r="M5176" s="14"/>
      <c r="N5176" s="14" t="s">
        <v>275</v>
      </c>
      <c r="O5176" s="14"/>
      <c r="P5176" s="15" t="s">
        <v>33</v>
      </c>
      <c r="Q5176" s="16">
        <v>2399</v>
      </c>
      <c r="R5176" s="17">
        <v>79.67</v>
      </c>
      <c r="S5176" s="29">
        <v>560.93549999999993</v>
      </c>
      <c r="T5176" s="19" t="s">
        <v>117</v>
      </c>
      <c r="U5176" s="20" t="s">
        <v>43</v>
      </c>
      <c r="V5176" s="21">
        <v>110</v>
      </c>
      <c r="W5176" s="21">
        <v>4</v>
      </c>
      <c r="X5176" s="22"/>
    </row>
    <row r="5177" spans="1:24" s="1" customFormat="1" ht="17.100000000000001" customHeight="1" x14ac:dyDescent="0.3">
      <c r="A5177" s="23" t="s">
        <v>2957</v>
      </c>
      <c r="B5177" s="23" t="s">
        <v>4953</v>
      </c>
      <c r="C5177" s="12" t="s">
        <v>4954</v>
      </c>
      <c r="D5177" s="84"/>
      <c r="E5177" s="69" t="str">
        <f t="shared" si="287"/>
        <v>Еще фото</v>
      </c>
      <c r="F5177" s="13"/>
      <c r="G5177" s="23" t="s">
        <v>696</v>
      </c>
      <c r="H5177" s="23" t="s">
        <v>27</v>
      </c>
      <c r="I5177" s="23" t="s">
        <v>697</v>
      </c>
      <c r="J5177" s="14" t="s">
        <v>29</v>
      </c>
      <c r="K5177" s="15" t="s">
        <v>30</v>
      </c>
      <c r="L5177" s="87"/>
      <c r="M5177" s="14"/>
      <c r="N5177" s="14" t="s">
        <v>275</v>
      </c>
      <c r="O5177" s="14"/>
      <c r="P5177" s="15" t="s">
        <v>33</v>
      </c>
      <c r="Q5177" s="16">
        <v>2399</v>
      </c>
      <c r="R5177" s="17">
        <v>79.67</v>
      </c>
      <c r="S5177" s="29">
        <v>560.93549999999993</v>
      </c>
      <c r="T5177" s="19" t="s">
        <v>117</v>
      </c>
      <c r="U5177" s="20" t="s">
        <v>35</v>
      </c>
      <c r="V5177" s="21">
        <v>116</v>
      </c>
      <c r="W5177" s="21">
        <v>5</v>
      </c>
      <c r="X5177" s="22"/>
    </row>
    <row r="5178" spans="1:24" s="1" customFormat="1" ht="17.100000000000001" customHeight="1" x14ac:dyDescent="0.3">
      <c r="A5178" s="23" t="s">
        <v>2957</v>
      </c>
      <c r="B5178" s="23" t="s">
        <v>4953</v>
      </c>
      <c r="C5178" s="12" t="s">
        <v>4954</v>
      </c>
      <c r="D5178" s="84"/>
      <c r="E5178" s="69" t="str">
        <f t="shared" si="287"/>
        <v>Еще фото</v>
      </c>
      <c r="F5178" s="13"/>
      <c r="G5178" s="23" t="s">
        <v>696</v>
      </c>
      <c r="H5178" s="23" t="s">
        <v>27</v>
      </c>
      <c r="I5178" s="23" t="s">
        <v>697</v>
      </c>
      <c r="J5178" s="14" t="s">
        <v>29</v>
      </c>
      <c r="K5178" s="15" t="s">
        <v>30</v>
      </c>
      <c r="L5178" s="87"/>
      <c r="M5178" s="14"/>
      <c r="N5178" s="14" t="s">
        <v>275</v>
      </c>
      <c r="O5178" s="14"/>
      <c r="P5178" s="15" t="s">
        <v>33</v>
      </c>
      <c r="Q5178" s="16">
        <v>2399</v>
      </c>
      <c r="R5178" s="17">
        <v>79.67</v>
      </c>
      <c r="S5178" s="29">
        <v>560.93549999999993</v>
      </c>
      <c r="T5178" s="19" t="s">
        <v>117</v>
      </c>
      <c r="U5178" s="20" t="s">
        <v>36</v>
      </c>
      <c r="V5178" s="21">
        <v>122</v>
      </c>
      <c r="W5178" s="21">
        <v>7</v>
      </c>
      <c r="X5178" s="22"/>
    </row>
    <row r="5179" spans="1:24" s="1" customFormat="1" ht="17.100000000000001" customHeight="1" x14ac:dyDescent="0.3">
      <c r="A5179" s="23" t="s">
        <v>2957</v>
      </c>
      <c r="B5179" s="23" t="s">
        <v>4953</v>
      </c>
      <c r="C5179" s="12" t="s">
        <v>4954</v>
      </c>
      <c r="D5179" s="84"/>
      <c r="E5179" s="69" t="str">
        <f t="shared" si="287"/>
        <v>Еще фото</v>
      </c>
      <c r="F5179" s="13"/>
      <c r="G5179" s="23" t="s">
        <v>696</v>
      </c>
      <c r="H5179" s="23" t="s">
        <v>27</v>
      </c>
      <c r="I5179" s="23" t="s">
        <v>697</v>
      </c>
      <c r="J5179" s="14" t="s">
        <v>29</v>
      </c>
      <c r="K5179" s="15" t="s">
        <v>30</v>
      </c>
      <c r="L5179" s="87"/>
      <c r="M5179" s="14"/>
      <c r="N5179" s="14" t="s">
        <v>275</v>
      </c>
      <c r="O5179" s="14"/>
      <c r="P5179" s="15" t="s">
        <v>33</v>
      </c>
      <c r="Q5179" s="16">
        <v>2399</v>
      </c>
      <c r="R5179" s="17">
        <v>79.67</v>
      </c>
      <c r="S5179" s="29">
        <v>560.93549999999993</v>
      </c>
      <c r="T5179" s="19" t="s">
        <v>117</v>
      </c>
      <c r="U5179" s="20" t="s">
        <v>37</v>
      </c>
      <c r="V5179" s="21">
        <v>128</v>
      </c>
      <c r="W5179" s="21">
        <v>4</v>
      </c>
      <c r="X5179" s="22"/>
    </row>
    <row r="5180" spans="1:24" s="1" customFormat="1" ht="17.100000000000001" customHeight="1" x14ac:dyDescent="0.3">
      <c r="A5180" s="23" t="s">
        <v>2957</v>
      </c>
      <c r="B5180" s="23" t="s">
        <v>4953</v>
      </c>
      <c r="C5180" s="12" t="s">
        <v>4954</v>
      </c>
      <c r="D5180" s="84"/>
      <c r="E5180" s="69" t="str">
        <f t="shared" si="287"/>
        <v>Еще фото</v>
      </c>
      <c r="F5180" s="13"/>
      <c r="G5180" s="23" t="s">
        <v>696</v>
      </c>
      <c r="H5180" s="23" t="s">
        <v>27</v>
      </c>
      <c r="I5180" s="23" t="s">
        <v>697</v>
      </c>
      <c r="J5180" s="14" t="s">
        <v>29</v>
      </c>
      <c r="K5180" s="15" t="s">
        <v>30</v>
      </c>
      <c r="L5180" s="87"/>
      <c r="M5180" s="14"/>
      <c r="N5180" s="14" t="s">
        <v>275</v>
      </c>
      <c r="O5180" s="14"/>
      <c r="P5180" s="15" t="s">
        <v>33</v>
      </c>
      <c r="Q5180" s="16">
        <v>2399</v>
      </c>
      <c r="R5180" s="17">
        <v>79.67</v>
      </c>
      <c r="S5180" s="29">
        <v>560.93549999999993</v>
      </c>
      <c r="T5180" s="19" t="s">
        <v>117</v>
      </c>
      <c r="U5180" s="20" t="s">
        <v>91</v>
      </c>
      <c r="V5180" s="21">
        <v>134</v>
      </c>
      <c r="W5180" s="21">
        <v>4</v>
      </c>
      <c r="X5180" s="22"/>
    </row>
    <row r="5181" spans="1:24" s="1" customFormat="1" ht="21.95" customHeight="1" x14ac:dyDescent="0.3">
      <c r="A5181" s="23" t="s">
        <v>2957</v>
      </c>
      <c r="B5181" s="23" t="s">
        <v>4953</v>
      </c>
      <c r="C5181" s="12" t="s">
        <v>4954</v>
      </c>
      <c r="D5181" s="85"/>
      <c r="E5181" s="69" t="str">
        <f t="shared" si="287"/>
        <v>Еще фото</v>
      </c>
      <c r="F5181" s="13"/>
      <c r="G5181" s="23" t="s">
        <v>696</v>
      </c>
      <c r="H5181" s="23" t="s">
        <v>27</v>
      </c>
      <c r="I5181" s="23" t="s">
        <v>697</v>
      </c>
      <c r="J5181" s="14" t="s">
        <v>29</v>
      </c>
      <c r="K5181" s="15" t="s">
        <v>30</v>
      </c>
      <c r="L5181" s="88"/>
      <c r="M5181" s="14"/>
      <c r="N5181" s="14" t="s">
        <v>275</v>
      </c>
      <c r="O5181" s="14"/>
      <c r="P5181" s="15" t="s">
        <v>33</v>
      </c>
      <c r="Q5181" s="16">
        <v>2399</v>
      </c>
      <c r="R5181" s="17">
        <v>79.67</v>
      </c>
      <c r="S5181" s="29">
        <v>560.93549999999993</v>
      </c>
      <c r="T5181" s="19" t="s">
        <v>117</v>
      </c>
      <c r="U5181" s="20" t="s">
        <v>290</v>
      </c>
      <c r="V5181" s="21">
        <v>140</v>
      </c>
      <c r="W5181" s="21">
        <v>9</v>
      </c>
      <c r="X5181" s="22"/>
    </row>
    <row r="5182" spans="1:24" s="1" customFormat="1" ht="11.1" customHeight="1" x14ac:dyDescent="0.3">
      <c r="A5182" s="11" t="s">
        <v>2957</v>
      </c>
      <c r="B5182" s="11" t="s">
        <v>529</v>
      </c>
      <c r="C5182" s="12" t="s">
        <v>4956</v>
      </c>
      <c r="D5182" s="83"/>
      <c r="E5182" s="69" t="str">
        <f t="shared" ref="E5182:E5192" si="288">HYPERLINK("https://www.google.ru/search?q=532146-6980&amp;newwindow=1&amp;tbm=isch","Еще фото")</f>
        <v>Еще фото</v>
      </c>
      <c r="F5182" s="13"/>
      <c r="G5182" s="11" t="s">
        <v>714</v>
      </c>
      <c r="H5182" s="11" t="s">
        <v>27</v>
      </c>
      <c r="I5182" s="14" t="s">
        <v>697</v>
      </c>
      <c r="J5182" s="14" t="s">
        <v>138</v>
      </c>
      <c r="K5182" s="15" t="s">
        <v>30</v>
      </c>
      <c r="L5182" s="86" t="s">
        <v>4957</v>
      </c>
      <c r="M5182" s="14"/>
      <c r="N5182" s="14" t="s">
        <v>70</v>
      </c>
      <c r="O5182" s="14"/>
      <c r="P5182" s="15" t="s">
        <v>4958</v>
      </c>
      <c r="Q5182" s="16">
        <v>2599</v>
      </c>
      <c r="R5182" s="17">
        <v>79.31</v>
      </c>
      <c r="S5182" s="29">
        <v>618.43549999999993</v>
      </c>
      <c r="T5182" s="19" t="s">
        <v>117</v>
      </c>
      <c r="U5182" s="20" t="s">
        <v>94</v>
      </c>
      <c r="V5182" s="21">
        <v>104</v>
      </c>
      <c r="W5182" s="21">
        <v>7</v>
      </c>
      <c r="X5182" s="22"/>
    </row>
    <row r="5183" spans="1:24" s="1" customFormat="1" ht="11.1" customHeight="1" x14ac:dyDescent="0.3">
      <c r="A5183" s="23" t="s">
        <v>2957</v>
      </c>
      <c r="B5183" s="23" t="s">
        <v>529</v>
      </c>
      <c r="C5183" s="12" t="s">
        <v>4956</v>
      </c>
      <c r="D5183" s="84"/>
      <c r="E5183" s="69" t="str">
        <f t="shared" si="288"/>
        <v>Еще фото</v>
      </c>
      <c r="F5183" s="13"/>
      <c r="G5183" s="23" t="s">
        <v>714</v>
      </c>
      <c r="H5183" s="23" t="s">
        <v>27</v>
      </c>
      <c r="I5183" s="23" t="s">
        <v>697</v>
      </c>
      <c r="J5183" s="14" t="s">
        <v>138</v>
      </c>
      <c r="K5183" s="15" t="s">
        <v>30</v>
      </c>
      <c r="L5183" s="87"/>
      <c r="M5183" s="14"/>
      <c r="N5183" s="14" t="s">
        <v>70</v>
      </c>
      <c r="O5183" s="14"/>
      <c r="P5183" s="15" t="s">
        <v>4958</v>
      </c>
      <c r="Q5183" s="16">
        <v>2599</v>
      </c>
      <c r="R5183" s="17">
        <v>79.31</v>
      </c>
      <c r="S5183" s="29">
        <v>618.43549999999993</v>
      </c>
      <c r="T5183" s="19" t="s">
        <v>117</v>
      </c>
      <c r="U5183" s="20" t="s">
        <v>43</v>
      </c>
      <c r="V5183" s="21">
        <v>110</v>
      </c>
      <c r="W5183" s="21">
        <v>6</v>
      </c>
      <c r="X5183" s="22"/>
    </row>
    <row r="5184" spans="1:24" s="1" customFormat="1" ht="11.1" customHeight="1" x14ac:dyDescent="0.3">
      <c r="A5184" s="23" t="s">
        <v>2957</v>
      </c>
      <c r="B5184" s="23" t="s">
        <v>529</v>
      </c>
      <c r="C5184" s="12" t="s">
        <v>4956</v>
      </c>
      <c r="D5184" s="84"/>
      <c r="E5184" s="69" t="str">
        <f t="shared" si="288"/>
        <v>Еще фото</v>
      </c>
      <c r="F5184" s="13"/>
      <c r="G5184" s="23" t="s">
        <v>714</v>
      </c>
      <c r="H5184" s="23" t="s">
        <v>27</v>
      </c>
      <c r="I5184" s="23" t="s">
        <v>697</v>
      </c>
      <c r="J5184" s="14" t="s">
        <v>138</v>
      </c>
      <c r="K5184" s="15" t="s">
        <v>30</v>
      </c>
      <c r="L5184" s="87"/>
      <c r="M5184" s="14"/>
      <c r="N5184" s="14" t="s">
        <v>70</v>
      </c>
      <c r="O5184" s="14"/>
      <c r="P5184" s="15" t="s">
        <v>4958</v>
      </c>
      <c r="Q5184" s="16">
        <v>2599</v>
      </c>
      <c r="R5184" s="17">
        <v>79.31</v>
      </c>
      <c r="S5184" s="29">
        <v>618.43549999999993</v>
      </c>
      <c r="T5184" s="19" t="s">
        <v>117</v>
      </c>
      <c r="U5184" s="20" t="s">
        <v>35</v>
      </c>
      <c r="V5184" s="21">
        <v>116</v>
      </c>
      <c r="W5184" s="21">
        <v>7</v>
      </c>
      <c r="X5184" s="22"/>
    </row>
    <row r="5185" spans="1:24" s="1" customFormat="1" ht="11.1" customHeight="1" x14ac:dyDescent="0.3">
      <c r="A5185" s="23" t="s">
        <v>2957</v>
      </c>
      <c r="B5185" s="23" t="s">
        <v>529</v>
      </c>
      <c r="C5185" s="12" t="s">
        <v>4956</v>
      </c>
      <c r="D5185" s="84"/>
      <c r="E5185" s="69" t="str">
        <f t="shared" si="288"/>
        <v>Еще фото</v>
      </c>
      <c r="F5185" s="13"/>
      <c r="G5185" s="23" t="s">
        <v>714</v>
      </c>
      <c r="H5185" s="23" t="s">
        <v>27</v>
      </c>
      <c r="I5185" s="23" t="s">
        <v>697</v>
      </c>
      <c r="J5185" s="14" t="s">
        <v>138</v>
      </c>
      <c r="K5185" s="15" t="s">
        <v>30</v>
      </c>
      <c r="L5185" s="87"/>
      <c r="M5185" s="14"/>
      <c r="N5185" s="14" t="s">
        <v>70</v>
      </c>
      <c r="O5185" s="14"/>
      <c r="P5185" s="15" t="s">
        <v>4958</v>
      </c>
      <c r="Q5185" s="16">
        <v>2599</v>
      </c>
      <c r="R5185" s="17">
        <v>79.31</v>
      </c>
      <c r="S5185" s="29">
        <v>618.43549999999993</v>
      </c>
      <c r="T5185" s="19" t="s">
        <v>117</v>
      </c>
      <c r="U5185" s="20" t="s">
        <v>36</v>
      </c>
      <c r="V5185" s="21">
        <v>122</v>
      </c>
      <c r="W5185" s="21">
        <v>6</v>
      </c>
      <c r="X5185" s="22"/>
    </row>
    <row r="5186" spans="1:24" s="1" customFormat="1" ht="11.1" customHeight="1" x14ac:dyDescent="0.3">
      <c r="A5186" s="23" t="s">
        <v>2957</v>
      </c>
      <c r="B5186" s="23" t="s">
        <v>529</v>
      </c>
      <c r="C5186" s="12" t="s">
        <v>4956</v>
      </c>
      <c r="D5186" s="84"/>
      <c r="E5186" s="69" t="str">
        <f t="shared" si="288"/>
        <v>Еще фото</v>
      </c>
      <c r="F5186" s="13"/>
      <c r="G5186" s="23" t="s">
        <v>714</v>
      </c>
      <c r="H5186" s="23" t="s">
        <v>27</v>
      </c>
      <c r="I5186" s="23" t="s">
        <v>697</v>
      </c>
      <c r="J5186" s="14" t="s">
        <v>138</v>
      </c>
      <c r="K5186" s="15" t="s">
        <v>30</v>
      </c>
      <c r="L5186" s="87"/>
      <c r="M5186" s="14"/>
      <c r="N5186" s="14" t="s">
        <v>70</v>
      </c>
      <c r="O5186" s="14"/>
      <c r="P5186" s="15" t="s">
        <v>4958</v>
      </c>
      <c r="Q5186" s="16">
        <v>2599</v>
      </c>
      <c r="R5186" s="17">
        <v>79.31</v>
      </c>
      <c r="S5186" s="29">
        <v>618.43549999999993</v>
      </c>
      <c r="T5186" s="19" t="s">
        <v>117</v>
      </c>
      <c r="U5186" s="20" t="s">
        <v>37</v>
      </c>
      <c r="V5186" s="21">
        <v>128</v>
      </c>
      <c r="W5186" s="21">
        <v>6</v>
      </c>
      <c r="X5186" s="22"/>
    </row>
    <row r="5187" spans="1:24" s="1" customFormat="1" ht="11.1" customHeight="1" x14ac:dyDescent="0.3">
      <c r="A5187" s="23" t="s">
        <v>2957</v>
      </c>
      <c r="B5187" s="23" t="s">
        <v>529</v>
      </c>
      <c r="C5187" s="12" t="s">
        <v>4956</v>
      </c>
      <c r="D5187" s="84"/>
      <c r="E5187" s="69" t="str">
        <f t="shared" si="288"/>
        <v>Еще фото</v>
      </c>
      <c r="F5187" s="13"/>
      <c r="G5187" s="23" t="s">
        <v>714</v>
      </c>
      <c r="H5187" s="23" t="s">
        <v>27</v>
      </c>
      <c r="I5187" s="23" t="s">
        <v>697</v>
      </c>
      <c r="J5187" s="14" t="s">
        <v>138</v>
      </c>
      <c r="K5187" s="15" t="s">
        <v>30</v>
      </c>
      <c r="L5187" s="87"/>
      <c r="M5187" s="14"/>
      <c r="N5187" s="14" t="s">
        <v>70</v>
      </c>
      <c r="O5187" s="14"/>
      <c r="P5187" s="15" t="s">
        <v>4958</v>
      </c>
      <c r="Q5187" s="16">
        <v>2599</v>
      </c>
      <c r="R5187" s="17">
        <v>79.31</v>
      </c>
      <c r="S5187" s="29">
        <v>618.43549999999993</v>
      </c>
      <c r="T5187" s="19" t="s">
        <v>117</v>
      </c>
      <c r="U5187" s="20" t="s">
        <v>91</v>
      </c>
      <c r="V5187" s="21">
        <v>134</v>
      </c>
      <c r="W5187" s="21">
        <v>7</v>
      </c>
      <c r="X5187" s="22"/>
    </row>
    <row r="5188" spans="1:24" s="1" customFormat="1" ht="11.1" customHeight="1" x14ac:dyDescent="0.3">
      <c r="A5188" s="23" t="s">
        <v>2957</v>
      </c>
      <c r="B5188" s="23" t="s">
        <v>529</v>
      </c>
      <c r="C5188" s="12" t="s">
        <v>4956</v>
      </c>
      <c r="D5188" s="84"/>
      <c r="E5188" s="69" t="str">
        <f t="shared" si="288"/>
        <v>Еще фото</v>
      </c>
      <c r="F5188" s="13"/>
      <c r="G5188" s="23" t="s">
        <v>714</v>
      </c>
      <c r="H5188" s="23" t="s">
        <v>27</v>
      </c>
      <c r="I5188" s="23" t="s">
        <v>697</v>
      </c>
      <c r="J5188" s="14" t="s">
        <v>138</v>
      </c>
      <c r="K5188" s="15" t="s">
        <v>30</v>
      </c>
      <c r="L5188" s="87"/>
      <c r="M5188" s="14"/>
      <c r="N5188" s="14" t="s">
        <v>70</v>
      </c>
      <c r="O5188" s="14"/>
      <c r="P5188" s="15" t="s">
        <v>4958</v>
      </c>
      <c r="Q5188" s="16">
        <v>2599</v>
      </c>
      <c r="R5188" s="17">
        <v>79.31</v>
      </c>
      <c r="S5188" s="29">
        <v>618.43549999999993</v>
      </c>
      <c r="T5188" s="19" t="s">
        <v>117</v>
      </c>
      <c r="U5188" s="20" t="s">
        <v>290</v>
      </c>
      <c r="V5188" s="21">
        <v>140</v>
      </c>
      <c r="W5188" s="21">
        <v>3</v>
      </c>
      <c r="X5188" s="22"/>
    </row>
    <row r="5189" spans="1:24" s="1" customFormat="1" ht="11.1" customHeight="1" x14ac:dyDescent="0.3">
      <c r="A5189" s="23" t="s">
        <v>2957</v>
      </c>
      <c r="B5189" s="23" t="s">
        <v>529</v>
      </c>
      <c r="C5189" s="12" t="s">
        <v>4956</v>
      </c>
      <c r="D5189" s="84"/>
      <c r="E5189" s="69" t="str">
        <f t="shared" si="288"/>
        <v>Еще фото</v>
      </c>
      <c r="F5189" s="13"/>
      <c r="G5189" s="23" t="s">
        <v>714</v>
      </c>
      <c r="H5189" s="23" t="s">
        <v>27</v>
      </c>
      <c r="I5189" s="23" t="s">
        <v>697</v>
      </c>
      <c r="J5189" s="14" t="s">
        <v>138</v>
      </c>
      <c r="K5189" s="15" t="s">
        <v>30</v>
      </c>
      <c r="L5189" s="87"/>
      <c r="M5189" s="14"/>
      <c r="N5189" s="14" t="s">
        <v>70</v>
      </c>
      <c r="O5189" s="14"/>
      <c r="P5189" s="15" t="s">
        <v>4958</v>
      </c>
      <c r="Q5189" s="16">
        <v>2599</v>
      </c>
      <c r="R5189" s="17">
        <v>79.31</v>
      </c>
      <c r="S5189" s="29">
        <v>618.43549999999993</v>
      </c>
      <c r="T5189" s="19" t="s">
        <v>117</v>
      </c>
      <c r="U5189" s="20" t="s">
        <v>2993</v>
      </c>
      <c r="V5189" s="21">
        <v>146</v>
      </c>
      <c r="W5189" s="21">
        <v>2</v>
      </c>
      <c r="X5189" s="22"/>
    </row>
    <row r="5190" spans="1:24" s="1" customFormat="1" ht="11.1" customHeight="1" x14ac:dyDescent="0.3">
      <c r="A5190" s="23" t="s">
        <v>2957</v>
      </c>
      <c r="B5190" s="23" t="s">
        <v>529</v>
      </c>
      <c r="C5190" s="12" t="s">
        <v>4956</v>
      </c>
      <c r="D5190" s="84"/>
      <c r="E5190" s="69" t="str">
        <f t="shared" si="288"/>
        <v>Еще фото</v>
      </c>
      <c r="F5190" s="13"/>
      <c r="G5190" s="23" t="s">
        <v>714</v>
      </c>
      <c r="H5190" s="23" t="s">
        <v>27</v>
      </c>
      <c r="I5190" s="23" t="s">
        <v>697</v>
      </c>
      <c r="J5190" s="14" t="s">
        <v>138</v>
      </c>
      <c r="K5190" s="15" t="s">
        <v>30</v>
      </c>
      <c r="L5190" s="87"/>
      <c r="M5190" s="14"/>
      <c r="N5190" s="14" t="s">
        <v>70</v>
      </c>
      <c r="O5190" s="14"/>
      <c r="P5190" s="15" t="s">
        <v>4958</v>
      </c>
      <c r="Q5190" s="16">
        <v>2599</v>
      </c>
      <c r="R5190" s="17">
        <v>79.31</v>
      </c>
      <c r="S5190" s="29">
        <v>618.43549999999993</v>
      </c>
      <c r="T5190" s="19" t="s">
        <v>117</v>
      </c>
      <c r="U5190" s="20" t="s">
        <v>2160</v>
      </c>
      <c r="V5190" s="21">
        <v>152</v>
      </c>
      <c r="W5190" s="21">
        <v>4</v>
      </c>
      <c r="X5190" s="22"/>
    </row>
    <row r="5191" spans="1:24" s="1" customFormat="1" ht="11.1" customHeight="1" x14ac:dyDescent="0.3">
      <c r="A5191" s="14" t="s">
        <v>2957</v>
      </c>
      <c r="B5191" s="14" t="s">
        <v>529</v>
      </c>
      <c r="C5191" s="12" t="s">
        <v>4956</v>
      </c>
      <c r="D5191" s="84"/>
      <c r="E5191" s="69" t="str">
        <f t="shared" si="288"/>
        <v>Еще фото</v>
      </c>
      <c r="F5191" s="36"/>
      <c r="G5191" s="14" t="s">
        <v>714</v>
      </c>
      <c r="H5191" s="14" t="s">
        <v>27</v>
      </c>
      <c r="I5191" s="14" t="s">
        <v>697</v>
      </c>
      <c r="J5191" s="14" t="s">
        <v>138</v>
      </c>
      <c r="K5191" s="14" t="s">
        <v>30</v>
      </c>
      <c r="L5191" s="87"/>
      <c r="M5191" s="14"/>
      <c r="N5191" s="14" t="s">
        <v>70</v>
      </c>
      <c r="O5191" s="14"/>
      <c r="P5191" s="14" t="s">
        <v>4958</v>
      </c>
      <c r="Q5191" s="33">
        <v>2599</v>
      </c>
      <c r="R5191" s="34">
        <v>79.31</v>
      </c>
      <c r="S5191" s="65">
        <v>618.43549999999993</v>
      </c>
      <c r="T5191" s="19" t="s">
        <v>117</v>
      </c>
      <c r="U5191" s="20" t="s">
        <v>3088</v>
      </c>
      <c r="V5191" s="21">
        <v>158</v>
      </c>
      <c r="W5191" s="21">
        <v>5</v>
      </c>
      <c r="X5191" s="22"/>
    </row>
    <row r="5192" spans="1:24" s="1" customFormat="1" ht="11.1" customHeight="1" x14ac:dyDescent="0.3">
      <c r="A5192" s="14" t="s">
        <v>2957</v>
      </c>
      <c r="B5192" s="14" t="s">
        <v>529</v>
      </c>
      <c r="C5192" s="12" t="s">
        <v>4956</v>
      </c>
      <c r="D5192" s="85"/>
      <c r="E5192" s="69" t="str">
        <f t="shared" si="288"/>
        <v>Еще фото</v>
      </c>
      <c r="F5192" s="36"/>
      <c r="G5192" s="14" t="s">
        <v>714</v>
      </c>
      <c r="H5192" s="14" t="s">
        <v>27</v>
      </c>
      <c r="I5192" s="14" t="s">
        <v>697</v>
      </c>
      <c r="J5192" s="14" t="s">
        <v>138</v>
      </c>
      <c r="K5192" s="14" t="s">
        <v>30</v>
      </c>
      <c r="L5192" s="88"/>
      <c r="M5192" s="14"/>
      <c r="N5192" s="14" t="s">
        <v>70</v>
      </c>
      <c r="O5192" s="14"/>
      <c r="P5192" s="14" t="s">
        <v>4958</v>
      </c>
      <c r="Q5192" s="33">
        <v>2599</v>
      </c>
      <c r="R5192" s="34">
        <v>79.31</v>
      </c>
      <c r="S5192" s="65">
        <v>618.43549999999993</v>
      </c>
      <c r="T5192" s="19" t="s">
        <v>117</v>
      </c>
      <c r="U5192" s="20" t="s">
        <v>2161</v>
      </c>
      <c r="V5192" s="21">
        <v>164</v>
      </c>
      <c r="W5192" s="21">
        <v>1</v>
      </c>
      <c r="X5192" s="22"/>
    </row>
    <row r="5193" spans="1:24" s="1" customFormat="1" ht="14.1" customHeight="1" x14ac:dyDescent="0.3">
      <c r="A5193" s="11" t="s">
        <v>2957</v>
      </c>
      <c r="B5193" s="11" t="s">
        <v>4953</v>
      </c>
      <c r="C5193" s="12" t="s">
        <v>4959</v>
      </c>
      <c r="D5193" s="83"/>
      <c r="E5193" s="69" t="str">
        <f t="shared" ref="E5193:E5199" si="289">HYPERLINK("https://www.google.ru/search?q=535020-6101&amp;newwindow=1&amp;tbm=isch","Еще фото")</f>
        <v>Еще фото</v>
      </c>
      <c r="F5193" s="13"/>
      <c r="G5193" s="11" t="s">
        <v>696</v>
      </c>
      <c r="H5193" s="11" t="s">
        <v>27</v>
      </c>
      <c r="I5193" s="14" t="s">
        <v>697</v>
      </c>
      <c r="J5193" s="14" t="s">
        <v>29</v>
      </c>
      <c r="K5193" s="15" t="s">
        <v>30</v>
      </c>
      <c r="L5193" s="86" t="s">
        <v>4955</v>
      </c>
      <c r="M5193" s="14"/>
      <c r="N5193" s="14" t="s">
        <v>265</v>
      </c>
      <c r="O5193" s="14"/>
      <c r="P5193" s="15" t="s">
        <v>33</v>
      </c>
      <c r="Q5193" s="16">
        <v>2399</v>
      </c>
      <c r="R5193" s="17">
        <v>78.42</v>
      </c>
      <c r="S5193" s="29">
        <v>595.43549999999993</v>
      </c>
      <c r="T5193" s="19" t="s">
        <v>117</v>
      </c>
      <c r="U5193" s="20" t="s">
        <v>94</v>
      </c>
      <c r="V5193" s="21">
        <v>104</v>
      </c>
      <c r="W5193" s="21">
        <v>1</v>
      </c>
      <c r="X5193" s="22"/>
    </row>
    <row r="5194" spans="1:24" s="1" customFormat="1" ht="14.1" customHeight="1" x14ac:dyDescent="0.3">
      <c r="A5194" s="23" t="s">
        <v>2957</v>
      </c>
      <c r="B5194" s="23" t="s">
        <v>4953</v>
      </c>
      <c r="C5194" s="12" t="s">
        <v>4959</v>
      </c>
      <c r="D5194" s="84"/>
      <c r="E5194" s="69" t="str">
        <f t="shared" si="289"/>
        <v>Еще фото</v>
      </c>
      <c r="F5194" s="13"/>
      <c r="G5194" s="23" t="s">
        <v>696</v>
      </c>
      <c r="H5194" s="23" t="s">
        <v>27</v>
      </c>
      <c r="I5194" s="23" t="s">
        <v>697</v>
      </c>
      <c r="J5194" s="14" t="s">
        <v>29</v>
      </c>
      <c r="K5194" s="15" t="s">
        <v>30</v>
      </c>
      <c r="L5194" s="87"/>
      <c r="M5194" s="14"/>
      <c r="N5194" s="14" t="s">
        <v>265</v>
      </c>
      <c r="O5194" s="14"/>
      <c r="P5194" s="15" t="s">
        <v>33</v>
      </c>
      <c r="Q5194" s="16">
        <v>2399</v>
      </c>
      <c r="R5194" s="17">
        <v>78.42</v>
      </c>
      <c r="S5194" s="29">
        <v>595.43549999999993</v>
      </c>
      <c r="T5194" s="19" t="s">
        <v>117</v>
      </c>
      <c r="U5194" s="20" t="s">
        <v>43</v>
      </c>
      <c r="V5194" s="21">
        <v>110</v>
      </c>
      <c r="W5194" s="21">
        <v>6</v>
      </c>
      <c r="X5194" s="22"/>
    </row>
    <row r="5195" spans="1:24" s="1" customFormat="1" ht="14.1" customHeight="1" x14ac:dyDescent="0.3">
      <c r="A5195" s="23" t="s">
        <v>2957</v>
      </c>
      <c r="B5195" s="23" t="s">
        <v>4953</v>
      </c>
      <c r="C5195" s="12" t="s">
        <v>4959</v>
      </c>
      <c r="D5195" s="84"/>
      <c r="E5195" s="69" t="str">
        <f t="shared" si="289"/>
        <v>Еще фото</v>
      </c>
      <c r="F5195" s="13"/>
      <c r="G5195" s="23" t="s">
        <v>696</v>
      </c>
      <c r="H5195" s="23" t="s">
        <v>27</v>
      </c>
      <c r="I5195" s="23" t="s">
        <v>697</v>
      </c>
      <c r="J5195" s="14" t="s">
        <v>29</v>
      </c>
      <c r="K5195" s="15" t="s">
        <v>30</v>
      </c>
      <c r="L5195" s="87"/>
      <c r="M5195" s="14"/>
      <c r="N5195" s="14" t="s">
        <v>265</v>
      </c>
      <c r="O5195" s="14"/>
      <c r="P5195" s="15" t="s">
        <v>33</v>
      </c>
      <c r="Q5195" s="16">
        <v>2399</v>
      </c>
      <c r="R5195" s="17">
        <v>78.42</v>
      </c>
      <c r="S5195" s="29">
        <v>595.43549999999993</v>
      </c>
      <c r="T5195" s="19" t="s">
        <v>117</v>
      </c>
      <c r="U5195" s="20" t="s">
        <v>35</v>
      </c>
      <c r="V5195" s="21">
        <v>116</v>
      </c>
      <c r="W5195" s="21">
        <v>6</v>
      </c>
      <c r="X5195" s="22"/>
    </row>
    <row r="5196" spans="1:24" s="1" customFormat="1" ht="14.1" customHeight="1" x14ac:dyDescent="0.3">
      <c r="A5196" s="23" t="s">
        <v>2957</v>
      </c>
      <c r="B5196" s="23" t="s">
        <v>4953</v>
      </c>
      <c r="C5196" s="12" t="s">
        <v>4959</v>
      </c>
      <c r="D5196" s="84"/>
      <c r="E5196" s="69" t="str">
        <f t="shared" si="289"/>
        <v>Еще фото</v>
      </c>
      <c r="F5196" s="13"/>
      <c r="G5196" s="23" t="s">
        <v>696</v>
      </c>
      <c r="H5196" s="23" t="s">
        <v>27</v>
      </c>
      <c r="I5196" s="23" t="s">
        <v>697</v>
      </c>
      <c r="J5196" s="14" t="s">
        <v>29</v>
      </c>
      <c r="K5196" s="15" t="s">
        <v>30</v>
      </c>
      <c r="L5196" s="87"/>
      <c r="M5196" s="14"/>
      <c r="N5196" s="14" t="s">
        <v>265</v>
      </c>
      <c r="O5196" s="14"/>
      <c r="P5196" s="15" t="s">
        <v>33</v>
      </c>
      <c r="Q5196" s="16">
        <v>2399</v>
      </c>
      <c r="R5196" s="17">
        <v>78.42</v>
      </c>
      <c r="S5196" s="29">
        <v>595.43549999999993</v>
      </c>
      <c r="T5196" s="19" t="s">
        <v>117</v>
      </c>
      <c r="U5196" s="20" t="s">
        <v>36</v>
      </c>
      <c r="V5196" s="21">
        <v>122</v>
      </c>
      <c r="W5196" s="21">
        <v>7</v>
      </c>
      <c r="X5196" s="22"/>
    </row>
    <row r="5197" spans="1:24" s="1" customFormat="1" ht="14.1" customHeight="1" x14ac:dyDescent="0.3">
      <c r="A5197" s="23" t="s">
        <v>2957</v>
      </c>
      <c r="B5197" s="23" t="s">
        <v>4953</v>
      </c>
      <c r="C5197" s="12" t="s">
        <v>4959</v>
      </c>
      <c r="D5197" s="84"/>
      <c r="E5197" s="69" t="str">
        <f t="shared" si="289"/>
        <v>Еще фото</v>
      </c>
      <c r="F5197" s="13"/>
      <c r="G5197" s="23" t="s">
        <v>696</v>
      </c>
      <c r="H5197" s="23" t="s">
        <v>27</v>
      </c>
      <c r="I5197" s="23" t="s">
        <v>697</v>
      </c>
      <c r="J5197" s="14" t="s">
        <v>29</v>
      </c>
      <c r="K5197" s="15" t="s">
        <v>30</v>
      </c>
      <c r="L5197" s="87"/>
      <c r="M5197" s="14"/>
      <c r="N5197" s="14" t="s">
        <v>265</v>
      </c>
      <c r="O5197" s="14"/>
      <c r="P5197" s="15" t="s">
        <v>33</v>
      </c>
      <c r="Q5197" s="16">
        <v>2399</v>
      </c>
      <c r="R5197" s="17">
        <v>78.42</v>
      </c>
      <c r="S5197" s="29">
        <v>595.43549999999993</v>
      </c>
      <c r="T5197" s="19" t="s">
        <v>117</v>
      </c>
      <c r="U5197" s="20" t="s">
        <v>37</v>
      </c>
      <c r="V5197" s="21">
        <v>128</v>
      </c>
      <c r="W5197" s="21">
        <v>6</v>
      </c>
      <c r="X5197" s="22"/>
    </row>
    <row r="5198" spans="1:24" s="1" customFormat="1" ht="14.1" customHeight="1" x14ac:dyDescent="0.3">
      <c r="A5198" s="23" t="s">
        <v>2957</v>
      </c>
      <c r="B5198" s="23" t="s">
        <v>4953</v>
      </c>
      <c r="C5198" s="12" t="s">
        <v>4959</v>
      </c>
      <c r="D5198" s="84"/>
      <c r="E5198" s="69" t="str">
        <f t="shared" si="289"/>
        <v>Еще фото</v>
      </c>
      <c r="F5198" s="13"/>
      <c r="G5198" s="23" t="s">
        <v>696</v>
      </c>
      <c r="H5198" s="23" t="s">
        <v>27</v>
      </c>
      <c r="I5198" s="23" t="s">
        <v>697</v>
      </c>
      <c r="J5198" s="14" t="s">
        <v>29</v>
      </c>
      <c r="K5198" s="15" t="s">
        <v>30</v>
      </c>
      <c r="L5198" s="87"/>
      <c r="M5198" s="14"/>
      <c r="N5198" s="14" t="s">
        <v>265</v>
      </c>
      <c r="O5198" s="14"/>
      <c r="P5198" s="15" t="s">
        <v>33</v>
      </c>
      <c r="Q5198" s="16">
        <v>2399</v>
      </c>
      <c r="R5198" s="17">
        <v>78.42</v>
      </c>
      <c r="S5198" s="29">
        <v>595.43549999999993</v>
      </c>
      <c r="T5198" s="19" t="s">
        <v>117</v>
      </c>
      <c r="U5198" s="20" t="s">
        <v>91</v>
      </c>
      <c r="V5198" s="21">
        <v>134</v>
      </c>
      <c r="W5198" s="21">
        <v>5</v>
      </c>
      <c r="X5198" s="22"/>
    </row>
    <row r="5199" spans="1:24" s="1" customFormat="1" ht="17.100000000000001" customHeight="1" x14ac:dyDescent="0.3">
      <c r="A5199" s="23" t="s">
        <v>2957</v>
      </c>
      <c r="B5199" s="23" t="s">
        <v>4953</v>
      </c>
      <c r="C5199" s="12" t="s">
        <v>4959</v>
      </c>
      <c r="D5199" s="85"/>
      <c r="E5199" s="69" t="str">
        <f t="shared" si="289"/>
        <v>Еще фото</v>
      </c>
      <c r="F5199" s="13"/>
      <c r="G5199" s="23" t="s">
        <v>696</v>
      </c>
      <c r="H5199" s="23" t="s">
        <v>27</v>
      </c>
      <c r="I5199" s="23" t="s">
        <v>697</v>
      </c>
      <c r="J5199" s="14" t="s">
        <v>29</v>
      </c>
      <c r="K5199" s="15" t="s">
        <v>30</v>
      </c>
      <c r="L5199" s="88"/>
      <c r="M5199" s="14"/>
      <c r="N5199" s="14" t="s">
        <v>265</v>
      </c>
      <c r="O5199" s="14"/>
      <c r="P5199" s="15" t="s">
        <v>33</v>
      </c>
      <c r="Q5199" s="16">
        <v>2399</v>
      </c>
      <c r="R5199" s="17">
        <v>78.42</v>
      </c>
      <c r="S5199" s="29">
        <v>595.43549999999993</v>
      </c>
      <c r="T5199" s="19" t="s">
        <v>117</v>
      </c>
      <c r="U5199" s="20" t="s">
        <v>290</v>
      </c>
      <c r="V5199" s="21">
        <v>140</v>
      </c>
      <c r="W5199" s="21">
        <v>4</v>
      </c>
      <c r="X5199" s="22"/>
    </row>
    <row r="5200" spans="1:24" s="1" customFormat="1" ht="17.100000000000001" customHeight="1" x14ac:dyDescent="0.3">
      <c r="A5200" s="11" t="s">
        <v>2957</v>
      </c>
      <c r="B5200" s="11" t="s">
        <v>694</v>
      </c>
      <c r="C5200" s="12" t="s">
        <v>4960</v>
      </c>
      <c r="D5200" s="83"/>
      <c r="E5200" s="69" t="str">
        <f t="shared" ref="E5200:E5205" si="290">HYPERLINK("https://www.google.ru/search?q=535024X-9991&amp;newwindow=1&amp;tbm=isch","Еще фото")</f>
        <v>Еще фото</v>
      </c>
      <c r="F5200" s="13"/>
      <c r="G5200" s="11" t="s">
        <v>696</v>
      </c>
      <c r="H5200" s="11" t="s">
        <v>27</v>
      </c>
      <c r="I5200" s="14" t="s">
        <v>697</v>
      </c>
      <c r="J5200" s="14" t="s">
        <v>138</v>
      </c>
      <c r="K5200" s="15" t="s">
        <v>30</v>
      </c>
      <c r="L5200" s="86" t="s">
        <v>4961</v>
      </c>
      <c r="M5200" s="14"/>
      <c r="N5200" s="14" t="s">
        <v>49</v>
      </c>
      <c r="O5200" s="14"/>
      <c r="P5200" s="15" t="s">
        <v>4523</v>
      </c>
      <c r="Q5200" s="16">
        <v>2599</v>
      </c>
      <c r="R5200" s="17">
        <v>78.150000000000006</v>
      </c>
      <c r="S5200" s="29">
        <v>652.93549999999993</v>
      </c>
      <c r="T5200" s="19" t="s">
        <v>117</v>
      </c>
      <c r="U5200" s="20" t="s">
        <v>94</v>
      </c>
      <c r="V5200" s="21">
        <v>104</v>
      </c>
      <c r="W5200" s="21">
        <v>1</v>
      </c>
      <c r="X5200" s="22"/>
    </row>
    <row r="5201" spans="1:24" s="1" customFormat="1" ht="17.100000000000001" customHeight="1" x14ac:dyDescent="0.3">
      <c r="A5201" s="23" t="s">
        <v>2957</v>
      </c>
      <c r="B5201" s="23" t="s">
        <v>694</v>
      </c>
      <c r="C5201" s="12" t="s">
        <v>4960</v>
      </c>
      <c r="D5201" s="84"/>
      <c r="E5201" s="69" t="str">
        <f t="shared" si="290"/>
        <v>Еще фото</v>
      </c>
      <c r="F5201" s="13"/>
      <c r="G5201" s="23" t="s">
        <v>696</v>
      </c>
      <c r="H5201" s="23" t="s">
        <v>27</v>
      </c>
      <c r="I5201" s="23" t="s">
        <v>697</v>
      </c>
      <c r="J5201" s="14" t="s">
        <v>138</v>
      </c>
      <c r="K5201" s="15" t="s">
        <v>30</v>
      </c>
      <c r="L5201" s="87"/>
      <c r="M5201" s="14"/>
      <c r="N5201" s="14" t="s">
        <v>49</v>
      </c>
      <c r="O5201" s="14"/>
      <c r="P5201" s="15" t="s">
        <v>4523</v>
      </c>
      <c r="Q5201" s="16">
        <v>2599</v>
      </c>
      <c r="R5201" s="17">
        <v>78.150000000000006</v>
      </c>
      <c r="S5201" s="29">
        <v>652.93549999999993</v>
      </c>
      <c r="T5201" s="19" t="s">
        <v>117</v>
      </c>
      <c r="U5201" s="20" t="s">
        <v>43</v>
      </c>
      <c r="V5201" s="21">
        <v>110</v>
      </c>
      <c r="W5201" s="21">
        <v>2</v>
      </c>
      <c r="X5201" s="22"/>
    </row>
    <row r="5202" spans="1:24" s="1" customFormat="1" ht="17.100000000000001" customHeight="1" x14ac:dyDescent="0.3">
      <c r="A5202" s="23" t="s">
        <v>2957</v>
      </c>
      <c r="B5202" s="23" t="s">
        <v>694</v>
      </c>
      <c r="C5202" s="12" t="s">
        <v>4960</v>
      </c>
      <c r="D5202" s="84"/>
      <c r="E5202" s="69" t="str">
        <f t="shared" si="290"/>
        <v>Еще фото</v>
      </c>
      <c r="F5202" s="13"/>
      <c r="G5202" s="23" t="s">
        <v>696</v>
      </c>
      <c r="H5202" s="23" t="s">
        <v>27</v>
      </c>
      <c r="I5202" s="23" t="s">
        <v>697</v>
      </c>
      <c r="J5202" s="14" t="s">
        <v>138</v>
      </c>
      <c r="K5202" s="15" t="s">
        <v>30</v>
      </c>
      <c r="L5202" s="87"/>
      <c r="M5202" s="14"/>
      <c r="N5202" s="14" t="s">
        <v>49</v>
      </c>
      <c r="O5202" s="14"/>
      <c r="P5202" s="15" t="s">
        <v>4523</v>
      </c>
      <c r="Q5202" s="16">
        <v>2599</v>
      </c>
      <c r="R5202" s="17">
        <v>78.150000000000006</v>
      </c>
      <c r="S5202" s="29">
        <v>652.93549999999993</v>
      </c>
      <c r="T5202" s="19" t="s">
        <v>117</v>
      </c>
      <c r="U5202" s="20" t="s">
        <v>36</v>
      </c>
      <c r="V5202" s="21">
        <v>122</v>
      </c>
      <c r="W5202" s="21">
        <v>4</v>
      </c>
      <c r="X5202" s="22"/>
    </row>
    <row r="5203" spans="1:24" s="1" customFormat="1" ht="17.100000000000001" customHeight="1" x14ac:dyDescent="0.3">
      <c r="A5203" s="23" t="s">
        <v>2957</v>
      </c>
      <c r="B5203" s="23" t="s">
        <v>694</v>
      </c>
      <c r="C5203" s="12" t="s">
        <v>4960</v>
      </c>
      <c r="D5203" s="84"/>
      <c r="E5203" s="69" t="str">
        <f t="shared" si="290"/>
        <v>Еще фото</v>
      </c>
      <c r="F5203" s="13"/>
      <c r="G5203" s="23" t="s">
        <v>696</v>
      </c>
      <c r="H5203" s="23" t="s">
        <v>27</v>
      </c>
      <c r="I5203" s="23" t="s">
        <v>697</v>
      </c>
      <c r="J5203" s="14" t="s">
        <v>138</v>
      </c>
      <c r="K5203" s="15" t="s">
        <v>30</v>
      </c>
      <c r="L5203" s="87"/>
      <c r="M5203" s="14"/>
      <c r="N5203" s="14" t="s">
        <v>49</v>
      </c>
      <c r="O5203" s="14"/>
      <c r="P5203" s="15" t="s">
        <v>4523</v>
      </c>
      <c r="Q5203" s="16">
        <v>2599</v>
      </c>
      <c r="R5203" s="17">
        <v>78.150000000000006</v>
      </c>
      <c r="S5203" s="29">
        <v>652.93549999999993</v>
      </c>
      <c r="T5203" s="19" t="s">
        <v>117</v>
      </c>
      <c r="U5203" s="20" t="s">
        <v>37</v>
      </c>
      <c r="V5203" s="21">
        <v>128</v>
      </c>
      <c r="W5203" s="21">
        <v>6</v>
      </c>
      <c r="X5203" s="22"/>
    </row>
    <row r="5204" spans="1:24" s="1" customFormat="1" ht="17.100000000000001" customHeight="1" x14ac:dyDescent="0.3">
      <c r="A5204" s="23" t="s">
        <v>2957</v>
      </c>
      <c r="B5204" s="23" t="s">
        <v>694</v>
      </c>
      <c r="C5204" s="12" t="s">
        <v>4960</v>
      </c>
      <c r="D5204" s="84"/>
      <c r="E5204" s="69" t="str">
        <f t="shared" si="290"/>
        <v>Еще фото</v>
      </c>
      <c r="F5204" s="13"/>
      <c r="G5204" s="23" t="s">
        <v>696</v>
      </c>
      <c r="H5204" s="23" t="s">
        <v>27</v>
      </c>
      <c r="I5204" s="23" t="s">
        <v>697</v>
      </c>
      <c r="J5204" s="14" t="s">
        <v>138</v>
      </c>
      <c r="K5204" s="15" t="s">
        <v>30</v>
      </c>
      <c r="L5204" s="87"/>
      <c r="M5204" s="14"/>
      <c r="N5204" s="14" t="s">
        <v>49</v>
      </c>
      <c r="O5204" s="14"/>
      <c r="P5204" s="15" t="s">
        <v>4523</v>
      </c>
      <c r="Q5204" s="16">
        <v>2599</v>
      </c>
      <c r="R5204" s="17">
        <v>78.150000000000006</v>
      </c>
      <c r="S5204" s="29">
        <v>652.93549999999993</v>
      </c>
      <c r="T5204" s="19" t="s">
        <v>117</v>
      </c>
      <c r="U5204" s="20" t="s">
        <v>91</v>
      </c>
      <c r="V5204" s="21">
        <v>134</v>
      </c>
      <c r="W5204" s="21">
        <v>5</v>
      </c>
      <c r="X5204" s="22"/>
    </row>
    <row r="5205" spans="1:24" s="1" customFormat="1" ht="21.95" customHeight="1" x14ac:dyDescent="0.3">
      <c r="A5205" s="23" t="s">
        <v>2957</v>
      </c>
      <c r="B5205" s="23" t="s">
        <v>694</v>
      </c>
      <c r="C5205" s="12" t="s">
        <v>4960</v>
      </c>
      <c r="D5205" s="85"/>
      <c r="E5205" s="69" t="str">
        <f t="shared" si="290"/>
        <v>Еще фото</v>
      </c>
      <c r="F5205" s="13"/>
      <c r="G5205" s="23" t="s">
        <v>696</v>
      </c>
      <c r="H5205" s="23" t="s">
        <v>27</v>
      </c>
      <c r="I5205" s="23" t="s">
        <v>697</v>
      </c>
      <c r="J5205" s="14" t="s">
        <v>138</v>
      </c>
      <c r="K5205" s="15" t="s">
        <v>30</v>
      </c>
      <c r="L5205" s="88"/>
      <c r="M5205" s="14"/>
      <c r="N5205" s="14" t="s">
        <v>49</v>
      </c>
      <c r="O5205" s="14"/>
      <c r="P5205" s="15" t="s">
        <v>4523</v>
      </c>
      <c r="Q5205" s="16">
        <v>2599</v>
      </c>
      <c r="R5205" s="17">
        <v>78.150000000000006</v>
      </c>
      <c r="S5205" s="29">
        <v>652.93549999999993</v>
      </c>
      <c r="T5205" s="19" t="s">
        <v>117</v>
      </c>
      <c r="U5205" s="20" t="s">
        <v>290</v>
      </c>
      <c r="V5205" s="21">
        <v>140</v>
      </c>
      <c r="W5205" s="21">
        <v>2</v>
      </c>
      <c r="X5205" s="22"/>
    </row>
    <row r="5206" spans="1:24" s="1" customFormat="1" ht="35.1" customHeight="1" x14ac:dyDescent="0.3">
      <c r="A5206" s="11" t="s">
        <v>2957</v>
      </c>
      <c r="B5206" s="11" t="s">
        <v>694</v>
      </c>
      <c r="C5206" s="12" t="s">
        <v>4962</v>
      </c>
      <c r="D5206" s="83"/>
      <c r="E5206" s="69" t="str">
        <f>HYPERLINK("https://www.google.ru/search?q=525018-0112&amp;newwindow=1&amp;tbm=isch","Еще фото")</f>
        <v>Еще фото</v>
      </c>
      <c r="F5206" s="13"/>
      <c r="G5206" s="11" t="s">
        <v>696</v>
      </c>
      <c r="H5206" s="11" t="s">
        <v>27</v>
      </c>
      <c r="I5206" s="14" t="s">
        <v>697</v>
      </c>
      <c r="J5206" s="14" t="s">
        <v>138</v>
      </c>
      <c r="K5206" s="15" t="s">
        <v>30</v>
      </c>
      <c r="L5206" s="86" t="s">
        <v>4963</v>
      </c>
      <c r="M5206" s="14"/>
      <c r="N5206" s="14" t="s">
        <v>89</v>
      </c>
      <c r="O5206" s="14"/>
      <c r="P5206" s="15" t="s">
        <v>4964</v>
      </c>
      <c r="Q5206" s="16">
        <v>2199</v>
      </c>
      <c r="R5206" s="17">
        <v>77.819999999999993</v>
      </c>
      <c r="S5206" s="29">
        <v>560.93549999999993</v>
      </c>
      <c r="T5206" s="19" t="s">
        <v>117</v>
      </c>
      <c r="U5206" s="20" t="s">
        <v>2977</v>
      </c>
      <c r="V5206" s="21">
        <v>92</v>
      </c>
      <c r="W5206" s="21">
        <v>6</v>
      </c>
      <c r="X5206" s="22"/>
    </row>
    <row r="5207" spans="1:24" s="1" customFormat="1" ht="35.1" customHeight="1" x14ac:dyDescent="0.3">
      <c r="A5207" s="23" t="s">
        <v>2957</v>
      </c>
      <c r="B5207" s="23" t="s">
        <v>694</v>
      </c>
      <c r="C5207" s="12" t="s">
        <v>4962</v>
      </c>
      <c r="D5207" s="84"/>
      <c r="E5207" s="69" t="str">
        <f>HYPERLINK("https://www.google.ru/search?q=525018-0112&amp;newwindow=1&amp;tbm=isch","Еще фото")</f>
        <v>Еще фото</v>
      </c>
      <c r="F5207" s="13"/>
      <c r="G5207" s="23" t="s">
        <v>696</v>
      </c>
      <c r="H5207" s="23" t="s">
        <v>27</v>
      </c>
      <c r="I5207" s="23" t="s">
        <v>697</v>
      </c>
      <c r="J5207" s="14" t="s">
        <v>138</v>
      </c>
      <c r="K5207" s="15" t="s">
        <v>30</v>
      </c>
      <c r="L5207" s="87"/>
      <c r="M5207" s="14"/>
      <c r="N5207" s="14" t="s">
        <v>89</v>
      </c>
      <c r="O5207" s="14"/>
      <c r="P5207" s="15" t="s">
        <v>4964</v>
      </c>
      <c r="Q5207" s="16">
        <v>2199</v>
      </c>
      <c r="R5207" s="17">
        <v>77.819999999999993</v>
      </c>
      <c r="S5207" s="29">
        <v>560.93549999999993</v>
      </c>
      <c r="T5207" s="19" t="s">
        <v>117</v>
      </c>
      <c r="U5207" s="20" t="s">
        <v>2961</v>
      </c>
      <c r="V5207" s="21">
        <v>98</v>
      </c>
      <c r="W5207" s="21">
        <v>14</v>
      </c>
      <c r="X5207" s="22"/>
    </row>
    <row r="5208" spans="1:24" s="1" customFormat="1" ht="36.950000000000003" customHeight="1" x14ac:dyDescent="0.3">
      <c r="A5208" s="23" t="s">
        <v>2957</v>
      </c>
      <c r="B5208" s="23" t="s">
        <v>694</v>
      </c>
      <c r="C5208" s="12" t="s">
        <v>4962</v>
      </c>
      <c r="D5208" s="85"/>
      <c r="E5208" s="69" t="str">
        <f>HYPERLINK("https://www.google.ru/search?q=525018-0112&amp;newwindow=1&amp;tbm=isch","Еще фото")</f>
        <v>Еще фото</v>
      </c>
      <c r="F5208" s="13"/>
      <c r="G5208" s="23" t="s">
        <v>696</v>
      </c>
      <c r="H5208" s="23" t="s">
        <v>27</v>
      </c>
      <c r="I5208" s="23" t="s">
        <v>697</v>
      </c>
      <c r="J5208" s="14" t="s">
        <v>138</v>
      </c>
      <c r="K5208" s="15" t="s">
        <v>30</v>
      </c>
      <c r="L5208" s="88"/>
      <c r="M5208" s="14"/>
      <c r="N5208" s="14" t="s">
        <v>89</v>
      </c>
      <c r="O5208" s="14"/>
      <c r="P5208" s="15" t="s">
        <v>4964</v>
      </c>
      <c r="Q5208" s="16">
        <v>2199</v>
      </c>
      <c r="R5208" s="17">
        <v>77.819999999999993</v>
      </c>
      <c r="S5208" s="29">
        <v>560.93549999999993</v>
      </c>
      <c r="T5208" s="19" t="s">
        <v>117</v>
      </c>
      <c r="U5208" s="20" t="s">
        <v>94</v>
      </c>
      <c r="V5208" s="21">
        <v>104</v>
      </c>
      <c r="W5208" s="21">
        <v>4</v>
      </c>
      <c r="X5208" s="22"/>
    </row>
    <row r="5209" spans="1:24" s="1" customFormat="1" ht="26.1" customHeight="1" x14ac:dyDescent="0.3">
      <c r="A5209" s="11" t="s">
        <v>2957</v>
      </c>
      <c r="B5209" s="11" t="s">
        <v>4953</v>
      </c>
      <c r="C5209" s="12" t="s">
        <v>4965</v>
      </c>
      <c r="D5209" s="83"/>
      <c r="E5209" s="69" t="str">
        <f>HYPERLINK("https://www.google.ru/search?q=525015-7152&amp;newwindow=1&amp;tbm=isch","Еще фото")</f>
        <v>Еще фото</v>
      </c>
      <c r="F5209" s="13"/>
      <c r="G5209" s="11" t="s">
        <v>696</v>
      </c>
      <c r="H5209" s="11" t="s">
        <v>27</v>
      </c>
      <c r="I5209" s="14" t="s">
        <v>697</v>
      </c>
      <c r="J5209" s="14" t="s">
        <v>29</v>
      </c>
      <c r="K5209" s="15" t="s">
        <v>30</v>
      </c>
      <c r="L5209" s="86" t="s">
        <v>4966</v>
      </c>
      <c r="M5209" s="14"/>
      <c r="N5209" s="14" t="s">
        <v>242</v>
      </c>
      <c r="O5209" s="14"/>
      <c r="P5209" s="15" t="s">
        <v>4967</v>
      </c>
      <c r="Q5209" s="16">
        <v>2399</v>
      </c>
      <c r="R5209" s="17">
        <v>77.58</v>
      </c>
      <c r="S5209" s="29">
        <v>618.43549999999993</v>
      </c>
      <c r="T5209" s="19" t="s">
        <v>117</v>
      </c>
      <c r="U5209" s="20" t="s">
        <v>2976</v>
      </c>
      <c r="V5209" s="21">
        <v>86</v>
      </c>
      <c r="W5209" s="21">
        <v>11</v>
      </c>
      <c r="X5209" s="22"/>
    </row>
    <row r="5210" spans="1:24" s="1" customFormat="1" ht="26.1" customHeight="1" x14ac:dyDescent="0.3">
      <c r="A5210" s="23" t="s">
        <v>2957</v>
      </c>
      <c r="B5210" s="23" t="s">
        <v>4953</v>
      </c>
      <c r="C5210" s="12" t="s">
        <v>4965</v>
      </c>
      <c r="D5210" s="84"/>
      <c r="E5210" s="69" t="str">
        <f>HYPERLINK("https://www.google.ru/search?q=525015-7152&amp;newwindow=1&amp;tbm=isch","Еще фото")</f>
        <v>Еще фото</v>
      </c>
      <c r="F5210" s="13"/>
      <c r="G5210" s="23" t="s">
        <v>696</v>
      </c>
      <c r="H5210" s="23" t="s">
        <v>27</v>
      </c>
      <c r="I5210" s="23" t="s">
        <v>697</v>
      </c>
      <c r="J5210" s="14" t="s">
        <v>29</v>
      </c>
      <c r="K5210" s="15" t="s">
        <v>30</v>
      </c>
      <c r="L5210" s="87"/>
      <c r="M5210" s="14"/>
      <c r="N5210" s="14" t="s">
        <v>242</v>
      </c>
      <c r="O5210" s="14"/>
      <c r="P5210" s="15" t="s">
        <v>4967</v>
      </c>
      <c r="Q5210" s="16">
        <v>2399</v>
      </c>
      <c r="R5210" s="17">
        <v>77.58</v>
      </c>
      <c r="S5210" s="29">
        <v>618.43549999999993</v>
      </c>
      <c r="T5210" s="19" t="s">
        <v>117</v>
      </c>
      <c r="U5210" s="20" t="s">
        <v>2977</v>
      </c>
      <c r="V5210" s="21">
        <v>92</v>
      </c>
      <c r="W5210" s="21">
        <v>27</v>
      </c>
      <c r="X5210" s="22"/>
    </row>
    <row r="5211" spans="1:24" s="1" customFormat="1" ht="26.1" customHeight="1" x14ac:dyDescent="0.3">
      <c r="A5211" s="23" t="s">
        <v>2957</v>
      </c>
      <c r="B5211" s="23" t="s">
        <v>4953</v>
      </c>
      <c r="C5211" s="12" t="s">
        <v>4965</v>
      </c>
      <c r="D5211" s="84"/>
      <c r="E5211" s="69" t="str">
        <f>HYPERLINK("https://www.google.ru/search?q=525015-7152&amp;newwindow=1&amp;tbm=isch","Еще фото")</f>
        <v>Еще фото</v>
      </c>
      <c r="F5211" s="13"/>
      <c r="G5211" s="23" t="s">
        <v>696</v>
      </c>
      <c r="H5211" s="23" t="s">
        <v>27</v>
      </c>
      <c r="I5211" s="23" t="s">
        <v>697</v>
      </c>
      <c r="J5211" s="14" t="s">
        <v>29</v>
      </c>
      <c r="K5211" s="15" t="s">
        <v>30</v>
      </c>
      <c r="L5211" s="87"/>
      <c r="M5211" s="14"/>
      <c r="N5211" s="14" t="s">
        <v>242</v>
      </c>
      <c r="O5211" s="14"/>
      <c r="P5211" s="15" t="s">
        <v>4967</v>
      </c>
      <c r="Q5211" s="16">
        <v>2399</v>
      </c>
      <c r="R5211" s="17">
        <v>77.58</v>
      </c>
      <c r="S5211" s="29">
        <v>618.43549999999993</v>
      </c>
      <c r="T5211" s="19" t="s">
        <v>117</v>
      </c>
      <c r="U5211" s="20" t="s">
        <v>2961</v>
      </c>
      <c r="V5211" s="21">
        <v>98</v>
      </c>
      <c r="W5211" s="21">
        <v>22</v>
      </c>
      <c r="X5211" s="22"/>
    </row>
    <row r="5212" spans="1:24" s="1" customFormat="1" ht="26.1" customHeight="1" x14ac:dyDescent="0.3">
      <c r="A5212" s="23" t="s">
        <v>2957</v>
      </c>
      <c r="B5212" s="23" t="s">
        <v>4953</v>
      </c>
      <c r="C5212" s="12" t="s">
        <v>4965</v>
      </c>
      <c r="D5212" s="85"/>
      <c r="E5212" s="69" t="str">
        <f>HYPERLINK("https://www.google.ru/search?q=525015-7152&amp;newwindow=1&amp;tbm=isch","Еще фото")</f>
        <v>Еще фото</v>
      </c>
      <c r="F5212" s="13"/>
      <c r="G5212" s="23" t="s">
        <v>696</v>
      </c>
      <c r="H5212" s="23" t="s">
        <v>27</v>
      </c>
      <c r="I5212" s="23" t="s">
        <v>697</v>
      </c>
      <c r="J5212" s="14" t="s">
        <v>29</v>
      </c>
      <c r="K5212" s="15" t="s">
        <v>30</v>
      </c>
      <c r="L5212" s="88"/>
      <c r="M5212" s="14"/>
      <c r="N5212" s="14" t="s">
        <v>242</v>
      </c>
      <c r="O5212" s="14"/>
      <c r="P5212" s="15" t="s">
        <v>4967</v>
      </c>
      <c r="Q5212" s="16">
        <v>2399</v>
      </c>
      <c r="R5212" s="17">
        <v>77.58</v>
      </c>
      <c r="S5212" s="29">
        <v>618.43549999999993</v>
      </c>
      <c r="T5212" s="19" t="s">
        <v>117</v>
      </c>
      <c r="U5212" s="20" t="s">
        <v>94</v>
      </c>
      <c r="V5212" s="21">
        <v>104</v>
      </c>
      <c r="W5212" s="21">
        <v>18</v>
      </c>
      <c r="X5212" s="22"/>
    </row>
    <row r="5213" spans="1:24" s="1" customFormat="1" ht="35.1" customHeight="1" x14ac:dyDescent="0.3">
      <c r="A5213" s="11" t="s">
        <v>2957</v>
      </c>
      <c r="B5213" s="11" t="s">
        <v>4953</v>
      </c>
      <c r="C5213" s="12" t="s">
        <v>4968</v>
      </c>
      <c r="D5213" s="83"/>
      <c r="E5213" s="69" t="str">
        <f>HYPERLINK("https://www.google.ru/search?q=525010-4412&amp;newwindow=1&amp;tbm=isch","Еще фото")</f>
        <v>Еще фото</v>
      </c>
      <c r="F5213" s="13"/>
      <c r="G5213" s="11" t="s">
        <v>696</v>
      </c>
      <c r="H5213" s="11" t="s">
        <v>27</v>
      </c>
      <c r="I5213" s="14" t="s">
        <v>697</v>
      </c>
      <c r="J5213" s="14" t="s">
        <v>29</v>
      </c>
      <c r="K5213" s="15" t="s">
        <v>30</v>
      </c>
      <c r="L5213" s="86" t="s">
        <v>4966</v>
      </c>
      <c r="M5213" s="14"/>
      <c r="N5213" s="14" t="s">
        <v>275</v>
      </c>
      <c r="O5213" s="14"/>
      <c r="P5213" s="15" t="s">
        <v>4967</v>
      </c>
      <c r="Q5213" s="16">
        <v>2199</v>
      </c>
      <c r="R5213" s="17">
        <v>76.45</v>
      </c>
      <c r="S5213" s="29">
        <v>595.43549999999993</v>
      </c>
      <c r="T5213" s="19" t="s">
        <v>117</v>
      </c>
      <c r="U5213" s="20" t="s">
        <v>744</v>
      </c>
      <c r="V5213" s="21">
        <v>80</v>
      </c>
      <c r="W5213" s="21">
        <v>2</v>
      </c>
      <c r="X5213" s="22"/>
    </row>
    <row r="5214" spans="1:24" s="1" customFormat="1" ht="35.1" customHeight="1" x14ac:dyDescent="0.3">
      <c r="A5214" s="23" t="s">
        <v>2957</v>
      </c>
      <c r="B5214" s="23" t="s">
        <v>4953</v>
      </c>
      <c r="C5214" s="12" t="s">
        <v>4968</v>
      </c>
      <c r="D5214" s="84"/>
      <c r="E5214" s="69" t="str">
        <f>HYPERLINK("https://www.google.ru/search?q=525010-4412&amp;newwindow=1&amp;tbm=isch","Еще фото")</f>
        <v>Еще фото</v>
      </c>
      <c r="F5214" s="13"/>
      <c r="G5214" s="23" t="s">
        <v>696</v>
      </c>
      <c r="H5214" s="23" t="s">
        <v>27</v>
      </c>
      <c r="I5214" s="23" t="s">
        <v>697</v>
      </c>
      <c r="J5214" s="14" t="s">
        <v>29</v>
      </c>
      <c r="K5214" s="15" t="s">
        <v>30</v>
      </c>
      <c r="L5214" s="87"/>
      <c r="M5214" s="14"/>
      <c r="N5214" s="14" t="s">
        <v>275</v>
      </c>
      <c r="O5214" s="14"/>
      <c r="P5214" s="15" t="s">
        <v>4967</v>
      </c>
      <c r="Q5214" s="16">
        <v>2199</v>
      </c>
      <c r="R5214" s="17">
        <v>76.45</v>
      </c>
      <c r="S5214" s="29">
        <v>595.43549999999993</v>
      </c>
      <c r="T5214" s="19" t="s">
        <v>117</v>
      </c>
      <c r="U5214" s="20" t="s">
        <v>2976</v>
      </c>
      <c r="V5214" s="21">
        <v>86</v>
      </c>
      <c r="W5214" s="21">
        <v>1</v>
      </c>
      <c r="X5214" s="22"/>
    </row>
    <row r="5215" spans="1:24" s="1" customFormat="1" ht="36.950000000000003" customHeight="1" x14ac:dyDescent="0.3">
      <c r="A5215" s="23" t="s">
        <v>2957</v>
      </c>
      <c r="B5215" s="23" t="s">
        <v>4953</v>
      </c>
      <c r="C5215" s="12" t="s">
        <v>4968</v>
      </c>
      <c r="D5215" s="85"/>
      <c r="E5215" s="69" t="str">
        <f>HYPERLINK("https://www.google.ru/search?q=525010-4412&amp;newwindow=1&amp;tbm=isch","Еще фото")</f>
        <v>Еще фото</v>
      </c>
      <c r="F5215" s="13"/>
      <c r="G5215" s="23" t="s">
        <v>696</v>
      </c>
      <c r="H5215" s="23" t="s">
        <v>27</v>
      </c>
      <c r="I5215" s="23" t="s">
        <v>697</v>
      </c>
      <c r="J5215" s="14" t="s">
        <v>29</v>
      </c>
      <c r="K5215" s="15" t="s">
        <v>30</v>
      </c>
      <c r="L5215" s="88"/>
      <c r="M5215" s="14"/>
      <c r="N5215" s="14" t="s">
        <v>275</v>
      </c>
      <c r="O5215" s="14"/>
      <c r="P5215" s="15" t="s">
        <v>4967</v>
      </c>
      <c r="Q5215" s="16">
        <v>2199</v>
      </c>
      <c r="R5215" s="17">
        <v>76.45</v>
      </c>
      <c r="S5215" s="29">
        <v>595.43549999999993</v>
      </c>
      <c r="T5215" s="19" t="s">
        <v>117</v>
      </c>
      <c r="U5215" s="20" t="s">
        <v>2977</v>
      </c>
      <c r="V5215" s="21">
        <v>92</v>
      </c>
      <c r="W5215" s="21">
        <v>1</v>
      </c>
      <c r="X5215" s="22"/>
    </row>
    <row r="5216" spans="1:24" s="1" customFormat="1" ht="51.95" customHeight="1" x14ac:dyDescent="0.3">
      <c r="A5216" s="11" t="s">
        <v>3165</v>
      </c>
      <c r="B5216" s="11" t="s">
        <v>4969</v>
      </c>
      <c r="C5216" s="12" t="s">
        <v>4970</v>
      </c>
      <c r="D5216" s="89"/>
      <c r="E5216" s="69" t="str">
        <f>HYPERLINK("https://www.google.ru/search?q=IG0IG01448-1A4&amp;newwindow=1&amp;tbm=isch","Еще фото")</f>
        <v>Еще фото</v>
      </c>
      <c r="F5216" s="13"/>
      <c r="G5216" s="11" t="s">
        <v>714</v>
      </c>
      <c r="H5216" s="11" t="s">
        <v>27</v>
      </c>
      <c r="I5216" s="14" t="s">
        <v>697</v>
      </c>
      <c r="J5216" s="14" t="s">
        <v>29</v>
      </c>
      <c r="K5216" s="15" t="s">
        <v>30</v>
      </c>
      <c r="L5216" s="86" t="s">
        <v>4971</v>
      </c>
      <c r="M5216" s="14"/>
      <c r="N5216" s="14" t="s">
        <v>70</v>
      </c>
      <c r="O5216" s="14"/>
      <c r="P5216" s="15" t="s">
        <v>4972</v>
      </c>
      <c r="Q5216" s="16">
        <v>7599</v>
      </c>
      <c r="R5216" s="17">
        <v>76.209999999999994</v>
      </c>
      <c r="S5216" s="18">
        <v>2078.9354999999996</v>
      </c>
      <c r="T5216" s="19" t="s">
        <v>185</v>
      </c>
      <c r="U5216" s="20" t="s">
        <v>849</v>
      </c>
      <c r="V5216" s="25" t="s">
        <v>4973</v>
      </c>
      <c r="W5216" s="21">
        <v>1</v>
      </c>
      <c r="X5216" s="22"/>
    </row>
    <row r="5217" spans="1:24" s="1" customFormat="1" ht="60.95" customHeight="1" x14ac:dyDescent="0.3">
      <c r="A5217" s="23" t="s">
        <v>3165</v>
      </c>
      <c r="B5217" s="23" t="s">
        <v>4969</v>
      </c>
      <c r="C5217" s="12" t="s">
        <v>4970</v>
      </c>
      <c r="D5217" s="90"/>
      <c r="E5217" s="69" t="str">
        <f>HYPERLINK("https://www.google.ru/search?q=IG0IG01448-1A4&amp;newwindow=1&amp;tbm=isch","Еще фото")</f>
        <v>Еще фото</v>
      </c>
      <c r="F5217" s="13"/>
      <c r="G5217" s="23" t="s">
        <v>714</v>
      </c>
      <c r="H5217" s="23" t="s">
        <v>27</v>
      </c>
      <c r="I5217" s="23" t="s">
        <v>697</v>
      </c>
      <c r="J5217" s="14" t="s">
        <v>29</v>
      </c>
      <c r="K5217" s="15" t="s">
        <v>30</v>
      </c>
      <c r="L5217" s="88"/>
      <c r="M5217" s="14"/>
      <c r="N5217" s="14" t="s">
        <v>70</v>
      </c>
      <c r="O5217" s="14"/>
      <c r="P5217" s="15" t="s">
        <v>4972</v>
      </c>
      <c r="Q5217" s="16">
        <v>7599</v>
      </c>
      <c r="R5217" s="17">
        <v>76.209999999999994</v>
      </c>
      <c r="S5217" s="18">
        <v>2078.9354999999996</v>
      </c>
      <c r="T5217" s="19" t="s">
        <v>185</v>
      </c>
      <c r="U5217" s="20" t="s">
        <v>157</v>
      </c>
      <c r="V5217" s="25" t="s">
        <v>2921</v>
      </c>
      <c r="W5217" s="21">
        <v>1</v>
      </c>
      <c r="X5217" s="22"/>
    </row>
    <row r="5218" spans="1:24" s="1" customFormat="1" ht="51.95" customHeight="1" x14ac:dyDescent="0.3">
      <c r="A5218" s="11" t="s">
        <v>2957</v>
      </c>
      <c r="B5218" s="11" t="s">
        <v>4953</v>
      </c>
      <c r="C5218" s="12" t="s">
        <v>4974</v>
      </c>
      <c r="D5218" s="89"/>
      <c r="E5218" s="69" t="str">
        <f>HYPERLINK("https://www.google.ru/search?q=515004-5618&amp;newwindow=1&amp;tbm=isch","Еще фото")</f>
        <v>Еще фото</v>
      </c>
      <c r="F5218" s="13"/>
      <c r="G5218" s="11" t="s">
        <v>696</v>
      </c>
      <c r="H5218" s="11" t="s">
        <v>27</v>
      </c>
      <c r="I5218" s="14" t="s">
        <v>697</v>
      </c>
      <c r="J5218" s="14" t="s">
        <v>29</v>
      </c>
      <c r="K5218" s="15" t="s">
        <v>30</v>
      </c>
      <c r="L5218" s="86" t="s">
        <v>4975</v>
      </c>
      <c r="M5218" s="14"/>
      <c r="N5218" s="14" t="s">
        <v>3302</v>
      </c>
      <c r="O5218" s="14"/>
      <c r="P5218" s="15" t="s">
        <v>76</v>
      </c>
      <c r="Q5218" s="16">
        <v>1999</v>
      </c>
      <c r="R5218" s="17">
        <v>76.099999999999994</v>
      </c>
      <c r="S5218" s="29">
        <v>549.43549999999993</v>
      </c>
      <c r="T5218" s="19" t="s">
        <v>117</v>
      </c>
      <c r="U5218" s="20" t="s">
        <v>744</v>
      </c>
      <c r="V5218" s="21">
        <v>80</v>
      </c>
      <c r="W5218" s="21">
        <v>2</v>
      </c>
      <c r="X5218" s="22"/>
    </row>
    <row r="5219" spans="1:24" s="1" customFormat="1" ht="60.95" customHeight="1" x14ac:dyDescent="0.3">
      <c r="A5219" s="23" t="s">
        <v>2957</v>
      </c>
      <c r="B5219" s="23" t="s">
        <v>4953</v>
      </c>
      <c r="C5219" s="12" t="s">
        <v>4974</v>
      </c>
      <c r="D5219" s="90"/>
      <c r="E5219" s="69" t="str">
        <f>HYPERLINK("https://www.google.ru/search?q=515004-5618&amp;newwindow=1&amp;tbm=isch","Еще фото")</f>
        <v>Еще фото</v>
      </c>
      <c r="F5219" s="13"/>
      <c r="G5219" s="23" t="s">
        <v>696</v>
      </c>
      <c r="H5219" s="23" t="s">
        <v>27</v>
      </c>
      <c r="I5219" s="23" t="s">
        <v>697</v>
      </c>
      <c r="J5219" s="14" t="s">
        <v>29</v>
      </c>
      <c r="K5219" s="15" t="s">
        <v>30</v>
      </c>
      <c r="L5219" s="88"/>
      <c r="M5219" s="14"/>
      <c r="N5219" s="14" t="s">
        <v>3302</v>
      </c>
      <c r="O5219" s="14"/>
      <c r="P5219" s="15" t="s">
        <v>76</v>
      </c>
      <c r="Q5219" s="16">
        <v>1999</v>
      </c>
      <c r="R5219" s="17">
        <v>76.099999999999994</v>
      </c>
      <c r="S5219" s="29">
        <v>549.43549999999993</v>
      </c>
      <c r="T5219" s="19" t="s">
        <v>117</v>
      </c>
      <c r="U5219" s="20" t="s">
        <v>2977</v>
      </c>
      <c r="V5219" s="21">
        <v>92</v>
      </c>
      <c r="W5219" s="21">
        <v>1</v>
      </c>
      <c r="X5219" s="22"/>
    </row>
    <row r="5220" spans="1:24" s="1" customFormat="1" ht="51.95" customHeight="1" x14ac:dyDescent="0.3">
      <c r="A5220" s="11" t="s">
        <v>2952</v>
      </c>
      <c r="B5220" s="11" t="s">
        <v>4976</v>
      </c>
      <c r="C5220" s="12" t="s">
        <v>4977</v>
      </c>
      <c r="D5220" s="89"/>
      <c r="E5220" s="69" t="str">
        <f>HYPERLINK("https://www.google.ru/search?q=112194-KK001&amp;newwindow=1&amp;tbm=isch","Еще фото")</f>
        <v>Еще фото</v>
      </c>
      <c r="F5220" s="13"/>
      <c r="G5220" s="11" t="s">
        <v>714</v>
      </c>
      <c r="H5220" s="11" t="s">
        <v>27</v>
      </c>
      <c r="I5220" s="14" t="s">
        <v>697</v>
      </c>
      <c r="J5220" s="14" t="s">
        <v>29</v>
      </c>
      <c r="K5220" s="15" t="s">
        <v>47</v>
      </c>
      <c r="L5220" s="86" t="s">
        <v>4978</v>
      </c>
      <c r="M5220" s="14" t="s">
        <v>73</v>
      </c>
      <c r="N5220" s="14" t="s">
        <v>49</v>
      </c>
      <c r="O5220" s="14" t="s">
        <v>940</v>
      </c>
      <c r="P5220" s="15" t="s">
        <v>141</v>
      </c>
      <c r="Q5220" s="16">
        <v>2799</v>
      </c>
      <c r="R5220" s="17">
        <v>72.569999999999993</v>
      </c>
      <c r="S5220" s="29">
        <v>882.93549999999993</v>
      </c>
      <c r="T5220" s="19" t="s">
        <v>51</v>
      </c>
      <c r="U5220" s="20" t="s">
        <v>354</v>
      </c>
      <c r="V5220" s="25" t="s">
        <v>355</v>
      </c>
      <c r="W5220" s="21">
        <v>1</v>
      </c>
      <c r="X5220" s="22"/>
    </row>
    <row r="5221" spans="1:24" s="1" customFormat="1" ht="60.95" customHeight="1" x14ac:dyDescent="0.3">
      <c r="A5221" s="23" t="s">
        <v>2952</v>
      </c>
      <c r="B5221" s="23" t="s">
        <v>4976</v>
      </c>
      <c r="C5221" s="12" t="s">
        <v>4977</v>
      </c>
      <c r="D5221" s="90"/>
      <c r="E5221" s="69" t="str">
        <f>HYPERLINK("https://www.google.ru/search?q=112194-KK001&amp;newwindow=1&amp;tbm=isch","Еще фото")</f>
        <v>Еще фото</v>
      </c>
      <c r="F5221" s="13"/>
      <c r="G5221" s="23" t="s">
        <v>714</v>
      </c>
      <c r="H5221" s="23" t="s">
        <v>27</v>
      </c>
      <c r="I5221" s="23" t="s">
        <v>697</v>
      </c>
      <c r="J5221" s="14" t="s">
        <v>29</v>
      </c>
      <c r="K5221" s="15" t="s">
        <v>47</v>
      </c>
      <c r="L5221" s="88"/>
      <c r="M5221" s="14" t="s">
        <v>73</v>
      </c>
      <c r="N5221" s="14" t="s">
        <v>49</v>
      </c>
      <c r="O5221" s="14" t="s">
        <v>940</v>
      </c>
      <c r="P5221" s="15" t="s">
        <v>141</v>
      </c>
      <c r="Q5221" s="16">
        <v>2799</v>
      </c>
      <c r="R5221" s="17">
        <v>72.569999999999993</v>
      </c>
      <c r="S5221" s="29">
        <v>882.93549999999993</v>
      </c>
      <c r="T5221" s="19" t="s">
        <v>51</v>
      </c>
      <c r="U5221" s="20" t="s">
        <v>64</v>
      </c>
      <c r="V5221" s="25" t="s">
        <v>65</v>
      </c>
      <c r="W5221" s="21">
        <v>5</v>
      </c>
      <c r="X5221" s="22"/>
    </row>
    <row r="5222" spans="1:24" s="1" customFormat="1" ht="35.1" customHeight="1" x14ac:dyDescent="0.3">
      <c r="A5222" s="11" t="s">
        <v>3014</v>
      </c>
      <c r="B5222" s="11" t="s">
        <v>4979</v>
      </c>
      <c r="C5222" s="12" t="s">
        <v>4980</v>
      </c>
      <c r="D5222" s="83"/>
      <c r="E5222" s="69" t="str">
        <f>HYPERLINK("https://www.google.ru/search?q=7200077A-6310&amp;newwindow=1&amp;tbm=isch","Еще фото")</f>
        <v>Еще фото</v>
      </c>
      <c r="F5222" s="13"/>
      <c r="G5222" s="11" t="s">
        <v>696</v>
      </c>
      <c r="H5222" s="11" t="s">
        <v>27</v>
      </c>
      <c r="I5222" s="14" t="s">
        <v>697</v>
      </c>
      <c r="J5222" s="14" t="s">
        <v>29</v>
      </c>
      <c r="K5222" s="15" t="s">
        <v>30</v>
      </c>
      <c r="L5222" s="86" t="s">
        <v>4981</v>
      </c>
      <c r="M5222" s="14"/>
      <c r="N5222" s="14" t="s">
        <v>265</v>
      </c>
      <c r="O5222" s="14"/>
      <c r="P5222" s="15" t="s">
        <v>33</v>
      </c>
      <c r="Q5222" s="16">
        <v>3699</v>
      </c>
      <c r="R5222" s="17">
        <v>48</v>
      </c>
      <c r="S5222" s="18">
        <v>2212.002</v>
      </c>
      <c r="T5222" s="19" t="s">
        <v>117</v>
      </c>
      <c r="U5222" s="20" t="s">
        <v>94</v>
      </c>
      <c r="V5222" s="21">
        <v>104</v>
      </c>
      <c r="W5222" s="21">
        <v>2</v>
      </c>
      <c r="X5222" s="22"/>
    </row>
    <row r="5223" spans="1:24" s="1" customFormat="1" ht="35.1" customHeight="1" x14ac:dyDescent="0.3">
      <c r="A5223" s="23" t="s">
        <v>3014</v>
      </c>
      <c r="B5223" s="23" t="s">
        <v>4979</v>
      </c>
      <c r="C5223" s="12" t="s">
        <v>4980</v>
      </c>
      <c r="D5223" s="84"/>
      <c r="E5223" s="69" t="str">
        <f>HYPERLINK("https://www.google.ru/search?q=7200077A-6310&amp;newwindow=1&amp;tbm=isch","Еще фото")</f>
        <v>Еще фото</v>
      </c>
      <c r="F5223" s="13"/>
      <c r="G5223" s="23" t="s">
        <v>696</v>
      </c>
      <c r="H5223" s="23" t="s">
        <v>27</v>
      </c>
      <c r="I5223" s="23" t="s">
        <v>697</v>
      </c>
      <c r="J5223" s="14" t="s">
        <v>29</v>
      </c>
      <c r="K5223" s="15" t="s">
        <v>30</v>
      </c>
      <c r="L5223" s="87"/>
      <c r="M5223" s="14"/>
      <c r="N5223" s="14" t="s">
        <v>265</v>
      </c>
      <c r="O5223" s="14"/>
      <c r="P5223" s="15" t="s">
        <v>33</v>
      </c>
      <c r="Q5223" s="16">
        <v>3699</v>
      </c>
      <c r="R5223" s="17">
        <v>48</v>
      </c>
      <c r="S5223" s="18">
        <v>2212.002</v>
      </c>
      <c r="T5223" s="19" t="s">
        <v>117</v>
      </c>
      <c r="U5223" s="20" t="s">
        <v>43</v>
      </c>
      <c r="V5223" s="21">
        <v>110</v>
      </c>
      <c r="W5223" s="21">
        <v>1</v>
      </c>
      <c r="X5223" s="22"/>
    </row>
    <row r="5224" spans="1:24" s="1" customFormat="1" ht="36.950000000000003" customHeight="1" x14ac:dyDescent="0.3">
      <c r="A5224" s="23" t="s">
        <v>3014</v>
      </c>
      <c r="B5224" s="23" t="s">
        <v>4979</v>
      </c>
      <c r="C5224" s="12" t="s">
        <v>4980</v>
      </c>
      <c r="D5224" s="85"/>
      <c r="E5224" s="69" t="str">
        <f>HYPERLINK("https://www.google.ru/search?q=7200077A-6310&amp;newwindow=1&amp;tbm=isch","Еще фото")</f>
        <v>Еще фото</v>
      </c>
      <c r="F5224" s="13"/>
      <c r="G5224" s="23" t="s">
        <v>696</v>
      </c>
      <c r="H5224" s="23" t="s">
        <v>27</v>
      </c>
      <c r="I5224" s="23" t="s">
        <v>697</v>
      </c>
      <c r="J5224" s="14" t="s">
        <v>29</v>
      </c>
      <c r="K5224" s="15" t="s">
        <v>30</v>
      </c>
      <c r="L5224" s="88"/>
      <c r="M5224" s="14"/>
      <c r="N5224" s="14" t="s">
        <v>265</v>
      </c>
      <c r="O5224" s="14"/>
      <c r="P5224" s="15" t="s">
        <v>33</v>
      </c>
      <c r="Q5224" s="16">
        <v>3699</v>
      </c>
      <c r="R5224" s="17">
        <v>48</v>
      </c>
      <c r="S5224" s="18">
        <v>2212.002</v>
      </c>
      <c r="T5224" s="19" t="s">
        <v>117</v>
      </c>
      <c r="U5224" s="20" t="s">
        <v>35</v>
      </c>
      <c r="V5224" s="21">
        <v>116</v>
      </c>
      <c r="W5224" s="21">
        <v>1</v>
      </c>
      <c r="X5224" s="22"/>
    </row>
    <row r="5225" spans="1:24" s="1" customFormat="1" ht="17.100000000000001" customHeight="1" x14ac:dyDescent="0.3">
      <c r="A5225" s="11" t="s">
        <v>3029</v>
      </c>
      <c r="B5225" s="11" t="s">
        <v>694</v>
      </c>
      <c r="C5225" s="12" t="s">
        <v>4982</v>
      </c>
      <c r="D5225" s="83"/>
      <c r="E5225" s="69" t="str">
        <f t="shared" ref="E5225:E5230" si="291">HYPERLINK("https://www.google.ru/search?q=123399-5107&amp;newwindow=1&amp;tbm=isch","Еще фото")</f>
        <v>Еще фото</v>
      </c>
      <c r="F5225" s="13"/>
      <c r="G5225" s="11" t="s">
        <v>696</v>
      </c>
      <c r="H5225" s="11" t="s">
        <v>27</v>
      </c>
      <c r="I5225" s="14" t="s">
        <v>697</v>
      </c>
      <c r="J5225" s="14" t="s">
        <v>29</v>
      </c>
      <c r="K5225" s="15" t="s">
        <v>30</v>
      </c>
      <c r="L5225" s="86" t="s">
        <v>4983</v>
      </c>
      <c r="M5225" s="14"/>
      <c r="N5225" s="14" t="s">
        <v>154</v>
      </c>
      <c r="O5225" s="14"/>
      <c r="P5225" s="15" t="s">
        <v>4294</v>
      </c>
      <c r="Q5225" s="16">
        <v>3999</v>
      </c>
      <c r="R5225" s="17">
        <v>45</v>
      </c>
      <c r="S5225" s="18">
        <v>2529.3674999999994</v>
      </c>
      <c r="T5225" s="19" t="s">
        <v>117</v>
      </c>
      <c r="U5225" s="20" t="s">
        <v>196</v>
      </c>
      <c r="V5225" s="21">
        <v>86</v>
      </c>
      <c r="W5225" s="21">
        <v>2</v>
      </c>
      <c r="X5225" s="22"/>
    </row>
    <row r="5226" spans="1:24" s="1" customFormat="1" ht="17.100000000000001" customHeight="1" x14ac:dyDescent="0.3">
      <c r="A5226" s="23" t="s">
        <v>3029</v>
      </c>
      <c r="B5226" s="23" t="s">
        <v>694</v>
      </c>
      <c r="C5226" s="12" t="s">
        <v>4982</v>
      </c>
      <c r="D5226" s="84"/>
      <c r="E5226" s="69" t="str">
        <f t="shared" si="291"/>
        <v>Еще фото</v>
      </c>
      <c r="F5226" s="13"/>
      <c r="G5226" s="23" t="s">
        <v>696</v>
      </c>
      <c r="H5226" s="23" t="s">
        <v>27</v>
      </c>
      <c r="I5226" s="23" t="s">
        <v>697</v>
      </c>
      <c r="J5226" s="14" t="s">
        <v>29</v>
      </c>
      <c r="K5226" s="15" t="s">
        <v>30</v>
      </c>
      <c r="L5226" s="87"/>
      <c r="M5226" s="14"/>
      <c r="N5226" s="14" t="s">
        <v>154</v>
      </c>
      <c r="O5226" s="14"/>
      <c r="P5226" s="15" t="s">
        <v>4294</v>
      </c>
      <c r="Q5226" s="16">
        <v>3999</v>
      </c>
      <c r="R5226" s="17">
        <v>45</v>
      </c>
      <c r="S5226" s="18">
        <v>2529.3674999999994</v>
      </c>
      <c r="T5226" s="19" t="s">
        <v>117</v>
      </c>
      <c r="U5226" s="20" t="s">
        <v>94</v>
      </c>
      <c r="V5226" s="21">
        <v>104</v>
      </c>
      <c r="W5226" s="21">
        <v>1</v>
      </c>
      <c r="X5226" s="22"/>
    </row>
    <row r="5227" spans="1:24" s="1" customFormat="1" ht="17.100000000000001" customHeight="1" x14ac:dyDescent="0.3">
      <c r="A5227" s="23" t="s">
        <v>3029</v>
      </c>
      <c r="B5227" s="23" t="s">
        <v>694</v>
      </c>
      <c r="C5227" s="12" t="s">
        <v>4982</v>
      </c>
      <c r="D5227" s="84"/>
      <c r="E5227" s="69" t="str">
        <f t="shared" si="291"/>
        <v>Еще фото</v>
      </c>
      <c r="F5227" s="13"/>
      <c r="G5227" s="23" t="s">
        <v>696</v>
      </c>
      <c r="H5227" s="23" t="s">
        <v>27</v>
      </c>
      <c r="I5227" s="23" t="s">
        <v>697</v>
      </c>
      <c r="J5227" s="14" t="s">
        <v>29</v>
      </c>
      <c r="K5227" s="15" t="s">
        <v>30</v>
      </c>
      <c r="L5227" s="87"/>
      <c r="M5227" s="14"/>
      <c r="N5227" s="14" t="s">
        <v>154</v>
      </c>
      <c r="O5227" s="14"/>
      <c r="P5227" s="15" t="s">
        <v>4294</v>
      </c>
      <c r="Q5227" s="16">
        <v>3999</v>
      </c>
      <c r="R5227" s="17">
        <v>45</v>
      </c>
      <c r="S5227" s="18">
        <v>2529.3674999999994</v>
      </c>
      <c r="T5227" s="19" t="s">
        <v>117</v>
      </c>
      <c r="U5227" s="20" t="s">
        <v>43</v>
      </c>
      <c r="V5227" s="21">
        <v>110</v>
      </c>
      <c r="W5227" s="21">
        <v>3</v>
      </c>
      <c r="X5227" s="22"/>
    </row>
    <row r="5228" spans="1:24" s="1" customFormat="1" ht="17.100000000000001" customHeight="1" x14ac:dyDescent="0.3">
      <c r="A5228" s="23" t="s">
        <v>3029</v>
      </c>
      <c r="B5228" s="23" t="s">
        <v>694</v>
      </c>
      <c r="C5228" s="12" t="s">
        <v>4982</v>
      </c>
      <c r="D5228" s="84"/>
      <c r="E5228" s="69" t="str">
        <f t="shared" si="291"/>
        <v>Еще фото</v>
      </c>
      <c r="F5228" s="13"/>
      <c r="G5228" s="23" t="s">
        <v>696</v>
      </c>
      <c r="H5228" s="23" t="s">
        <v>27</v>
      </c>
      <c r="I5228" s="23" t="s">
        <v>697</v>
      </c>
      <c r="J5228" s="14" t="s">
        <v>29</v>
      </c>
      <c r="K5228" s="15" t="s">
        <v>30</v>
      </c>
      <c r="L5228" s="87"/>
      <c r="M5228" s="14"/>
      <c r="N5228" s="14" t="s">
        <v>154</v>
      </c>
      <c r="O5228" s="14"/>
      <c r="P5228" s="15" t="s">
        <v>4294</v>
      </c>
      <c r="Q5228" s="16">
        <v>3999</v>
      </c>
      <c r="R5228" s="17">
        <v>45</v>
      </c>
      <c r="S5228" s="18">
        <v>2529.3674999999994</v>
      </c>
      <c r="T5228" s="19" t="s">
        <v>117</v>
      </c>
      <c r="U5228" s="20" t="s">
        <v>35</v>
      </c>
      <c r="V5228" s="21">
        <v>116</v>
      </c>
      <c r="W5228" s="21">
        <v>2</v>
      </c>
      <c r="X5228" s="22"/>
    </row>
    <row r="5229" spans="1:24" s="1" customFormat="1" ht="17.100000000000001" customHeight="1" x14ac:dyDescent="0.3">
      <c r="A5229" s="23" t="s">
        <v>3029</v>
      </c>
      <c r="B5229" s="23" t="s">
        <v>694</v>
      </c>
      <c r="C5229" s="12" t="s">
        <v>4982</v>
      </c>
      <c r="D5229" s="84"/>
      <c r="E5229" s="69" t="str">
        <f t="shared" si="291"/>
        <v>Еще фото</v>
      </c>
      <c r="F5229" s="13"/>
      <c r="G5229" s="23" t="s">
        <v>696</v>
      </c>
      <c r="H5229" s="23" t="s">
        <v>27</v>
      </c>
      <c r="I5229" s="23" t="s">
        <v>697</v>
      </c>
      <c r="J5229" s="14" t="s">
        <v>29</v>
      </c>
      <c r="K5229" s="15" t="s">
        <v>30</v>
      </c>
      <c r="L5229" s="87"/>
      <c r="M5229" s="14"/>
      <c r="N5229" s="14" t="s">
        <v>154</v>
      </c>
      <c r="O5229" s="14"/>
      <c r="P5229" s="15" t="s">
        <v>4294</v>
      </c>
      <c r="Q5229" s="16">
        <v>3999</v>
      </c>
      <c r="R5229" s="17">
        <v>45</v>
      </c>
      <c r="S5229" s="18">
        <v>2529.3674999999994</v>
      </c>
      <c r="T5229" s="19" t="s">
        <v>117</v>
      </c>
      <c r="U5229" s="20" t="s">
        <v>36</v>
      </c>
      <c r="V5229" s="21">
        <v>122</v>
      </c>
      <c r="W5229" s="21">
        <v>3</v>
      </c>
      <c r="X5229" s="22"/>
    </row>
    <row r="5230" spans="1:24" s="1" customFormat="1" ht="21.95" customHeight="1" x14ac:dyDescent="0.3">
      <c r="A5230" s="23" t="s">
        <v>3029</v>
      </c>
      <c r="B5230" s="23" t="s">
        <v>694</v>
      </c>
      <c r="C5230" s="12" t="s">
        <v>4982</v>
      </c>
      <c r="D5230" s="85"/>
      <c r="E5230" s="69" t="str">
        <f t="shared" si="291"/>
        <v>Еще фото</v>
      </c>
      <c r="F5230" s="13"/>
      <c r="G5230" s="23" t="s">
        <v>696</v>
      </c>
      <c r="H5230" s="23" t="s">
        <v>27</v>
      </c>
      <c r="I5230" s="23" t="s">
        <v>697</v>
      </c>
      <c r="J5230" s="14" t="s">
        <v>29</v>
      </c>
      <c r="K5230" s="15" t="s">
        <v>30</v>
      </c>
      <c r="L5230" s="88"/>
      <c r="M5230" s="14"/>
      <c r="N5230" s="14" t="s">
        <v>154</v>
      </c>
      <c r="O5230" s="14"/>
      <c r="P5230" s="15" t="s">
        <v>4294</v>
      </c>
      <c r="Q5230" s="16">
        <v>3999</v>
      </c>
      <c r="R5230" s="17">
        <v>45</v>
      </c>
      <c r="S5230" s="18">
        <v>2529.3674999999994</v>
      </c>
      <c r="T5230" s="19" t="s">
        <v>117</v>
      </c>
      <c r="U5230" s="20" t="s">
        <v>2160</v>
      </c>
      <c r="V5230" s="21">
        <v>152</v>
      </c>
      <c r="W5230" s="21">
        <v>1</v>
      </c>
      <c r="X5230" s="22"/>
    </row>
    <row r="5231" spans="1:24" s="1" customFormat="1" ht="108" customHeight="1" x14ac:dyDescent="0.3">
      <c r="A5231" s="11" t="s">
        <v>2957</v>
      </c>
      <c r="B5231" s="11" t="s">
        <v>694</v>
      </c>
      <c r="C5231" s="12" t="s">
        <v>4984</v>
      </c>
      <c r="D5231" s="24"/>
      <c r="E5231" s="69" t="str">
        <f>HYPERLINK("https://www.google.ru/search?q=5200097A-0116&amp;newwindow=1&amp;tbm=isch","Еще фото")</f>
        <v>Еще фото</v>
      </c>
      <c r="F5231" s="13"/>
      <c r="G5231" s="11" t="s">
        <v>696</v>
      </c>
      <c r="H5231" s="11" t="s">
        <v>27</v>
      </c>
      <c r="I5231" s="14" t="s">
        <v>697</v>
      </c>
      <c r="J5231" s="14" t="s">
        <v>138</v>
      </c>
      <c r="K5231" s="15" t="s">
        <v>30</v>
      </c>
      <c r="L5231" s="14" t="s">
        <v>4985</v>
      </c>
      <c r="M5231" s="14"/>
      <c r="N5231" s="14" t="s">
        <v>89</v>
      </c>
      <c r="O5231" s="14"/>
      <c r="P5231" s="15" t="s">
        <v>74</v>
      </c>
      <c r="Q5231" s="16">
        <v>3499</v>
      </c>
      <c r="R5231" s="17">
        <v>45</v>
      </c>
      <c r="S5231" s="18">
        <v>2213.1174999999998</v>
      </c>
      <c r="T5231" s="19" t="s">
        <v>117</v>
      </c>
      <c r="U5231" s="20" t="s">
        <v>2961</v>
      </c>
      <c r="V5231" s="21">
        <v>98</v>
      </c>
      <c r="W5231" s="21">
        <v>4</v>
      </c>
      <c r="X5231" s="22"/>
    </row>
    <row r="5232" spans="1:24" s="1" customFormat="1" ht="108" customHeight="1" x14ac:dyDescent="0.3">
      <c r="A5232" s="11" t="s">
        <v>2957</v>
      </c>
      <c r="B5232" s="11" t="s">
        <v>694</v>
      </c>
      <c r="C5232" s="12" t="s">
        <v>4986</v>
      </c>
      <c r="D5232" s="24"/>
      <c r="E5232" s="69" t="str">
        <f>HYPERLINK("https://www.google.ru/search?q=5200097A-4587&amp;newwindow=1&amp;tbm=isch","Еще фото")</f>
        <v>Еще фото</v>
      </c>
      <c r="F5232" s="13"/>
      <c r="G5232" s="11" t="s">
        <v>696</v>
      </c>
      <c r="H5232" s="11" t="s">
        <v>27</v>
      </c>
      <c r="I5232" s="14" t="s">
        <v>697</v>
      </c>
      <c r="J5232" s="14" t="s">
        <v>138</v>
      </c>
      <c r="K5232" s="15" t="s">
        <v>30</v>
      </c>
      <c r="L5232" s="14" t="s">
        <v>4985</v>
      </c>
      <c r="M5232" s="14"/>
      <c r="N5232" s="14" t="s">
        <v>275</v>
      </c>
      <c r="O5232" s="14"/>
      <c r="P5232" s="15" t="s">
        <v>74</v>
      </c>
      <c r="Q5232" s="16">
        <v>3499</v>
      </c>
      <c r="R5232" s="17">
        <v>45</v>
      </c>
      <c r="S5232" s="18">
        <v>2213.1174999999998</v>
      </c>
      <c r="T5232" s="19" t="s">
        <v>117</v>
      </c>
      <c r="U5232" s="20" t="s">
        <v>2977</v>
      </c>
      <c r="V5232" s="21">
        <v>92</v>
      </c>
      <c r="W5232" s="21">
        <v>2</v>
      </c>
      <c r="X5232" s="22"/>
    </row>
    <row r="5233" spans="1:24" s="1" customFormat="1" ht="108" customHeight="1" x14ac:dyDescent="0.3">
      <c r="A5233" s="11" t="s">
        <v>2957</v>
      </c>
      <c r="B5233" s="11" t="s">
        <v>694</v>
      </c>
      <c r="C5233" s="12" t="s">
        <v>4987</v>
      </c>
      <c r="D5233" s="24"/>
      <c r="E5233" s="69" t="str">
        <f>HYPERLINK("https://www.google.ru/search?q=535013-6642&amp;newwindow=1&amp;tbm=isch","Еще фото")</f>
        <v>Еще фото</v>
      </c>
      <c r="F5233" s="13"/>
      <c r="G5233" s="11" t="s">
        <v>696</v>
      </c>
      <c r="H5233" s="11" t="s">
        <v>27</v>
      </c>
      <c r="I5233" s="14" t="s">
        <v>697</v>
      </c>
      <c r="J5233" s="14" t="s">
        <v>138</v>
      </c>
      <c r="K5233" s="15" t="s">
        <v>30</v>
      </c>
      <c r="L5233" s="14" t="s">
        <v>4988</v>
      </c>
      <c r="M5233" s="14"/>
      <c r="N5233" s="14" t="s">
        <v>70</v>
      </c>
      <c r="O5233" s="14"/>
      <c r="P5233" s="15" t="s">
        <v>4881</v>
      </c>
      <c r="Q5233" s="16">
        <v>2599</v>
      </c>
      <c r="R5233" s="17">
        <v>45</v>
      </c>
      <c r="S5233" s="18">
        <v>1643.8674999999998</v>
      </c>
      <c r="T5233" s="19" t="s">
        <v>117</v>
      </c>
      <c r="U5233" s="20" t="s">
        <v>43</v>
      </c>
      <c r="V5233" s="21">
        <v>110</v>
      </c>
      <c r="W5233" s="21">
        <v>2</v>
      </c>
      <c r="X5233" s="22"/>
    </row>
    <row r="5234" spans="1:24" s="1" customFormat="1" ht="11.1" customHeight="1" x14ac:dyDescent="0.3">
      <c r="A5234" s="11" t="s">
        <v>3014</v>
      </c>
      <c r="B5234" s="11" t="s">
        <v>4989</v>
      </c>
      <c r="C5234" s="12" t="s">
        <v>4990</v>
      </c>
      <c r="D5234" s="83"/>
      <c r="E5234" s="69" t="str">
        <f t="shared" ref="E5234:E5244" si="292">HYPERLINK("https://www.google.ru/search?q=72206314-0160&amp;newwindow=1&amp;tbm=isch","Еще фото")</f>
        <v>Еще фото</v>
      </c>
      <c r="F5234" s="13"/>
      <c r="G5234" s="11" t="s">
        <v>696</v>
      </c>
      <c r="H5234" s="11" t="s">
        <v>27</v>
      </c>
      <c r="I5234" s="14" t="s">
        <v>697</v>
      </c>
      <c r="J5234" s="14" t="s">
        <v>29</v>
      </c>
      <c r="K5234" s="15" t="s">
        <v>30</v>
      </c>
      <c r="L5234" s="86"/>
      <c r="M5234" s="14"/>
      <c r="N5234" s="14" t="s">
        <v>89</v>
      </c>
      <c r="O5234" s="14"/>
      <c r="P5234" s="15" t="s">
        <v>74</v>
      </c>
      <c r="Q5234" s="16">
        <v>3199</v>
      </c>
      <c r="R5234" s="17">
        <v>45</v>
      </c>
      <c r="S5234" s="18">
        <v>2023.3674999999998</v>
      </c>
      <c r="T5234" s="19" t="s">
        <v>117</v>
      </c>
      <c r="U5234" s="20" t="s">
        <v>94</v>
      </c>
      <c r="V5234" s="21">
        <v>104</v>
      </c>
      <c r="W5234" s="21">
        <v>1</v>
      </c>
      <c r="X5234" s="22"/>
    </row>
    <row r="5235" spans="1:24" s="1" customFormat="1" ht="11.1" customHeight="1" x14ac:dyDescent="0.3">
      <c r="A5235" s="23" t="s">
        <v>3014</v>
      </c>
      <c r="B5235" s="23" t="s">
        <v>4989</v>
      </c>
      <c r="C5235" s="12" t="s">
        <v>4990</v>
      </c>
      <c r="D5235" s="84"/>
      <c r="E5235" s="69" t="str">
        <f t="shared" si="292"/>
        <v>Еще фото</v>
      </c>
      <c r="F5235" s="13"/>
      <c r="G5235" s="23" t="s">
        <v>696</v>
      </c>
      <c r="H5235" s="23" t="s">
        <v>27</v>
      </c>
      <c r="I5235" s="23" t="s">
        <v>697</v>
      </c>
      <c r="J5235" s="14" t="s">
        <v>29</v>
      </c>
      <c r="K5235" s="15" t="s">
        <v>30</v>
      </c>
      <c r="L5235" s="87"/>
      <c r="M5235" s="14"/>
      <c r="N5235" s="14" t="s">
        <v>89</v>
      </c>
      <c r="O5235" s="14"/>
      <c r="P5235" s="15" t="s">
        <v>74</v>
      </c>
      <c r="Q5235" s="16">
        <v>3199</v>
      </c>
      <c r="R5235" s="17">
        <v>45</v>
      </c>
      <c r="S5235" s="18">
        <v>2023.3674999999998</v>
      </c>
      <c r="T5235" s="19" t="s">
        <v>117</v>
      </c>
      <c r="U5235" s="20" t="s">
        <v>43</v>
      </c>
      <c r="V5235" s="21">
        <v>110</v>
      </c>
      <c r="W5235" s="21">
        <v>5</v>
      </c>
      <c r="X5235" s="22"/>
    </row>
    <row r="5236" spans="1:24" s="1" customFormat="1" ht="11.1" customHeight="1" x14ac:dyDescent="0.3">
      <c r="A5236" s="23" t="s">
        <v>3014</v>
      </c>
      <c r="B5236" s="23" t="s">
        <v>4989</v>
      </c>
      <c r="C5236" s="12" t="s">
        <v>4990</v>
      </c>
      <c r="D5236" s="84"/>
      <c r="E5236" s="69" t="str">
        <f t="shared" si="292"/>
        <v>Еще фото</v>
      </c>
      <c r="F5236" s="13"/>
      <c r="G5236" s="23" t="s">
        <v>696</v>
      </c>
      <c r="H5236" s="23" t="s">
        <v>27</v>
      </c>
      <c r="I5236" s="23" t="s">
        <v>697</v>
      </c>
      <c r="J5236" s="14" t="s">
        <v>29</v>
      </c>
      <c r="K5236" s="15" t="s">
        <v>30</v>
      </c>
      <c r="L5236" s="87"/>
      <c r="M5236" s="14"/>
      <c r="N5236" s="14" t="s">
        <v>89</v>
      </c>
      <c r="O5236" s="14"/>
      <c r="P5236" s="15" t="s">
        <v>74</v>
      </c>
      <c r="Q5236" s="16">
        <v>3199</v>
      </c>
      <c r="R5236" s="17">
        <v>45</v>
      </c>
      <c r="S5236" s="18">
        <v>2023.3674999999998</v>
      </c>
      <c r="T5236" s="19" t="s">
        <v>117</v>
      </c>
      <c r="U5236" s="20" t="s">
        <v>35</v>
      </c>
      <c r="V5236" s="21">
        <v>116</v>
      </c>
      <c r="W5236" s="21">
        <v>4</v>
      </c>
      <c r="X5236" s="22"/>
    </row>
    <row r="5237" spans="1:24" s="1" customFormat="1" ht="11.1" customHeight="1" x14ac:dyDescent="0.3">
      <c r="A5237" s="23" t="s">
        <v>3014</v>
      </c>
      <c r="B5237" s="23" t="s">
        <v>4989</v>
      </c>
      <c r="C5237" s="12" t="s">
        <v>4990</v>
      </c>
      <c r="D5237" s="84"/>
      <c r="E5237" s="69" t="str">
        <f t="shared" si="292"/>
        <v>Еще фото</v>
      </c>
      <c r="F5237" s="13"/>
      <c r="G5237" s="23" t="s">
        <v>696</v>
      </c>
      <c r="H5237" s="23" t="s">
        <v>27</v>
      </c>
      <c r="I5237" s="23" t="s">
        <v>697</v>
      </c>
      <c r="J5237" s="14" t="s">
        <v>29</v>
      </c>
      <c r="K5237" s="15" t="s">
        <v>30</v>
      </c>
      <c r="L5237" s="87"/>
      <c r="M5237" s="14"/>
      <c r="N5237" s="14" t="s">
        <v>89</v>
      </c>
      <c r="O5237" s="14"/>
      <c r="P5237" s="15" t="s">
        <v>74</v>
      </c>
      <c r="Q5237" s="16">
        <v>3199</v>
      </c>
      <c r="R5237" s="17">
        <v>45</v>
      </c>
      <c r="S5237" s="18">
        <v>2023.3674999999998</v>
      </c>
      <c r="T5237" s="19" t="s">
        <v>117</v>
      </c>
      <c r="U5237" s="20" t="s">
        <v>36</v>
      </c>
      <c r="V5237" s="21">
        <v>122</v>
      </c>
      <c r="W5237" s="21">
        <v>4</v>
      </c>
      <c r="X5237" s="22"/>
    </row>
    <row r="5238" spans="1:24" s="1" customFormat="1" ht="11.1" customHeight="1" x14ac:dyDescent="0.3">
      <c r="A5238" s="23" t="s">
        <v>3014</v>
      </c>
      <c r="B5238" s="23" t="s">
        <v>4989</v>
      </c>
      <c r="C5238" s="12" t="s">
        <v>4990</v>
      </c>
      <c r="D5238" s="84"/>
      <c r="E5238" s="69" t="str">
        <f t="shared" si="292"/>
        <v>Еще фото</v>
      </c>
      <c r="F5238" s="13"/>
      <c r="G5238" s="23" t="s">
        <v>696</v>
      </c>
      <c r="H5238" s="23" t="s">
        <v>27</v>
      </c>
      <c r="I5238" s="23" t="s">
        <v>697</v>
      </c>
      <c r="J5238" s="14" t="s">
        <v>29</v>
      </c>
      <c r="K5238" s="15" t="s">
        <v>30</v>
      </c>
      <c r="L5238" s="87"/>
      <c r="M5238" s="14"/>
      <c r="N5238" s="14" t="s">
        <v>89</v>
      </c>
      <c r="O5238" s="14"/>
      <c r="P5238" s="15" t="s">
        <v>74</v>
      </c>
      <c r="Q5238" s="16">
        <v>3199</v>
      </c>
      <c r="R5238" s="17">
        <v>45</v>
      </c>
      <c r="S5238" s="18">
        <v>2023.3674999999998</v>
      </c>
      <c r="T5238" s="19" t="s">
        <v>117</v>
      </c>
      <c r="U5238" s="20" t="s">
        <v>37</v>
      </c>
      <c r="V5238" s="21">
        <v>128</v>
      </c>
      <c r="W5238" s="21">
        <v>4</v>
      </c>
      <c r="X5238" s="22"/>
    </row>
    <row r="5239" spans="1:24" s="1" customFormat="1" ht="11.1" customHeight="1" x14ac:dyDescent="0.3">
      <c r="A5239" s="23" t="s">
        <v>3014</v>
      </c>
      <c r="B5239" s="23" t="s">
        <v>4989</v>
      </c>
      <c r="C5239" s="12" t="s">
        <v>4990</v>
      </c>
      <c r="D5239" s="84"/>
      <c r="E5239" s="69" t="str">
        <f t="shared" si="292"/>
        <v>Еще фото</v>
      </c>
      <c r="F5239" s="13"/>
      <c r="G5239" s="23" t="s">
        <v>696</v>
      </c>
      <c r="H5239" s="23" t="s">
        <v>27</v>
      </c>
      <c r="I5239" s="23" t="s">
        <v>697</v>
      </c>
      <c r="J5239" s="14" t="s">
        <v>29</v>
      </c>
      <c r="K5239" s="15" t="s">
        <v>30</v>
      </c>
      <c r="L5239" s="87"/>
      <c r="M5239" s="14"/>
      <c r="N5239" s="14" t="s">
        <v>89</v>
      </c>
      <c r="O5239" s="14"/>
      <c r="P5239" s="15" t="s">
        <v>74</v>
      </c>
      <c r="Q5239" s="16">
        <v>3199</v>
      </c>
      <c r="R5239" s="17">
        <v>45</v>
      </c>
      <c r="S5239" s="18">
        <v>2023.3674999999998</v>
      </c>
      <c r="T5239" s="19" t="s">
        <v>117</v>
      </c>
      <c r="U5239" s="20" t="s">
        <v>91</v>
      </c>
      <c r="V5239" s="21">
        <v>134</v>
      </c>
      <c r="W5239" s="21">
        <v>4</v>
      </c>
      <c r="X5239" s="22"/>
    </row>
    <row r="5240" spans="1:24" s="1" customFormat="1" ht="11.1" customHeight="1" x14ac:dyDescent="0.3">
      <c r="A5240" s="23" t="s">
        <v>3014</v>
      </c>
      <c r="B5240" s="23" t="s">
        <v>4989</v>
      </c>
      <c r="C5240" s="12" t="s">
        <v>4990</v>
      </c>
      <c r="D5240" s="84"/>
      <c r="E5240" s="69" t="str">
        <f t="shared" si="292"/>
        <v>Еще фото</v>
      </c>
      <c r="F5240" s="13"/>
      <c r="G5240" s="23" t="s">
        <v>696</v>
      </c>
      <c r="H5240" s="23" t="s">
        <v>27</v>
      </c>
      <c r="I5240" s="23" t="s">
        <v>697</v>
      </c>
      <c r="J5240" s="14" t="s">
        <v>29</v>
      </c>
      <c r="K5240" s="15" t="s">
        <v>30</v>
      </c>
      <c r="L5240" s="87"/>
      <c r="M5240" s="14"/>
      <c r="N5240" s="14" t="s">
        <v>89</v>
      </c>
      <c r="O5240" s="14"/>
      <c r="P5240" s="15" t="s">
        <v>74</v>
      </c>
      <c r="Q5240" s="16">
        <v>3199</v>
      </c>
      <c r="R5240" s="17">
        <v>45</v>
      </c>
      <c r="S5240" s="18">
        <v>2023.3674999999998</v>
      </c>
      <c r="T5240" s="19" t="s">
        <v>117</v>
      </c>
      <c r="U5240" s="20" t="s">
        <v>290</v>
      </c>
      <c r="V5240" s="21">
        <v>140</v>
      </c>
      <c r="W5240" s="21">
        <v>4</v>
      </c>
      <c r="X5240" s="22"/>
    </row>
    <row r="5241" spans="1:24" s="1" customFormat="1" ht="11.1" customHeight="1" x14ac:dyDescent="0.3">
      <c r="A5241" s="23" t="s">
        <v>3014</v>
      </c>
      <c r="B5241" s="23" t="s">
        <v>4989</v>
      </c>
      <c r="C5241" s="12" t="s">
        <v>4990</v>
      </c>
      <c r="D5241" s="84"/>
      <c r="E5241" s="69" t="str">
        <f t="shared" si="292"/>
        <v>Еще фото</v>
      </c>
      <c r="F5241" s="13"/>
      <c r="G5241" s="23" t="s">
        <v>696</v>
      </c>
      <c r="H5241" s="23" t="s">
        <v>27</v>
      </c>
      <c r="I5241" s="23" t="s">
        <v>697</v>
      </c>
      <c r="J5241" s="14" t="s">
        <v>29</v>
      </c>
      <c r="K5241" s="15" t="s">
        <v>30</v>
      </c>
      <c r="L5241" s="87"/>
      <c r="M5241" s="14"/>
      <c r="N5241" s="14" t="s">
        <v>89</v>
      </c>
      <c r="O5241" s="14"/>
      <c r="P5241" s="15" t="s">
        <v>74</v>
      </c>
      <c r="Q5241" s="16">
        <v>3199</v>
      </c>
      <c r="R5241" s="17">
        <v>45</v>
      </c>
      <c r="S5241" s="18">
        <v>2023.3674999999998</v>
      </c>
      <c r="T5241" s="19" t="s">
        <v>117</v>
      </c>
      <c r="U5241" s="20" t="s">
        <v>2161</v>
      </c>
      <c r="V5241" s="21">
        <v>164</v>
      </c>
      <c r="W5241" s="21">
        <v>2</v>
      </c>
      <c r="X5241" s="22"/>
    </row>
    <row r="5242" spans="1:24" s="1" customFormat="1" ht="11.1" customHeight="1" x14ac:dyDescent="0.3">
      <c r="A5242" s="23" t="s">
        <v>3014</v>
      </c>
      <c r="B5242" s="23" t="s">
        <v>4989</v>
      </c>
      <c r="C5242" s="12" t="s">
        <v>4990</v>
      </c>
      <c r="D5242" s="84"/>
      <c r="E5242" s="69" t="str">
        <f t="shared" si="292"/>
        <v>Еще фото</v>
      </c>
      <c r="F5242" s="13"/>
      <c r="G5242" s="23" t="s">
        <v>696</v>
      </c>
      <c r="H5242" s="23" t="s">
        <v>27</v>
      </c>
      <c r="I5242" s="23" t="s">
        <v>697</v>
      </c>
      <c r="J5242" s="14" t="s">
        <v>29</v>
      </c>
      <c r="K5242" s="15" t="s">
        <v>30</v>
      </c>
      <c r="L5242" s="87"/>
      <c r="M5242" s="14"/>
      <c r="N5242" s="14" t="s">
        <v>89</v>
      </c>
      <c r="O5242" s="14"/>
      <c r="P5242" s="15" t="s">
        <v>74</v>
      </c>
      <c r="Q5242" s="16">
        <v>3199</v>
      </c>
      <c r="R5242" s="17">
        <v>45</v>
      </c>
      <c r="S5242" s="18">
        <v>2023.3674999999998</v>
      </c>
      <c r="T5242" s="19" t="s">
        <v>117</v>
      </c>
      <c r="U5242" s="20" t="s">
        <v>2993</v>
      </c>
      <c r="V5242" s="21">
        <v>146</v>
      </c>
      <c r="W5242" s="21">
        <v>2</v>
      </c>
      <c r="X5242" s="22"/>
    </row>
    <row r="5243" spans="1:24" s="1" customFormat="1" ht="11.1" customHeight="1" x14ac:dyDescent="0.3">
      <c r="A5243" s="14" t="s">
        <v>3014</v>
      </c>
      <c r="B5243" s="14" t="s">
        <v>4989</v>
      </c>
      <c r="C5243" s="12" t="s">
        <v>4990</v>
      </c>
      <c r="D5243" s="84"/>
      <c r="E5243" s="69" t="str">
        <f t="shared" si="292"/>
        <v>Еще фото</v>
      </c>
      <c r="F5243" s="36"/>
      <c r="G5243" s="14" t="s">
        <v>696</v>
      </c>
      <c r="H5243" s="14" t="s">
        <v>27</v>
      </c>
      <c r="I5243" s="14" t="s">
        <v>697</v>
      </c>
      <c r="J5243" s="14" t="s">
        <v>29</v>
      </c>
      <c r="K5243" s="14" t="s">
        <v>30</v>
      </c>
      <c r="L5243" s="87"/>
      <c r="M5243" s="14"/>
      <c r="N5243" s="14" t="s">
        <v>89</v>
      </c>
      <c r="O5243" s="14"/>
      <c r="P5243" s="14" t="s">
        <v>74</v>
      </c>
      <c r="Q5243" s="33">
        <v>3199</v>
      </c>
      <c r="R5243" s="34">
        <v>45</v>
      </c>
      <c r="S5243" s="35">
        <v>2023.3674999999998</v>
      </c>
      <c r="T5243" s="19" t="s">
        <v>117</v>
      </c>
      <c r="U5243" s="20" t="s">
        <v>2160</v>
      </c>
      <c r="V5243" s="21">
        <v>152</v>
      </c>
      <c r="W5243" s="21">
        <v>5</v>
      </c>
      <c r="X5243" s="22"/>
    </row>
    <row r="5244" spans="1:24" s="1" customFormat="1" ht="11.1" customHeight="1" x14ac:dyDescent="0.3">
      <c r="A5244" s="14" t="s">
        <v>3014</v>
      </c>
      <c r="B5244" s="14" t="s">
        <v>4989</v>
      </c>
      <c r="C5244" s="12" t="s">
        <v>4990</v>
      </c>
      <c r="D5244" s="85"/>
      <c r="E5244" s="69" t="str">
        <f t="shared" si="292"/>
        <v>Еще фото</v>
      </c>
      <c r="F5244" s="36"/>
      <c r="G5244" s="14" t="s">
        <v>696</v>
      </c>
      <c r="H5244" s="14" t="s">
        <v>27</v>
      </c>
      <c r="I5244" s="14" t="s">
        <v>697</v>
      </c>
      <c r="J5244" s="14" t="s">
        <v>29</v>
      </c>
      <c r="K5244" s="14" t="s">
        <v>30</v>
      </c>
      <c r="L5244" s="88"/>
      <c r="M5244" s="14"/>
      <c r="N5244" s="14" t="s">
        <v>89</v>
      </c>
      <c r="O5244" s="14"/>
      <c r="P5244" s="14" t="s">
        <v>74</v>
      </c>
      <c r="Q5244" s="33">
        <v>3199</v>
      </c>
      <c r="R5244" s="34">
        <v>45</v>
      </c>
      <c r="S5244" s="35">
        <v>2023.3674999999998</v>
      </c>
      <c r="T5244" s="19" t="s">
        <v>117</v>
      </c>
      <c r="U5244" s="20" t="s">
        <v>3088</v>
      </c>
      <c r="V5244" s="21">
        <v>158</v>
      </c>
      <c r="W5244" s="21">
        <v>2</v>
      </c>
      <c r="X5244" s="22"/>
    </row>
    <row r="5245" spans="1:24" s="1" customFormat="1" ht="12.95" customHeight="1" x14ac:dyDescent="0.3">
      <c r="A5245" s="11" t="s">
        <v>3014</v>
      </c>
      <c r="B5245" s="11" t="s">
        <v>4989</v>
      </c>
      <c r="C5245" s="12" t="s">
        <v>4991</v>
      </c>
      <c r="D5245" s="83"/>
      <c r="E5245" s="69" t="str">
        <f t="shared" ref="E5245:E5252" si="293">HYPERLINK("https://www.google.ru/search?q=72206314-4040&amp;newwindow=1&amp;tbm=isch","Еще фото")</f>
        <v>Еще фото</v>
      </c>
      <c r="F5245" s="13"/>
      <c r="G5245" s="11" t="s">
        <v>696</v>
      </c>
      <c r="H5245" s="11" t="s">
        <v>27</v>
      </c>
      <c r="I5245" s="14" t="s">
        <v>697</v>
      </c>
      <c r="J5245" s="14" t="s">
        <v>29</v>
      </c>
      <c r="K5245" s="15" t="s">
        <v>30</v>
      </c>
      <c r="L5245" s="86"/>
      <c r="M5245" s="14"/>
      <c r="N5245" s="14" t="s">
        <v>275</v>
      </c>
      <c r="O5245" s="14"/>
      <c r="P5245" s="15" t="s">
        <v>74</v>
      </c>
      <c r="Q5245" s="16">
        <v>3999</v>
      </c>
      <c r="R5245" s="17">
        <v>45</v>
      </c>
      <c r="S5245" s="18">
        <v>2529.3674999999994</v>
      </c>
      <c r="T5245" s="19" t="s">
        <v>117</v>
      </c>
      <c r="U5245" s="26" t="s">
        <v>94</v>
      </c>
      <c r="V5245" s="21">
        <v>104</v>
      </c>
      <c r="W5245" s="21">
        <v>1</v>
      </c>
      <c r="X5245" s="22"/>
    </row>
    <row r="5246" spans="1:24" s="1" customFormat="1" ht="12.95" customHeight="1" x14ac:dyDescent="0.3">
      <c r="A5246" s="23" t="s">
        <v>3014</v>
      </c>
      <c r="B5246" s="23" t="s">
        <v>4989</v>
      </c>
      <c r="C5246" s="12" t="s">
        <v>4991</v>
      </c>
      <c r="D5246" s="84"/>
      <c r="E5246" s="69" t="str">
        <f t="shared" si="293"/>
        <v>Еще фото</v>
      </c>
      <c r="F5246" s="13"/>
      <c r="G5246" s="23" t="s">
        <v>696</v>
      </c>
      <c r="H5246" s="23" t="s">
        <v>27</v>
      </c>
      <c r="I5246" s="23" t="s">
        <v>697</v>
      </c>
      <c r="J5246" s="14" t="s">
        <v>29</v>
      </c>
      <c r="K5246" s="15" t="s">
        <v>30</v>
      </c>
      <c r="L5246" s="87"/>
      <c r="M5246" s="14"/>
      <c r="N5246" s="14" t="s">
        <v>275</v>
      </c>
      <c r="O5246" s="14"/>
      <c r="P5246" s="15" t="s">
        <v>74</v>
      </c>
      <c r="Q5246" s="16">
        <v>3999</v>
      </c>
      <c r="R5246" s="17">
        <v>45</v>
      </c>
      <c r="S5246" s="18">
        <v>2529.3674999999994</v>
      </c>
      <c r="T5246" s="19" t="s">
        <v>117</v>
      </c>
      <c r="U5246" s="20" t="s">
        <v>43</v>
      </c>
      <c r="V5246" s="21">
        <v>110</v>
      </c>
      <c r="W5246" s="21">
        <v>2</v>
      </c>
      <c r="X5246" s="22"/>
    </row>
    <row r="5247" spans="1:24" s="1" customFormat="1" ht="12.95" customHeight="1" x14ac:dyDescent="0.3">
      <c r="A5247" s="23" t="s">
        <v>3014</v>
      </c>
      <c r="B5247" s="23" t="s">
        <v>4989</v>
      </c>
      <c r="C5247" s="12" t="s">
        <v>4991</v>
      </c>
      <c r="D5247" s="84"/>
      <c r="E5247" s="69" t="str">
        <f t="shared" si="293"/>
        <v>Еще фото</v>
      </c>
      <c r="F5247" s="13"/>
      <c r="G5247" s="23" t="s">
        <v>696</v>
      </c>
      <c r="H5247" s="23" t="s">
        <v>27</v>
      </c>
      <c r="I5247" s="23" t="s">
        <v>697</v>
      </c>
      <c r="J5247" s="14" t="s">
        <v>29</v>
      </c>
      <c r="K5247" s="15" t="s">
        <v>30</v>
      </c>
      <c r="L5247" s="87"/>
      <c r="M5247" s="14"/>
      <c r="N5247" s="14" t="s">
        <v>275</v>
      </c>
      <c r="O5247" s="14"/>
      <c r="P5247" s="15" t="s">
        <v>74</v>
      </c>
      <c r="Q5247" s="16">
        <v>3999</v>
      </c>
      <c r="R5247" s="17">
        <v>45</v>
      </c>
      <c r="S5247" s="18">
        <v>2529.3674999999994</v>
      </c>
      <c r="T5247" s="19" t="s">
        <v>117</v>
      </c>
      <c r="U5247" s="20" t="s">
        <v>35</v>
      </c>
      <c r="V5247" s="21">
        <v>116</v>
      </c>
      <c r="W5247" s="21">
        <v>4</v>
      </c>
      <c r="X5247" s="22"/>
    </row>
    <row r="5248" spans="1:24" s="1" customFormat="1" ht="12.95" customHeight="1" x14ac:dyDescent="0.3">
      <c r="A5248" s="23" t="s">
        <v>3014</v>
      </c>
      <c r="B5248" s="23" t="s">
        <v>4989</v>
      </c>
      <c r="C5248" s="12" t="s">
        <v>4991</v>
      </c>
      <c r="D5248" s="84"/>
      <c r="E5248" s="69" t="str">
        <f t="shared" si="293"/>
        <v>Еще фото</v>
      </c>
      <c r="F5248" s="13"/>
      <c r="G5248" s="23" t="s">
        <v>696</v>
      </c>
      <c r="H5248" s="23" t="s">
        <v>27</v>
      </c>
      <c r="I5248" s="23" t="s">
        <v>697</v>
      </c>
      <c r="J5248" s="14" t="s">
        <v>29</v>
      </c>
      <c r="K5248" s="15" t="s">
        <v>30</v>
      </c>
      <c r="L5248" s="87"/>
      <c r="M5248" s="14"/>
      <c r="N5248" s="14" t="s">
        <v>275</v>
      </c>
      <c r="O5248" s="14"/>
      <c r="P5248" s="15" t="s">
        <v>74</v>
      </c>
      <c r="Q5248" s="16">
        <v>3999</v>
      </c>
      <c r="R5248" s="17">
        <v>45</v>
      </c>
      <c r="S5248" s="18">
        <v>2529.3674999999994</v>
      </c>
      <c r="T5248" s="19" t="s">
        <v>117</v>
      </c>
      <c r="U5248" s="20" t="s">
        <v>36</v>
      </c>
      <c r="V5248" s="21">
        <v>122</v>
      </c>
      <c r="W5248" s="21">
        <v>4</v>
      </c>
      <c r="X5248" s="22"/>
    </row>
    <row r="5249" spans="1:24" s="1" customFormat="1" ht="12.95" customHeight="1" x14ac:dyDescent="0.3">
      <c r="A5249" s="23" t="s">
        <v>3014</v>
      </c>
      <c r="B5249" s="23" t="s">
        <v>4989</v>
      </c>
      <c r="C5249" s="12" t="s">
        <v>4991</v>
      </c>
      <c r="D5249" s="84"/>
      <c r="E5249" s="69" t="str">
        <f t="shared" si="293"/>
        <v>Еще фото</v>
      </c>
      <c r="F5249" s="13"/>
      <c r="G5249" s="23" t="s">
        <v>696</v>
      </c>
      <c r="H5249" s="23" t="s">
        <v>27</v>
      </c>
      <c r="I5249" s="23" t="s">
        <v>697</v>
      </c>
      <c r="J5249" s="14" t="s">
        <v>29</v>
      </c>
      <c r="K5249" s="15" t="s">
        <v>30</v>
      </c>
      <c r="L5249" s="87"/>
      <c r="M5249" s="14"/>
      <c r="N5249" s="14" t="s">
        <v>275</v>
      </c>
      <c r="O5249" s="14"/>
      <c r="P5249" s="15" t="s">
        <v>74</v>
      </c>
      <c r="Q5249" s="16">
        <v>3999</v>
      </c>
      <c r="R5249" s="17">
        <v>45</v>
      </c>
      <c r="S5249" s="18">
        <v>2529.3674999999994</v>
      </c>
      <c r="T5249" s="19" t="s">
        <v>117</v>
      </c>
      <c r="U5249" s="20" t="s">
        <v>37</v>
      </c>
      <c r="V5249" s="21">
        <v>128</v>
      </c>
      <c r="W5249" s="21">
        <v>4</v>
      </c>
      <c r="X5249" s="22"/>
    </row>
    <row r="5250" spans="1:24" s="1" customFormat="1" ht="12.95" customHeight="1" x14ac:dyDescent="0.3">
      <c r="A5250" s="23" t="s">
        <v>3014</v>
      </c>
      <c r="B5250" s="23" t="s">
        <v>4989</v>
      </c>
      <c r="C5250" s="12" t="s">
        <v>4991</v>
      </c>
      <c r="D5250" s="84"/>
      <c r="E5250" s="69" t="str">
        <f t="shared" si="293"/>
        <v>Еще фото</v>
      </c>
      <c r="F5250" s="13"/>
      <c r="G5250" s="23" t="s">
        <v>696</v>
      </c>
      <c r="H5250" s="23" t="s">
        <v>27</v>
      </c>
      <c r="I5250" s="23" t="s">
        <v>697</v>
      </c>
      <c r="J5250" s="14" t="s">
        <v>29</v>
      </c>
      <c r="K5250" s="15" t="s">
        <v>30</v>
      </c>
      <c r="L5250" s="87"/>
      <c r="M5250" s="14"/>
      <c r="N5250" s="14" t="s">
        <v>275</v>
      </c>
      <c r="O5250" s="14"/>
      <c r="P5250" s="15" t="s">
        <v>74</v>
      </c>
      <c r="Q5250" s="16">
        <v>3999</v>
      </c>
      <c r="R5250" s="17">
        <v>45</v>
      </c>
      <c r="S5250" s="18">
        <v>2529.3674999999994</v>
      </c>
      <c r="T5250" s="19" t="s">
        <v>117</v>
      </c>
      <c r="U5250" s="20" t="s">
        <v>91</v>
      </c>
      <c r="V5250" s="21">
        <v>134</v>
      </c>
      <c r="W5250" s="21">
        <v>4</v>
      </c>
      <c r="X5250" s="22"/>
    </row>
    <row r="5251" spans="1:24" s="1" customFormat="1" ht="12.95" customHeight="1" x14ac:dyDescent="0.3">
      <c r="A5251" s="23" t="s">
        <v>3014</v>
      </c>
      <c r="B5251" s="23" t="s">
        <v>4989</v>
      </c>
      <c r="C5251" s="12" t="s">
        <v>4991</v>
      </c>
      <c r="D5251" s="84"/>
      <c r="E5251" s="69" t="str">
        <f t="shared" si="293"/>
        <v>Еще фото</v>
      </c>
      <c r="F5251" s="13"/>
      <c r="G5251" s="23" t="s">
        <v>696</v>
      </c>
      <c r="H5251" s="23" t="s">
        <v>27</v>
      </c>
      <c r="I5251" s="23" t="s">
        <v>697</v>
      </c>
      <c r="J5251" s="14" t="s">
        <v>29</v>
      </c>
      <c r="K5251" s="15" t="s">
        <v>30</v>
      </c>
      <c r="L5251" s="87"/>
      <c r="M5251" s="14"/>
      <c r="N5251" s="14" t="s">
        <v>275</v>
      </c>
      <c r="O5251" s="14"/>
      <c r="P5251" s="15" t="s">
        <v>74</v>
      </c>
      <c r="Q5251" s="16">
        <v>3999</v>
      </c>
      <c r="R5251" s="17">
        <v>45</v>
      </c>
      <c r="S5251" s="18">
        <v>2529.3674999999994</v>
      </c>
      <c r="T5251" s="19" t="s">
        <v>117</v>
      </c>
      <c r="U5251" s="20" t="s">
        <v>290</v>
      </c>
      <c r="V5251" s="21">
        <v>140</v>
      </c>
      <c r="W5251" s="21">
        <v>3</v>
      </c>
      <c r="X5251" s="22"/>
    </row>
    <row r="5252" spans="1:24" s="1" customFormat="1" ht="18" customHeight="1" x14ac:dyDescent="0.3">
      <c r="A5252" s="23" t="s">
        <v>3014</v>
      </c>
      <c r="B5252" s="23" t="s">
        <v>4989</v>
      </c>
      <c r="C5252" s="12" t="s">
        <v>4991</v>
      </c>
      <c r="D5252" s="85"/>
      <c r="E5252" s="69" t="str">
        <f t="shared" si="293"/>
        <v>Еще фото</v>
      </c>
      <c r="F5252" s="13"/>
      <c r="G5252" s="23" t="s">
        <v>696</v>
      </c>
      <c r="H5252" s="23" t="s">
        <v>27</v>
      </c>
      <c r="I5252" s="23" t="s">
        <v>697</v>
      </c>
      <c r="J5252" s="14" t="s">
        <v>29</v>
      </c>
      <c r="K5252" s="15" t="s">
        <v>30</v>
      </c>
      <c r="L5252" s="88"/>
      <c r="M5252" s="14"/>
      <c r="N5252" s="14" t="s">
        <v>275</v>
      </c>
      <c r="O5252" s="14"/>
      <c r="P5252" s="15" t="s">
        <v>74</v>
      </c>
      <c r="Q5252" s="16">
        <v>3999</v>
      </c>
      <c r="R5252" s="17">
        <v>45</v>
      </c>
      <c r="S5252" s="18">
        <v>2529.3674999999994</v>
      </c>
      <c r="T5252" s="19" t="s">
        <v>117</v>
      </c>
      <c r="U5252" s="20" t="s">
        <v>2993</v>
      </c>
      <c r="V5252" s="21">
        <v>146</v>
      </c>
      <c r="W5252" s="21">
        <v>1</v>
      </c>
      <c r="X5252" s="22"/>
    </row>
    <row r="5253" spans="1:24" s="1" customFormat="1" ht="17.100000000000001" customHeight="1" x14ac:dyDescent="0.3">
      <c r="A5253" s="11" t="s">
        <v>3014</v>
      </c>
      <c r="B5253" s="11" t="s">
        <v>4992</v>
      </c>
      <c r="C5253" s="12" t="s">
        <v>4993</v>
      </c>
      <c r="D5253" s="83"/>
      <c r="E5253" s="69" t="str">
        <f t="shared" ref="E5253:E5258" si="294">HYPERLINK("https://www.google.ru/search?q=73204409-0100&amp;newwindow=1&amp;tbm=isch","Еще фото")</f>
        <v>Еще фото</v>
      </c>
      <c r="F5253" s="13"/>
      <c r="G5253" s="11" t="s">
        <v>696</v>
      </c>
      <c r="H5253" s="11" t="s">
        <v>27</v>
      </c>
      <c r="I5253" s="14" t="s">
        <v>697</v>
      </c>
      <c r="J5253" s="14" t="s">
        <v>29</v>
      </c>
      <c r="K5253" s="15" t="s">
        <v>30</v>
      </c>
      <c r="L5253" s="86" t="s">
        <v>4994</v>
      </c>
      <c r="M5253" s="14"/>
      <c r="N5253" s="14" t="s">
        <v>89</v>
      </c>
      <c r="O5253" s="14"/>
      <c r="P5253" s="15" t="s">
        <v>33</v>
      </c>
      <c r="Q5253" s="16">
        <v>3999</v>
      </c>
      <c r="R5253" s="17">
        <v>45</v>
      </c>
      <c r="S5253" s="18">
        <v>2529.3674999999994</v>
      </c>
      <c r="T5253" s="19" t="s">
        <v>117</v>
      </c>
      <c r="U5253" s="20" t="s">
        <v>37</v>
      </c>
      <c r="V5253" s="21">
        <v>128</v>
      </c>
      <c r="W5253" s="21">
        <v>3</v>
      </c>
      <c r="X5253" s="22"/>
    </row>
    <row r="5254" spans="1:24" s="1" customFormat="1" ht="17.100000000000001" customHeight="1" x14ac:dyDescent="0.3">
      <c r="A5254" s="23" t="s">
        <v>3014</v>
      </c>
      <c r="B5254" s="23" t="s">
        <v>4992</v>
      </c>
      <c r="C5254" s="12" t="s">
        <v>4993</v>
      </c>
      <c r="D5254" s="84"/>
      <c r="E5254" s="69" t="str">
        <f t="shared" si="294"/>
        <v>Еще фото</v>
      </c>
      <c r="F5254" s="13"/>
      <c r="G5254" s="23" t="s">
        <v>696</v>
      </c>
      <c r="H5254" s="23" t="s">
        <v>27</v>
      </c>
      <c r="I5254" s="23" t="s">
        <v>697</v>
      </c>
      <c r="J5254" s="14" t="s">
        <v>29</v>
      </c>
      <c r="K5254" s="15" t="s">
        <v>30</v>
      </c>
      <c r="L5254" s="87"/>
      <c r="M5254" s="14"/>
      <c r="N5254" s="14" t="s">
        <v>89</v>
      </c>
      <c r="O5254" s="14"/>
      <c r="P5254" s="15" t="s">
        <v>33</v>
      </c>
      <c r="Q5254" s="16">
        <v>3999</v>
      </c>
      <c r="R5254" s="17">
        <v>45</v>
      </c>
      <c r="S5254" s="18">
        <v>2529.3674999999994</v>
      </c>
      <c r="T5254" s="19" t="s">
        <v>117</v>
      </c>
      <c r="U5254" s="20" t="s">
        <v>91</v>
      </c>
      <c r="V5254" s="21">
        <v>134</v>
      </c>
      <c r="W5254" s="21">
        <v>2</v>
      </c>
      <c r="X5254" s="22"/>
    </row>
    <row r="5255" spans="1:24" s="1" customFormat="1" ht="17.100000000000001" customHeight="1" x14ac:dyDescent="0.3">
      <c r="A5255" s="23" t="s">
        <v>3014</v>
      </c>
      <c r="B5255" s="23" t="s">
        <v>4992</v>
      </c>
      <c r="C5255" s="12" t="s">
        <v>4993</v>
      </c>
      <c r="D5255" s="84"/>
      <c r="E5255" s="69" t="str">
        <f t="shared" si="294"/>
        <v>Еще фото</v>
      </c>
      <c r="F5255" s="13"/>
      <c r="G5255" s="23" t="s">
        <v>696</v>
      </c>
      <c r="H5255" s="23" t="s">
        <v>27</v>
      </c>
      <c r="I5255" s="23" t="s">
        <v>697</v>
      </c>
      <c r="J5255" s="14" t="s">
        <v>29</v>
      </c>
      <c r="K5255" s="15" t="s">
        <v>30</v>
      </c>
      <c r="L5255" s="87"/>
      <c r="M5255" s="14"/>
      <c r="N5255" s="14" t="s">
        <v>89</v>
      </c>
      <c r="O5255" s="14"/>
      <c r="P5255" s="15" t="s">
        <v>33</v>
      </c>
      <c r="Q5255" s="16">
        <v>3999</v>
      </c>
      <c r="R5255" s="17">
        <v>45</v>
      </c>
      <c r="S5255" s="18">
        <v>2529.3674999999994</v>
      </c>
      <c r="T5255" s="19" t="s">
        <v>117</v>
      </c>
      <c r="U5255" s="20" t="s">
        <v>290</v>
      </c>
      <c r="V5255" s="21">
        <v>140</v>
      </c>
      <c r="W5255" s="21">
        <v>3</v>
      </c>
      <c r="X5255" s="22"/>
    </row>
    <row r="5256" spans="1:24" s="1" customFormat="1" ht="17.100000000000001" customHeight="1" x14ac:dyDescent="0.3">
      <c r="A5256" s="23" t="s">
        <v>3014</v>
      </c>
      <c r="B5256" s="23" t="s">
        <v>4992</v>
      </c>
      <c r="C5256" s="12" t="s">
        <v>4993</v>
      </c>
      <c r="D5256" s="84"/>
      <c r="E5256" s="69" t="str">
        <f t="shared" si="294"/>
        <v>Еще фото</v>
      </c>
      <c r="F5256" s="13"/>
      <c r="G5256" s="23" t="s">
        <v>696</v>
      </c>
      <c r="H5256" s="23" t="s">
        <v>27</v>
      </c>
      <c r="I5256" s="23" t="s">
        <v>697</v>
      </c>
      <c r="J5256" s="14" t="s">
        <v>29</v>
      </c>
      <c r="K5256" s="15" t="s">
        <v>30</v>
      </c>
      <c r="L5256" s="87"/>
      <c r="M5256" s="14"/>
      <c r="N5256" s="14" t="s">
        <v>89</v>
      </c>
      <c r="O5256" s="14"/>
      <c r="P5256" s="15" t="s">
        <v>33</v>
      </c>
      <c r="Q5256" s="16">
        <v>3999</v>
      </c>
      <c r="R5256" s="17">
        <v>45</v>
      </c>
      <c r="S5256" s="18">
        <v>2529.3674999999994</v>
      </c>
      <c r="T5256" s="19" t="s">
        <v>117</v>
      </c>
      <c r="U5256" s="20" t="s">
        <v>2993</v>
      </c>
      <c r="V5256" s="21">
        <v>146</v>
      </c>
      <c r="W5256" s="21">
        <v>3</v>
      </c>
      <c r="X5256" s="22"/>
    </row>
    <row r="5257" spans="1:24" s="1" customFormat="1" ht="17.100000000000001" customHeight="1" x14ac:dyDescent="0.3">
      <c r="A5257" s="23" t="s">
        <v>3014</v>
      </c>
      <c r="B5257" s="23" t="s">
        <v>4992</v>
      </c>
      <c r="C5257" s="12" t="s">
        <v>4993</v>
      </c>
      <c r="D5257" s="84"/>
      <c r="E5257" s="69" t="str">
        <f t="shared" si="294"/>
        <v>Еще фото</v>
      </c>
      <c r="F5257" s="13"/>
      <c r="G5257" s="23" t="s">
        <v>696</v>
      </c>
      <c r="H5257" s="23" t="s">
        <v>27</v>
      </c>
      <c r="I5257" s="23" t="s">
        <v>697</v>
      </c>
      <c r="J5257" s="14" t="s">
        <v>29</v>
      </c>
      <c r="K5257" s="15" t="s">
        <v>30</v>
      </c>
      <c r="L5257" s="87"/>
      <c r="M5257" s="14"/>
      <c r="N5257" s="14" t="s">
        <v>89</v>
      </c>
      <c r="O5257" s="14"/>
      <c r="P5257" s="15" t="s">
        <v>33</v>
      </c>
      <c r="Q5257" s="16">
        <v>3999</v>
      </c>
      <c r="R5257" s="17">
        <v>45</v>
      </c>
      <c r="S5257" s="18">
        <v>2529.3674999999994</v>
      </c>
      <c r="T5257" s="19" t="s">
        <v>117</v>
      </c>
      <c r="U5257" s="20" t="s">
        <v>2160</v>
      </c>
      <c r="V5257" s="21">
        <v>152</v>
      </c>
      <c r="W5257" s="21">
        <v>3</v>
      </c>
      <c r="X5257" s="22"/>
    </row>
    <row r="5258" spans="1:24" s="1" customFormat="1" ht="21.95" customHeight="1" x14ac:dyDescent="0.3">
      <c r="A5258" s="23" t="s">
        <v>3014</v>
      </c>
      <c r="B5258" s="23" t="s">
        <v>4992</v>
      </c>
      <c r="C5258" s="12" t="s">
        <v>4993</v>
      </c>
      <c r="D5258" s="85"/>
      <c r="E5258" s="69" t="str">
        <f t="shared" si="294"/>
        <v>Еще фото</v>
      </c>
      <c r="F5258" s="13"/>
      <c r="G5258" s="23" t="s">
        <v>696</v>
      </c>
      <c r="H5258" s="23" t="s">
        <v>27</v>
      </c>
      <c r="I5258" s="23" t="s">
        <v>697</v>
      </c>
      <c r="J5258" s="14" t="s">
        <v>29</v>
      </c>
      <c r="K5258" s="15" t="s">
        <v>30</v>
      </c>
      <c r="L5258" s="88"/>
      <c r="M5258" s="14"/>
      <c r="N5258" s="14" t="s">
        <v>89</v>
      </c>
      <c r="O5258" s="14"/>
      <c r="P5258" s="15" t="s">
        <v>33</v>
      </c>
      <c r="Q5258" s="16">
        <v>3999</v>
      </c>
      <c r="R5258" s="17">
        <v>45</v>
      </c>
      <c r="S5258" s="18">
        <v>2529.3674999999994</v>
      </c>
      <c r="T5258" s="19" t="s">
        <v>117</v>
      </c>
      <c r="U5258" s="20" t="s">
        <v>3088</v>
      </c>
      <c r="V5258" s="21">
        <v>158</v>
      </c>
      <c r="W5258" s="21">
        <v>3</v>
      </c>
      <c r="X5258" s="22"/>
    </row>
    <row r="5259" spans="1:24" s="1" customFormat="1" ht="21" customHeight="1" x14ac:dyDescent="0.3">
      <c r="A5259" s="11" t="s">
        <v>3014</v>
      </c>
      <c r="B5259" s="11" t="s">
        <v>4992</v>
      </c>
      <c r="C5259" s="27" t="s">
        <v>4995</v>
      </c>
      <c r="D5259" s="83"/>
      <c r="E5259" s="69" t="str">
        <f>HYPERLINK("https://www.google.ru/search?q=73204409-8020&amp;newwindow=1&amp;tbm=isch","Еще фото")</f>
        <v>Еще фото</v>
      </c>
      <c r="F5259" s="13"/>
      <c r="G5259" s="11" t="s">
        <v>696</v>
      </c>
      <c r="H5259" s="11" t="s">
        <v>27</v>
      </c>
      <c r="I5259" s="14" t="s">
        <v>697</v>
      </c>
      <c r="J5259" s="14" t="s">
        <v>29</v>
      </c>
      <c r="K5259" s="15" t="s">
        <v>30</v>
      </c>
      <c r="L5259" s="86" t="s">
        <v>4994</v>
      </c>
      <c r="M5259" s="14"/>
      <c r="N5259" s="14" t="s">
        <v>242</v>
      </c>
      <c r="O5259" s="14"/>
      <c r="P5259" s="15" t="s">
        <v>33</v>
      </c>
      <c r="Q5259" s="16">
        <v>3999</v>
      </c>
      <c r="R5259" s="17">
        <v>45</v>
      </c>
      <c r="S5259" s="18">
        <v>2529.3674999999994</v>
      </c>
      <c r="T5259" s="19" t="s">
        <v>117</v>
      </c>
      <c r="U5259" s="20" t="s">
        <v>37</v>
      </c>
      <c r="V5259" s="21">
        <v>128</v>
      </c>
      <c r="W5259" s="21">
        <v>2</v>
      </c>
      <c r="X5259" s="22"/>
    </row>
    <row r="5260" spans="1:24" s="1" customFormat="1" ht="21" customHeight="1" x14ac:dyDescent="0.3">
      <c r="A5260" s="23" t="s">
        <v>3014</v>
      </c>
      <c r="B5260" s="23" t="s">
        <v>4992</v>
      </c>
      <c r="C5260" s="28" t="s">
        <v>4995</v>
      </c>
      <c r="D5260" s="84"/>
      <c r="E5260" s="69" t="str">
        <f>HYPERLINK("https://www.google.ru/search?q=73204409-8020&amp;newwindow=1&amp;tbm=isch","Еще фото")</f>
        <v>Еще фото</v>
      </c>
      <c r="F5260" s="13"/>
      <c r="G5260" s="23" t="s">
        <v>696</v>
      </c>
      <c r="H5260" s="23" t="s">
        <v>27</v>
      </c>
      <c r="I5260" s="23" t="s">
        <v>697</v>
      </c>
      <c r="J5260" s="14" t="s">
        <v>29</v>
      </c>
      <c r="K5260" s="15" t="s">
        <v>30</v>
      </c>
      <c r="L5260" s="87"/>
      <c r="M5260" s="14"/>
      <c r="N5260" s="14" t="s">
        <v>242</v>
      </c>
      <c r="O5260" s="14"/>
      <c r="P5260" s="15" t="s">
        <v>33</v>
      </c>
      <c r="Q5260" s="16">
        <v>3999</v>
      </c>
      <c r="R5260" s="17">
        <v>45</v>
      </c>
      <c r="S5260" s="18">
        <v>2529.3674999999994</v>
      </c>
      <c r="T5260" s="19" t="s">
        <v>117</v>
      </c>
      <c r="U5260" s="20" t="s">
        <v>91</v>
      </c>
      <c r="V5260" s="21">
        <v>134</v>
      </c>
      <c r="W5260" s="21">
        <v>4</v>
      </c>
      <c r="X5260" s="22"/>
    </row>
    <row r="5261" spans="1:24" s="1" customFormat="1" ht="21" customHeight="1" x14ac:dyDescent="0.3">
      <c r="A5261" s="23" t="s">
        <v>3014</v>
      </c>
      <c r="B5261" s="23" t="s">
        <v>4992</v>
      </c>
      <c r="C5261" s="28" t="s">
        <v>4995</v>
      </c>
      <c r="D5261" s="84"/>
      <c r="E5261" s="69" t="str">
        <f>HYPERLINK("https://www.google.ru/search?q=73204409-8020&amp;newwindow=1&amp;tbm=isch","Еще фото")</f>
        <v>Еще фото</v>
      </c>
      <c r="F5261" s="13"/>
      <c r="G5261" s="23" t="s">
        <v>696</v>
      </c>
      <c r="H5261" s="23" t="s">
        <v>27</v>
      </c>
      <c r="I5261" s="23" t="s">
        <v>697</v>
      </c>
      <c r="J5261" s="14" t="s">
        <v>29</v>
      </c>
      <c r="K5261" s="15" t="s">
        <v>30</v>
      </c>
      <c r="L5261" s="87"/>
      <c r="M5261" s="14"/>
      <c r="N5261" s="14" t="s">
        <v>242</v>
      </c>
      <c r="O5261" s="14"/>
      <c r="P5261" s="15" t="s">
        <v>33</v>
      </c>
      <c r="Q5261" s="16">
        <v>3999</v>
      </c>
      <c r="R5261" s="17">
        <v>45</v>
      </c>
      <c r="S5261" s="18">
        <v>2529.3674999999994</v>
      </c>
      <c r="T5261" s="19" t="s">
        <v>117</v>
      </c>
      <c r="U5261" s="20" t="s">
        <v>290</v>
      </c>
      <c r="V5261" s="21">
        <v>140</v>
      </c>
      <c r="W5261" s="21">
        <v>3</v>
      </c>
      <c r="X5261" s="22"/>
    </row>
    <row r="5262" spans="1:24" s="1" customFormat="1" ht="21" customHeight="1" x14ac:dyDescent="0.3">
      <c r="A5262" s="23" t="s">
        <v>3014</v>
      </c>
      <c r="B5262" s="23" t="s">
        <v>4992</v>
      </c>
      <c r="C5262" s="28" t="s">
        <v>4995</v>
      </c>
      <c r="D5262" s="84"/>
      <c r="E5262" s="69" t="str">
        <f>HYPERLINK("https://www.google.ru/search?q=73204409-8020&amp;newwindow=1&amp;tbm=isch","Еще фото")</f>
        <v>Еще фото</v>
      </c>
      <c r="F5262" s="13"/>
      <c r="G5262" s="23" t="s">
        <v>696</v>
      </c>
      <c r="H5262" s="23" t="s">
        <v>27</v>
      </c>
      <c r="I5262" s="23" t="s">
        <v>697</v>
      </c>
      <c r="J5262" s="14" t="s">
        <v>29</v>
      </c>
      <c r="K5262" s="15" t="s">
        <v>30</v>
      </c>
      <c r="L5262" s="87"/>
      <c r="M5262" s="14"/>
      <c r="N5262" s="14" t="s">
        <v>242</v>
      </c>
      <c r="O5262" s="14"/>
      <c r="P5262" s="15" t="s">
        <v>33</v>
      </c>
      <c r="Q5262" s="16">
        <v>3999</v>
      </c>
      <c r="R5262" s="17">
        <v>45</v>
      </c>
      <c r="S5262" s="18">
        <v>2529.3674999999994</v>
      </c>
      <c r="T5262" s="19" t="s">
        <v>117</v>
      </c>
      <c r="U5262" s="20" t="s">
        <v>2993</v>
      </c>
      <c r="V5262" s="21">
        <v>146</v>
      </c>
      <c r="W5262" s="21">
        <v>1</v>
      </c>
      <c r="X5262" s="22"/>
    </row>
    <row r="5263" spans="1:24" s="1" customFormat="1" ht="32.1" customHeight="1" x14ac:dyDescent="0.3">
      <c r="A5263" s="23" t="s">
        <v>3014</v>
      </c>
      <c r="B5263" s="23" t="s">
        <v>4992</v>
      </c>
      <c r="C5263" s="28" t="s">
        <v>4995</v>
      </c>
      <c r="D5263" s="85"/>
      <c r="E5263" s="69" t="str">
        <f>HYPERLINK("https://www.google.ru/search?q=73204409-8020&amp;newwindow=1&amp;tbm=isch","Еще фото")</f>
        <v>Еще фото</v>
      </c>
      <c r="F5263" s="13"/>
      <c r="G5263" s="23" t="s">
        <v>696</v>
      </c>
      <c r="H5263" s="23" t="s">
        <v>27</v>
      </c>
      <c r="I5263" s="23" t="s">
        <v>697</v>
      </c>
      <c r="J5263" s="14" t="s">
        <v>29</v>
      </c>
      <c r="K5263" s="15" t="s">
        <v>30</v>
      </c>
      <c r="L5263" s="88"/>
      <c r="M5263" s="14"/>
      <c r="N5263" s="14" t="s">
        <v>242</v>
      </c>
      <c r="O5263" s="14"/>
      <c r="P5263" s="15" t="s">
        <v>33</v>
      </c>
      <c r="Q5263" s="16">
        <v>3999</v>
      </c>
      <c r="R5263" s="17">
        <v>45</v>
      </c>
      <c r="S5263" s="18">
        <v>2529.3674999999994</v>
      </c>
      <c r="T5263" s="19" t="s">
        <v>117</v>
      </c>
      <c r="U5263" s="20" t="s">
        <v>3088</v>
      </c>
      <c r="V5263" s="21">
        <v>158</v>
      </c>
      <c r="W5263" s="21">
        <v>4</v>
      </c>
      <c r="X5263" s="22"/>
    </row>
    <row r="5264" spans="1:24" s="1" customFormat="1" ht="11.1" customHeight="1" x14ac:dyDescent="0.3">
      <c r="A5264" s="11" t="s">
        <v>3014</v>
      </c>
      <c r="B5264" s="11" t="s">
        <v>4996</v>
      </c>
      <c r="C5264" s="12" t="s">
        <v>4997</v>
      </c>
      <c r="D5264" s="83"/>
      <c r="E5264" s="69" t="str">
        <f t="shared" ref="E5264:E5274" si="295">HYPERLINK("https://www.google.ru/search?q=73206122-2050&amp;newwindow=1&amp;tbm=isch","Еще фото")</f>
        <v>Еще фото</v>
      </c>
      <c r="F5264" s="13"/>
      <c r="G5264" s="11" t="s">
        <v>696</v>
      </c>
      <c r="H5264" s="11" t="s">
        <v>27</v>
      </c>
      <c r="I5264" s="14" t="s">
        <v>697</v>
      </c>
      <c r="J5264" s="14" t="s">
        <v>29</v>
      </c>
      <c r="K5264" s="15" t="s">
        <v>30</v>
      </c>
      <c r="L5264" s="86"/>
      <c r="M5264" s="14"/>
      <c r="N5264" s="14" t="s">
        <v>313</v>
      </c>
      <c r="O5264" s="14"/>
      <c r="P5264" s="15" t="s">
        <v>4945</v>
      </c>
      <c r="Q5264" s="16">
        <v>3299</v>
      </c>
      <c r="R5264" s="17">
        <v>45</v>
      </c>
      <c r="S5264" s="18">
        <v>2086.6174999999998</v>
      </c>
      <c r="T5264" s="19" t="s">
        <v>117</v>
      </c>
      <c r="U5264" s="20" t="s">
        <v>94</v>
      </c>
      <c r="V5264" s="21">
        <v>104</v>
      </c>
      <c r="W5264" s="21">
        <v>2</v>
      </c>
      <c r="X5264" s="22"/>
    </row>
    <row r="5265" spans="1:24" s="1" customFormat="1" ht="11.1" customHeight="1" x14ac:dyDescent="0.3">
      <c r="A5265" s="23" t="s">
        <v>3014</v>
      </c>
      <c r="B5265" s="23" t="s">
        <v>4996</v>
      </c>
      <c r="C5265" s="12" t="s">
        <v>4997</v>
      </c>
      <c r="D5265" s="84"/>
      <c r="E5265" s="69" t="str">
        <f t="shared" si="295"/>
        <v>Еще фото</v>
      </c>
      <c r="F5265" s="13"/>
      <c r="G5265" s="23" t="s">
        <v>696</v>
      </c>
      <c r="H5265" s="23" t="s">
        <v>27</v>
      </c>
      <c r="I5265" s="23" t="s">
        <v>697</v>
      </c>
      <c r="J5265" s="14" t="s">
        <v>29</v>
      </c>
      <c r="K5265" s="15" t="s">
        <v>30</v>
      </c>
      <c r="L5265" s="87"/>
      <c r="M5265" s="14"/>
      <c r="N5265" s="14" t="s">
        <v>313</v>
      </c>
      <c r="O5265" s="14"/>
      <c r="P5265" s="15" t="s">
        <v>4945</v>
      </c>
      <c r="Q5265" s="16">
        <v>3299</v>
      </c>
      <c r="R5265" s="17">
        <v>45</v>
      </c>
      <c r="S5265" s="18">
        <v>2086.6174999999998</v>
      </c>
      <c r="T5265" s="19" t="s">
        <v>117</v>
      </c>
      <c r="U5265" s="20" t="s">
        <v>43</v>
      </c>
      <c r="V5265" s="21">
        <v>110</v>
      </c>
      <c r="W5265" s="21">
        <v>1</v>
      </c>
      <c r="X5265" s="22"/>
    </row>
    <row r="5266" spans="1:24" s="1" customFormat="1" ht="11.1" customHeight="1" x14ac:dyDescent="0.3">
      <c r="A5266" s="23" t="s">
        <v>3014</v>
      </c>
      <c r="B5266" s="23" t="s">
        <v>4996</v>
      </c>
      <c r="C5266" s="12" t="s">
        <v>4997</v>
      </c>
      <c r="D5266" s="84"/>
      <c r="E5266" s="69" t="str">
        <f t="shared" si="295"/>
        <v>Еще фото</v>
      </c>
      <c r="F5266" s="13"/>
      <c r="G5266" s="23" t="s">
        <v>696</v>
      </c>
      <c r="H5266" s="23" t="s">
        <v>27</v>
      </c>
      <c r="I5266" s="23" t="s">
        <v>697</v>
      </c>
      <c r="J5266" s="14" t="s">
        <v>29</v>
      </c>
      <c r="K5266" s="15" t="s">
        <v>30</v>
      </c>
      <c r="L5266" s="87"/>
      <c r="M5266" s="14"/>
      <c r="N5266" s="14" t="s">
        <v>313</v>
      </c>
      <c r="O5266" s="14"/>
      <c r="P5266" s="15" t="s">
        <v>4945</v>
      </c>
      <c r="Q5266" s="16">
        <v>3299</v>
      </c>
      <c r="R5266" s="17">
        <v>45</v>
      </c>
      <c r="S5266" s="18">
        <v>2086.6174999999998</v>
      </c>
      <c r="T5266" s="19" t="s">
        <v>117</v>
      </c>
      <c r="U5266" s="20" t="s">
        <v>35</v>
      </c>
      <c r="V5266" s="21">
        <v>116</v>
      </c>
      <c r="W5266" s="21">
        <v>4</v>
      </c>
      <c r="X5266" s="22"/>
    </row>
    <row r="5267" spans="1:24" s="1" customFormat="1" ht="11.1" customHeight="1" x14ac:dyDescent="0.3">
      <c r="A5267" s="23" t="s">
        <v>3014</v>
      </c>
      <c r="B5267" s="23" t="s">
        <v>4996</v>
      </c>
      <c r="C5267" s="12" t="s">
        <v>4997</v>
      </c>
      <c r="D5267" s="84"/>
      <c r="E5267" s="69" t="str">
        <f t="shared" si="295"/>
        <v>Еще фото</v>
      </c>
      <c r="F5267" s="13"/>
      <c r="G5267" s="23" t="s">
        <v>696</v>
      </c>
      <c r="H5267" s="23" t="s">
        <v>27</v>
      </c>
      <c r="I5267" s="23" t="s">
        <v>697</v>
      </c>
      <c r="J5267" s="14" t="s">
        <v>29</v>
      </c>
      <c r="K5267" s="15" t="s">
        <v>30</v>
      </c>
      <c r="L5267" s="87"/>
      <c r="M5267" s="14"/>
      <c r="N5267" s="14" t="s">
        <v>313</v>
      </c>
      <c r="O5267" s="14"/>
      <c r="P5267" s="15" t="s">
        <v>4945</v>
      </c>
      <c r="Q5267" s="16">
        <v>3299</v>
      </c>
      <c r="R5267" s="17">
        <v>45</v>
      </c>
      <c r="S5267" s="18">
        <v>2086.6174999999998</v>
      </c>
      <c r="T5267" s="19" t="s">
        <v>117</v>
      </c>
      <c r="U5267" s="20" t="s">
        <v>36</v>
      </c>
      <c r="V5267" s="21">
        <v>122</v>
      </c>
      <c r="W5267" s="21">
        <v>4</v>
      </c>
      <c r="X5267" s="22"/>
    </row>
    <row r="5268" spans="1:24" s="1" customFormat="1" ht="11.1" customHeight="1" x14ac:dyDescent="0.3">
      <c r="A5268" s="23" t="s">
        <v>3014</v>
      </c>
      <c r="B5268" s="23" t="s">
        <v>4996</v>
      </c>
      <c r="C5268" s="12" t="s">
        <v>4997</v>
      </c>
      <c r="D5268" s="84"/>
      <c r="E5268" s="69" t="str">
        <f t="shared" si="295"/>
        <v>Еще фото</v>
      </c>
      <c r="F5268" s="13"/>
      <c r="G5268" s="23" t="s">
        <v>696</v>
      </c>
      <c r="H5268" s="23" t="s">
        <v>27</v>
      </c>
      <c r="I5268" s="23" t="s">
        <v>697</v>
      </c>
      <c r="J5268" s="14" t="s">
        <v>29</v>
      </c>
      <c r="K5268" s="15" t="s">
        <v>30</v>
      </c>
      <c r="L5268" s="87"/>
      <c r="M5268" s="14"/>
      <c r="N5268" s="14" t="s">
        <v>313</v>
      </c>
      <c r="O5268" s="14"/>
      <c r="P5268" s="15" t="s">
        <v>4945</v>
      </c>
      <c r="Q5268" s="16">
        <v>3299</v>
      </c>
      <c r="R5268" s="17">
        <v>45</v>
      </c>
      <c r="S5268" s="18">
        <v>2086.6174999999998</v>
      </c>
      <c r="T5268" s="19" t="s">
        <v>117</v>
      </c>
      <c r="U5268" s="20" t="s">
        <v>37</v>
      </c>
      <c r="V5268" s="21">
        <v>128</v>
      </c>
      <c r="W5268" s="21">
        <v>4</v>
      </c>
      <c r="X5268" s="22"/>
    </row>
    <row r="5269" spans="1:24" s="1" customFormat="1" ht="11.1" customHeight="1" x14ac:dyDescent="0.3">
      <c r="A5269" s="23" t="s">
        <v>3014</v>
      </c>
      <c r="B5269" s="23" t="s">
        <v>4996</v>
      </c>
      <c r="C5269" s="12" t="s">
        <v>4997</v>
      </c>
      <c r="D5269" s="84"/>
      <c r="E5269" s="69" t="str">
        <f t="shared" si="295"/>
        <v>Еще фото</v>
      </c>
      <c r="F5269" s="13"/>
      <c r="G5269" s="23" t="s">
        <v>696</v>
      </c>
      <c r="H5269" s="23" t="s">
        <v>27</v>
      </c>
      <c r="I5269" s="23" t="s">
        <v>697</v>
      </c>
      <c r="J5269" s="14" t="s">
        <v>29</v>
      </c>
      <c r="K5269" s="15" t="s">
        <v>30</v>
      </c>
      <c r="L5269" s="87"/>
      <c r="M5269" s="14"/>
      <c r="N5269" s="14" t="s">
        <v>313</v>
      </c>
      <c r="O5269" s="14"/>
      <c r="P5269" s="15" t="s">
        <v>4945</v>
      </c>
      <c r="Q5269" s="16">
        <v>3299</v>
      </c>
      <c r="R5269" s="17">
        <v>45</v>
      </c>
      <c r="S5269" s="18">
        <v>2086.6174999999998</v>
      </c>
      <c r="T5269" s="19" t="s">
        <v>117</v>
      </c>
      <c r="U5269" s="20" t="s">
        <v>91</v>
      </c>
      <c r="V5269" s="21">
        <v>134</v>
      </c>
      <c r="W5269" s="21">
        <v>4</v>
      </c>
      <c r="X5269" s="22"/>
    </row>
    <row r="5270" spans="1:24" s="1" customFormat="1" ht="11.1" customHeight="1" x14ac:dyDescent="0.3">
      <c r="A5270" s="23" t="s">
        <v>3014</v>
      </c>
      <c r="B5270" s="23" t="s">
        <v>4996</v>
      </c>
      <c r="C5270" s="12" t="s">
        <v>4997</v>
      </c>
      <c r="D5270" s="84"/>
      <c r="E5270" s="69" t="str">
        <f t="shared" si="295"/>
        <v>Еще фото</v>
      </c>
      <c r="F5270" s="13"/>
      <c r="G5270" s="23" t="s">
        <v>696</v>
      </c>
      <c r="H5270" s="23" t="s">
        <v>27</v>
      </c>
      <c r="I5270" s="23" t="s">
        <v>697</v>
      </c>
      <c r="J5270" s="14" t="s">
        <v>29</v>
      </c>
      <c r="K5270" s="15" t="s">
        <v>30</v>
      </c>
      <c r="L5270" s="87"/>
      <c r="M5270" s="14"/>
      <c r="N5270" s="14" t="s">
        <v>313</v>
      </c>
      <c r="O5270" s="14"/>
      <c r="P5270" s="15" t="s">
        <v>4945</v>
      </c>
      <c r="Q5270" s="16">
        <v>3299</v>
      </c>
      <c r="R5270" s="17">
        <v>45</v>
      </c>
      <c r="S5270" s="18">
        <v>2086.6174999999998</v>
      </c>
      <c r="T5270" s="19" t="s">
        <v>117</v>
      </c>
      <c r="U5270" s="20" t="s">
        <v>290</v>
      </c>
      <c r="V5270" s="21">
        <v>140</v>
      </c>
      <c r="W5270" s="21">
        <v>4</v>
      </c>
      <c r="X5270" s="22"/>
    </row>
    <row r="5271" spans="1:24" s="1" customFormat="1" ht="11.1" customHeight="1" x14ac:dyDescent="0.3">
      <c r="A5271" s="23" t="s">
        <v>3014</v>
      </c>
      <c r="B5271" s="23" t="s">
        <v>4996</v>
      </c>
      <c r="C5271" s="12" t="s">
        <v>4997</v>
      </c>
      <c r="D5271" s="84"/>
      <c r="E5271" s="69" t="str">
        <f t="shared" si="295"/>
        <v>Еще фото</v>
      </c>
      <c r="F5271" s="13"/>
      <c r="G5271" s="23" t="s">
        <v>696</v>
      </c>
      <c r="H5271" s="23" t="s">
        <v>27</v>
      </c>
      <c r="I5271" s="23" t="s">
        <v>697</v>
      </c>
      <c r="J5271" s="14" t="s">
        <v>29</v>
      </c>
      <c r="K5271" s="15" t="s">
        <v>30</v>
      </c>
      <c r="L5271" s="87"/>
      <c r="M5271" s="14"/>
      <c r="N5271" s="14" t="s">
        <v>313</v>
      </c>
      <c r="O5271" s="14"/>
      <c r="P5271" s="15" t="s">
        <v>4945</v>
      </c>
      <c r="Q5271" s="16">
        <v>3299</v>
      </c>
      <c r="R5271" s="17">
        <v>45</v>
      </c>
      <c r="S5271" s="18">
        <v>2086.6174999999998</v>
      </c>
      <c r="T5271" s="19" t="s">
        <v>117</v>
      </c>
      <c r="U5271" s="20" t="s">
        <v>2161</v>
      </c>
      <c r="V5271" s="21">
        <v>164</v>
      </c>
      <c r="W5271" s="21">
        <v>1</v>
      </c>
      <c r="X5271" s="22"/>
    </row>
    <row r="5272" spans="1:24" s="1" customFormat="1" ht="11.1" customHeight="1" x14ac:dyDescent="0.3">
      <c r="A5272" s="23" t="s">
        <v>3014</v>
      </c>
      <c r="B5272" s="23" t="s">
        <v>4996</v>
      </c>
      <c r="C5272" s="12" t="s">
        <v>4997</v>
      </c>
      <c r="D5272" s="84"/>
      <c r="E5272" s="69" t="str">
        <f t="shared" si="295"/>
        <v>Еще фото</v>
      </c>
      <c r="F5272" s="13"/>
      <c r="G5272" s="23" t="s">
        <v>696</v>
      </c>
      <c r="H5272" s="23" t="s">
        <v>27</v>
      </c>
      <c r="I5272" s="23" t="s">
        <v>697</v>
      </c>
      <c r="J5272" s="14" t="s">
        <v>29</v>
      </c>
      <c r="K5272" s="15" t="s">
        <v>30</v>
      </c>
      <c r="L5272" s="87"/>
      <c r="M5272" s="14"/>
      <c r="N5272" s="14" t="s">
        <v>313</v>
      </c>
      <c r="O5272" s="14"/>
      <c r="P5272" s="15" t="s">
        <v>4945</v>
      </c>
      <c r="Q5272" s="16">
        <v>3299</v>
      </c>
      <c r="R5272" s="17">
        <v>45</v>
      </c>
      <c r="S5272" s="18">
        <v>2086.6174999999998</v>
      </c>
      <c r="T5272" s="19" t="s">
        <v>117</v>
      </c>
      <c r="U5272" s="20" t="s">
        <v>2993</v>
      </c>
      <c r="V5272" s="21">
        <v>146</v>
      </c>
      <c r="W5272" s="21">
        <v>4</v>
      </c>
      <c r="X5272" s="22"/>
    </row>
    <row r="5273" spans="1:24" s="1" customFormat="1" ht="11.1" customHeight="1" x14ac:dyDescent="0.3">
      <c r="A5273" s="14" t="s">
        <v>3014</v>
      </c>
      <c r="B5273" s="14" t="s">
        <v>4996</v>
      </c>
      <c r="C5273" s="12" t="s">
        <v>4997</v>
      </c>
      <c r="D5273" s="84"/>
      <c r="E5273" s="69" t="str">
        <f t="shared" si="295"/>
        <v>Еще фото</v>
      </c>
      <c r="F5273" s="36"/>
      <c r="G5273" s="14" t="s">
        <v>696</v>
      </c>
      <c r="H5273" s="14" t="s">
        <v>27</v>
      </c>
      <c r="I5273" s="14" t="s">
        <v>697</v>
      </c>
      <c r="J5273" s="14" t="s">
        <v>29</v>
      </c>
      <c r="K5273" s="14" t="s">
        <v>30</v>
      </c>
      <c r="L5273" s="87"/>
      <c r="M5273" s="14"/>
      <c r="N5273" s="14" t="s">
        <v>313</v>
      </c>
      <c r="O5273" s="14"/>
      <c r="P5273" s="14" t="s">
        <v>4945</v>
      </c>
      <c r="Q5273" s="33">
        <v>3299</v>
      </c>
      <c r="R5273" s="34">
        <v>45</v>
      </c>
      <c r="S5273" s="35">
        <v>2086.6174999999998</v>
      </c>
      <c r="T5273" s="19" t="s">
        <v>117</v>
      </c>
      <c r="U5273" s="20" t="s">
        <v>2160</v>
      </c>
      <c r="V5273" s="21">
        <v>152</v>
      </c>
      <c r="W5273" s="21">
        <v>5</v>
      </c>
      <c r="X5273" s="22"/>
    </row>
    <row r="5274" spans="1:24" s="1" customFormat="1" ht="11.1" customHeight="1" x14ac:dyDescent="0.3">
      <c r="A5274" s="14" t="s">
        <v>3014</v>
      </c>
      <c r="B5274" s="14" t="s">
        <v>4996</v>
      </c>
      <c r="C5274" s="12" t="s">
        <v>4997</v>
      </c>
      <c r="D5274" s="85"/>
      <c r="E5274" s="69" t="str">
        <f t="shared" si="295"/>
        <v>Еще фото</v>
      </c>
      <c r="F5274" s="36"/>
      <c r="G5274" s="14" t="s">
        <v>696</v>
      </c>
      <c r="H5274" s="14" t="s">
        <v>27</v>
      </c>
      <c r="I5274" s="14" t="s">
        <v>697</v>
      </c>
      <c r="J5274" s="14" t="s">
        <v>29</v>
      </c>
      <c r="K5274" s="14" t="s">
        <v>30</v>
      </c>
      <c r="L5274" s="88"/>
      <c r="M5274" s="14"/>
      <c r="N5274" s="14" t="s">
        <v>313</v>
      </c>
      <c r="O5274" s="14"/>
      <c r="P5274" s="14" t="s">
        <v>4945</v>
      </c>
      <c r="Q5274" s="33">
        <v>3299</v>
      </c>
      <c r="R5274" s="34">
        <v>45</v>
      </c>
      <c r="S5274" s="35">
        <v>2086.6174999999998</v>
      </c>
      <c r="T5274" s="19" t="s">
        <v>117</v>
      </c>
      <c r="U5274" s="20" t="s">
        <v>3088</v>
      </c>
      <c r="V5274" s="21">
        <v>158</v>
      </c>
      <c r="W5274" s="21">
        <v>4</v>
      </c>
      <c r="X5274" s="22"/>
    </row>
    <row r="5275" spans="1:24" s="1" customFormat="1" ht="11.1" customHeight="1" x14ac:dyDescent="0.3">
      <c r="A5275" s="11" t="s">
        <v>3014</v>
      </c>
      <c r="B5275" s="11" t="s">
        <v>4996</v>
      </c>
      <c r="C5275" s="12" t="s">
        <v>4998</v>
      </c>
      <c r="D5275" s="83"/>
      <c r="E5275" s="69" t="str">
        <f t="shared" ref="E5275:E5285" si="296">HYPERLINK("https://www.google.ru/search?q=73206122-7060&amp;newwindow=1&amp;tbm=isch","Еще фото")</f>
        <v>Еще фото</v>
      </c>
      <c r="F5275" s="13"/>
      <c r="G5275" s="11" t="s">
        <v>696</v>
      </c>
      <c r="H5275" s="11" t="s">
        <v>27</v>
      </c>
      <c r="I5275" s="14" t="s">
        <v>697</v>
      </c>
      <c r="J5275" s="14" t="s">
        <v>29</v>
      </c>
      <c r="K5275" s="15" t="s">
        <v>30</v>
      </c>
      <c r="L5275" s="86"/>
      <c r="M5275" s="14"/>
      <c r="N5275" s="14" t="s">
        <v>242</v>
      </c>
      <c r="O5275" s="14"/>
      <c r="P5275" s="15" t="s">
        <v>4945</v>
      </c>
      <c r="Q5275" s="16">
        <v>3299</v>
      </c>
      <c r="R5275" s="17">
        <v>45</v>
      </c>
      <c r="S5275" s="18">
        <v>2086.6174999999998</v>
      </c>
      <c r="T5275" s="19" t="s">
        <v>117</v>
      </c>
      <c r="U5275" s="20" t="s">
        <v>94</v>
      </c>
      <c r="V5275" s="21">
        <v>104</v>
      </c>
      <c r="W5275" s="21">
        <v>2</v>
      </c>
      <c r="X5275" s="22"/>
    </row>
    <row r="5276" spans="1:24" s="1" customFormat="1" ht="11.1" customHeight="1" x14ac:dyDescent="0.3">
      <c r="A5276" s="23" t="s">
        <v>3014</v>
      </c>
      <c r="B5276" s="23" t="s">
        <v>4996</v>
      </c>
      <c r="C5276" s="12" t="s">
        <v>4998</v>
      </c>
      <c r="D5276" s="84"/>
      <c r="E5276" s="69" t="str">
        <f t="shared" si="296"/>
        <v>Еще фото</v>
      </c>
      <c r="F5276" s="13"/>
      <c r="G5276" s="23" t="s">
        <v>696</v>
      </c>
      <c r="H5276" s="23" t="s">
        <v>27</v>
      </c>
      <c r="I5276" s="23" t="s">
        <v>697</v>
      </c>
      <c r="J5276" s="14" t="s">
        <v>29</v>
      </c>
      <c r="K5276" s="15" t="s">
        <v>30</v>
      </c>
      <c r="L5276" s="87"/>
      <c r="M5276" s="14"/>
      <c r="N5276" s="14" t="s">
        <v>242</v>
      </c>
      <c r="O5276" s="14"/>
      <c r="P5276" s="15" t="s">
        <v>4945</v>
      </c>
      <c r="Q5276" s="16">
        <v>3299</v>
      </c>
      <c r="R5276" s="17">
        <v>45</v>
      </c>
      <c r="S5276" s="18">
        <v>2086.6174999999998</v>
      </c>
      <c r="T5276" s="19" t="s">
        <v>117</v>
      </c>
      <c r="U5276" s="20" t="s">
        <v>43</v>
      </c>
      <c r="V5276" s="21">
        <v>110</v>
      </c>
      <c r="W5276" s="21">
        <v>2</v>
      </c>
      <c r="X5276" s="22"/>
    </row>
    <row r="5277" spans="1:24" s="1" customFormat="1" ht="11.1" customHeight="1" x14ac:dyDescent="0.3">
      <c r="A5277" s="23" t="s">
        <v>3014</v>
      </c>
      <c r="B5277" s="23" t="s">
        <v>4996</v>
      </c>
      <c r="C5277" s="12" t="s">
        <v>4998</v>
      </c>
      <c r="D5277" s="84"/>
      <c r="E5277" s="69" t="str">
        <f t="shared" si="296"/>
        <v>Еще фото</v>
      </c>
      <c r="F5277" s="13"/>
      <c r="G5277" s="23" t="s">
        <v>696</v>
      </c>
      <c r="H5277" s="23" t="s">
        <v>27</v>
      </c>
      <c r="I5277" s="23" t="s">
        <v>697</v>
      </c>
      <c r="J5277" s="14" t="s">
        <v>29</v>
      </c>
      <c r="K5277" s="15" t="s">
        <v>30</v>
      </c>
      <c r="L5277" s="87"/>
      <c r="M5277" s="14"/>
      <c r="N5277" s="14" t="s">
        <v>242</v>
      </c>
      <c r="O5277" s="14"/>
      <c r="P5277" s="15" t="s">
        <v>4945</v>
      </c>
      <c r="Q5277" s="16">
        <v>3299</v>
      </c>
      <c r="R5277" s="17">
        <v>45</v>
      </c>
      <c r="S5277" s="18">
        <v>2086.6174999999998</v>
      </c>
      <c r="T5277" s="19" t="s">
        <v>117</v>
      </c>
      <c r="U5277" s="20" t="s">
        <v>35</v>
      </c>
      <c r="V5277" s="21">
        <v>116</v>
      </c>
      <c r="W5277" s="21">
        <v>4</v>
      </c>
      <c r="X5277" s="22"/>
    </row>
    <row r="5278" spans="1:24" s="1" customFormat="1" ht="11.1" customHeight="1" x14ac:dyDescent="0.3">
      <c r="A5278" s="23" t="s">
        <v>3014</v>
      </c>
      <c r="B5278" s="23" t="s">
        <v>4996</v>
      </c>
      <c r="C5278" s="12" t="s">
        <v>4998</v>
      </c>
      <c r="D5278" s="84"/>
      <c r="E5278" s="69" t="str">
        <f t="shared" si="296"/>
        <v>Еще фото</v>
      </c>
      <c r="F5278" s="13"/>
      <c r="G5278" s="23" t="s">
        <v>696</v>
      </c>
      <c r="H5278" s="23" t="s">
        <v>27</v>
      </c>
      <c r="I5278" s="23" t="s">
        <v>697</v>
      </c>
      <c r="J5278" s="14" t="s">
        <v>29</v>
      </c>
      <c r="K5278" s="15" t="s">
        <v>30</v>
      </c>
      <c r="L5278" s="87"/>
      <c r="M5278" s="14"/>
      <c r="N5278" s="14" t="s">
        <v>242</v>
      </c>
      <c r="O5278" s="14"/>
      <c r="P5278" s="15" t="s">
        <v>4945</v>
      </c>
      <c r="Q5278" s="16">
        <v>3299</v>
      </c>
      <c r="R5278" s="17">
        <v>45</v>
      </c>
      <c r="S5278" s="18">
        <v>2086.6174999999998</v>
      </c>
      <c r="T5278" s="19" t="s">
        <v>117</v>
      </c>
      <c r="U5278" s="20" t="s">
        <v>36</v>
      </c>
      <c r="V5278" s="21">
        <v>122</v>
      </c>
      <c r="W5278" s="21">
        <v>4</v>
      </c>
      <c r="X5278" s="22"/>
    </row>
    <row r="5279" spans="1:24" s="1" customFormat="1" ht="11.1" customHeight="1" x14ac:dyDescent="0.3">
      <c r="A5279" s="23" t="s">
        <v>3014</v>
      </c>
      <c r="B5279" s="23" t="s">
        <v>4996</v>
      </c>
      <c r="C5279" s="12" t="s">
        <v>4998</v>
      </c>
      <c r="D5279" s="84"/>
      <c r="E5279" s="69" t="str">
        <f t="shared" si="296"/>
        <v>Еще фото</v>
      </c>
      <c r="F5279" s="13"/>
      <c r="G5279" s="23" t="s">
        <v>696</v>
      </c>
      <c r="H5279" s="23" t="s">
        <v>27</v>
      </c>
      <c r="I5279" s="23" t="s">
        <v>697</v>
      </c>
      <c r="J5279" s="14" t="s">
        <v>29</v>
      </c>
      <c r="K5279" s="15" t="s">
        <v>30</v>
      </c>
      <c r="L5279" s="87"/>
      <c r="M5279" s="14"/>
      <c r="N5279" s="14" t="s">
        <v>242</v>
      </c>
      <c r="O5279" s="14"/>
      <c r="P5279" s="15" t="s">
        <v>4945</v>
      </c>
      <c r="Q5279" s="16">
        <v>3299</v>
      </c>
      <c r="R5279" s="17">
        <v>45</v>
      </c>
      <c r="S5279" s="18">
        <v>2086.6174999999998</v>
      </c>
      <c r="T5279" s="19" t="s">
        <v>117</v>
      </c>
      <c r="U5279" s="20" t="s">
        <v>37</v>
      </c>
      <c r="V5279" s="21">
        <v>128</v>
      </c>
      <c r="W5279" s="21">
        <v>4</v>
      </c>
      <c r="X5279" s="22"/>
    </row>
    <row r="5280" spans="1:24" s="1" customFormat="1" ht="11.1" customHeight="1" x14ac:dyDescent="0.3">
      <c r="A5280" s="23" t="s">
        <v>3014</v>
      </c>
      <c r="B5280" s="23" t="s">
        <v>4996</v>
      </c>
      <c r="C5280" s="12" t="s">
        <v>4998</v>
      </c>
      <c r="D5280" s="84"/>
      <c r="E5280" s="69" t="str">
        <f t="shared" si="296"/>
        <v>Еще фото</v>
      </c>
      <c r="F5280" s="13"/>
      <c r="G5280" s="23" t="s">
        <v>696</v>
      </c>
      <c r="H5280" s="23" t="s">
        <v>27</v>
      </c>
      <c r="I5280" s="23" t="s">
        <v>697</v>
      </c>
      <c r="J5280" s="14" t="s">
        <v>29</v>
      </c>
      <c r="K5280" s="15" t="s">
        <v>30</v>
      </c>
      <c r="L5280" s="87"/>
      <c r="M5280" s="14"/>
      <c r="N5280" s="14" t="s">
        <v>242</v>
      </c>
      <c r="O5280" s="14"/>
      <c r="P5280" s="15" t="s">
        <v>4945</v>
      </c>
      <c r="Q5280" s="16">
        <v>3299</v>
      </c>
      <c r="R5280" s="17">
        <v>45</v>
      </c>
      <c r="S5280" s="18">
        <v>2086.6174999999998</v>
      </c>
      <c r="T5280" s="19" t="s">
        <v>117</v>
      </c>
      <c r="U5280" s="20" t="s">
        <v>91</v>
      </c>
      <c r="V5280" s="21">
        <v>134</v>
      </c>
      <c r="W5280" s="21">
        <v>4</v>
      </c>
      <c r="X5280" s="22"/>
    </row>
    <row r="5281" spans="1:24" s="1" customFormat="1" ht="11.1" customHeight="1" x14ac:dyDescent="0.3">
      <c r="A5281" s="23" t="s">
        <v>3014</v>
      </c>
      <c r="B5281" s="23" t="s">
        <v>4996</v>
      </c>
      <c r="C5281" s="12" t="s">
        <v>4998</v>
      </c>
      <c r="D5281" s="84"/>
      <c r="E5281" s="69" t="str">
        <f t="shared" si="296"/>
        <v>Еще фото</v>
      </c>
      <c r="F5281" s="13"/>
      <c r="G5281" s="23" t="s">
        <v>696</v>
      </c>
      <c r="H5281" s="23" t="s">
        <v>27</v>
      </c>
      <c r="I5281" s="23" t="s">
        <v>697</v>
      </c>
      <c r="J5281" s="14" t="s">
        <v>29</v>
      </c>
      <c r="K5281" s="15" t="s">
        <v>30</v>
      </c>
      <c r="L5281" s="87"/>
      <c r="M5281" s="14"/>
      <c r="N5281" s="14" t="s">
        <v>242</v>
      </c>
      <c r="O5281" s="14"/>
      <c r="P5281" s="15" t="s">
        <v>4945</v>
      </c>
      <c r="Q5281" s="16">
        <v>3299</v>
      </c>
      <c r="R5281" s="17">
        <v>45</v>
      </c>
      <c r="S5281" s="18">
        <v>2086.6174999999998</v>
      </c>
      <c r="T5281" s="19" t="s">
        <v>117</v>
      </c>
      <c r="U5281" s="20" t="s">
        <v>290</v>
      </c>
      <c r="V5281" s="21">
        <v>140</v>
      </c>
      <c r="W5281" s="21">
        <v>3</v>
      </c>
      <c r="X5281" s="22"/>
    </row>
    <row r="5282" spans="1:24" s="1" customFormat="1" ht="11.1" customHeight="1" x14ac:dyDescent="0.3">
      <c r="A5282" s="23" t="s">
        <v>3014</v>
      </c>
      <c r="B5282" s="23" t="s">
        <v>4996</v>
      </c>
      <c r="C5282" s="12" t="s">
        <v>4998</v>
      </c>
      <c r="D5282" s="84"/>
      <c r="E5282" s="69" t="str">
        <f t="shared" si="296"/>
        <v>Еще фото</v>
      </c>
      <c r="F5282" s="13"/>
      <c r="G5282" s="23" t="s">
        <v>696</v>
      </c>
      <c r="H5282" s="23" t="s">
        <v>27</v>
      </c>
      <c r="I5282" s="23" t="s">
        <v>697</v>
      </c>
      <c r="J5282" s="14" t="s">
        <v>29</v>
      </c>
      <c r="K5282" s="15" t="s">
        <v>30</v>
      </c>
      <c r="L5282" s="87"/>
      <c r="M5282" s="14"/>
      <c r="N5282" s="14" t="s">
        <v>242</v>
      </c>
      <c r="O5282" s="14"/>
      <c r="P5282" s="15" t="s">
        <v>4945</v>
      </c>
      <c r="Q5282" s="16">
        <v>3299</v>
      </c>
      <c r="R5282" s="17">
        <v>45</v>
      </c>
      <c r="S5282" s="18">
        <v>2086.6174999999998</v>
      </c>
      <c r="T5282" s="19" t="s">
        <v>117</v>
      </c>
      <c r="U5282" s="20" t="s">
        <v>2161</v>
      </c>
      <c r="V5282" s="21">
        <v>164</v>
      </c>
      <c r="W5282" s="21">
        <v>1</v>
      </c>
      <c r="X5282" s="22"/>
    </row>
    <row r="5283" spans="1:24" s="1" customFormat="1" ht="11.1" customHeight="1" x14ac:dyDescent="0.3">
      <c r="A5283" s="23" t="s">
        <v>3014</v>
      </c>
      <c r="B5283" s="23" t="s">
        <v>4996</v>
      </c>
      <c r="C5283" s="12" t="s">
        <v>4998</v>
      </c>
      <c r="D5283" s="84"/>
      <c r="E5283" s="69" t="str">
        <f t="shared" si="296"/>
        <v>Еще фото</v>
      </c>
      <c r="F5283" s="13"/>
      <c r="G5283" s="23" t="s">
        <v>696</v>
      </c>
      <c r="H5283" s="23" t="s">
        <v>27</v>
      </c>
      <c r="I5283" s="23" t="s">
        <v>697</v>
      </c>
      <c r="J5283" s="14" t="s">
        <v>29</v>
      </c>
      <c r="K5283" s="15" t="s">
        <v>30</v>
      </c>
      <c r="L5283" s="87"/>
      <c r="M5283" s="14"/>
      <c r="N5283" s="14" t="s">
        <v>242</v>
      </c>
      <c r="O5283" s="14"/>
      <c r="P5283" s="15" t="s">
        <v>4945</v>
      </c>
      <c r="Q5283" s="16">
        <v>3299</v>
      </c>
      <c r="R5283" s="17">
        <v>45</v>
      </c>
      <c r="S5283" s="18">
        <v>2086.6174999999998</v>
      </c>
      <c r="T5283" s="19" t="s">
        <v>117</v>
      </c>
      <c r="U5283" s="20" t="s">
        <v>2993</v>
      </c>
      <c r="V5283" s="21">
        <v>146</v>
      </c>
      <c r="W5283" s="21">
        <v>4</v>
      </c>
      <c r="X5283" s="22"/>
    </row>
    <row r="5284" spans="1:24" s="1" customFormat="1" ht="11.1" customHeight="1" x14ac:dyDescent="0.3">
      <c r="A5284" s="14" t="s">
        <v>3014</v>
      </c>
      <c r="B5284" s="14" t="s">
        <v>4996</v>
      </c>
      <c r="C5284" s="12" t="s">
        <v>4998</v>
      </c>
      <c r="D5284" s="84"/>
      <c r="E5284" s="69" t="str">
        <f t="shared" si="296"/>
        <v>Еще фото</v>
      </c>
      <c r="F5284" s="36"/>
      <c r="G5284" s="14" t="s">
        <v>696</v>
      </c>
      <c r="H5284" s="14" t="s">
        <v>27</v>
      </c>
      <c r="I5284" s="14" t="s">
        <v>697</v>
      </c>
      <c r="J5284" s="14" t="s">
        <v>29</v>
      </c>
      <c r="K5284" s="14" t="s">
        <v>30</v>
      </c>
      <c r="L5284" s="87"/>
      <c r="M5284" s="14"/>
      <c r="N5284" s="14" t="s">
        <v>242</v>
      </c>
      <c r="O5284" s="14"/>
      <c r="P5284" s="14" t="s">
        <v>4945</v>
      </c>
      <c r="Q5284" s="33">
        <v>3299</v>
      </c>
      <c r="R5284" s="34">
        <v>45</v>
      </c>
      <c r="S5284" s="35">
        <v>2086.6174999999998</v>
      </c>
      <c r="T5284" s="19" t="s">
        <v>117</v>
      </c>
      <c r="U5284" s="20" t="s">
        <v>2160</v>
      </c>
      <c r="V5284" s="21">
        <v>152</v>
      </c>
      <c r="W5284" s="21">
        <v>2</v>
      </c>
      <c r="X5284" s="22"/>
    </row>
    <row r="5285" spans="1:24" s="1" customFormat="1" ht="11.1" customHeight="1" x14ac:dyDescent="0.3">
      <c r="A5285" s="14" t="s">
        <v>3014</v>
      </c>
      <c r="B5285" s="14" t="s">
        <v>4996</v>
      </c>
      <c r="C5285" s="12" t="s">
        <v>4998</v>
      </c>
      <c r="D5285" s="85"/>
      <c r="E5285" s="69" t="str">
        <f t="shared" si="296"/>
        <v>Еще фото</v>
      </c>
      <c r="F5285" s="36"/>
      <c r="G5285" s="14" t="s">
        <v>696</v>
      </c>
      <c r="H5285" s="14" t="s">
        <v>27</v>
      </c>
      <c r="I5285" s="14" t="s">
        <v>697</v>
      </c>
      <c r="J5285" s="14" t="s">
        <v>29</v>
      </c>
      <c r="K5285" s="14" t="s">
        <v>30</v>
      </c>
      <c r="L5285" s="88"/>
      <c r="M5285" s="14"/>
      <c r="N5285" s="14" t="s">
        <v>242</v>
      </c>
      <c r="O5285" s="14"/>
      <c r="P5285" s="14" t="s">
        <v>4945</v>
      </c>
      <c r="Q5285" s="33">
        <v>3299</v>
      </c>
      <c r="R5285" s="34">
        <v>45</v>
      </c>
      <c r="S5285" s="35">
        <v>2086.6174999999998</v>
      </c>
      <c r="T5285" s="19" t="s">
        <v>117</v>
      </c>
      <c r="U5285" s="20" t="s">
        <v>3088</v>
      </c>
      <c r="V5285" s="21">
        <v>158</v>
      </c>
      <c r="W5285" s="21">
        <v>3</v>
      </c>
      <c r="X5285" s="22"/>
    </row>
  </sheetData>
  <autoFilter ref="A3:X5285" xr:uid="{00000000-0009-0000-0000-000000000000}"/>
  <mergeCells count="1994">
    <mergeCell ref="D4:D6"/>
    <mergeCell ref="L4:L6"/>
    <mergeCell ref="D7:D10"/>
    <mergeCell ref="L7:L10"/>
    <mergeCell ref="D12:D13"/>
    <mergeCell ref="L12:L13"/>
    <mergeCell ref="D14:D17"/>
    <mergeCell ref="L14:L17"/>
    <mergeCell ref="D20:D21"/>
    <mergeCell ref="L20:L21"/>
    <mergeCell ref="D24:D31"/>
    <mergeCell ref="L24:L31"/>
    <mergeCell ref="D33:D35"/>
    <mergeCell ref="L33:L35"/>
    <mergeCell ref="D36:D40"/>
    <mergeCell ref="L36:L40"/>
    <mergeCell ref="D42:D43"/>
    <mergeCell ref="L42:L43"/>
    <mergeCell ref="D44:D45"/>
    <mergeCell ref="L44:L45"/>
    <mergeCell ref="D46:D47"/>
    <mergeCell ref="L46:L47"/>
    <mergeCell ref="D49:D55"/>
    <mergeCell ref="L49:L55"/>
    <mergeCell ref="D56:D60"/>
    <mergeCell ref="L56:L60"/>
    <mergeCell ref="D61:D62"/>
    <mergeCell ref="L61:L62"/>
    <mergeCell ref="D63:D66"/>
    <mergeCell ref="L63:L66"/>
    <mergeCell ref="D73:D77"/>
    <mergeCell ref="L73:L77"/>
    <mergeCell ref="D78:D80"/>
    <mergeCell ref="L78:L80"/>
    <mergeCell ref="D81:D85"/>
    <mergeCell ref="L81:L85"/>
    <mergeCell ref="D88:D89"/>
    <mergeCell ref="L88:L89"/>
    <mergeCell ref="D99:D100"/>
    <mergeCell ref="L99:L100"/>
    <mergeCell ref="D101:D102"/>
    <mergeCell ref="L101:L102"/>
    <mergeCell ref="D109:D110"/>
    <mergeCell ref="L109:L110"/>
    <mergeCell ref="D113:D116"/>
    <mergeCell ref="L113:L116"/>
    <mergeCell ref="D118:D122"/>
    <mergeCell ref="L118:L122"/>
    <mergeCell ref="D124:D128"/>
    <mergeCell ref="L124:L128"/>
    <mergeCell ref="D129:D131"/>
    <mergeCell ref="L129:L131"/>
    <mergeCell ref="D132:D135"/>
    <mergeCell ref="L132:L135"/>
    <mergeCell ref="D136:D140"/>
    <mergeCell ref="L136:L140"/>
    <mergeCell ref="D141:D145"/>
    <mergeCell ref="L141:L145"/>
    <mergeCell ref="D147:D149"/>
    <mergeCell ref="L147:L149"/>
    <mergeCell ref="D151:D155"/>
    <mergeCell ref="L151:L155"/>
    <mergeCell ref="D157:D159"/>
    <mergeCell ref="L157:L159"/>
    <mergeCell ref="D161:D166"/>
    <mergeCell ref="L161:L166"/>
    <mergeCell ref="D167:D175"/>
    <mergeCell ref="L167:L175"/>
    <mergeCell ref="D176:D184"/>
    <mergeCell ref="L176:L184"/>
    <mergeCell ref="D185:D189"/>
    <mergeCell ref="L185:L189"/>
    <mergeCell ref="D191:D194"/>
    <mergeCell ref="L191:L194"/>
    <mergeCell ref="D195:D201"/>
    <mergeCell ref="L195:L201"/>
    <mergeCell ref="D202:D206"/>
    <mergeCell ref="L202:L206"/>
    <mergeCell ref="D208:D209"/>
    <mergeCell ref="L208:L209"/>
    <mergeCell ref="D211:D214"/>
    <mergeCell ref="L211:L214"/>
    <mergeCell ref="D215:D221"/>
    <mergeCell ref="L215:L221"/>
    <mergeCell ref="D222:D226"/>
    <mergeCell ref="L222:L226"/>
    <mergeCell ref="D227:D230"/>
    <mergeCell ref="L227:L230"/>
    <mergeCell ref="D231:D236"/>
    <mergeCell ref="L231:L236"/>
    <mergeCell ref="D237:D241"/>
    <mergeCell ref="L237:L241"/>
    <mergeCell ref="D242:D244"/>
    <mergeCell ref="L242:L244"/>
    <mergeCell ref="D245:D248"/>
    <mergeCell ref="L245:L248"/>
    <mergeCell ref="D250:D252"/>
    <mergeCell ref="L250:L252"/>
    <mergeCell ref="D253:D257"/>
    <mergeCell ref="L253:L257"/>
    <mergeCell ref="D259:D266"/>
    <mergeCell ref="L259:L266"/>
    <mergeCell ref="D267:D270"/>
    <mergeCell ref="L267:L270"/>
    <mergeCell ref="D271:D274"/>
    <mergeCell ref="L271:L274"/>
    <mergeCell ref="D276:D281"/>
    <mergeCell ref="L276:L281"/>
    <mergeCell ref="D282:D284"/>
    <mergeCell ref="L282:L284"/>
    <mergeCell ref="D285:D286"/>
    <mergeCell ref="L285:L286"/>
    <mergeCell ref="D288:D289"/>
    <mergeCell ref="L288:L289"/>
    <mergeCell ref="D291:D294"/>
    <mergeCell ref="L291:L294"/>
    <mergeCell ref="D300:D302"/>
    <mergeCell ref="L300:L302"/>
    <mergeCell ref="D304:D308"/>
    <mergeCell ref="L304:L308"/>
    <mergeCell ref="D310:D311"/>
    <mergeCell ref="L310:L311"/>
    <mergeCell ref="D313:D314"/>
    <mergeCell ref="L313:L314"/>
    <mergeCell ref="D315:D316"/>
    <mergeCell ref="L315:L316"/>
    <mergeCell ref="D319:D322"/>
    <mergeCell ref="L319:L322"/>
    <mergeCell ref="D326:D328"/>
    <mergeCell ref="L326:L328"/>
    <mergeCell ref="D330:D333"/>
    <mergeCell ref="L330:L333"/>
    <mergeCell ref="D334:D338"/>
    <mergeCell ref="L334:L338"/>
    <mergeCell ref="D345:D346"/>
    <mergeCell ref="L345:L346"/>
    <mergeCell ref="D347:D348"/>
    <mergeCell ref="L347:L348"/>
    <mergeCell ref="D351:D352"/>
    <mergeCell ref="L351:L352"/>
    <mergeCell ref="D357:D358"/>
    <mergeCell ref="L357:L358"/>
    <mergeCell ref="D360:D362"/>
    <mergeCell ref="L360:L362"/>
    <mergeCell ref="D365:D372"/>
    <mergeCell ref="L365:L372"/>
    <mergeCell ref="D373:D380"/>
    <mergeCell ref="L373:L380"/>
    <mergeCell ref="D381:D384"/>
    <mergeCell ref="L381:L384"/>
    <mergeCell ref="D385:D387"/>
    <mergeCell ref="L385:L387"/>
    <mergeCell ref="D390:D393"/>
    <mergeCell ref="L390:L393"/>
    <mergeCell ref="D394:D395"/>
    <mergeCell ref="L394:L395"/>
    <mergeCell ref="D396:D399"/>
    <mergeCell ref="L396:L399"/>
    <mergeCell ref="D400:D402"/>
    <mergeCell ref="L400:L402"/>
    <mergeCell ref="D404:D408"/>
    <mergeCell ref="L404:L408"/>
    <mergeCell ref="D410:D414"/>
    <mergeCell ref="L410:L414"/>
    <mergeCell ref="D415:D416"/>
    <mergeCell ref="L415:L416"/>
    <mergeCell ref="D417:D418"/>
    <mergeCell ref="L417:L418"/>
    <mergeCell ref="D419:D422"/>
    <mergeCell ref="L419:L422"/>
    <mergeCell ref="D425:D427"/>
    <mergeCell ref="L425:L427"/>
    <mergeCell ref="D428:D429"/>
    <mergeCell ref="L428:L429"/>
    <mergeCell ref="D430:D435"/>
    <mergeCell ref="L430:L435"/>
    <mergeCell ref="D436:D441"/>
    <mergeCell ref="L436:L441"/>
    <mergeCell ref="D442:D443"/>
    <mergeCell ref="L442:L443"/>
    <mergeCell ref="D444:D446"/>
    <mergeCell ref="L444:L446"/>
    <mergeCell ref="D448:D449"/>
    <mergeCell ref="L448:L449"/>
    <mergeCell ref="D450:D452"/>
    <mergeCell ref="L450:L452"/>
    <mergeCell ref="D455:D457"/>
    <mergeCell ref="L455:L457"/>
    <mergeCell ref="D458:D464"/>
    <mergeCell ref="L458:L464"/>
    <mergeCell ref="D465:D466"/>
    <mergeCell ref="L465:L466"/>
    <mergeCell ref="D467:D468"/>
    <mergeCell ref="L467:L468"/>
    <mergeCell ref="D473:D480"/>
    <mergeCell ref="L473:L480"/>
    <mergeCell ref="D482:D484"/>
    <mergeCell ref="L482:L484"/>
    <mergeCell ref="D486:D493"/>
    <mergeCell ref="L486:L493"/>
    <mergeCell ref="D494:D502"/>
    <mergeCell ref="L494:L502"/>
    <mergeCell ref="D503:D509"/>
    <mergeCell ref="L503:L509"/>
    <mergeCell ref="D510:D516"/>
    <mergeCell ref="L510:L516"/>
    <mergeCell ref="D517:D522"/>
    <mergeCell ref="L517:L522"/>
    <mergeCell ref="D524:D525"/>
    <mergeCell ref="L524:L525"/>
    <mergeCell ref="D526:D528"/>
    <mergeCell ref="L526:L528"/>
    <mergeCell ref="D530:D533"/>
    <mergeCell ref="L530:L533"/>
    <mergeCell ref="D534:D536"/>
    <mergeCell ref="L534:L536"/>
    <mergeCell ref="D537:D539"/>
    <mergeCell ref="L537:L539"/>
    <mergeCell ref="D540:D546"/>
    <mergeCell ref="L540:L546"/>
    <mergeCell ref="D547:D552"/>
    <mergeCell ref="L547:L552"/>
    <mergeCell ref="D556:D559"/>
    <mergeCell ref="L556:L559"/>
    <mergeCell ref="D560:D566"/>
    <mergeCell ref="L560:L566"/>
    <mergeCell ref="D567:D571"/>
    <mergeCell ref="L567:L571"/>
    <mergeCell ref="D572:D581"/>
    <mergeCell ref="L572:L581"/>
    <mergeCell ref="D582:D589"/>
    <mergeCell ref="L582:L589"/>
    <mergeCell ref="D590:D595"/>
    <mergeCell ref="L590:L595"/>
    <mergeCell ref="D596:D599"/>
    <mergeCell ref="L596:L599"/>
    <mergeCell ref="D600:D610"/>
    <mergeCell ref="L600:L610"/>
    <mergeCell ref="D611:D619"/>
    <mergeCell ref="L611:L619"/>
    <mergeCell ref="D620:D624"/>
    <mergeCell ref="L620:L624"/>
    <mergeCell ref="D625:D628"/>
    <mergeCell ref="L625:L628"/>
    <mergeCell ref="D631:D634"/>
    <mergeCell ref="L631:L634"/>
    <mergeCell ref="D646:D647"/>
    <mergeCell ref="L646:L647"/>
    <mergeCell ref="D648:D650"/>
    <mergeCell ref="L648:L650"/>
    <mergeCell ref="D651:D652"/>
    <mergeCell ref="L651:L652"/>
    <mergeCell ref="D653:D655"/>
    <mergeCell ref="L653:L655"/>
    <mergeCell ref="D656:D657"/>
    <mergeCell ref="L656:L657"/>
    <mergeCell ref="D658:D661"/>
    <mergeCell ref="L658:L661"/>
    <mergeCell ref="D662:D670"/>
    <mergeCell ref="L662:L670"/>
    <mergeCell ref="D672:D673"/>
    <mergeCell ref="L672:L673"/>
    <mergeCell ref="D674:D675"/>
    <mergeCell ref="L674:L675"/>
    <mergeCell ref="D678:D680"/>
    <mergeCell ref="L678:L680"/>
    <mergeCell ref="D681:D683"/>
    <mergeCell ref="L681:L683"/>
    <mergeCell ref="D684:D685"/>
    <mergeCell ref="L684:L685"/>
    <mergeCell ref="D686:D687"/>
    <mergeCell ref="L686:L687"/>
    <mergeCell ref="D692:D697"/>
    <mergeCell ref="L692:L697"/>
    <mergeCell ref="D698:D700"/>
    <mergeCell ref="L698:L700"/>
    <mergeCell ref="D701:D705"/>
    <mergeCell ref="L701:L705"/>
    <mergeCell ref="D706:D709"/>
    <mergeCell ref="L706:L709"/>
    <mergeCell ref="D710:D718"/>
    <mergeCell ref="L710:L718"/>
    <mergeCell ref="D719:D725"/>
    <mergeCell ref="L719:L725"/>
    <mergeCell ref="D726:D727"/>
    <mergeCell ref="L726:L727"/>
    <mergeCell ref="D728:D729"/>
    <mergeCell ref="L728:L729"/>
    <mergeCell ref="D730:D732"/>
    <mergeCell ref="L730:L732"/>
    <mergeCell ref="D733:D738"/>
    <mergeCell ref="L733:L738"/>
    <mergeCell ref="D739:D742"/>
    <mergeCell ref="L739:L742"/>
    <mergeCell ref="D743:D744"/>
    <mergeCell ref="L743:L744"/>
    <mergeCell ref="D745:D746"/>
    <mergeCell ref="L745:L746"/>
    <mergeCell ref="D747:D750"/>
    <mergeCell ref="L747:L750"/>
    <mergeCell ref="D751:D758"/>
    <mergeCell ref="L751:L758"/>
    <mergeCell ref="D759:D762"/>
    <mergeCell ref="L759:L762"/>
    <mergeCell ref="D763:D771"/>
    <mergeCell ref="L763:L771"/>
    <mergeCell ref="D772:D776"/>
    <mergeCell ref="L772:L776"/>
    <mergeCell ref="D777:D784"/>
    <mergeCell ref="L777:L784"/>
    <mergeCell ref="D785:D791"/>
    <mergeCell ref="L785:L791"/>
    <mergeCell ref="D792:D796"/>
    <mergeCell ref="L792:L796"/>
    <mergeCell ref="D797:D804"/>
    <mergeCell ref="L797:L804"/>
    <mergeCell ref="D805:D807"/>
    <mergeCell ref="L805:L807"/>
    <mergeCell ref="D808:D810"/>
    <mergeCell ref="L808:L810"/>
    <mergeCell ref="D813:D814"/>
    <mergeCell ref="L813:L814"/>
    <mergeCell ref="D820:D821"/>
    <mergeCell ref="L820:L821"/>
    <mergeCell ref="D825:D827"/>
    <mergeCell ref="L825:L827"/>
    <mergeCell ref="D828:D832"/>
    <mergeCell ref="L828:L832"/>
    <mergeCell ref="D833:D838"/>
    <mergeCell ref="L833:L838"/>
    <mergeCell ref="D839:D844"/>
    <mergeCell ref="L839:L844"/>
    <mergeCell ref="D845:D851"/>
    <mergeCell ref="L845:L851"/>
    <mergeCell ref="D852:D857"/>
    <mergeCell ref="L852:L857"/>
    <mergeCell ref="D858:D863"/>
    <mergeCell ref="L858:L863"/>
    <mergeCell ref="D864:D871"/>
    <mergeCell ref="L864:L871"/>
    <mergeCell ref="D872:D881"/>
    <mergeCell ref="L872:L881"/>
    <mergeCell ref="D882:D892"/>
    <mergeCell ref="L882:L892"/>
    <mergeCell ref="D893:D899"/>
    <mergeCell ref="L893:L899"/>
    <mergeCell ref="D900:D911"/>
    <mergeCell ref="L900:L911"/>
    <mergeCell ref="D912:D921"/>
    <mergeCell ref="L912:L921"/>
    <mergeCell ref="D922:D929"/>
    <mergeCell ref="L922:L929"/>
    <mergeCell ref="D930:D938"/>
    <mergeCell ref="L930:L938"/>
    <mergeCell ref="D939:D949"/>
    <mergeCell ref="L939:L949"/>
    <mergeCell ref="D950:D955"/>
    <mergeCell ref="L950:L955"/>
    <mergeCell ref="D956:D958"/>
    <mergeCell ref="L956:L958"/>
    <mergeCell ref="D959:D960"/>
    <mergeCell ref="L959:L960"/>
    <mergeCell ref="D961:D964"/>
    <mergeCell ref="L961:L964"/>
    <mergeCell ref="D965:D969"/>
    <mergeCell ref="L965:L969"/>
    <mergeCell ref="D970:D980"/>
    <mergeCell ref="L970:L980"/>
    <mergeCell ref="D981:D991"/>
    <mergeCell ref="L981:L991"/>
    <mergeCell ref="D992:D1002"/>
    <mergeCell ref="L992:L1002"/>
    <mergeCell ref="D1003:D1006"/>
    <mergeCell ref="L1003:L1006"/>
    <mergeCell ref="D1007:D1012"/>
    <mergeCell ref="L1007:L1012"/>
    <mergeCell ref="D1013:D1019"/>
    <mergeCell ref="L1013:L1019"/>
    <mergeCell ref="D1020:D1028"/>
    <mergeCell ref="L1020:L1028"/>
    <mergeCell ref="D1029:D1040"/>
    <mergeCell ref="L1029:L1040"/>
    <mergeCell ref="D1041:D1047"/>
    <mergeCell ref="L1041:L1047"/>
    <mergeCell ref="D1048:D1055"/>
    <mergeCell ref="L1048:L1055"/>
    <mergeCell ref="D1056:D1061"/>
    <mergeCell ref="L1056:L1061"/>
    <mergeCell ref="D1062:D1069"/>
    <mergeCell ref="L1062:L1069"/>
    <mergeCell ref="D1070:D1077"/>
    <mergeCell ref="L1070:L1077"/>
    <mergeCell ref="D1089:D1092"/>
    <mergeCell ref="L1089:L1092"/>
    <mergeCell ref="D1094:D1097"/>
    <mergeCell ref="L1094:L1097"/>
    <mergeCell ref="D1098:D1099"/>
    <mergeCell ref="L1098:L1099"/>
    <mergeCell ref="D1101:D1103"/>
    <mergeCell ref="L1101:L1103"/>
    <mergeCell ref="D1105:D1109"/>
    <mergeCell ref="L1105:L1109"/>
    <mergeCell ref="D1110:D1114"/>
    <mergeCell ref="L1110:L1114"/>
    <mergeCell ref="D1116:D1120"/>
    <mergeCell ref="L1116:L1120"/>
    <mergeCell ref="D1121:D1124"/>
    <mergeCell ref="L1121:L1124"/>
    <mergeCell ref="D1125:D1127"/>
    <mergeCell ref="L1125:L1127"/>
    <mergeCell ref="D1128:D1129"/>
    <mergeCell ref="L1128:L1129"/>
    <mergeCell ref="D1132:D1136"/>
    <mergeCell ref="L1132:L1136"/>
    <mergeCell ref="D1137:D1138"/>
    <mergeCell ref="L1137:L1138"/>
    <mergeCell ref="D1139:D1143"/>
    <mergeCell ref="L1139:L1143"/>
    <mergeCell ref="D1145:D1149"/>
    <mergeCell ref="L1145:L1149"/>
    <mergeCell ref="D1150:D1151"/>
    <mergeCell ref="L1150:L1151"/>
    <mergeCell ref="D1152:D1154"/>
    <mergeCell ref="L1152:L1154"/>
    <mergeCell ref="D1156:D1159"/>
    <mergeCell ref="L1156:L1159"/>
    <mergeCell ref="D1160:D1164"/>
    <mergeCell ref="L1160:L1164"/>
    <mergeCell ref="D1167:D1170"/>
    <mergeCell ref="L1167:L1170"/>
    <mergeCell ref="D1171:D1176"/>
    <mergeCell ref="L1171:L1176"/>
    <mergeCell ref="D1177:D1182"/>
    <mergeCell ref="L1177:L1182"/>
    <mergeCell ref="D1183:D1185"/>
    <mergeCell ref="L1183:L1185"/>
    <mergeCell ref="D1187:D1189"/>
    <mergeCell ref="L1187:L1189"/>
    <mergeCell ref="D1199:D1201"/>
    <mergeCell ref="L1199:L1201"/>
    <mergeCell ref="D1202:D1203"/>
    <mergeCell ref="L1202:L1203"/>
    <mergeCell ref="D1204:D1209"/>
    <mergeCell ref="L1204:L1209"/>
    <mergeCell ref="D1210:D1214"/>
    <mergeCell ref="L1210:L1214"/>
    <mergeCell ref="D1218:D1220"/>
    <mergeCell ref="L1218:L1220"/>
    <mergeCell ref="D1221:D1223"/>
    <mergeCell ref="L1221:L1223"/>
    <mergeCell ref="D1228:D1229"/>
    <mergeCell ref="L1228:L1229"/>
    <mergeCell ref="D1231:D1232"/>
    <mergeCell ref="L1231:L1232"/>
    <mergeCell ref="D1233:D1235"/>
    <mergeCell ref="L1233:L1235"/>
    <mergeCell ref="D1236:D1238"/>
    <mergeCell ref="L1236:L1238"/>
    <mergeCell ref="D1239:D1240"/>
    <mergeCell ref="L1239:L1240"/>
    <mergeCell ref="D1243:D1244"/>
    <mergeCell ref="L1243:L1244"/>
    <mergeCell ref="D1248:D1251"/>
    <mergeCell ref="L1248:L1251"/>
    <mergeCell ref="D1254:D1256"/>
    <mergeCell ref="L1254:L1256"/>
    <mergeCell ref="D1260:D1261"/>
    <mergeCell ref="L1260:L1261"/>
    <mergeCell ref="D1265:D1267"/>
    <mergeCell ref="L1265:L1267"/>
    <mergeCell ref="D1268:D1270"/>
    <mergeCell ref="L1268:L1270"/>
    <mergeCell ref="D1290:D1291"/>
    <mergeCell ref="L1290:L1291"/>
    <mergeCell ref="D1306:D1311"/>
    <mergeCell ref="L1306:L1311"/>
    <mergeCell ref="D1312:D1313"/>
    <mergeCell ref="L1312:L1313"/>
    <mergeCell ref="D1314:D1315"/>
    <mergeCell ref="L1314:L1315"/>
    <mergeCell ref="D1316:D1321"/>
    <mergeCell ref="L1316:L1321"/>
    <mergeCell ref="D1322:D1324"/>
    <mergeCell ref="L1322:L1324"/>
    <mergeCell ref="D1325:D1326"/>
    <mergeCell ref="L1325:L1326"/>
    <mergeCell ref="D1327:D1328"/>
    <mergeCell ref="L1327:L1328"/>
    <mergeCell ref="D1330:D1331"/>
    <mergeCell ref="L1330:L1331"/>
    <mergeCell ref="D1332:D1333"/>
    <mergeCell ref="L1332:L1333"/>
    <mergeCell ref="D1340:D1341"/>
    <mergeCell ref="L1340:L1341"/>
    <mergeCell ref="D1342:D1350"/>
    <mergeCell ref="L1342:L1350"/>
    <mergeCell ref="D1594:D1597"/>
    <mergeCell ref="L1594:L1597"/>
    <mergeCell ref="D1598:D1599"/>
    <mergeCell ref="L1598:L1599"/>
    <mergeCell ref="D1600:D1604"/>
    <mergeCell ref="L1600:L1604"/>
    <mergeCell ref="D1605:D1608"/>
    <mergeCell ref="L1605:L1608"/>
    <mergeCell ref="D1609:D1612"/>
    <mergeCell ref="L1609:L1612"/>
    <mergeCell ref="D1613:D1616"/>
    <mergeCell ref="L1613:L1616"/>
    <mergeCell ref="D1617:D1618"/>
    <mergeCell ref="L1617:L1618"/>
    <mergeCell ref="D1619:D1622"/>
    <mergeCell ref="L1619:L1622"/>
    <mergeCell ref="D1623:D1624"/>
    <mergeCell ref="L1623:L1624"/>
    <mergeCell ref="D1625:D1628"/>
    <mergeCell ref="L1625:L1628"/>
    <mergeCell ref="D1629:D1632"/>
    <mergeCell ref="L1629:L1632"/>
    <mergeCell ref="D1633:D1635"/>
    <mergeCell ref="L1633:L1635"/>
    <mergeCell ref="D1636:D1638"/>
    <mergeCell ref="L1636:L1638"/>
    <mergeCell ref="D1639:D1640"/>
    <mergeCell ref="L1639:L1640"/>
    <mergeCell ref="D1641:D1643"/>
    <mergeCell ref="L1641:L1643"/>
    <mergeCell ref="D1644:D1647"/>
    <mergeCell ref="L1644:L1647"/>
    <mergeCell ref="D1649:D1651"/>
    <mergeCell ref="L1649:L1651"/>
    <mergeCell ref="D1652:D1656"/>
    <mergeCell ref="L1652:L1656"/>
    <mergeCell ref="D1657:D1659"/>
    <mergeCell ref="L1657:L1659"/>
    <mergeCell ref="D1660:D1662"/>
    <mergeCell ref="L1660:L1662"/>
    <mergeCell ref="D1663:D1666"/>
    <mergeCell ref="L1663:L1666"/>
    <mergeCell ref="D1667:D1668"/>
    <mergeCell ref="L1667:L1668"/>
    <mergeCell ref="D1679:D1680"/>
    <mergeCell ref="L1679:L1680"/>
    <mergeCell ref="D1682:D1686"/>
    <mergeCell ref="L1682:L1686"/>
    <mergeCell ref="D1687:D1690"/>
    <mergeCell ref="L1687:L1690"/>
    <mergeCell ref="D1691:D1692"/>
    <mergeCell ref="L1691:L1692"/>
    <mergeCell ref="D1693:D1696"/>
    <mergeCell ref="L1693:L1696"/>
    <mergeCell ref="D1697:D1699"/>
    <mergeCell ref="L1697:L1699"/>
    <mergeCell ref="D1701:D1702"/>
    <mergeCell ref="L1701:L1702"/>
    <mergeCell ref="D1703:D1704"/>
    <mergeCell ref="L1703:L1704"/>
    <mergeCell ref="D1705:D1706"/>
    <mergeCell ref="L1705:L1706"/>
    <mergeCell ref="D1710:D1711"/>
    <mergeCell ref="L1710:L1711"/>
    <mergeCell ref="D1713:D1714"/>
    <mergeCell ref="L1713:L1714"/>
    <mergeCell ref="D1715:D1718"/>
    <mergeCell ref="L1715:L1718"/>
    <mergeCell ref="D1719:D1722"/>
    <mergeCell ref="L1719:L1722"/>
    <mergeCell ref="D1723:D1726"/>
    <mergeCell ref="L1723:L1726"/>
    <mergeCell ref="D1727:D1730"/>
    <mergeCell ref="L1727:L1730"/>
    <mergeCell ref="D1731:D1733"/>
    <mergeCell ref="L1731:L1733"/>
    <mergeCell ref="D1734:D1735"/>
    <mergeCell ref="L1734:L1735"/>
    <mergeCell ref="D1736:D1738"/>
    <mergeCell ref="L1736:L1738"/>
    <mergeCell ref="D1739:D1741"/>
    <mergeCell ref="L1739:L1741"/>
    <mergeCell ref="D1742:D1745"/>
    <mergeCell ref="L1742:L1745"/>
    <mergeCell ref="D1746:D1748"/>
    <mergeCell ref="L1746:L1748"/>
    <mergeCell ref="D1749:D1751"/>
    <mergeCell ref="L1749:L1751"/>
    <mergeCell ref="D1752:D1754"/>
    <mergeCell ref="L1752:L1754"/>
    <mergeCell ref="D1757:D1758"/>
    <mergeCell ref="L1757:L1758"/>
    <mergeCell ref="D1761:D1763"/>
    <mergeCell ref="L1761:L1763"/>
    <mergeCell ref="D1764:D1765"/>
    <mergeCell ref="L1764:L1765"/>
    <mergeCell ref="D1766:D1767"/>
    <mergeCell ref="L1766:L1767"/>
    <mergeCell ref="D1771:D1773"/>
    <mergeCell ref="L1771:L1773"/>
    <mergeCell ref="D1775:D1776"/>
    <mergeCell ref="L1775:L1776"/>
    <mergeCell ref="D1779:D1781"/>
    <mergeCell ref="L1779:L1781"/>
    <mergeCell ref="D1782:D1784"/>
    <mergeCell ref="L1782:L1784"/>
    <mergeCell ref="D1785:D1788"/>
    <mergeCell ref="L1785:L1788"/>
    <mergeCell ref="D1789:D1792"/>
    <mergeCell ref="L1789:L1792"/>
    <mergeCell ref="D1793:D1794"/>
    <mergeCell ref="L1793:L1794"/>
    <mergeCell ref="D1795:D1797"/>
    <mergeCell ref="L1795:L1797"/>
    <mergeCell ref="D1802:D1803"/>
    <mergeCell ref="L1802:L1803"/>
    <mergeCell ref="D1804:D1805"/>
    <mergeCell ref="L1804:L1805"/>
    <mergeCell ref="D1809:D1810"/>
    <mergeCell ref="L1809:L1810"/>
    <mergeCell ref="D1811:D1814"/>
    <mergeCell ref="L1811:L1814"/>
    <mergeCell ref="D1818:D1820"/>
    <mergeCell ref="L1818:L1820"/>
    <mergeCell ref="D1832:D1834"/>
    <mergeCell ref="L1832:L1834"/>
    <mergeCell ref="D1835:D1837"/>
    <mergeCell ref="L1835:L1837"/>
    <mergeCell ref="D1838:D1840"/>
    <mergeCell ref="L1838:L1840"/>
    <mergeCell ref="D1841:D1842"/>
    <mergeCell ref="L1841:L1842"/>
    <mergeCell ref="D1843:D1845"/>
    <mergeCell ref="L1843:L1845"/>
    <mergeCell ref="D1846:D1847"/>
    <mergeCell ref="L1846:L1847"/>
    <mergeCell ref="D1848:D1850"/>
    <mergeCell ref="L1848:L1850"/>
    <mergeCell ref="D1851:D1853"/>
    <mergeCell ref="L1851:L1853"/>
    <mergeCell ref="D1854:D1856"/>
    <mergeCell ref="L1854:L1856"/>
    <mergeCell ref="D1857:D1859"/>
    <mergeCell ref="L1857:L1859"/>
    <mergeCell ref="D1860:D1861"/>
    <mergeCell ref="L1860:L1861"/>
    <mergeCell ref="D1862:D1863"/>
    <mergeCell ref="L1862:L1863"/>
    <mergeCell ref="D1864:D1866"/>
    <mergeCell ref="L1864:L1866"/>
    <mergeCell ref="D1867:D1868"/>
    <mergeCell ref="L1867:L1868"/>
    <mergeCell ref="D1871:D1872"/>
    <mergeCell ref="L1871:L1872"/>
    <mergeCell ref="D1873:D1875"/>
    <mergeCell ref="L1873:L1875"/>
    <mergeCell ref="D1876:D1878"/>
    <mergeCell ref="L1876:L1878"/>
    <mergeCell ref="D1879:D1881"/>
    <mergeCell ref="L1879:L1881"/>
    <mergeCell ref="D1882:D1884"/>
    <mergeCell ref="L1882:L1884"/>
    <mergeCell ref="D1885:D1887"/>
    <mergeCell ref="L1885:L1887"/>
    <mergeCell ref="D1888:D1890"/>
    <mergeCell ref="L1888:L1890"/>
    <mergeCell ref="D1894:D1895"/>
    <mergeCell ref="L1894:L1895"/>
    <mergeCell ref="D1898:D1899"/>
    <mergeCell ref="L1898:L1899"/>
    <mergeCell ref="D1900:D1902"/>
    <mergeCell ref="L1900:L1902"/>
    <mergeCell ref="D1904:D1906"/>
    <mergeCell ref="L1904:L1906"/>
    <mergeCell ref="D1907:D1908"/>
    <mergeCell ref="L1907:L1908"/>
    <mergeCell ref="D1909:D1911"/>
    <mergeCell ref="L1909:L1911"/>
    <mergeCell ref="D1912:D1913"/>
    <mergeCell ref="L1912:L1913"/>
    <mergeCell ref="D1914:D1915"/>
    <mergeCell ref="L1914:L1915"/>
    <mergeCell ref="D1916:D1917"/>
    <mergeCell ref="L1916:L1917"/>
    <mergeCell ref="D1921:D1923"/>
    <mergeCell ref="L1921:L1923"/>
    <mergeCell ref="D1924:D1926"/>
    <mergeCell ref="L1924:L1926"/>
    <mergeCell ref="D1927:D1928"/>
    <mergeCell ref="L1927:L1928"/>
    <mergeCell ref="D1929:D1930"/>
    <mergeCell ref="L1929:L1930"/>
    <mergeCell ref="D1931:D1933"/>
    <mergeCell ref="L1931:L1933"/>
    <mergeCell ref="D1934:D1935"/>
    <mergeCell ref="L1934:L1935"/>
    <mergeCell ref="D1936:D1938"/>
    <mergeCell ref="L1936:L1938"/>
    <mergeCell ref="D1939:D1941"/>
    <mergeCell ref="L1939:L1941"/>
    <mergeCell ref="D1942:D1943"/>
    <mergeCell ref="L1942:L1943"/>
    <mergeCell ref="D1949:D1950"/>
    <mergeCell ref="L1949:L1950"/>
    <mergeCell ref="D1952:D1953"/>
    <mergeCell ref="L1952:L1953"/>
    <mergeCell ref="D1961:D1963"/>
    <mergeCell ref="L1961:L1963"/>
    <mergeCell ref="D1966:D1967"/>
    <mergeCell ref="L1966:L1967"/>
    <mergeCell ref="D1968:D1969"/>
    <mergeCell ref="L1968:L1969"/>
    <mergeCell ref="D1970:D1971"/>
    <mergeCell ref="L1970:L1971"/>
    <mergeCell ref="D1973:D1975"/>
    <mergeCell ref="L1973:L1975"/>
    <mergeCell ref="D1977:D1978"/>
    <mergeCell ref="L1977:L1978"/>
    <mergeCell ref="D1985:D1986"/>
    <mergeCell ref="L1985:L1986"/>
    <mergeCell ref="D1989:D1991"/>
    <mergeCell ref="L1989:L1991"/>
    <mergeCell ref="D1992:D1994"/>
    <mergeCell ref="L1992:L1994"/>
    <mergeCell ref="D1996:D1998"/>
    <mergeCell ref="L1996:L1998"/>
    <mergeCell ref="D1999:D2001"/>
    <mergeCell ref="L1999:L2001"/>
    <mergeCell ref="D2002:D2004"/>
    <mergeCell ref="L2002:L2004"/>
    <mergeCell ref="D2007:D2008"/>
    <mergeCell ref="L2007:L2008"/>
    <mergeCell ref="D2009:D2010"/>
    <mergeCell ref="L2009:L2010"/>
    <mergeCell ref="D2013:D2015"/>
    <mergeCell ref="L2013:L2015"/>
    <mergeCell ref="D2018:D2021"/>
    <mergeCell ref="L2018:L2021"/>
    <mergeCell ref="D2022:D2025"/>
    <mergeCell ref="L2022:L2025"/>
    <mergeCell ref="D2026:D2028"/>
    <mergeCell ref="L2026:L2028"/>
    <mergeCell ref="D2029:D2032"/>
    <mergeCell ref="L2029:L2032"/>
    <mergeCell ref="D2033:D2035"/>
    <mergeCell ref="L2033:L2035"/>
    <mergeCell ref="D2036:D2039"/>
    <mergeCell ref="L2036:L2039"/>
    <mergeCell ref="D2040:D2043"/>
    <mergeCell ref="L2040:L2043"/>
    <mergeCell ref="D2044:D2047"/>
    <mergeCell ref="L2044:L2047"/>
    <mergeCell ref="D2053:D2057"/>
    <mergeCell ref="L2053:L2057"/>
    <mergeCell ref="D2058:D2062"/>
    <mergeCell ref="L2058:L2062"/>
    <mergeCell ref="D2063:D2066"/>
    <mergeCell ref="L2063:L2066"/>
    <mergeCell ref="D2067:D2068"/>
    <mergeCell ref="L2067:L2068"/>
    <mergeCell ref="D2073:D2076"/>
    <mergeCell ref="L2073:L2076"/>
    <mergeCell ref="D2077:D2080"/>
    <mergeCell ref="L2077:L2080"/>
    <mergeCell ref="D2081:D2084"/>
    <mergeCell ref="L2081:L2084"/>
    <mergeCell ref="D2085:D2087"/>
    <mergeCell ref="L2085:L2087"/>
    <mergeCell ref="D2088:D2091"/>
    <mergeCell ref="L2088:L2091"/>
    <mergeCell ref="D2092:D2095"/>
    <mergeCell ref="L2092:L2095"/>
    <mergeCell ref="D2096:D2099"/>
    <mergeCell ref="L2096:L2099"/>
    <mergeCell ref="D2100:D2104"/>
    <mergeCell ref="L2100:L2104"/>
    <mergeCell ref="D2105:D2110"/>
    <mergeCell ref="L2105:L2110"/>
    <mergeCell ref="D2111:D2116"/>
    <mergeCell ref="L2111:L2116"/>
    <mergeCell ref="D2117:D2119"/>
    <mergeCell ref="L2117:L2119"/>
    <mergeCell ref="D2120:D2121"/>
    <mergeCell ref="L2120:L2121"/>
    <mergeCell ref="D2122:D2124"/>
    <mergeCell ref="L2122:L2124"/>
    <mergeCell ref="D2125:D2128"/>
    <mergeCell ref="L2125:L2128"/>
    <mergeCell ref="D2129:D2132"/>
    <mergeCell ref="L2129:L2132"/>
    <mergeCell ref="D2134:D2138"/>
    <mergeCell ref="L2134:L2138"/>
    <mergeCell ref="D2139:D2140"/>
    <mergeCell ref="L2139:L2140"/>
    <mergeCell ref="D2141:D2143"/>
    <mergeCell ref="L2141:L2143"/>
    <mergeCell ref="D2144:D2145"/>
    <mergeCell ref="L2144:L2145"/>
    <mergeCell ref="D2147:D2149"/>
    <mergeCell ref="L2147:L2149"/>
    <mergeCell ref="D2155:D2158"/>
    <mergeCell ref="L2155:L2158"/>
    <mergeCell ref="D2159:D2163"/>
    <mergeCell ref="L2159:L2163"/>
    <mergeCell ref="D2164:D2167"/>
    <mergeCell ref="L2164:L2167"/>
    <mergeCell ref="D2168:D2169"/>
    <mergeCell ref="L2168:L2169"/>
    <mergeCell ref="D2170:D2171"/>
    <mergeCell ref="L2170:L2171"/>
    <mergeCell ref="D2172:D2173"/>
    <mergeCell ref="L2172:L2173"/>
    <mergeCell ref="D2174:D2175"/>
    <mergeCell ref="L2174:L2175"/>
    <mergeCell ref="D2178:D2180"/>
    <mergeCell ref="L2178:L2180"/>
    <mergeCell ref="D2188:D2189"/>
    <mergeCell ref="L2188:L2189"/>
    <mergeCell ref="D2194:D2195"/>
    <mergeCell ref="L2194:L2195"/>
    <mergeCell ref="D2197:D2199"/>
    <mergeCell ref="L2197:L2199"/>
    <mergeCell ref="D2200:D2203"/>
    <mergeCell ref="L2200:L2203"/>
    <mergeCell ref="D2204:D2207"/>
    <mergeCell ref="L2204:L2207"/>
    <mergeCell ref="D2208:D2210"/>
    <mergeCell ref="L2208:L2210"/>
    <mergeCell ref="D2212:D2213"/>
    <mergeCell ref="L2212:L2213"/>
    <mergeCell ref="D2215:D2217"/>
    <mergeCell ref="L2215:L2217"/>
    <mergeCell ref="D2218:D2220"/>
    <mergeCell ref="L2218:L2220"/>
    <mergeCell ref="D2221:D2226"/>
    <mergeCell ref="L2221:L2226"/>
    <mergeCell ref="D2228:D2229"/>
    <mergeCell ref="L2228:L2229"/>
    <mergeCell ref="D2230:D2231"/>
    <mergeCell ref="L2230:L2231"/>
    <mergeCell ref="D2232:D2234"/>
    <mergeCell ref="L2232:L2234"/>
    <mergeCell ref="D2236:D2237"/>
    <mergeCell ref="L2236:L2237"/>
    <mergeCell ref="D2240:D2242"/>
    <mergeCell ref="L2240:L2242"/>
    <mergeCell ref="D2243:D2244"/>
    <mergeCell ref="L2243:L2244"/>
    <mergeCell ref="D2245:D2247"/>
    <mergeCell ref="L2245:L2247"/>
    <mergeCell ref="D2248:D2249"/>
    <mergeCell ref="L2248:L2249"/>
    <mergeCell ref="D2253:D2254"/>
    <mergeCell ref="L2253:L2254"/>
    <mergeCell ref="D2256:D2259"/>
    <mergeCell ref="L2256:L2259"/>
    <mergeCell ref="D2260:D2261"/>
    <mergeCell ref="L2260:L2261"/>
    <mergeCell ref="D2262:D2265"/>
    <mergeCell ref="L2262:L2265"/>
    <mergeCell ref="D2267:D2277"/>
    <mergeCell ref="L2267:L2277"/>
    <mergeCell ref="D2278:D2288"/>
    <mergeCell ref="L2278:L2288"/>
    <mergeCell ref="D2289:D2295"/>
    <mergeCell ref="L2289:L2295"/>
    <mergeCell ref="D2296:D2304"/>
    <mergeCell ref="L2296:L2304"/>
    <mergeCell ref="D2305:D2312"/>
    <mergeCell ref="L2305:L2312"/>
    <mergeCell ref="D2313:D2318"/>
    <mergeCell ref="L2313:L2318"/>
    <mergeCell ref="D2319:D2329"/>
    <mergeCell ref="L2319:L2329"/>
    <mergeCell ref="D2330:D2334"/>
    <mergeCell ref="L2330:L2334"/>
    <mergeCell ref="D2335:D2342"/>
    <mergeCell ref="L2335:L2342"/>
    <mergeCell ref="D2343:D2345"/>
    <mergeCell ref="L2343:L2345"/>
    <mergeCell ref="D2346:D2349"/>
    <mergeCell ref="L2346:L2349"/>
    <mergeCell ref="D2350:D2351"/>
    <mergeCell ref="L2350:L2351"/>
    <mergeCell ref="D2354:D2358"/>
    <mergeCell ref="L2354:L2358"/>
    <mergeCell ref="D2360:D2367"/>
    <mergeCell ref="L2360:L2367"/>
    <mergeCell ref="D2368:D2372"/>
    <mergeCell ref="L2368:L2372"/>
    <mergeCell ref="D2373:D2379"/>
    <mergeCell ref="L2373:L2379"/>
    <mergeCell ref="D2380:D2382"/>
    <mergeCell ref="L2380:L2382"/>
    <mergeCell ref="D2383:D2386"/>
    <mergeCell ref="L2383:L2386"/>
    <mergeCell ref="D2387:D2393"/>
    <mergeCell ref="L2387:L2393"/>
    <mergeCell ref="D2394:D2395"/>
    <mergeCell ref="L2394:L2395"/>
    <mergeCell ref="D2397:D2403"/>
    <mergeCell ref="L2397:L2403"/>
    <mergeCell ref="D2404:D2410"/>
    <mergeCell ref="L2404:L2410"/>
    <mergeCell ref="D2411:D2418"/>
    <mergeCell ref="L2411:L2418"/>
    <mergeCell ref="D2419:D2420"/>
    <mergeCell ref="L2419:L2420"/>
    <mergeCell ref="D2421:D2428"/>
    <mergeCell ref="L2421:L2428"/>
    <mergeCell ref="D2430:D2432"/>
    <mergeCell ref="L2430:L2432"/>
    <mergeCell ref="D2433:D2436"/>
    <mergeCell ref="L2433:L2436"/>
    <mergeCell ref="D2437:D2444"/>
    <mergeCell ref="L2437:L2444"/>
    <mergeCell ref="D2445:D2450"/>
    <mergeCell ref="L2445:L2450"/>
    <mergeCell ref="D2451:D2454"/>
    <mergeCell ref="L2451:L2454"/>
    <mergeCell ref="D2455:D2458"/>
    <mergeCell ref="L2455:L2458"/>
    <mergeCell ref="D2459:D2462"/>
    <mergeCell ref="L2459:L2462"/>
    <mergeCell ref="D2463:D2466"/>
    <mergeCell ref="L2463:L2466"/>
    <mergeCell ref="D2467:D2473"/>
    <mergeCell ref="L2467:L2473"/>
    <mergeCell ref="D2474:D2477"/>
    <mergeCell ref="L2474:L2477"/>
    <mergeCell ref="D2478:D2483"/>
    <mergeCell ref="L2478:L2483"/>
    <mergeCell ref="D2484:D2487"/>
    <mergeCell ref="L2484:L2487"/>
    <mergeCell ref="D2488:D2492"/>
    <mergeCell ref="L2488:L2492"/>
    <mergeCell ref="D2493:D2496"/>
    <mergeCell ref="L2493:L2496"/>
    <mergeCell ref="D2497:D2502"/>
    <mergeCell ref="L2497:L2502"/>
    <mergeCell ref="D2503:D2504"/>
    <mergeCell ref="L2503:L2504"/>
    <mergeCell ref="D2505:D2506"/>
    <mergeCell ref="L2505:L2506"/>
    <mergeCell ref="D2507:D2509"/>
    <mergeCell ref="L2507:L2509"/>
    <mergeCell ref="D2510:D2512"/>
    <mergeCell ref="L2510:L2512"/>
    <mergeCell ref="D2513:D2515"/>
    <mergeCell ref="L2513:L2515"/>
    <mergeCell ref="D2517:D2518"/>
    <mergeCell ref="L2517:L2518"/>
    <mergeCell ref="D2520:D2530"/>
    <mergeCell ref="L2520:L2530"/>
    <mergeCell ref="D2531:D2541"/>
    <mergeCell ref="L2531:L2541"/>
    <mergeCell ref="D2542:D2545"/>
    <mergeCell ref="L2542:L2545"/>
    <mergeCell ref="D2546:D2548"/>
    <mergeCell ref="L2546:L2548"/>
    <mergeCell ref="D2549:D2551"/>
    <mergeCell ref="L2549:L2551"/>
    <mergeCell ref="D2552:D2561"/>
    <mergeCell ref="L2552:L2561"/>
    <mergeCell ref="D2563:D2569"/>
    <mergeCell ref="L2563:L2569"/>
    <mergeCell ref="D2570:D2575"/>
    <mergeCell ref="L2570:L2575"/>
    <mergeCell ref="D2576:D2582"/>
    <mergeCell ref="L2576:L2582"/>
    <mergeCell ref="D2583:D2588"/>
    <mergeCell ref="L2583:L2588"/>
    <mergeCell ref="D2589:D2593"/>
    <mergeCell ref="L2589:L2593"/>
    <mergeCell ref="D2594:D2598"/>
    <mergeCell ref="L2594:L2598"/>
    <mergeCell ref="D2599:D2600"/>
    <mergeCell ref="L2599:L2600"/>
    <mergeCell ref="D2601:D2602"/>
    <mergeCell ref="L2601:L2602"/>
    <mergeCell ref="D2603:D2604"/>
    <mergeCell ref="L2603:L2604"/>
    <mergeCell ref="D2605:D2606"/>
    <mergeCell ref="L2605:L2606"/>
    <mergeCell ref="D2608:D2609"/>
    <mergeCell ref="L2608:L2609"/>
    <mergeCell ref="D2610:D2611"/>
    <mergeCell ref="L2610:L2611"/>
    <mergeCell ref="D2612:D2614"/>
    <mergeCell ref="L2612:L2614"/>
    <mergeCell ref="D2616:D2617"/>
    <mergeCell ref="L2616:L2617"/>
    <mergeCell ref="D2618:D2619"/>
    <mergeCell ref="L2618:L2619"/>
    <mergeCell ref="D2620:D2624"/>
    <mergeCell ref="L2620:L2624"/>
    <mergeCell ref="D2625:D2628"/>
    <mergeCell ref="L2625:L2628"/>
    <mergeCell ref="D2629:D2631"/>
    <mergeCell ref="L2629:L2631"/>
    <mergeCell ref="D2632:D2637"/>
    <mergeCell ref="L2632:L2637"/>
    <mergeCell ref="D2638:D2643"/>
    <mergeCell ref="L2638:L2643"/>
    <mergeCell ref="D2644:D2647"/>
    <mergeCell ref="L2644:L2647"/>
    <mergeCell ref="D2648:D2651"/>
    <mergeCell ref="L2648:L2651"/>
    <mergeCell ref="D2652:D2655"/>
    <mergeCell ref="L2652:L2655"/>
    <mergeCell ref="D2656:D2658"/>
    <mergeCell ref="L2656:L2658"/>
    <mergeCell ref="D2660:D2662"/>
    <mergeCell ref="L2660:L2662"/>
    <mergeCell ref="D2669:D2671"/>
    <mergeCell ref="L2669:L2671"/>
    <mergeCell ref="D2672:D2675"/>
    <mergeCell ref="L2672:L2675"/>
    <mergeCell ref="D2677:D2678"/>
    <mergeCell ref="L2677:L2678"/>
    <mergeCell ref="D2679:D2681"/>
    <mergeCell ref="L2679:L2681"/>
    <mergeCell ref="D2682:D2684"/>
    <mergeCell ref="L2682:L2684"/>
    <mergeCell ref="D2685:D2687"/>
    <mergeCell ref="L2685:L2687"/>
    <mergeCell ref="D2689:D2695"/>
    <mergeCell ref="L2689:L2695"/>
    <mergeCell ref="D2696:D2700"/>
    <mergeCell ref="L2696:L2700"/>
    <mergeCell ref="D2701:D2705"/>
    <mergeCell ref="L2701:L2705"/>
    <mergeCell ref="D2706:D2709"/>
    <mergeCell ref="L2706:L2709"/>
    <mergeCell ref="D2710:D2716"/>
    <mergeCell ref="L2710:L2716"/>
    <mergeCell ref="D2717:D2723"/>
    <mergeCell ref="L2717:L2723"/>
    <mergeCell ref="D2724:D2727"/>
    <mergeCell ref="L2724:L2727"/>
    <mergeCell ref="D2728:D2732"/>
    <mergeCell ref="L2728:L2732"/>
    <mergeCell ref="D2733:D2734"/>
    <mergeCell ref="L2733:L2734"/>
    <mergeCell ref="D2735:D2740"/>
    <mergeCell ref="L2735:L2740"/>
    <mergeCell ref="D2741:D2742"/>
    <mergeCell ref="L2741:L2742"/>
    <mergeCell ref="D2743:D2745"/>
    <mergeCell ref="L2743:L2745"/>
    <mergeCell ref="D2747:D2748"/>
    <mergeCell ref="L2747:L2748"/>
    <mergeCell ref="D2749:D2750"/>
    <mergeCell ref="L2749:L2750"/>
    <mergeCell ref="D2752:D2754"/>
    <mergeCell ref="L2752:L2754"/>
    <mergeCell ref="D2755:D2757"/>
    <mergeCell ref="L2755:L2757"/>
    <mergeCell ref="D2759:D2764"/>
    <mergeCell ref="L2759:L2764"/>
    <mergeCell ref="D2765:D2768"/>
    <mergeCell ref="L2765:L2768"/>
    <mergeCell ref="D2770:D2772"/>
    <mergeCell ref="L2770:L2772"/>
    <mergeCell ref="D2773:D2774"/>
    <mergeCell ref="L2773:L2774"/>
    <mergeCell ref="D2776:D2778"/>
    <mergeCell ref="L2776:L2778"/>
    <mergeCell ref="D2779:D2781"/>
    <mergeCell ref="L2779:L2781"/>
    <mergeCell ref="D2783:D2785"/>
    <mergeCell ref="L2783:L2785"/>
    <mergeCell ref="D2786:D2793"/>
    <mergeCell ref="L2786:L2793"/>
    <mergeCell ref="D2794:D2800"/>
    <mergeCell ref="L2794:L2800"/>
    <mergeCell ref="D2801:D2805"/>
    <mergeCell ref="L2801:L2805"/>
    <mergeCell ref="D2807:D2815"/>
    <mergeCell ref="L2807:L2815"/>
    <mergeCell ref="D2816:D2820"/>
    <mergeCell ref="L2816:L2820"/>
    <mergeCell ref="D2821:D2825"/>
    <mergeCell ref="L2821:L2825"/>
    <mergeCell ref="D2826:D2829"/>
    <mergeCell ref="L2826:L2829"/>
    <mergeCell ref="D2830:D2833"/>
    <mergeCell ref="L2830:L2833"/>
    <mergeCell ref="D2834:D2837"/>
    <mergeCell ref="L2834:L2837"/>
    <mergeCell ref="D2838:D2842"/>
    <mergeCell ref="L2838:L2842"/>
    <mergeCell ref="D2843:D2849"/>
    <mergeCell ref="L2843:L2849"/>
    <mergeCell ref="D2850:D2854"/>
    <mergeCell ref="L2850:L2854"/>
    <mergeCell ref="D2855:D2860"/>
    <mergeCell ref="L2855:L2860"/>
    <mergeCell ref="D2861:D2864"/>
    <mergeCell ref="L2861:L2864"/>
    <mergeCell ref="D2866:D2867"/>
    <mergeCell ref="L2866:L2867"/>
    <mergeCell ref="D2868:D2875"/>
    <mergeCell ref="L2868:L2875"/>
    <mergeCell ref="D2876:D2880"/>
    <mergeCell ref="L2876:L2880"/>
    <mergeCell ref="D2881:D2886"/>
    <mergeCell ref="L2881:L2886"/>
    <mergeCell ref="D2887:D2891"/>
    <mergeCell ref="L2887:L2891"/>
    <mergeCell ref="D2892:D2895"/>
    <mergeCell ref="L2892:L2895"/>
    <mergeCell ref="D2896:D2900"/>
    <mergeCell ref="L2896:L2900"/>
    <mergeCell ref="D2901:D2904"/>
    <mergeCell ref="L2901:L2904"/>
    <mergeCell ref="D2905:D2908"/>
    <mergeCell ref="L2905:L2908"/>
    <mergeCell ref="D2909:D2912"/>
    <mergeCell ref="L2909:L2912"/>
    <mergeCell ref="D2913:D2916"/>
    <mergeCell ref="L2913:L2916"/>
    <mergeCell ref="D2917:D2920"/>
    <mergeCell ref="L2917:L2920"/>
    <mergeCell ref="D2922:D2924"/>
    <mergeCell ref="L2922:L2924"/>
    <mergeCell ref="D2925:D2928"/>
    <mergeCell ref="L2925:L2928"/>
    <mergeCell ref="D2929:D2932"/>
    <mergeCell ref="L2929:L2932"/>
    <mergeCell ref="D2933:D2939"/>
    <mergeCell ref="L2933:L2939"/>
    <mergeCell ref="D2940:D2941"/>
    <mergeCell ref="L2940:L2941"/>
    <mergeCell ref="D2942:D2951"/>
    <mergeCell ref="L2942:L2951"/>
    <mergeCell ref="D2952:D2962"/>
    <mergeCell ref="L2952:L2962"/>
    <mergeCell ref="D2963:D2967"/>
    <mergeCell ref="L2963:L2967"/>
    <mergeCell ref="D2968:D2973"/>
    <mergeCell ref="L2968:L2973"/>
    <mergeCell ref="D2974:D2980"/>
    <mergeCell ref="L2974:L2980"/>
    <mergeCell ref="D2982:D2986"/>
    <mergeCell ref="L2982:L2986"/>
    <mergeCell ref="D2987:D2992"/>
    <mergeCell ref="L2987:L2992"/>
    <mergeCell ref="D2994:D2996"/>
    <mergeCell ref="L2994:L2996"/>
    <mergeCell ref="D2997:D3005"/>
    <mergeCell ref="L2997:L3005"/>
    <mergeCell ref="D3006:D3010"/>
    <mergeCell ref="L3006:L3010"/>
    <mergeCell ref="D3011:D3013"/>
    <mergeCell ref="L3011:L3013"/>
    <mergeCell ref="D3014:D3021"/>
    <mergeCell ref="L3014:L3021"/>
    <mergeCell ref="D3023:D3027"/>
    <mergeCell ref="L3023:L3027"/>
    <mergeCell ref="D3028:D3031"/>
    <mergeCell ref="L3028:L3031"/>
    <mergeCell ref="D3032:D3035"/>
    <mergeCell ref="L3032:L3035"/>
    <mergeCell ref="D3036:D3045"/>
    <mergeCell ref="L3036:L3045"/>
    <mergeCell ref="D3046:D3053"/>
    <mergeCell ref="L3046:L3053"/>
    <mergeCell ref="D3054:D3057"/>
    <mergeCell ref="L3054:L3057"/>
    <mergeCell ref="D3058:D3064"/>
    <mergeCell ref="L3058:L3064"/>
    <mergeCell ref="D3065:D3069"/>
    <mergeCell ref="L3065:L3069"/>
    <mergeCell ref="D3070:D3075"/>
    <mergeCell ref="L3070:L3075"/>
    <mergeCell ref="D3079:D3082"/>
    <mergeCell ref="L3079:L3082"/>
    <mergeCell ref="D3083:D3087"/>
    <mergeCell ref="L3083:L3087"/>
    <mergeCell ref="D3088:D3092"/>
    <mergeCell ref="L3088:L3092"/>
    <mergeCell ref="D3093:D3097"/>
    <mergeCell ref="L3093:L3097"/>
    <mergeCell ref="D3098:D3099"/>
    <mergeCell ref="L3098:L3099"/>
    <mergeCell ref="D3100:D3104"/>
    <mergeCell ref="L3100:L3104"/>
    <mergeCell ref="D3105:D3109"/>
    <mergeCell ref="L3105:L3109"/>
    <mergeCell ref="D3110:D3113"/>
    <mergeCell ref="L3110:L3113"/>
    <mergeCell ref="D3114:D3117"/>
    <mergeCell ref="L3114:L3117"/>
    <mergeCell ref="D3118:D3122"/>
    <mergeCell ref="L3118:L3122"/>
    <mergeCell ref="D3123:D3126"/>
    <mergeCell ref="L3123:L3126"/>
    <mergeCell ref="D3127:D3129"/>
    <mergeCell ref="L3127:L3129"/>
    <mergeCell ref="D3130:D3134"/>
    <mergeCell ref="L3130:L3134"/>
    <mergeCell ref="D3135:D3138"/>
    <mergeCell ref="L3135:L3138"/>
    <mergeCell ref="D3139:D3145"/>
    <mergeCell ref="L3139:L3145"/>
    <mergeCell ref="D3146:D3153"/>
    <mergeCell ref="L3146:L3153"/>
    <mergeCell ref="D3154:D3163"/>
    <mergeCell ref="L3154:L3163"/>
    <mergeCell ref="D3164:D3171"/>
    <mergeCell ref="L3164:L3171"/>
    <mergeCell ref="D3172:D3178"/>
    <mergeCell ref="L3172:L3178"/>
    <mergeCell ref="D3180:D3182"/>
    <mergeCell ref="L3180:L3182"/>
    <mergeCell ref="D3185:D3186"/>
    <mergeCell ref="L3185:L3186"/>
    <mergeCell ref="D3189:D3190"/>
    <mergeCell ref="L3189:L3190"/>
    <mergeCell ref="D3191:D3192"/>
    <mergeCell ref="L3191:L3192"/>
    <mergeCell ref="D3193:D3194"/>
    <mergeCell ref="L3193:L3194"/>
    <mergeCell ref="D3195:D3196"/>
    <mergeCell ref="L3195:L3196"/>
    <mergeCell ref="D3197:D3200"/>
    <mergeCell ref="L3197:L3200"/>
    <mergeCell ref="D3201:D3205"/>
    <mergeCell ref="L3201:L3205"/>
    <mergeCell ref="D3206:D3207"/>
    <mergeCell ref="L3206:L3207"/>
    <mergeCell ref="D3208:D3211"/>
    <mergeCell ref="L3208:L3211"/>
    <mergeCell ref="D3212:D3216"/>
    <mergeCell ref="L3212:L3216"/>
    <mergeCell ref="D3217:D3219"/>
    <mergeCell ref="L3217:L3219"/>
    <mergeCell ref="D3220:D3221"/>
    <mergeCell ref="L3220:L3221"/>
    <mergeCell ref="D3222:D3230"/>
    <mergeCell ref="L3222:L3230"/>
    <mergeCell ref="D3231:D3232"/>
    <mergeCell ref="L3231:L3232"/>
    <mergeCell ref="D3233:D3235"/>
    <mergeCell ref="L3233:L3235"/>
    <mergeCell ref="D3236:D3241"/>
    <mergeCell ref="L3236:L3241"/>
    <mergeCell ref="D3242:D3243"/>
    <mergeCell ref="L3242:L3243"/>
    <mergeCell ref="D3244:D3246"/>
    <mergeCell ref="L3244:L3246"/>
    <mergeCell ref="D3247:D3248"/>
    <mergeCell ref="L3247:L3248"/>
    <mergeCell ref="D3249:D3250"/>
    <mergeCell ref="L3249:L3250"/>
    <mergeCell ref="D3251:D3257"/>
    <mergeCell ref="L3251:L3257"/>
    <mergeCell ref="D3258:D3264"/>
    <mergeCell ref="L3258:L3264"/>
    <mergeCell ref="D3265:D3268"/>
    <mergeCell ref="L3265:L3268"/>
    <mergeCell ref="D3269:D3274"/>
    <mergeCell ref="L3269:L3274"/>
    <mergeCell ref="D3275:D3279"/>
    <mergeCell ref="L3275:L3279"/>
    <mergeCell ref="D3280:D3289"/>
    <mergeCell ref="L3280:L3289"/>
    <mergeCell ref="D3290:D3297"/>
    <mergeCell ref="L3290:L3297"/>
    <mergeCell ref="D3298:D3306"/>
    <mergeCell ref="L3298:L3306"/>
    <mergeCell ref="D3307:D3312"/>
    <mergeCell ref="L3307:L3312"/>
    <mergeCell ref="D3313:D3319"/>
    <mergeCell ref="L3313:L3319"/>
    <mergeCell ref="D3320:D3325"/>
    <mergeCell ref="L3320:L3325"/>
    <mergeCell ref="D3326:D3333"/>
    <mergeCell ref="L3326:L3333"/>
    <mergeCell ref="D3334:D3341"/>
    <mergeCell ref="L3334:L3341"/>
    <mergeCell ref="D3342:D3349"/>
    <mergeCell ref="L3342:L3349"/>
    <mergeCell ref="D3350:D3359"/>
    <mergeCell ref="L3350:L3359"/>
    <mergeCell ref="D3360:D3367"/>
    <mergeCell ref="L3360:L3367"/>
    <mergeCell ref="D3368:D3372"/>
    <mergeCell ref="L3368:L3372"/>
    <mergeCell ref="D3373:D3378"/>
    <mergeCell ref="L3373:L3378"/>
    <mergeCell ref="D3379:D3380"/>
    <mergeCell ref="L3379:L3380"/>
    <mergeCell ref="D3381:D3387"/>
    <mergeCell ref="L3381:L3387"/>
    <mergeCell ref="D3388:D3396"/>
    <mergeCell ref="L3388:L3396"/>
    <mergeCell ref="D3397:D3404"/>
    <mergeCell ref="L3397:L3404"/>
    <mergeCell ref="D3405:D3407"/>
    <mergeCell ref="L3405:L3407"/>
    <mergeCell ref="D3408:D3415"/>
    <mergeCell ref="L3408:L3415"/>
    <mergeCell ref="D3416:D3423"/>
    <mergeCell ref="L3416:L3423"/>
    <mergeCell ref="D3424:D3430"/>
    <mergeCell ref="L3424:L3430"/>
    <mergeCell ref="D3431:D3442"/>
    <mergeCell ref="L3431:L3442"/>
    <mergeCell ref="D3444:D3452"/>
    <mergeCell ref="L3444:L3452"/>
    <mergeCell ref="D3453:D3459"/>
    <mergeCell ref="L3453:L3459"/>
    <mergeCell ref="D3460:D3464"/>
    <mergeCell ref="L3460:L3464"/>
    <mergeCell ref="D3465:D3469"/>
    <mergeCell ref="L3465:L3469"/>
    <mergeCell ref="D3471:D3476"/>
    <mergeCell ref="L3471:L3476"/>
    <mergeCell ref="D3477:D3482"/>
    <mergeCell ref="L3477:L3482"/>
    <mergeCell ref="D3483:D3487"/>
    <mergeCell ref="L3483:L3487"/>
    <mergeCell ref="D3488:D3493"/>
    <mergeCell ref="L3488:L3493"/>
    <mergeCell ref="D3494:D3497"/>
    <mergeCell ref="L3494:L3497"/>
    <mergeCell ref="D3498:D3499"/>
    <mergeCell ref="L3498:L3499"/>
    <mergeCell ref="D3500:D3502"/>
    <mergeCell ref="L3500:L3502"/>
    <mergeCell ref="D3505:D3510"/>
    <mergeCell ref="L3505:L3510"/>
    <mergeCell ref="D3511:D3513"/>
    <mergeCell ref="L3511:L3513"/>
    <mergeCell ref="D3514:D3520"/>
    <mergeCell ref="L3514:L3520"/>
    <mergeCell ref="D3521:D3525"/>
    <mergeCell ref="L3521:L3525"/>
    <mergeCell ref="D3526:D3530"/>
    <mergeCell ref="L3526:L3530"/>
    <mergeCell ref="D3531:D3534"/>
    <mergeCell ref="L3531:L3534"/>
    <mergeCell ref="D3536:D3540"/>
    <mergeCell ref="L3536:L3540"/>
    <mergeCell ref="D3541:D3545"/>
    <mergeCell ref="L3541:L3545"/>
    <mergeCell ref="D3546:D3548"/>
    <mergeCell ref="L3546:L3548"/>
    <mergeCell ref="D3549:D3550"/>
    <mergeCell ref="L3549:L3550"/>
    <mergeCell ref="D3551:D3556"/>
    <mergeCell ref="L3551:L3556"/>
    <mergeCell ref="D3557:D3559"/>
    <mergeCell ref="L3557:L3559"/>
    <mergeCell ref="D3560:D3562"/>
    <mergeCell ref="L3560:L3562"/>
    <mergeCell ref="D3563:D3567"/>
    <mergeCell ref="L3563:L3567"/>
    <mergeCell ref="D3568:D3574"/>
    <mergeCell ref="L3568:L3574"/>
    <mergeCell ref="D3575:D3578"/>
    <mergeCell ref="L3575:L3578"/>
    <mergeCell ref="D3579:D3583"/>
    <mergeCell ref="L3579:L3583"/>
    <mergeCell ref="D3584:D3589"/>
    <mergeCell ref="L3584:L3589"/>
    <mergeCell ref="D3590:D3593"/>
    <mergeCell ref="L3590:L3593"/>
    <mergeCell ref="D3594:D3598"/>
    <mergeCell ref="L3594:L3598"/>
    <mergeCell ref="D3599:D3605"/>
    <mergeCell ref="L3599:L3605"/>
    <mergeCell ref="D3606:D3607"/>
    <mergeCell ref="L3606:L3607"/>
    <mergeCell ref="D3608:D3612"/>
    <mergeCell ref="L3608:L3612"/>
    <mergeCell ref="D3613:D3614"/>
    <mergeCell ref="L3613:L3614"/>
    <mergeCell ref="D3615:D3616"/>
    <mergeCell ref="L3615:L3616"/>
    <mergeCell ref="D3617:D3621"/>
    <mergeCell ref="L3617:L3621"/>
    <mergeCell ref="D3622:D3626"/>
    <mergeCell ref="L3622:L3626"/>
    <mergeCell ref="D3627:D3629"/>
    <mergeCell ref="L3627:L3629"/>
    <mergeCell ref="D3630:D3633"/>
    <mergeCell ref="L3630:L3633"/>
    <mergeCell ref="D3638:D3639"/>
    <mergeCell ref="L3638:L3639"/>
    <mergeCell ref="D3642:D3643"/>
    <mergeCell ref="L3642:L3643"/>
    <mergeCell ref="D3644:D3645"/>
    <mergeCell ref="L3644:L3645"/>
    <mergeCell ref="D3646:D3647"/>
    <mergeCell ref="L3646:L3647"/>
    <mergeCell ref="D3648:D3651"/>
    <mergeCell ref="L3648:L3651"/>
    <mergeCell ref="D3652:D3654"/>
    <mergeCell ref="L3652:L3654"/>
    <mergeCell ref="D3655:D3656"/>
    <mergeCell ref="L3655:L3656"/>
    <mergeCell ref="D3658:D3660"/>
    <mergeCell ref="L3658:L3660"/>
    <mergeCell ref="D3661:D3663"/>
    <mergeCell ref="L3661:L3663"/>
    <mergeCell ref="D3665:D3666"/>
    <mergeCell ref="L3665:L3666"/>
    <mergeCell ref="D3667:D3668"/>
    <mergeCell ref="L3667:L3668"/>
    <mergeCell ref="D3669:D3672"/>
    <mergeCell ref="L3669:L3672"/>
    <mergeCell ref="D3673:D3674"/>
    <mergeCell ref="L3673:L3674"/>
    <mergeCell ref="D3675:D3679"/>
    <mergeCell ref="L3675:L3679"/>
    <mergeCell ref="D3680:D3685"/>
    <mergeCell ref="L3680:L3685"/>
    <mergeCell ref="D3686:D3687"/>
    <mergeCell ref="L3686:L3687"/>
    <mergeCell ref="D3688:D3689"/>
    <mergeCell ref="L3688:L3689"/>
    <mergeCell ref="D3690:D3700"/>
    <mergeCell ref="L3690:L3700"/>
    <mergeCell ref="D3701:D3705"/>
    <mergeCell ref="L3701:L3705"/>
    <mergeCell ref="D3708:D3714"/>
    <mergeCell ref="L3708:L3714"/>
    <mergeCell ref="D3715:D3718"/>
    <mergeCell ref="L3715:L3718"/>
    <mergeCell ref="D3720:D3721"/>
    <mergeCell ref="L3720:L3721"/>
    <mergeCell ref="D3722:D3724"/>
    <mergeCell ref="L3722:L3724"/>
    <mergeCell ref="D3725:D3731"/>
    <mergeCell ref="L3725:L3731"/>
    <mergeCell ref="D3732:D3735"/>
    <mergeCell ref="L3732:L3735"/>
    <mergeCell ref="D3736:D3745"/>
    <mergeCell ref="L3736:L3745"/>
    <mergeCell ref="D3746:D3750"/>
    <mergeCell ref="L3746:L3750"/>
    <mergeCell ref="D3752:D3753"/>
    <mergeCell ref="L3752:L3753"/>
    <mergeCell ref="D3754:D3755"/>
    <mergeCell ref="L3754:L3755"/>
    <mergeCell ref="D3756:D3757"/>
    <mergeCell ref="L3756:L3757"/>
    <mergeCell ref="D3758:D3759"/>
    <mergeCell ref="L3758:L3759"/>
    <mergeCell ref="D3760:D3762"/>
    <mergeCell ref="L3760:L3762"/>
    <mergeCell ref="D3764:D3766"/>
    <mergeCell ref="L3764:L3766"/>
    <mergeCell ref="D3767:D3769"/>
    <mergeCell ref="L3767:L3769"/>
    <mergeCell ref="D3770:D3771"/>
    <mergeCell ref="L3770:L3771"/>
    <mergeCell ref="D3772:D3778"/>
    <mergeCell ref="L3772:L3778"/>
    <mergeCell ref="D3779:D3781"/>
    <mergeCell ref="L3779:L3781"/>
    <mergeCell ref="D3782:D3783"/>
    <mergeCell ref="L3782:L3783"/>
    <mergeCell ref="D3784:D3789"/>
    <mergeCell ref="L3784:L3789"/>
    <mergeCell ref="D3790:D3791"/>
    <mergeCell ref="L3790:L3791"/>
    <mergeCell ref="D3792:D3798"/>
    <mergeCell ref="L3792:L3798"/>
    <mergeCell ref="D3803:D3806"/>
    <mergeCell ref="L3803:L3806"/>
    <mergeCell ref="D3810:D3813"/>
    <mergeCell ref="L3810:L3813"/>
    <mergeCell ref="D3815:D3816"/>
    <mergeCell ref="L3815:L3816"/>
    <mergeCell ref="D3818:D3823"/>
    <mergeCell ref="L3818:L3823"/>
    <mergeCell ref="D3824:D3829"/>
    <mergeCell ref="L3824:L3829"/>
    <mergeCell ref="D3831:D3837"/>
    <mergeCell ref="L3831:L3837"/>
    <mergeCell ref="D3838:D3843"/>
    <mergeCell ref="L3838:L3843"/>
    <mergeCell ref="D3846:D3850"/>
    <mergeCell ref="L3846:L3850"/>
    <mergeCell ref="D3851:D3854"/>
    <mergeCell ref="L3851:L3854"/>
    <mergeCell ref="D3855:D3857"/>
    <mergeCell ref="L3855:L3857"/>
    <mergeCell ref="D3858:D3860"/>
    <mergeCell ref="L3858:L3860"/>
    <mergeCell ref="D3861:D3863"/>
    <mergeCell ref="L3861:L3863"/>
    <mergeCell ref="D3865:D3870"/>
    <mergeCell ref="L3865:L3870"/>
    <mergeCell ref="D3871:D3876"/>
    <mergeCell ref="L3871:L3876"/>
    <mergeCell ref="D3877:D3879"/>
    <mergeCell ref="L3877:L3879"/>
    <mergeCell ref="D3880:D3882"/>
    <mergeCell ref="L3880:L3882"/>
    <mergeCell ref="D3883:D3887"/>
    <mergeCell ref="L3883:L3887"/>
    <mergeCell ref="D3888:D3891"/>
    <mergeCell ref="L3888:L3891"/>
    <mergeCell ref="D3892:D3893"/>
    <mergeCell ref="L3892:L3893"/>
    <mergeCell ref="D3895:D3898"/>
    <mergeCell ref="L3895:L3898"/>
    <mergeCell ref="D3899:D3904"/>
    <mergeCell ref="L3899:L3904"/>
    <mergeCell ref="D3905:D3910"/>
    <mergeCell ref="L3905:L3910"/>
    <mergeCell ref="D3911:D3916"/>
    <mergeCell ref="L3911:L3916"/>
    <mergeCell ref="D3917:D3922"/>
    <mergeCell ref="L3917:L3922"/>
    <mergeCell ref="D3923:D3928"/>
    <mergeCell ref="L3923:L3928"/>
    <mergeCell ref="D3929:D3932"/>
    <mergeCell ref="L3929:L3932"/>
    <mergeCell ref="D3933:D3938"/>
    <mergeCell ref="L3933:L3938"/>
    <mergeCell ref="D3939:D3944"/>
    <mergeCell ref="L3939:L3944"/>
    <mergeCell ref="D3945:D3949"/>
    <mergeCell ref="L3945:L3949"/>
    <mergeCell ref="D3950:D3954"/>
    <mergeCell ref="L3950:L3954"/>
    <mergeCell ref="D3955:D3960"/>
    <mergeCell ref="L3955:L3960"/>
    <mergeCell ref="D3961:D3966"/>
    <mergeCell ref="L3961:L3966"/>
    <mergeCell ref="D3967:D3971"/>
    <mergeCell ref="L3967:L3971"/>
    <mergeCell ref="D3972:D3977"/>
    <mergeCell ref="L3972:L3977"/>
    <mergeCell ref="D3978:D3980"/>
    <mergeCell ref="L3978:L3980"/>
    <mergeCell ref="D3981:D3984"/>
    <mergeCell ref="L3981:L3984"/>
    <mergeCell ref="D3986:D3990"/>
    <mergeCell ref="L3986:L3990"/>
    <mergeCell ref="D3991:D3994"/>
    <mergeCell ref="L3991:L3994"/>
    <mergeCell ref="D3996:D3998"/>
    <mergeCell ref="L3996:L3998"/>
    <mergeCell ref="D4000:D4003"/>
    <mergeCell ref="L4000:L4003"/>
    <mergeCell ref="D4005:D4007"/>
    <mergeCell ref="L4005:L4007"/>
    <mergeCell ref="D4008:D4014"/>
    <mergeCell ref="L4008:L4014"/>
    <mergeCell ref="D4015:D4017"/>
    <mergeCell ref="L4015:L4017"/>
    <mergeCell ref="D4018:D4019"/>
    <mergeCell ref="L4018:L4019"/>
    <mergeCell ref="D4020:D4022"/>
    <mergeCell ref="L4020:L4022"/>
    <mergeCell ref="D4023:D4026"/>
    <mergeCell ref="L4023:L4026"/>
    <mergeCell ref="D4027:D4030"/>
    <mergeCell ref="L4027:L4030"/>
    <mergeCell ref="D4031:D4038"/>
    <mergeCell ref="L4031:L4038"/>
    <mergeCell ref="D4039:D4044"/>
    <mergeCell ref="L4039:L4044"/>
    <mergeCell ref="D4046:D4049"/>
    <mergeCell ref="L4046:L4049"/>
    <mergeCell ref="D4051:D4054"/>
    <mergeCell ref="L4051:L4054"/>
    <mergeCell ref="D4055:D4060"/>
    <mergeCell ref="L4055:L4060"/>
    <mergeCell ref="D4062:D4069"/>
    <mergeCell ref="L4062:L4069"/>
    <mergeCell ref="D4072:D4074"/>
    <mergeCell ref="L4072:L4074"/>
    <mergeCell ref="D4075:D4078"/>
    <mergeCell ref="L4075:L4078"/>
    <mergeCell ref="D4079:D4082"/>
    <mergeCell ref="L4079:L4082"/>
    <mergeCell ref="D4083:D4088"/>
    <mergeCell ref="L4083:L4088"/>
    <mergeCell ref="D4089:D4093"/>
    <mergeCell ref="L4089:L4093"/>
    <mergeCell ref="D4094:D4099"/>
    <mergeCell ref="L4094:L4099"/>
    <mergeCell ref="D4100:D4106"/>
    <mergeCell ref="L4100:L4106"/>
    <mergeCell ref="D4107:D4111"/>
    <mergeCell ref="L4107:L4111"/>
    <mergeCell ref="D4112:D4117"/>
    <mergeCell ref="L4112:L4117"/>
    <mergeCell ref="D4118:D4120"/>
    <mergeCell ref="L4118:L4120"/>
    <mergeCell ref="D4121:D4125"/>
    <mergeCell ref="L4121:L4125"/>
    <mergeCell ref="D4126:D4129"/>
    <mergeCell ref="L4126:L4129"/>
    <mergeCell ref="D4133:D4134"/>
    <mergeCell ref="L4133:L4134"/>
    <mergeCell ref="D4135:D4138"/>
    <mergeCell ref="L4135:L4138"/>
    <mergeCell ref="D4139:D4140"/>
    <mergeCell ref="L4139:L4140"/>
    <mergeCell ref="D4141:D4143"/>
    <mergeCell ref="L4141:L4143"/>
    <mergeCell ref="D4144:D4146"/>
    <mergeCell ref="L4144:L4146"/>
    <mergeCell ref="D4147:D4151"/>
    <mergeCell ref="L4147:L4151"/>
    <mergeCell ref="D4153:D4157"/>
    <mergeCell ref="L4153:L4157"/>
    <mergeCell ref="D4159:D4162"/>
    <mergeCell ref="L4159:L4162"/>
    <mergeCell ref="D4164:D4167"/>
    <mergeCell ref="L4164:L4167"/>
    <mergeCell ref="D4170:D4171"/>
    <mergeCell ref="L4170:L4171"/>
    <mergeCell ref="D4172:D4173"/>
    <mergeCell ref="L4172:L4173"/>
    <mergeCell ref="D4174:D4175"/>
    <mergeCell ref="L4174:L4175"/>
    <mergeCell ref="D4176:D4178"/>
    <mergeCell ref="L4176:L4178"/>
    <mergeCell ref="D4179:D4182"/>
    <mergeCell ref="L4179:L4182"/>
    <mergeCell ref="D4183:D4186"/>
    <mergeCell ref="L4183:L4186"/>
    <mergeCell ref="D4187:D4190"/>
    <mergeCell ref="L4187:L4190"/>
    <mergeCell ref="D4191:D4196"/>
    <mergeCell ref="L4191:L4196"/>
    <mergeCell ref="D4197:D4200"/>
    <mergeCell ref="L4197:L4200"/>
    <mergeCell ref="D4201:D4202"/>
    <mergeCell ref="L4201:L4202"/>
    <mergeCell ref="D4204:D4209"/>
    <mergeCell ref="L4204:L4209"/>
    <mergeCell ref="D4210:D4215"/>
    <mergeCell ref="L4210:L4215"/>
    <mergeCell ref="D4216:D4222"/>
    <mergeCell ref="L4216:L4222"/>
    <mergeCell ref="D4223:D4225"/>
    <mergeCell ref="L4223:L4225"/>
    <mergeCell ref="D4226:D4227"/>
    <mergeCell ref="L4226:L4227"/>
    <mergeCell ref="D4228:D4234"/>
    <mergeCell ref="L4228:L4234"/>
    <mergeCell ref="D4236:D4242"/>
    <mergeCell ref="L4236:L4242"/>
    <mergeCell ref="D4243:D4249"/>
    <mergeCell ref="L4243:L4249"/>
    <mergeCell ref="D4251:D4254"/>
    <mergeCell ref="L4251:L4254"/>
    <mergeCell ref="D4255:D4259"/>
    <mergeCell ref="L4255:L4259"/>
    <mergeCell ref="D4260:D4263"/>
    <mergeCell ref="L4260:L4263"/>
    <mergeCell ref="D4264:D4272"/>
    <mergeCell ref="L4264:L4272"/>
    <mergeCell ref="D4273:D4276"/>
    <mergeCell ref="L4273:L4276"/>
    <mergeCell ref="D4277:D4279"/>
    <mergeCell ref="L4277:L4279"/>
    <mergeCell ref="D4280:D4281"/>
    <mergeCell ref="L4280:L4281"/>
    <mergeCell ref="D4282:D4286"/>
    <mergeCell ref="L4282:L4286"/>
    <mergeCell ref="D4287:D4294"/>
    <mergeCell ref="L4287:L4294"/>
    <mergeCell ref="D4295:D4302"/>
    <mergeCell ref="L4295:L4302"/>
    <mergeCell ref="D4304:D4310"/>
    <mergeCell ref="L4304:L4310"/>
    <mergeCell ref="D4311:D4316"/>
    <mergeCell ref="L4311:L4316"/>
    <mergeCell ref="D4317:D4320"/>
    <mergeCell ref="L4317:L4320"/>
    <mergeCell ref="D4321:D4324"/>
    <mergeCell ref="L4321:L4324"/>
    <mergeCell ref="D4325:D4333"/>
    <mergeCell ref="L4325:L4333"/>
    <mergeCell ref="D4334:D4342"/>
    <mergeCell ref="L4334:L4342"/>
    <mergeCell ref="D4343:D4346"/>
    <mergeCell ref="L4343:L4346"/>
    <mergeCell ref="D4347:D4349"/>
    <mergeCell ref="L4347:L4349"/>
    <mergeCell ref="D4350:D4355"/>
    <mergeCell ref="L4350:L4355"/>
    <mergeCell ref="D4356:D4363"/>
    <mergeCell ref="L4356:L4363"/>
    <mergeCell ref="D4364:D4370"/>
    <mergeCell ref="L4364:L4370"/>
    <mergeCell ref="D4371:D4378"/>
    <mergeCell ref="L4371:L4378"/>
    <mergeCell ref="D4379:D4386"/>
    <mergeCell ref="L4379:L4386"/>
    <mergeCell ref="D4387:D4392"/>
    <mergeCell ref="L4387:L4392"/>
    <mergeCell ref="D4393:D4396"/>
    <mergeCell ref="L4393:L4396"/>
    <mergeCell ref="D4397:D4399"/>
    <mergeCell ref="L4397:L4399"/>
    <mergeCell ref="D4402:D4404"/>
    <mergeCell ref="L4402:L4404"/>
    <mergeCell ref="D4406:D4412"/>
    <mergeCell ref="L4406:L4412"/>
    <mergeCell ref="D4413:D4420"/>
    <mergeCell ref="L4413:L4420"/>
    <mergeCell ref="D4421:D4423"/>
    <mergeCell ref="L4421:L4423"/>
    <mergeCell ref="D4424:D4431"/>
    <mergeCell ref="L4424:L4431"/>
    <mergeCell ref="D4432:D4435"/>
    <mergeCell ref="L4432:L4435"/>
    <mergeCell ref="D4436:D4439"/>
    <mergeCell ref="L4436:L4439"/>
    <mergeCell ref="D4440:D4447"/>
    <mergeCell ref="L4440:L4447"/>
    <mergeCell ref="D4448:D4451"/>
    <mergeCell ref="L4448:L4451"/>
    <mergeCell ref="D4452:D4457"/>
    <mergeCell ref="L4452:L4457"/>
    <mergeCell ref="D4458:D4463"/>
    <mergeCell ref="L4458:L4463"/>
    <mergeCell ref="D4464:D4471"/>
    <mergeCell ref="L4464:L4471"/>
    <mergeCell ref="D4472:D4476"/>
    <mergeCell ref="L4472:L4476"/>
    <mergeCell ref="D4477:D4482"/>
    <mergeCell ref="L4477:L4482"/>
    <mergeCell ref="D4487:D4488"/>
    <mergeCell ref="L4487:L4488"/>
    <mergeCell ref="D4490:D4493"/>
    <mergeCell ref="L4490:L4493"/>
    <mergeCell ref="D4498:D4500"/>
    <mergeCell ref="L4498:L4500"/>
    <mergeCell ref="D4503:D4511"/>
    <mergeCell ref="L4503:L4511"/>
    <mergeCell ref="D4512:D4521"/>
    <mergeCell ref="L4512:L4521"/>
    <mergeCell ref="D4522:D4528"/>
    <mergeCell ref="L4522:L4528"/>
    <mergeCell ref="D4529:D4534"/>
    <mergeCell ref="L4529:L4534"/>
    <mergeCell ref="D4535:D4541"/>
    <mergeCell ref="L4535:L4541"/>
    <mergeCell ref="D4542:D4546"/>
    <mergeCell ref="L4542:L4546"/>
    <mergeCell ref="D4547:D4553"/>
    <mergeCell ref="L4547:L4553"/>
    <mergeCell ref="D4554:D4555"/>
    <mergeCell ref="L4554:L4555"/>
    <mergeCell ref="D4556:D4560"/>
    <mergeCell ref="L4556:L4560"/>
    <mergeCell ref="D4561:D4570"/>
    <mergeCell ref="L4561:L4570"/>
    <mergeCell ref="D4571:D4573"/>
    <mergeCell ref="L4571:L4573"/>
    <mergeCell ref="D4574:D4576"/>
    <mergeCell ref="L4574:L4576"/>
    <mergeCell ref="D4578:D4580"/>
    <mergeCell ref="L4578:L4580"/>
    <mergeCell ref="D4584:D4585"/>
    <mergeCell ref="L4584:L4585"/>
    <mergeCell ref="D4587:D4592"/>
    <mergeCell ref="L4587:L4592"/>
    <mergeCell ref="D4593:D4596"/>
    <mergeCell ref="L4593:L4596"/>
    <mergeCell ref="D4597:D4600"/>
    <mergeCell ref="L4597:L4600"/>
    <mergeCell ref="D4601:D4611"/>
    <mergeCell ref="L4601:L4611"/>
    <mergeCell ref="D4612:D4621"/>
    <mergeCell ref="L4612:L4621"/>
    <mergeCell ref="D4622:D4631"/>
    <mergeCell ref="L4622:L4631"/>
    <mergeCell ref="D4632:D4642"/>
    <mergeCell ref="L4632:L4642"/>
    <mergeCell ref="D4643:D4646"/>
    <mergeCell ref="L4643:L4646"/>
    <mergeCell ref="D4647:D4650"/>
    <mergeCell ref="L4647:L4650"/>
    <mergeCell ref="D4652:D4655"/>
    <mergeCell ref="L4652:L4655"/>
    <mergeCell ref="D4656:D4658"/>
    <mergeCell ref="L4656:L4658"/>
    <mergeCell ref="D4659:D4665"/>
    <mergeCell ref="L4659:L4665"/>
    <mergeCell ref="D4666:D4671"/>
    <mergeCell ref="L4666:L4671"/>
    <mergeCell ref="D4672:D4680"/>
    <mergeCell ref="L4672:L4680"/>
    <mergeCell ref="D4681:D4684"/>
    <mergeCell ref="L4681:L4684"/>
    <mergeCell ref="D4685:D4688"/>
    <mergeCell ref="L4685:L4688"/>
    <mergeCell ref="D4689:D4693"/>
    <mergeCell ref="L4689:L4693"/>
    <mergeCell ref="D4694:D4698"/>
    <mergeCell ref="L4694:L4698"/>
    <mergeCell ref="D4699:D4705"/>
    <mergeCell ref="L4699:L4705"/>
    <mergeCell ref="D4706:D4709"/>
    <mergeCell ref="L4706:L4709"/>
    <mergeCell ref="D4710:D4712"/>
    <mergeCell ref="L4710:L4712"/>
    <mergeCell ref="D4713:D4717"/>
    <mergeCell ref="L4713:L4717"/>
    <mergeCell ref="D4718:D4724"/>
    <mergeCell ref="L4718:L4724"/>
    <mergeCell ref="D4725:D4728"/>
    <mergeCell ref="L4725:L4728"/>
    <mergeCell ref="D4729:D4737"/>
    <mergeCell ref="L4729:L4737"/>
    <mergeCell ref="D4739:D4740"/>
    <mergeCell ref="L4739:L4740"/>
    <mergeCell ref="D4742:D4748"/>
    <mergeCell ref="L4742:L4748"/>
    <mergeCell ref="D4749:D4750"/>
    <mergeCell ref="L4749:L4750"/>
    <mergeCell ref="D4751:D4752"/>
    <mergeCell ref="L4751:L4752"/>
    <mergeCell ref="D4755:D4759"/>
    <mergeCell ref="L4755:L4759"/>
    <mergeCell ref="D4760:D4763"/>
    <mergeCell ref="L4760:L4763"/>
    <mergeCell ref="D4765:D4768"/>
    <mergeCell ref="L4765:L4768"/>
    <mergeCell ref="D4770:D4771"/>
    <mergeCell ref="L4770:L4771"/>
    <mergeCell ref="D4773:D4778"/>
    <mergeCell ref="L4773:L4778"/>
    <mergeCell ref="D4779:D4785"/>
    <mergeCell ref="L4779:L4785"/>
    <mergeCell ref="D4788:D4795"/>
    <mergeCell ref="L4788:L4795"/>
    <mergeCell ref="D4796:D4806"/>
    <mergeCell ref="L4796:L4806"/>
    <mergeCell ref="D4807:D4809"/>
    <mergeCell ref="L4807:L4809"/>
    <mergeCell ref="D4810:D4811"/>
    <mergeCell ref="L4810:L4811"/>
    <mergeCell ref="D4813:D4815"/>
    <mergeCell ref="L4813:L4815"/>
    <mergeCell ref="D4816:D4820"/>
    <mergeCell ref="L4816:L4820"/>
    <mergeCell ref="D4821:D4823"/>
    <mergeCell ref="L4821:L4823"/>
    <mergeCell ref="D4824:D4833"/>
    <mergeCell ref="L4824:L4833"/>
    <mergeCell ref="D4834:D4844"/>
    <mergeCell ref="L4834:L4844"/>
    <mergeCell ref="D4845:D4853"/>
    <mergeCell ref="L4845:L4853"/>
    <mergeCell ref="D4854:D4862"/>
    <mergeCell ref="L4854:L4862"/>
    <mergeCell ref="D4863:D4872"/>
    <mergeCell ref="L4863:L4872"/>
    <mergeCell ref="D4873:D4875"/>
    <mergeCell ref="L4873:L4875"/>
    <mergeCell ref="D4876:D4885"/>
    <mergeCell ref="L4876:L4885"/>
    <mergeCell ref="D4886:D4889"/>
    <mergeCell ref="L4886:L4889"/>
    <mergeCell ref="D4890:D4894"/>
    <mergeCell ref="L4890:L4894"/>
    <mergeCell ref="D4895:D4897"/>
    <mergeCell ref="L4895:L4897"/>
    <mergeCell ref="D4899:D4905"/>
    <mergeCell ref="L4899:L4905"/>
    <mergeCell ref="D4906:D4909"/>
    <mergeCell ref="L4906:L4909"/>
    <mergeCell ref="D4910:D4920"/>
    <mergeCell ref="L4910:L4920"/>
    <mergeCell ref="D4921:D4926"/>
    <mergeCell ref="L4921:L4926"/>
    <mergeCell ref="D4927:D4932"/>
    <mergeCell ref="L4927:L4932"/>
    <mergeCell ref="D4933:D4942"/>
    <mergeCell ref="L4933:L4942"/>
    <mergeCell ref="D4943:D4952"/>
    <mergeCell ref="L4943:L4952"/>
    <mergeCell ref="D4953:D4961"/>
    <mergeCell ref="L4953:L4961"/>
    <mergeCell ref="D4962:D4967"/>
    <mergeCell ref="L4962:L4967"/>
    <mergeCell ref="D4968:D4974"/>
    <mergeCell ref="L4968:L4974"/>
    <mergeCell ref="D4975:D4981"/>
    <mergeCell ref="L4975:L4981"/>
    <mergeCell ref="D4982:D4988"/>
    <mergeCell ref="L4982:L4988"/>
    <mergeCell ref="D4989:D4995"/>
    <mergeCell ref="L4989:L4995"/>
    <mergeCell ref="D4996:D5002"/>
    <mergeCell ref="L4996:L5002"/>
    <mergeCell ref="D5003:D5004"/>
    <mergeCell ref="L5003:L5004"/>
    <mergeCell ref="D5006:D5007"/>
    <mergeCell ref="L5006:L5007"/>
    <mergeCell ref="D5018:D5019"/>
    <mergeCell ref="L5018:L5019"/>
    <mergeCell ref="D5030:D5033"/>
    <mergeCell ref="L5030:L5033"/>
    <mergeCell ref="D5036:D5037"/>
    <mergeCell ref="L5036:L5037"/>
    <mergeCell ref="D5038:D5039"/>
    <mergeCell ref="L5038:L5039"/>
    <mergeCell ref="D5040:D5041"/>
    <mergeCell ref="L5040:L5041"/>
    <mergeCell ref="D5043:D5045"/>
    <mergeCell ref="L5043:L5045"/>
    <mergeCell ref="D5047:D5049"/>
    <mergeCell ref="L5047:L5049"/>
    <mergeCell ref="D5050:D5052"/>
    <mergeCell ref="L5050:L5052"/>
    <mergeCell ref="D5055:D5057"/>
    <mergeCell ref="L5055:L5057"/>
    <mergeCell ref="D5059:D5060"/>
    <mergeCell ref="L5059:L5060"/>
    <mergeCell ref="D5061:D5068"/>
    <mergeCell ref="L5061:L5068"/>
    <mergeCell ref="D5069:D5075"/>
    <mergeCell ref="L5069:L5075"/>
    <mergeCell ref="D5076:D5081"/>
    <mergeCell ref="L5076:L5081"/>
    <mergeCell ref="D5082:D5085"/>
    <mergeCell ref="L5082:L5085"/>
    <mergeCell ref="D5086:D5089"/>
    <mergeCell ref="L5086:L5089"/>
    <mergeCell ref="D5090:D5096"/>
    <mergeCell ref="L5090:L5096"/>
    <mergeCell ref="D5097:D5102"/>
    <mergeCell ref="L5097:L5102"/>
    <mergeCell ref="D5103:D5108"/>
    <mergeCell ref="L5103:L5108"/>
    <mergeCell ref="D5109:D5114"/>
    <mergeCell ref="L5109:L5114"/>
    <mergeCell ref="D5115:D5120"/>
    <mergeCell ref="L5115:L5120"/>
    <mergeCell ref="D5121:D5126"/>
    <mergeCell ref="L5121:L5126"/>
    <mergeCell ref="D5127:D5134"/>
    <mergeCell ref="L5127:L5134"/>
    <mergeCell ref="D5135:D5140"/>
    <mergeCell ref="L5135:L5140"/>
    <mergeCell ref="D5141:D5147"/>
    <mergeCell ref="L5141:L5147"/>
    <mergeCell ref="D5148:D5155"/>
    <mergeCell ref="L5148:L5155"/>
    <mergeCell ref="D5156:D5161"/>
    <mergeCell ref="L5156:L5161"/>
    <mergeCell ref="D5162:D5168"/>
    <mergeCell ref="L5162:L5168"/>
    <mergeCell ref="D5169:D5175"/>
    <mergeCell ref="L5169:L5175"/>
    <mergeCell ref="D5176:D5181"/>
    <mergeCell ref="L5176:L5181"/>
    <mergeCell ref="D5182:D5192"/>
    <mergeCell ref="L5182:L5192"/>
    <mergeCell ref="D5225:D5230"/>
    <mergeCell ref="L5225:L5230"/>
    <mergeCell ref="D5234:D5244"/>
    <mergeCell ref="L5234:L5244"/>
    <mergeCell ref="D5245:D5252"/>
    <mergeCell ref="L5245:L5252"/>
    <mergeCell ref="D5253:D5258"/>
    <mergeCell ref="L5253:L5258"/>
    <mergeCell ref="D5259:D5263"/>
    <mergeCell ref="L5259:L5263"/>
    <mergeCell ref="D5264:D5274"/>
    <mergeCell ref="L5264:L5274"/>
    <mergeCell ref="D5275:D5285"/>
    <mergeCell ref="L5275:L5285"/>
    <mergeCell ref="D5193:D5199"/>
    <mergeCell ref="L5193:L5199"/>
    <mergeCell ref="D5200:D5205"/>
    <mergeCell ref="L5200:L5205"/>
    <mergeCell ref="D5206:D5208"/>
    <mergeCell ref="L5206:L5208"/>
    <mergeCell ref="D5209:D5212"/>
    <mergeCell ref="L5209:L5212"/>
    <mergeCell ref="D5213:D5215"/>
    <mergeCell ref="L5213:L5215"/>
    <mergeCell ref="D5216:D5217"/>
    <mergeCell ref="L5216:L5217"/>
    <mergeCell ref="D5218:D5219"/>
    <mergeCell ref="L5218:L5219"/>
    <mergeCell ref="D5220:D5221"/>
    <mergeCell ref="L5220:L5221"/>
    <mergeCell ref="D5222:D5224"/>
    <mergeCell ref="L5222:L5224"/>
  </mergeCells>
  <dataValidations count="94">
    <dataValidation type="whole" operator="lessThanOrEqual" allowBlank="1" showErrorMessage="1" errorTitle="Неверно" error="Заказ не может быть больше Наличия" sqref="X4 X5282 X5271 X5265 X5262 X5252 X5245 X5234 X5230 X5226 X5223:X5224 X5219:X5220 X5214:X5217 X5200 X5192:X5193 X5157 X5155 X5147 X5145 X5140 X5135 X5129 X5127 X5099 X5096 X5079 X5077 X5071 X5069 X5067 X5053:X5055 X5049:X5050 X5047 X5043:X5045 X5041 X5038:X5039 X5033:X5034 X5029 X5027 X5023:X5025 X5020:X5021 X5017:X5018 X5014:X5015 X5011:X5012 X5007 X5003:X5004 X4999:X5000 X4988 X4981:X4982 X4967 X4926 X4905 X4900 X4897:X4898 X4888 X4884 X4875 X4871 X4857 X4852 X4828:X4829 X4825 X4811:X4812 X4809 X4807 X4794 X4792 X4782:X4783 X4779 X4767:X4769 X4764:X4765 X4761 X4759 X4755 X4753 X4748 X4743 X4736:X4738 X4731:X4732 X4708:X4709 X4688 X4678 X4676 X4668:X4672 X4651 X4647 X4641 X4637 X4632 X4623 X4618 X4615 X4612 X4609:X4610 X4597 X4592:X4593 X4584:X4585 X4580:X4582 X4577 X4573 X4570:X4571 X4559:X4560 X4556 X4552 X4546 X4536 X4534 X4532 X4524 X4515 X4511 X4506 X4502 X4493:X4495 X4489 X4483 X4480:X4481 X4472:X4473 X4455 X4453 X4436 X4426 X4423 X4409 X4406 X4399:X4401 X4383 X4373:X4378 X4370 X4365 X4357 X4353 X4350:X4351 X4334:X4335 X4324 X4321 X4315 X4310:X4312 X4303:X4308 X4281 X4273:X4276 X4262 X4257:X4259 X4254:X4255 X4251 X4242:X4244 X4240 X4237 X4235 X4224:X4226 X4208 X4206 X4203:X4204 X4195:X4196 X4191 X4187 X4182 X4179 X4169:X4171 X4167 X4159 X4157 X4152 X4145:X4146 X4136 X4133:X4134 X4131 X4126:X4127 X4117:X4118 X4112 X4109 X4106:X4107 X4099 X4084 X4073:X4074 X4063:X4069 X4061 X4058 X4055:X4056 X4053 X4049:X4050 X4045:X4046 X4039:X4040 X4037 X4035 X4025:X4026 X4021:X4022 X4018 X4015:X4016 X4007 X4004:X4005 X3999:X4001 X3995:X3996 X3985:X3988 X3976:X3978 X3966 X3954 X3944 X3932 X3910 X3904 X3901 X3898 X3894:X3895 X3891:X3892 X3887 X3885 X3883 X3879:X3880 X3866 X3864 X3861 X3856:X3858 X3850 X3844 X3837 X3834:X3835 X3829:X3830 X3824:X3825 X3817 X3807:X3809 X3801:X3805 X3799 X3783 X3781 X3779 X3771:X3772 X3762:X3767 X3760 X3755 X3753 X3750:X3751 X3724 X3719:X3720 X3707 X3704 X3689 X3687 X3674 X3668 X3662:X3664 X3660 X3651:X3657 X3647:X3648 X3641:X3645 X3635:X3639 X3633 X3630 X3626 X3622:X3623 X3620 X3614 X3608 X3601:X3605 X3594 X3590 X3583:X3584 X3563 X3558 X3549:X3550 X3540 X3535:X3536 X3525 X3512:X3514 X3510 X3502:X3505 X3500 X3496 X3493 X3476 X3469 X3462 X3458:X3459 X3452 X3447 X3445 X3429 X3408:X3409 X3378 X3360 X3350 X3335 X3332:X3333 X3316 X3312 X3279 X3273 X3267:X3268 X3258 X3255 X3250 X3247:X3248 X3244 X3241:X3242 X3236 X3231:X3234 X3225:X3229 X3217:X3223 X3211:X3213 X3208:X3209 X3205:X3206 X3195 X3191:X3192 X3183:X3188 X3181 X3178:X3179 X3171 X3168:X3169 X3164:X3165 X3154 X3146 X3138:X3144 X3134:X3136 X3129:X3130 X3127 X3123 X3088 X3077 X3070 X3064:X3065 X3052:X3053 X3047 X3043:X3045 X3038 X3033:X3034 X3031 X3028 X3025 X3020:X3022 X3018 X3016 X3010:X3013 X3004:X3005 X3001 X2998 X2995:X2996 X2988:X2989 X2986 X2981 X2971 X2965 X2941 X2916 X2894 X2891 X2875 X2872 X2869 X2864 X2860:X2862 X2857 X2852:X2854 X2850 X2846:X2847 X2840 X2837:X2838 X2832:X2835 X2825:X2826 X2821 X2817 X2803:X2806 X2801 X2794:X2796 X2788 X2784:X2785 X2778:X2782 X2776 X2772 X2769 X2758:X2765 X2754 X2744:X2752 X2742 X2733:X2734 X2709 X2706 X2700 X2690:X2692 X2685:X2687 X2683 X2679:X2681 X2674:X2677 X2670:X2671 X2667:X2668 X2664 X2661:X2662 X2658:X2659 X2636:X2637 X2632 X2623 X2617:X2619 X2615 X2611 X2609 X2606:X2607 X2598:X2604 X2589 X2583 X2569 X2563 X2547 X2542:X2543 X2537 X2516 X2509 X2505 X2501 X2498:X2499 X2493 X2487:X2490 X2484 X2473 X2465 X2449:X2450 X2422 X2419:X2420 X2417 X2394:X2395 X2384:X2386 X2382 X2375 X2370:X2373 X2364:X2365 X2358:X2360 X2356 X2351:X2353 X2347 X2345 X2334:X2336 X2331 X2320 X2314 X2304 X2296 X2290:X2292 X2283 X2279:X2280 X2270 X2266 X2260 X2257 X2251:X2253 X2242:X2245 X2240 X2236 X2232:X2233 X2230 X2224 X2220 X2216:X2217 X2212:X2214 X2194:X2195 X2192 X2189 X2181:X2183 X2173:X2177 X2168:X2170 X2153:X2154 X2150:X2151 X2138:X2147 X2132 X2120:X2122 X2110 X2105 X2094:X2095 X2066:X2072 X2062:X2064 X2052 X2047 X2043 X2032 X2025:X2028 X2021 X2015:X2017 X2012:X2013 X2005 X2001 X1994 X1988:X1989 X1982:X1985 X1980 X1976:X1977 X1966 X1964 X1962 X1954 X1949 X1945:X1946 X1939 X1928:X1930 X1916 X1902 X1894 X1830 X1824 X1817 X1815 X1810 X1806:X1808 X1804 X1800:X1801 X1798 X1795 X1789 X1785 X1783 X1776 X1771 X1769 X1762:X1764 X1752:X1760 X1748:X1750 X1741:X1743 X1737 X1734:X1735 X1730 X1722 X1718 X1708 X1703:X1706 X1699:X1700 X1696:X1697 X1693 X1686 X1682:X1683 X1679:X1680 X1671:X1677 X1666 X1664 X1656 X1652:X1653 X1650 X1641 X1639 X1637 X1631:X1632 X1629 X1623:X1624 X1616:X1617 X1612 X1604 X1597:X1598 X1593 X1591 X1574 X1549 X1544:X1545 X1542 X1540 X1536 X1503 X1501 X1497 X1491:X1492 X1467 X1453 X1448 X1431:X1432 X1422 X1420 X1418 X1403 X1381 X1350:X1352 X1338:X1342 X1333 X1329 X1322:X1324 X1315:X1316 X1313 X1310 X1307 X1305 X1298:X1303 X1296 X1293 X1290 X1287 X1270 X1263:X1264 X1258:X1259 X1252:X1256 X1242:X1249 X1239:X1240 X1232 X1227:X1228 X1225 X1222 X1215:X1220 X1203 X1198:X1199 X1195 X1193 X1189 X1185:X1187 X1182 X1175:X1176 X1171 X1165:X1167 X1160 X1149:X1156 X1147 X1143:X1145 X1138 X1136 X1127:X1132 X1125 X1120 X1118 X1115 X1109 X1100 X1097:X1098 X1091:X1093 X1069:X1070 X1054:X1056 X1040 X1029 X1027 X1018 X1004 X995 X993 X970 X956:X957 X951 X940 X936:X938 X934 X930 X924:X925 X919 X911 X909 X866:X867 X863 X861 X846 X844 X838 X831:X832 X829 X826:X827 X823 X821 X817 X810:X812 X808 X795 X791:X792 X779 X776 X751:X752 X739 X733 X729 X717 X704 X698 X689:X691 X685 X683 X676:X677 X671 X669 X658 X628:X631 X619 X611 X597:X599 X586 X582 X578 X555:X559 X551:X552 X548 X533 X529 X525 X521:X522 X484:X485 X482 X472:X473 X469:X470 X464:X466 X459 X456:X457 X454 X452 X450 X440:X441 X438 X434:X436 X429:X430 X423:X424 X417 X405:X415 X402:X403 X392:X393 X385:X386 X373:X374 X356:X363 X351:X353 X347:X349 X337:X344 X328:X330 X324 X316:X319 X310:X314 X302:X306 X299:X300 X294:X297 X282:X292 X275:X280 X269 X255 X250 X247:X248 X244 X239:X241 X237 X231 X227 X209:X210 X199 X197 X195 X190 X132 X130 X117 X109:X112 X105:X106 X102 X98:X100 X87:X88 X79:X80 X68:X70 X64 X57 X47:X48 X44:X45 X37:X38 X34:X35 X29:X30 X22:X24 X18:X19 X9:X10" xr:uid="{00000000-0002-0000-0000-000000000000}">
      <formula1>1</formula1>
    </dataValidation>
    <dataValidation type="whole" operator="lessThanOrEqual" allowBlank="1" showErrorMessage="1" errorTitle="Неверно" error="Заказ не может быть больше Наличия" sqref="X5 X5285 X5281 X5261 X5255:X5258 X5253 X5251 X5229 X5227 X5188 X5175 X5172:X5173 X5168:X5170 X5165 X5159:X5163 X5154 X5149 X5146 X5141 X5138:X5139 X5119 X5117 X5100:X5101 X5095 X5091:X5092 X5081 X5075 X5073 X5059 X5056 X5048 X5036 X5031 X5026 X5010 X4995 X4986 X4951:X4952 X4941 X4924 X4920 X4914:X4918 X4911:X4912 X4906:X4909 X4903:X4904 X4901 X4899 X4893:X4896 X4890 X4885 X4873:X4874 X4842:X4844 X4840 X4836:X4838 X4830 X4827 X4821:X4823 X4806 X4803 X4795 X4793 X4790:X4791 X4787 X4785 X4775:X4778 X4772 X4762 X4756:X4758 X4752 X4733:X4735 X4723 X4719 X4711:X4712 X4699:X4705 X4693 X4689 X4677 X4661 X4654 X4642 X4638 X4627:X4628 X4619 X4606 X4604 X4574 X4572 X4569 X4567 X4564 X4554:X4555 X4550 X4539 X4537 X4533 X4531 X4529 X4525 X4520 X4516:X4517 X4514 X4498:X4499 X4484 X4462 X4459 X4456 X4454 X4440 X4434 X4428:X4429 X4418 X4413 X4407 X4392 X4390 X4388 X4379 X4367:X4368 X4361 X4359 X4343 X4341 X4336:X4339 X4333 X4327:X4328 X4322 X4318:X4319 X4313 X4302 X4297 X4289:X4290 X4287 X4268:X4271 X4260:X4261 X4256 X4253 X4245:X4248 X4238 X4231 X4229 X4200 X4194 X4188:X4189 X4185:X4186 X4183 X4180:X4181 X4177 X4168 X4161 X4158 X4155 X4151 X4148 X4139:X4141 X4132 X4113 X4105 X4098 X4089:X4090 X4087 X4085 X4075 X4052 X4036 X4032 X4027:X4030 X4019 X4013 X3990 X3975 X3972 X3967 X3961 X3943 X3929 X3922 X3917 X3911 X3893 X3886 X3884 X3872:X3873 X3868:X3869 X3865 X3862 X3843 X3836 X3831 X3827 X3818 X3800 X3789 X3774 X3722:X3723 X3703 X3679 X3665 X3659 X3649 X3640 X3632 X3629 X3618 X3613 X3607 X3600 X3598 X3593 X3591 X3589 X3574 X3564 X3561 X3559 X3556 X3547 X3539 X3511 X3487 X3481:X3482 X3478 X3471:X3473 X3468 X3460 X3455 X3443 X3432 X3426 X3424 X3398 X3387 X3383 X3381 X3379 X3369 X3361 X3351 X3288 X3281 X3274 X3259:X3260 X3243 X3230 X3214:X3215 X3189 X3177 X3162 X3156 X3147 X3137 X3132 X3126 X3114:X3115 X3110 X3105 X3100:X3103 X3092 X3089 X3086:X3087 X3082 X3079:X3080 X3076 X3066:X3068 X3062 X3051 X3042 X3040 X3019 X2983:X2984 X2974:X2978 X2970 X2966:X2967 X2960:X2961 X2957 X2954 X2952 X2948 X2944 X2939 X2937 X2935 X2923:X2924 X2921 X2919 X2903 X2900 X2898 X2888:X2890 X2885 X2879 X2876 X2866 X2851 X2829 X2813:X2816 X2807:X2810 X2790 X2770:X2771 X2741 X2729 X2727 X2724 X2710 X2702 X2698 X2689 X2684 X2669 X2660 X2657 X2654 X2651 X2648 X2628 X2620 X2612:X2614 X2605 X2593 X2581 X2570 X2541 X2534 X2530 X2523 X2521 X2515 X2512 X2506 X2503:X2504 X2496 X2491 X2483 X2479:X2481 X2476:X2477 X2469:X2470 X2462 X2455:X2457 X2439:X2440 X2428 X2423:X2424 X2409:X2410 X2402:X2403 X2396 X2390:X2393 X2383 X2376 X2362 X2357 X2341:X2342 X2338 X2329 X2321:X2322 X2315 X2308 X2288 X2284:X2286 X2281 X2269 X2267 X2258 X2256 X2254 X2249 X2238:X2239 X2234 X2225 X2223 X2215 X2204:X2207 X2178 X2163 X2148 X2135 X2124 X2109 X2101 X2099 X2080 X2065 X2061 X2058 X2050 X2040 X2038 X2035 X2031 X2022 X2002 X1995 X1991 X1974 X1968 X1961 X1953 X1947:X1948 X1940:X1941 X1933 X1917 X1914 X1901 X1897 X1868 X1833 X1822 X1803 X1792:X1793 X1787 X1781 X1777:X1778 X1775 X1761 X1747 X1739 X1728:X1729 X1725 X1721 X1717 X1711 X1709 X1707 X1698 X1678 X1670 X1668 X1659 X1655 X1651 X1646 X1638 X1633 X1628 X1620:X1621 X1610 X1607 X1602 X1582 X1567 X1564 X1560 X1554 X1518 X1504 X1489 X1479 X1473 X1465 X1457 X1433 X1426:X1428 X1423:X1424 X1408 X1405 X1400 X1372 X1335 X1321 X1294 X1285 X1271 X1235 X1233 X1212 X1209 X1204 X1200:X1202 X1184 X1178 X1172 X1168 X1164 X1159 X1146 X1140 X1133 X1121 X1110 X1108 X1096 X1090 X1071 X1068 X1053 X1044:X1045 X1028 X1023 X1006:X1007 X1000:X1001 X982 X955 X941:X942 X928 X926 X922 X920 X918 X889 X884 X879:X880 X874 X870:X871 X865 X849:X850 X839 X836 X818:X819 X796 X794 X789 X784 X777 X771 X765 X754 X734 X718 X713 X708 X705 X697 X687 X680 X674 X665 X663 X625:X626 X612 X610 X603 X600 X592 X584 X544 X541 X526:X527 X520 X510:X517 X506 X501 X489:X495 X486 X460:X463 X455 X445:X446 X439 X426 X398 X394 X390 X388 X384 X382 X377:X379 X375 X369:X372 X365:X367 X350 X334 X325 X320 X301 X267:X268 X265 X257:X258 X251:X252 X235:X236 X221:X225 X218 X215 X211 X208 X202 X198 X196 X193 X191 X188 X185:X186 X172 X166 X159 X156:X157 X135:X136 X114:X115 X104 X95:X97 X93 X89 X63 X61 X58:X59 X49 X46 X41 X33 X31 X28 X26 X21 X15 X7" xr:uid="{00000000-0002-0000-0000-000001000000}">
      <formula1>3</formula1>
    </dataValidation>
    <dataValidation type="whole" operator="lessThanOrEqual" allowBlank="1" showErrorMessage="1" errorTitle="Неверно" error="Заказ не может быть больше Наличия" sqref="X6 X5284 X5275:X5276 X5264 X5259 X5254 X5246 X5244 X5241:X5242 X5232:X5233 X5228 X5225 X5222 X5218 X5213 X5205 X5201 X5189 X5174 X5171 X5164 X5158 X5156 X5144 X5136:X5137 X5133:X5134 X5130 X5128 X5122:X5123 X5102 X5098 X5080 X5078 X5076 X5074 X5072 X5070 X5068 X5066 X5060:X5064 X5057 X5051:X5052 X5046 X5042 X5037 X5035 X5028 X5022 X5019 X5016 X5009 X5002 X4996:X4998 X4989:X4992 X4987 X4983:X4984 X4968:X4980 X4962:X4966 X4943 X4933 X4919 X4910 X4902 X4889 X4886:X4887 X4883 X4876:X4879 X4872 X4858:X4870 X4853:X4856 X4845:X4851 X4841 X4839 X4831:X4835 X4826 X4824 X4810 X4808 X4804:X4805 X4796:X4801 X4788:X4789 X4786 X4784 X4773:X4774 X4770:X4771 X4766 X4763 X4760 X4754 X4749:X4751 X4746 X4741 X4728:X4730 X4725:X4726 X4718 X4710 X4706:X4707 X4679:X4680 X4666:X4667 X4662:X4663 X4659:X4660 X4643 X4639 X4633:X4635 X4630 X4624:X4625 X4622 X4620 X4613:X4614 X4611 X4600 X4596 X4594 X4586 X4583 X4579 X4576 X4568 X4561:X4563 X4557 X4553 X4551 X4547:X4548 X4541:X4544 X4535 X4530 X4526:X4528 X4521:X4523 X4519 X4508 X4504 X4501 X4496:X4497 X4490 X4485:X4487 X4482 X4477:X4479 X4461 X4458 X4438 X4424:X4425 X4420 X4414 X4405 X4402 X4393:X4398 X4391 X4385:X4386 X4371:X4372 X4369 X4366 X4362:X4364 X4360 X4358 X4354:X4356 X4352 X4346:X4349 X4342 X4340 X4329:X4331 X4325:X4326 X4320 X4316:X4317 X4314 X4309 X4295:X4296 X4292 X4280 X4272 X4264:X4267 X4252 X4249 X4239 X4236 X4234 X4227:X4228 X4221:X4223 X4215:X4216 X4209 X4207 X4205 X4201:X4202 X4197:X4198 X4192:X4193 X4190 X4184 X4178 X4176 X4174 X4163:X4164 X4153:X4154 X4144 X4138 X4135 X4119 X4114:X4116 X4111 X4108 X4104 X4100 X4088 X4086 X4083 X4071:X4072 X4062 X4059:X4060 X4057 X4054 X4051 X4047 X4043:X4044 X4041 X4038 X4033 X4031 X4024 X4020 X4014 X4006 X4002:X4003 X3997:X3998 X3993 X3989 X3984 X3953 X3938 X3916 X3905 X3902:X3903 X3899 X3890 X3874:X3878 X3870:X3871 X3867 X3863 X3859:X3860 X3854:X3855 X3845 X3833 X3828 X3826 X3823 X3806 X3798 X3782 X3780 X3773 X3770 X3761 X3757:X3759 X3754 X3746 X3721 X3718 X3706 X3700 X3685 X3680 X3675 X3670:X3673 X3667 X3661 X3646 X3634 X3624:X3625 X3621 X3619 X3617 X3615 X3599 X3588 X3578:X3579 X3575 X3546 X3530:X3533 X3526 X3522 X3520 X3509 X3501 X3491:X3492 X3488 X3483 X3477 X3466:X3467 X3463:X3464 X3456:X3457 X3453 X3448:X3449 X3446 X3444 X3430 X3423 X3416:X3418 X3406:X3407 X3396:X3397 X3374 X3359 X3347:X3349 X3342:X3343 X3334 X3326 X3321 X3311 X3289 X3277 X3265:X3266 X3261 X3257 X3251 X3249 X3245:X3246 X3237:X3239 X3235 X3224 X3216 X3210 X3207 X3197 X3190 X3182 X3180 X3172 X3170 X3166:X3167 X3163 X3152:X3153 X3145 X3133 X3131 X3128 X3122 X3109 X3107 X3104 X3099 X3091 X3078 X3075 X3071:X3073 X3069 X3054:X3061 X3048:X3050 X3046 X3039 X3035:X3037 X3032 X3029:X3030 X3026:X3027 X3023:X3024 X3017 X3014:X3015 X3006:X3009 X2999:X3000 X2997 X2993:X2994 X2990:X2991 X2987 X2985 X2962 X2958:X2959 X2955:X2956 X2953 X2940 X2938 X2936 X2922 X2920 X2915 X2895 X2892:X2893 X2886:X2887 X2881:X2882 X2870 X2867:X2868 X2865 X2863 X2858:X2859 X2855:X2856 X2848:X2849 X2843:X2845 X2839 X2836 X2830:X2831 X2827:X2828 X2822:X2824 X2820 X2818 X2812 X2802 X2799:X2800 X2797 X2792 X2786:X2787 X2783 X2777 X2773:X2775 X2766:X2768 X2755:X2757 X2753 X2740 X2717 X2703:X2705 X2701 X2693 X2678 X2666 X2655 X2652:X2653 X2647 X2629:X2630 X2624 X2616 X2610 X2608 X2594 X2588 X2582 X2575:X2576 X2538 X2531:X2533 X2518:X2519 X2513:X2514 X2511 X2507:X2508 X2502 X2500 X2497 X2494:X2495 X2492 X2485:X2486 X2478 X2472 X2468 X2466 X2463:X2464 X2458 X2451:X2454 X2441:X2448 X2437:X2438 X2429 X2425:X2427 X2421 X2418 X2412 X2387 X2378:X2381 X2374 X2366:X2369 X2363 X2361 X2354:X2355 X2348:X2350 X2346 X2343:X2344 X2332:X2333 X2330 X2318:X2319 X2316 X2310:X2313 X2305:X2307 X2303 X2298:X2299 X2295 X2289 X2282 X2277:X2278 X2268 X2261 X2259 X2250 X2247 X2241 X2231 X2228:X2229 X2222 X2218 X2208:X2210 X2203 X2200 X2190 X2164:X2165 X2158 X2152 X2149 X2134 X2128 X2123 X2116 X2057 X2044:X2045 X2042 X2039 X2036 X2029 X2018 X2004 X1999 X1986 X1979 X1975 X1971:X1972 X1969 X1958 X1955:X1956 X1944 X1942 X1938 X1936 X1919 X1915 X1911 X1900 X1898 X1895:X1896 X1859 X1831 X1828 X1821 X1816 X1809 X1805 X1802 X1799 X1796:X1797 X1794 X1790 X1788 X1784 X1782 X1773:X1774 X1770 X1768 X1751 X1744:X1746 X1738 X1731:X1733 X1726:X1727 X1723 X1719 X1715 X1712 X1710 X1701 X1690 X1687 X1685 X1681 X1669 X1662:X1663 X1658 X1654 X1647 X1643:X1644 X1636 X1625 X1622 X1619 X1615 X1608:X1609 X1605:X1606 X1599:X1601 X1594 X1592 X1577 X1499 X1495 X1483 X1476 X1468 X1449 X1446 X1425 X1417 X1407 X1349 X1336:X1337 X1334 X1330:X1332 X1327 X1325 X1320 X1317 X1314 X1311:X1312 X1308 X1306 X1304 X1297 X1289 X1268 X1260:X1261 X1250:X1251 X1241 X1236:X1238 X1234 X1229:X1231 X1226 X1223:X1224 X1221 X1213 X1206 X1196 X1194 X1190:X1192 X1188 X1183 X1181 X1179 X1177 X1170 X1157 X1148 X1141:X1142 X1139 X1126 X1116 X1114 X1104:X1105 X1099 X1095 X1089 X1077 X1062 X1057 X1046:X1047 X1039 X1031 X1026 X1019:X1020 X1012:X1013 X996:X997 X981 X971 X961:X962 X958:X959 X949 X939 X935 X931:X933 X929 X927 X923 X921 X912:X913 X904:X905 X892 X882 X878 X876 X869 X858 X848 X843 X837 X833:X835 X830 X828 X824:X825 X815:X816 X807 X804 X800 X793 X790 X772 X762:X764 X759 X757 X755 X753 X748 X740:X742 X737 X710:X711 X706 X700 X686 X681:X682 X678 X675 X670 X659:X662 X624 X622 X616:X617 X613 X604 X596 X590 X583 X560 X553:X554 X535:X536 X523:X524 X502 X498 X487:X488 X483 X481 X471 X468 X451 X447:X448 X442:X443 X437 X432 X427 X425 X418:X422 X416 X404 X401 X397 X389 X387 X380 X376 X368 X364 X335 X333 X327 X315 X309 X298 X293 X281 X273:X274 X270 X266 X264 X261 X256 X253:X254 X246 X238 X233 X228:X230 X226 X219 X205:X207 X200 X187 X155 X137 X133 X129 X124 X122 X116 X113 X103 X101 X90 X71:X73 X66 X60 X56 X42:X43 X39:X40 X36 X32 X27 X25 X17 X14 X12 X8" xr:uid="{00000000-0002-0000-0000-000002000000}">
      <formula1>2</formula1>
    </dataValidation>
    <dataValidation type="whole" operator="lessThanOrEqual" allowBlank="1" showErrorMessage="1" errorTitle="Неверно" error="Заказ не может быть больше Наличия" sqref="X11 X5283 X5277:X5280 X5274 X5272 X5266:X5270 X5263 X5260 X5247:X5250 X5236:X5240 X5231 X5208 X5202 X5199 X5190 X5179:X5180 X5176 X5166:X5167 X5150 X5142:X5143 X5131:X5132 X5124:X5126 X5120:X5121 X5118 X5115:X5116 X5093:X5094 X5090 X5065 X5032 X5030 X5013 X5001 X4993:X4994 X4985 X4950 X4944 X4934:X4935 X4931:X4932 X4925 X4921:X4923 X4913 X4891:X4892 X4802 X4780:X4781 X4747 X4742 X4739 X4727 X4721 X4694:X4698 X4690:X4692 X4664 X4655:X4658 X4648:X4650 X4646 X4640 X4636 X4631 X4629 X4626 X4621 X4616:X4617 X4607 X4605 X4601 X4599 X4595 X4578 X4575 X4565:X4566 X4558 X4549 X4545 X4540 X4538 X4512:X4513 X4507 X4505 X4503 X4500 X4463 X4452 X4432 X4421:X4422 X4419 X4415:X4417 X4404 X4389 X4387 X4384 X4380 X4332 X4323 X4298:X4301 X4293:X4294 X4291 X4282:X4286 X4263 X4250 X4241 X4232:X4233 X4217:X4220 X4210:X4214 X4175 X4160 X4147 X4130 X4120 X4101:X4103 X4093 X4076:X4077 X4070 X4048 X4042 X4034 X4023 X4011 X4009 X3994 X3991:X3992 X3979:X3981 X3971 X3964 X3960 X3950:X3952 X3939 X3937 X3933 X3930 X3918 X3914 X3909 X3900 X3896 X3888 X3832 X3815 X3810 X3797 X3792 X3784 X3756 X3752 X3749 X3735 X3713:X3714 X3710 X3702 X3688 X3684 X3681 X3676:X3678 X3627 X3611 X3595 X3585 X3580:X3581 X3577 X3567:X3568 X3565 X3553 X3551 X3529 X3524 X3519 X3497 X3494 X3485 X3479:X3480 X3470 X3465 X3454 X3442 X3433 X3428 X3419 X3415 X3411 X3405 X3400 X3385:X3386 X3377 X3372:X3373 X3368 X3352 X3346 X3337 X3315 X3313 X3299 X3290 X3280 X3253 X3240 X3173:X3174 X3161 X3155 X3151 X3148:X3149 X3124:X3125 X3120 X3116:X3117 X3111:X3112 X3108 X3106 X3098 X3093:X3096 X3083 X3081 X3074 X3063 X3041 X3002:X3003 X2992 X2982 X2972:X2973 X2963:X2964 X2949:X2951 X2945:X2947 X2942:X2943 X2933:X2934 X2917:X2918 X2913:X2914 X2904 X2901:X2902 X2899 X2896:X2897 X2883 X2877:X2878 X2841 X2819 X2798 X2793 X2791 X2789 X2743 X2739 X2735:X2737 X2720:X2721 X2718 X2716 X2708 X2699 X2694:X2697 X2656 X2633 X2548 X2544:X2546 X2536 X2522 X2520 X2510 X2482 X2474:X2475 X2471 X2467 X2461 X2432 X2415:X2416 X2413 X2397:X2401 X2388:X2389 X2377 X2339:X2340 X2337 X2309 X2300:X2302 X2297 X2293:X2294 X2287 X2255 X2221 X2219 X2211 X2199 X2196 X2193 X2180 X2172 X2167 X2133 X2106 X2092 X2056 X2051 X2046 X2041 X2033 X2023:X2024 X2010:X2011 X2000 X1998 X1987 X1981 X1978 X1970 X1963 X1959 X1943 X1937 X1924 X1920 X1913 X1904 X1891 X1866:X1867 X1854 X1837 X1834 X1823 X1820 X1791 X1786 X1779:X1780 X1767 X1736 X1724 X1720 X1716 X1713 X1702 X1695 X1691 X1689 X1665 X1660:X1661 X1657 X1649 X1640 X1630 X1627 X1618 X1613:X1614 X1611 X1603 X1595:X1596 X1572 X1555 X1550 X1541 X1509:X1510 X1487 X1480 X1460 X1430 X1421 X1419 X1410 X1399 X1383 X1343 X1319 X1309 X1269 X1265 X1207 X1197 X1173 X1169 X1161 X1135 X1124 X1119 X1113 X1106 X1094 X1088 X1072 X1063 X1058 X1042 X1030 X1024:X1025 X1021 X1005 X999 X992 X983 X972 X965 X963 X960 X954 X943:X944 X915 X910 X906 X899:X900 X885:X887 X883 X881 X877 X875 X872 X868 X864 X862 X860 X856 X842 X820 X813:X814 X809 X806 X803 X799 X782 X778 X775 X773 X766 X747 X738 X728 X726 X716 X712 X701 X699 X656 X627 X623 X614:X615 X605 X589 X585 X567 X565 X549 X545:X547 X542 X518:X519 X507:X509 X503:X505 X496:X497 X474 X467 X458 X453 X449 X444 X431 X428 X395:X396 X383 X381 X331 X322 X262 X260 X245 X242:X243 X234 X232 X220 X216:X217 X212:X214 X203:X204 X201 X194 X192 X189 X175 X173 X170:X171 X164 X149:X150 X147 X139:X140 X134 X125 X121 X107 X78 X67 X62 X50:X55 X20 X13" xr:uid="{00000000-0002-0000-0000-000007000000}">
      <formula1>4</formula1>
    </dataValidation>
    <dataValidation type="whole" operator="lessThanOrEqual" allowBlank="1" showErrorMessage="1" errorTitle="Неверно" error="Заказ не может быть больше Наличия" sqref="X16 X5273 X5243 X5235 X5221 X5204 X5198 X5191 X5177 X5151 X5148 X5110:X5111 X5108 X5097 X5082:X5089 X5058 X4953 X4947 X4945 X4942 X4927:X4930 X4816:X4820 X4724 X4713:X4716 X4685:X4687 X4673:X4675 X4665 X4652:X4653 X4644 X4608 X4602:X4603 X4598 X4590:X4591 X4488 X4474 X4410 X4408 X4381:X4382 X4344:X4345 X4288 X4162 X4142 X4125 X4121 X4078:X4082 X4017 X4012 X4010 X4008 X3973 X3968 X3965 X3962 X3935 X3928 X3923 X3921 X3915 X3912:X3913 X3908 X3897 X3889 X3881:X3882 X3851 X3822 X3819 X3814 X3778 X3769 X3666 X3628 X3576 X3566 X3560 X3557 X3541 X3537 X3534 X3495 X3490 X3461 X3450:X3451 X3431 X3413 X3401 X3388:X3389 X3380 X3370 X3355 X3344 X3341 X3327 X3323 X3320 X3314 X3298 X3291 X3278 X3262 X3201 X3175:X3176 X3157 X3121 X3118:X3119 X3113 X3090 X3084:X3085 X2979:X2980 X2968:X2969 X2932 X2927:X2928 X2925 X2905:X2912 X2884 X2880 X2871 X2842 X2811 X2738 X2731 X2711 X2707 X2682 X2672 X2665 X2646 X2643:X2644 X2634:X2635 X2631 X2625 X2622 X2597 X2595 X2590 X2584 X2577 X2568 X2539:X2540 X2517 X2459 X2436 X2434 X2414 X2411 X2274 X2262:X2265 X2248 X2226 X2201 X2197 X2191 X2108 X2037 X2014 X2006 X1996 X1993 X1965 X1918 X1892 X1852 X1839:X1840 X1835 X1818 X1772 X1714 X1692 X1688 X1684 X1667 X1648 X1645 X1642 X1634 X1626 X1581 X1563 X1515 X1496 X1481 X1474 X1450 X1401:X1402 X1344 X1318 X1267 X1214 X1210:X1211 X1208 X1205 X1180 X1137 X1122:X1123 X1117 X1107 X1067 X1061 X1059 X1052 X1048 X1041 X1003 X994 X991 X969 X917 X908 X902 X890:X891 X888 X857 X851 X845 X841 X822 X783 X780 X767 X749 X731:X732 X715 X703 X692:X693 X688 X668 X618 X609 X601 X577 X543 X540 X534 X531 X528 X499:X500 X475:X480 X433 X399:X400 X391 X345 X332 X326 X308 X271:X272 X263 X174 X167:X169 X165 X161:X163 X151:X153 X148 X138 X131 X126:X128 X123 X118:X120 X108 X94 X92 X86 X84 X74:X75" xr:uid="{00000000-0002-0000-0000-00000C000000}">
      <formula1>5</formula1>
    </dataValidation>
    <dataValidation type="whole" operator="lessThanOrEqual" allowBlank="1" showErrorMessage="1" errorTitle="Неверно" error="Заказ не может быть больше Наличия" sqref="X65 X5206 X5203 X5197 X5194:X5195 X5185:X5186 X5183 X5152 X5112:X5114 X5109 X5103:X5107 X5006 X4954 X4948 X4813:X4815 X4717 X4681:X4683 X4645 X4587:X4589 X4518 X4509:X4510 X4475 X4457 X4443:X4444 X4437 X4427 X4411:X4412 X4403 X4279 X4230 X4199 X4172 X4156 X4149:X4150 X4137 X4129 X4110 X4092 X3983 X3963 X3955 X3941 X3906 X3852 X3846 X3796 X3793 X3790 X3787:X3788 X3785 X3768 X3715:X3717 X3711:X3712 X3708:X3709 X3705 X3701 X3690:X3691 X3682:X3683 X3609 X3597 X3592 X3582 X3573 X3562 X3527 X3521 X3506:X3508 X3499 X3489 X3486 X3427 X3399 X3395 X3382 X3375:X3376 X3366 X3354 X3338 X3336 X3319 X3317 X3275 X3263 X3252 X3193 X3158:X3160 X3150 X3097 X2929:X2931 X2926 X2873:X2874 X2730 X2728 X2726 X2722:X2723 X2688 X2673 X2638 X2621 X2560:X2561 X2551 X2460 X2435 X2433 X2430:X2431 X2404:X2408 X2328 X2272 X2246 X2235 X2227 X2202 X2188 X2171 X2155 X2093 X2091 X2076 X2034 X2030 X2003 X1992 X1967 X1903 X1882 X1864 X1862 X1858 X1853 X1850 X1845 X1819 X1765:X1766 X1740 X1694 X1635 X1588 X1578 X1570:X1571 X1565:X1566 X1543 X1488 X1484 X1458 X1456 X1451 X1412 X1404 X1326 X1292 X1174 X1162 X1134 X1083 X1075:X1076 X1064 X1043 X1038 X1032 X1016 X1011 X1009 X1002 X998 X984 X980 X973 X966:X967 X952 X950 X947:X948 X907 X903 X898 X893 X873 X788 X750 X743 X735 X727 X707 X702 X664 X648 X620:X621 X602 X550 X532 X530 X336 X321 X307 X259 X180 X158 X154 X91 X81" xr:uid="{00000000-0002-0000-0000-00003D000000}">
      <formula1>6</formula1>
    </dataValidation>
    <dataValidation type="whole" operator="lessThanOrEqual" allowBlank="1" showErrorMessage="1" errorTitle="Неверно" error="Заказ не может быть больше Наличия" sqref="X4956:X4961 X4880 X4745 X4722 X4491 X4445 X4441 X4166 X4143 X3959 X3945 X3942 X3940 X3920 X3821 X3811 X3794:X3795 X3748 X3739 X3736:X3737 X3734 X3658 X3631 X3616 X3612 X3587 X3414 X3412 X3402 X3384 X3364 X3353 X3324:X3325 X3302 X3292 X3264 X3256 X3254 X3202 X3196 X3194 X2732 X2719 X2650 X2592 X2586 X2552:X2553 X2535 X2527:X2529 X2524 X2317 X2276 X2271 X2166 X2131 X2129 X2118 X2115 X2060 X2019 X2008 X1957 X1935 X1926 X1912 X1871 X1814 X1573 X1463 X1447 X1406 X1370 X1347 X1112 X1081 X1073:X1074 X1049:X1051 X1037 X1033 X1022 X1017 X1008 X990 X985 X979 X974 X945 X914 X897 X895 X859 X840 X770 X719 X666 X606 X593 X591 X346 X183:X184 X181 X176:X177 X160 X145:X146 X143 X76:X77" xr:uid="{00000000-0002-0000-0000-000048000000}">
      <formula1>8</formula1>
    </dataValidation>
    <dataValidation type="whole" operator="lessThanOrEqual" allowBlank="1" showErrorMessage="1" errorTitle="Неверно" error="Заказ не может быть больше Наличия" sqref="X5196 X5187 X5184 X5182 X5178 X5153 X5040 X4955 X4949 X4946 X4882 X4744 X4740 X4720 X4684 X4492 X4442 X4433 X4430:X4431 X4128 X4097 X4094 X3982 X3974 X3949 X3931 X3927 X3853 X3842 X3813 X3791 X3786 X3747 X3733 X3606 X3596 X3586 X3572 X3538 X3518 X3498 X3484 X3420 X3410 X3371 X3358 X3345 X3339:X3340 X3322 X3318 X3306 X3282 X2725 X2649 X2626:X2627 X2596 X2585 X2578 X2564 X2562 X2525:X2526 X2323:X2327 X2275 X2273 X2198 X2187 X2179 X2117 X2111 X2100 X2059 X2053 X2049 X2020 X2009 X1990 X1927 X1885 X1881 X1878 X1875 X1857 X1848 X1844 X1813 X1584 X1575 X1568 X1561 X1546 X1511 X1505 X1498 X1494 X1486 X1482 X1454 X1437 X1348 X1345 X1275 X1266 X1262 X1163 X1158 X1111 X1014 X978 X975 X968 X964 X916 X894 X852 X847 X805 X801 X798 X774 X769 X758 X756 X736 X696 X679 X667 X588 X561 X538 X182 X178:X179 X142 X82:X83" xr:uid="{00000000-0002-0000-0000-00004E000000}">
      <formula1>7</formula1>
    </dataValidation>
    <dataValidation type="whole" operator="lessThanOrEqual" allowBlank="1" showErrorMessage="1" errorTitle="Неверно" error="Заказ не может быть больше Наличия" sqref="X85 X4940 X4446 X4435 X4173 X4124 X4095:X4096 X3948 X3934 X3924 X3907 X3849 X3775 X3698 X3669 X3650 X3404 X3367 X3300 X3293 X3204 X2663 X2580 X2574 X2136 X1997 X1960 X1923 X1909 X1906 X1846 X1843 X1552 X1523 X1506 X1470 X1464 X1414 X1398 X1384 X1371 X1284 X1034:X1036 X986 X953 X896 X781 X725 X721 X633 X607:X608 X323 X144 X141" xr:uid="{00000000-0002-0000-0000-000051000000}">
      <formula1>10</formula1>
    </dataValidation>
    <dataValidation type="whole" operator="lessThanOrEqual" allowBlank="1" showErrorMessage="1" errorTitle="Неверно" error="Заказ не может быть больше Наличия" sqref="X249 X5005 X4468 X4451 X3956 X3946 X3925 X3848 X3552 X3440 X3438 X3308 X2572:X2573 X2119 X2102 X1886 X1812 X1444 X1439 X1416 X785" xr:uid="{00000000-0002-0000-0000-0000F5000000}">
      <formula1>15</formula1>
    </dataValidation>
    <dataValidation type="whole" operator="lessThanOrEqual" allowBlank="1" showErrorMessage="1" errorTitle="Неверно" error="Заказ не может быть больше Наличия" sqref="X354 X5209 X4939 X4936:X4937 X4122 X3847 X3820 X3730 X3697 X3554 X3548 X3543 X3474 X3435 X3331 X3309 X3297 X3287 X3276 X3270:X3271 X3198 X2645 X2127 X1973 X1893 X1884 X1842 X1537 X1534 X1435 X1291 X1082 X1060 X988 X977 X722 X650 X637 X595 X564" xr:uid="{00000000-0002-0000-0000-00005E010000}">
      <formula1>11</formula1>
    </dataValidation>
    <dataValidation type="whole" operator="lessThanOrEqual" allowBlank="1" showErrorMessage="1" errorTitle="Неверно" error="Заказ не может быть больше Наличия" sqref="X355 X5210 X3515 X1870" xr:uid="{00000000-0002-0000-0000-00005F010000}">
      <formula1>27</formula1>
    </dataValidation>
    <dataValidation type="whole" operator="lessThanOrEqual" allowBlank="1" showErrorMessage="1" errorTitle="Неверно" error="Заказ не может быть больше Наличия" sqref="X537 X5181 X4938 X4476 X4460 X4439 X4277 X4165 X3969:X3970 X3936 X3919 X3838 X3816 X3812 X3731 X3699 X3686 X3610 X3528 X3475 X3441 X3436 X3434 X3425 X3421 X3403 X3393:X3394 X3362:X3363 X3307 X3301 X3295 X3269 X3203 X3200 X2591 X2587 X2571 X2549 X2162 X2159 X2107 X2104 X2055 X1889:X1890 X1872 X1861 X1856 X1841 X1827 X1811 X1586 X1553 X1472 X1461 X1429 X1328 X1084 X1080 X1065:X1066 X1010 X989 X976 X946 X802 X787 X768 X760 X746 X724 X720 X694 X684 X649 X587 X569 X562 X539" xr:uid="{00000000-0002-0000-0000-000015020000}">
      <formula1>9</formula1>
    </dataValidation>
    <dataValidation type="whole" operator="lessThanOrEqual" allowBlank="1" showErrorMessage="1" errorTitle="Неверно" error="Заказ не может быть больше Наличия" sqref="X563 X4464 X3727 X3725 X3696 X2186 X2103 X2073 X1952 X1921 X1905 X1883 X1880 X1825 X1569 X594" xr:uid="{00000000-0002-0000-0000-00002F020000}">
      <formula1>17</formula1>
    </dataValidation>
    <dataValidation type="whole" operator="lessThanOrEqual" allowBlank="1" showErrorMessage="1" errorTitle="Неверно" error="Заказ не может быть больше Наличия" sqref="X566 X1485" xr:uid="{00000000-0002-0000-0000-000032020000}">
      <formula1>38</formula1>
    </dataValidation>
    <dataValidation type="whole" operator="lessThanOrEqual" allowBlank="1" showErrorMessage="1" errorTitle="Неверно" error="Заказ не может быть больше Наличия" sqref="X568 X3571 X1548 X1520 X1512 X1357" xr:uid="{00000000-0002-0000-0000-000034020000}">
      <formula1>32</formula1>
    </dataValidation>
    <dataValidation type="whole" operator="lessThanOrEqual" allowBlank="1" showErrorMessage="1" errorTitle="Неверно" error="Заказ не может быть больше Наличия" sqref="X570" xr:uid="{00000000-0002-0000-0000-000036020000}">
      <formula1>45</formula1>
    </dataValidation>
    <dataValidation type="whole" operator="lessThanOrEqual" allowBlank="1" showErrorMessage="1" errorTitle="Неверно" error="Заказ не может быть больше Наличия" sqref="X571" xr:uid="{00000000-0002-0000-0000-000037020000}">
      <formula1>75</formula1>
    </dataValidation>
    <dataValidation type="whole" operator="lessThanOrEqual" allowBlank="1" showErrorMessage="1" errorTitle="Неверно" error="Заказ не может быть больше Наличия" sqref="X572 X1585 X1576 X1516 X745" xr:uid="{00000000-0002-0000-0000-000038020000}">
      <formula1>36</formula1>
    </dataValidation>
    <dataValidation type="whole" operator="lessThanOrEqual" allowBlank="1" showErrorMessage="1" errorTitle="Неверно" error="Заказ не может быть больше Наличия" sqref="X573 X2074 X1530 X1085" xr:uid="{00000000-0002-0000-0000-000039020000}">
      <formula1>30</formula1>
    </dataValidation>
    <dataValidation type="whole" operator="lessThanOrEqual" allowBlank="1" showErrorMessage="1" errorTitle="Неверно" error="Заказ не может быть больше Наличия" sqref="X574 X579 X576" xr:uid="{00000000-0002-0000-0000-00003A020000}">
      <formula1>66</formula1>
    </dataValidation>
    <dataValidation type="whole" operator="lessThanOrEqual" allowBlank="1" showErrorMessage="1" errorTitle="Неверно" error="Заказ не может быть больше Наличия" sqref="X575 X2079 X1528 X1386" xr:uid="{00000000-0002-0000-0000-00003B020000}">
      <formula1>37</formula1>
    </dataValidation>
    <dataValidation type="whole" operator="lessThanOrEqual" allowBlank="1" showErrorMessage="1" errorTitle="Неверно" error="Заказ не может быть больше Наличия" sqref="X580 X1387 X1102" xr:uid="{00000000-0002-0000-0000-000040020000}">
      <formula1>65</formula1>
    </dataValidation>
    <dataValidation type="whole" operator="lessThanOrEqual" allowBlank="1" showErrorMessage="1" errorTitle="Неверно" error="Заказ не может быть больше Наличия" sqref="X581 X1397 X1288" xr:uid="{00000000-0002-0000-0000-000041020000}">
      <formula1>60</formula1>
    </dataValidation>
    <dataValidation type="whole" operator="lessThanOrEqual" allowBlank="1" showErrorMessage="1" errorTitle="Неверно" error="Заказ не может быть больше Наличия" sqref="X632 X5008 X4881 X4465:X4466 X4447 X3958 X3839 X3743:X3745 X3740 X3738 X3729 X3555 X3545 X3437 X3422 X3390 X3357 X3329:X3330 X3305 X3284 X3199 X2712 X2642 X2639 X2567 X2565 X2559 X2554 X2550 X2237 X2157 X2096 X2085 X2007 X1950 X1932 X1925 X1899 X1877 X1865 X1838 X1587 X1583 X1533 X1502 X1477:X1478 X1466 X1452 X1079 X987 X901 X730 X695 X672 X653 X642" xr:uid="{00000000-0002-0000-0000-000074020000}">
      <formula1>12</formula1>
    </dataValidation>
    <dataValidation type="whole" operator="lessThanOrEqual" allowBlank="1" showErrorMessage="1" errorTitle="Неверно" error="Заказ не может быть больше Наличия" sqref="X634 X3516 X2126 X2090 X1547 X1527 X1475 X655 X646 X644 X639:X640" xr:uid="{00000000-0002-0000-0000-000076020000}">
      <formula1>24</formula1>
    </dataValidation>
    <dataValidation type="whole" operator="lessThanOrEqual" allowBlank="1" showErrorMessage="1" errorTitle="Неверно" error="Заказ не может быть больше Наличия" sqref="X635 X5211 X2160 X2077 X1873 X1557:X1558 X1531" xr:uid="{00000000-0002-0000-0000-000077020000}">
      <formula1>22</formula1>
    </dataValidation>
    <dataValidation type="whole" operator="lessThanOrEqual" allowBlank="1" showErrorMessage="1" errorTitle="Неверно" error="Заказ не может быть больше Наличия" sqref="X636 X2113 X2089 X1442" xr:uid="{00000000-0002-0000-0000-000078020000}">
      <formula1>29</formula1>
    </dataValidation>
    <dataValidation type="whole" operator="lessThanOrEqual" allowBlank="1" showErrorMessage="1" errorTitle="Неверно" error="Заказ не может быть больше Наличия" sqref="X638 X4467 X3840:X3841 X3741 X3728 X3726 X3544 X3542 X3523 X3517 X2714:X2715 X2641 X2555:X2557 X2125 X2112 X2088 X2048 X1907 X1860 X1855 X1507 X1459 X854" xr:uid="{00000000-0002-0000-0000-00007A020000}">
      <formula1>16</formula1>
    </dataValidation>
    <dataValidation type="whole" operator="lessThanOrEqual" allowBlank="1" showErrorMessage="1" errorTitle="Неверно" error="Заказ не может быть больше Наличия" sqref="X641 X1365" xr:uid="{00000000-0002-0000-0000-00007D020000}">
      <formula1>70</formula1>
    </dataValidation>
    <dataValidation type="whole" operator="lessThanOrEqual" allowBlank="1" showErrorMessage="1" errorTitle="Неверно" error="Заказ не может быть больше Наличия" sqref="X643 X2082" xr:uid="{00000000-0002-0000-0000-00007F020000}">
      <formula1>54</formula1>
    </dataValidation>
    <dataValidation type="whole" operator="lessThanOrEqual" allowBlank="1" showErrorMessage="1" errorTitle="Неверно" error="Заказ не может быть больше Наличия" sqref="X645 X1508" xr:uid="{00000000-0002-0000-0000-000081020000}">
      <formula1>56</formula1>
    </dataValidation>
    <dataValidation type="whole" operator="lessThanOrEqual" allowBlank="1" showErrorMessage="1" errorTitle="Неверно" error="Заказ не может быть больше Наличия" sqref="X647 X1455" xr:uid="{00000000-0002-0000-0000-000083020000}">
      <formula1>59</formula1>
    </dataValidation>
    <dataValidation type="whole" operator="lessThanOrEqual" allowBlank="1" showErrorMessage="1" errorTitle="Неверно" error="Заказ не может быть больше Наличия" sqref="X651 X1556 X1538 X1415 X1101" xr:uid="{00000000-0002-0000-0000-000087020000}">
      <formula1>34</formula1>
    </dataValidation>
    <dataValidation type="whole" operator="lessThanOrEqual" allowBlank="1" showErrorMessage="1" errorTitle="Неверно" error="Заказ не может быть больше Наличия" sqref="X652 X4471 X4469 X4091 X3776:X3777 X3732 X3692 X3439 X3392 X3365 X3356 X3328 X3310 X3304 X3296 X3285 X3283 X3272 X2713 X2156 X2137 X2087 X1934 X1910 X1874 X1869 X1849 X1832 X1579 X1551 X1524 X1514 X1500 X1493 X1471 X1436 X797 X761 X744 X709 X657" xr:uid="{00000000-0002-0000-0000-000088020000}">
      <formula1>13</formula1>
    </dataValidation>
    <dataValidation type="whole" operator="lessThanOrEqual" allowBlank="1" showErrorMessage="1" errorTitle="Неверно" error="Заказ не может быть больше Наличия" sqref="X654 X2083 X1532 X1366" xr:uid="{00000000-0002-0000-0000-00008A020000}">
      <formula1>42</formula1>
    </dataValidation>
    <dataValidation type="whole" operator="lessThanOrEqual" allowBlank="1" showErrorMessage="1" errorTitle="Неверно" error="Заказ не может быть больше Наличия" sqref="X673" xr:uid="{00000000-0002-0000-0000-00009D020000}">
      <formula1>40</formula1>
    </dataValidation>
    <dataValidation type="whole" operator="lessThanOrEqual" allowBlank="1" showErrorMessage="1" errorTitle="Неверно" error="Заказ не может быть больше Наличия" sqref="X714 X5207 X4448 X4278 X4123 X3926 X3742 X3391 X3303 X3294 X3286 X2579 X2558 X2130 X2084 X1951 X1876 X1847 X1836 X1590 X1521 X1517 X1434 X1346 X1015 X786 X723" xr:uid="{00000000-0002-0000-0000-0000C6020000}">
      <formula1>14</formula1>
    </dataValidation>
    <dataValidation type="whole" operator="lessThanOrEqual" allowBlank="1" showErrorMessage="1" errorTitle="Неверно" error="Заказ не может быть больше Наличия" sqref="X853 X5212 X2054 X1931 X1887:X1888 X1879 X1525 X1513 X1443" xr:uid="{00000000-0002-0000-0000-000051030000}">
      <formula1>18</formula1>
    </dataValidation>
    <dataValidation type="whole" operator="lessThanOrEqual" allowBlank="1" showErrorMessage="1" errorTitle="Неверно" error="Заказ не может быть больше Наличия" sqref="X855 X1535 X1441" xr:uid="{00000000-0002-0000-0000-000053030000}">
      <formula1>25</formula1>
    </dataValidation>
    <dataValidation type="whole" operator="lessThanOrEqual" allowBlank="1" showErrorMessage="1" errorTitle="Неверно" error="Заказ не может быть больше Наличия" sqref="X1078" xr:uid="{00000000-0002-0000-0000-000032040000}">
      <formula1>62</formula1>
    </dataValidation>
    <dataValidation type="whole" operator="lessThanOrEqual" allowBlank="1" showErrorMessage="1" errorTitle="Неверно" error="Заказ не может быть больше Наличия" sqref="X1086" xr:uid="{00000000-0002-0000-0000-00003A040000}">
      <formula1>51</formula1>
    </dataValidation>
    <dataValidation type="whole" operator="lessThanOrEqual" allowBlank="1" showErrorMessage="1" errorTitle="Неверно" error="Заказ не может быть больше Наличия" sqref="X1087" xr:uid="{00000000-0002-0000-0000-00003B040000}">
      <formula1>50</formula1>
    </dataValidation>
    <dataValidation type="whole" operator="lessThanOrEqual" allowBlank="1" showErrorMessage="1" errorTitle="Неверно" error="Заказ не может быть больше Наличия" sqref="X1103 X2184 X2078 X2075 X1562" xr:uid="{00000000-0002-0000-0000-00004B040000}">
      <formula1>35</formula1>
    </dataValidation>
    <dataValidation type="whole" operator="lessThanOrEqual" allowBlank="1" showErrorMessage="1" errorTitle="Неверно" error="Заказ не может быть больше Наличия" sqref="X1257 X4450 X1580 X1522 X1413" xr:uid="{00000000-0002-0000-0000-0000E5040000}">
      <formula1>23</formula1>
    </dataValidation>
    <dataValidation type="whole" operator="lessThanOrEqual" allowBlank="1" showErrorMessage="1" errorTitle="Неверно" error="Заказ не может быть больше Наличия" sqref="X1272" xr:uid="{00000000-0002-0000-0000-0000F4040000}">
      <formula1>300</formula1>
    </dataValidation>
    <dataValidation type="whole" operator="lessThanOrEqual" allowBlank="1" showErrorMessage="1" errorTitle="Неверно" error="Заказ не может быть больше Наличия" sqref="X4470 X3570 X2114 X2086 X1490 X1385 X1273:X1274" xr:uid="{00000000-0002-0000-0000-0000F5040000}">
      <formula1>21</formula1>
    </dataValidation>
    <dataValidation type="whole" operator="lessThanOrEqual" allowBlank="1" showErrorMessage="1" errorTitle="Неверно" error="Заказ не может быть больше Наличия" sqref="X1276" xr:uid="{00000000-0002-0000-0000-0000F8040000}">
      <formula1>2022</formula1>
    </dataValidation>
    <dataValidation type="whole" operator="lessThanOrEqual" allowBlank="1" showErrorMessage="1" errorTitle="Неверно" error="Заказ не может быть больше Наличия" sqref="X1277" xr:uid="{00000000-0002-0000-0000-0000F9040000}">
      <formula1>826</formula1>
    </dataValidation>
    <dataValidation type="whole" operator="lessThanOrEqual" allowBlank="1" showErrorMessage="1" errorTitle="Неверно" error="Заказ не может быть больше Наличия" sqref="X1278" xr:uid="{00000000-0002-0000-0000-0000FA040000}">
      <formula1>607</formula1>
    </dataValidation>
    <dataValidation type="whole" operator="lessThanOrEqual" allowBlank="1" showErrorMessage="1" errorTitle="Неверно" error="Заказ не может быть больше Наличия" sqref="X1279" xr:uid="{00000000-0002-0000-0000-0000FB040000}">
      <formula1>498</formula1>
    </dataValidation>
    <dataValidation type="whole" operator="lessThanOrEqual" allowBlank="1" showErrorMessage="1" errorTitle="Неверно" error="Заказ не может быть больше Наличия" sqref="X1280" xr:uid="{00000000-0002-0000-0000-0000FC040000}">
      <formula1>303</formula1>
    </dataValidation>
    <dataValidation type="whole" operator="lessThanOrEqual" allowBlank="1" showErrorMessage="1" errorTitle="Неверно" error="Заказ не может быть больше Наличия" sqref="X1281 X1389" xr:uid="{00000000-0002-0000-0000-0000FD040000}">
      <formula1>120</formula1>
    </dataValidation>
    <dataValidation type="whole" operator="lessThanOrEqual" allowBlank="1" showErrorMessage="1" errorTitle="Неверно" error="Заказ не может быть больше Наличия" sqref="X1282" xr:uid="{00000000-0002-0000-0000-0000FE040000}">
      <formula1>239</formula1>
    </dataValidation>
    <dataValidation type="whole" operator="lessThanOrEqual" allowBlank="1" showErrorMessage="1" errorTitle="Неверно" error="Заказ не может быть больше Наличия" sqref="X1283" xr:uid="{00000000-0002-0000-0000-0000FF040000}">
      <formula1>699</formula1>
    </dataValidation>
    <dataValidation type="whole" operator="lessThanOrEqual" allowBlank="1" showErrorMessage="1" errorTitle="Неверно" error="Заказ не может быть больше Наличия" sqref="X1286" xr:uid="{00000000-0002-0000-0000-000002050000}">
      <formula1>499</formula1>
    </dataValidation>
    <dataValidation type="whole" operator="lessThanOrEqual" allowBlank="1" showErrorMessage="1" errorTitle="Неверно" error="Заказ не может быть больше Наличия" sqref="X1295" xr:uid="{00000000-0002-0000-0000-00000B050000}">
      <formula1>144</formula1>
    </dataValidation>
    <dataValidation type="whole" operator="lessThanOrEqual" allowBlank="1" showErrorMessage="1" errorTitle="Неверно" error="Заказ не может быть больше Наличия" sqref="X1353" xr:uid="{00000000-0002-0000-0000-000045050000}">
      <formula1>939</formula1>
    </dataValidation>
    <dataValidation type="whole" operator="lessThanOrEqual" allowBlank="1" showErrorMessage="1" errorTitle="Неверно" error="Заказ не может быть больше Наличия" sqref="X1354" xr:uid="{00000000-0002-0000-0000-000046050000}">
      <formula1>191</formula1>
    </dataValidation>
    <dataValidation type="whole" operator="lessThanOrEqual" allowBlank="1" showErrorMessage="1" errorTitle="Неверно" error="Заказ не может быть больше Наличия" sqref="X1355 X1375" xr:uid="{00000000-0002-0000-0000-000047050000}">
      <formula1>128</formula1>
    </dataValidation>
    <dataValidation type="whole" operator="lessThanOrEqual" allowBlank="1" showErrorMessage="1" errorTitle="Неверно" error="Заказ не может быть больше Наличия" sqref="X1356" xr:uid="{00000000-0002-0000-0000-000048050000}">
      <formula1>377</formula1>
    </dataValidation>
    <dataValidation type="whole" operator="lessThanOrEqual" allowBlank="1" showErrorMessage="1" errorTitle="Неверно" error="Заказ не может быть больше Наличия" sqref="X1358" xr:uid="{00000000-0002-0000-0000-00004A050000}">
      <formula1>208</formula1>
    </dataValidation>
    <dataValidation type="whole" operator="lessThanOrEqual" allowBlank="1" showErrorMessage="1" errorTitle="Неверно" error="Заказ не может быть больше Наличия" sqref="X1359" xr:uid="{00000000-0002-0000-0000-00004B050000}">
      <formula1>217</formula1>
    </dataValidation>
    <dataValidation type="whole" operator="lessThanOrEqual" allowBlank="1" showErrorMessage="1" errorTitle="Неверно" error="Заказ не может быть больше Наличия" sqref="X1360" xr:uid="{00000000-0002-0000-0000-00004C050000}">
      <formula1>58</formula1>
    </dataValidation>
    <dataValidation type="whole" operator="lessThanOrEqual" allowBlank="1" showErrorMessage="1" errorTitle="Неверно" error="Заказ не может быть больше Наличия" sqref="X1361" xr:uid="{00000000-0002-0000-0000-00004D050000}">
      <formula1>130</formula1>
    </dataValidation>
    <dataValidation type="whole" operator="lessThanOrEqual" allowBlank="1" showErrorMessage="1" errorTitle="Неверно" error="Заказ не может быть больше Наличия" sqref="X1362" xr:uid="{00000000-0002-0000-0000-00004E050000}">
      <formula1>119</formula1>
    </dataValidation>
    <dataValidation type="whole" operator="lessThanOrEqual" allowBlank="1" showErrorMessage="1" errorTitle="Неверно" error="Заказ не может быть больше Наличия" sqref="X1363" xr:uid="{00000000-0002-0000-0000-00004F050000}">
      <formula1>116</formula1>
    </dataValidation>
    <dataValidation type="whole" operator="lessThanOrEqual" allowBlank="1" showErrorMessage="1" errorTitle="Неверно" error="Заказ не может быть больше Наличия" sqref="X1364" xr:uid="{00000000-0002-0000-0000-000050050000}">
      <formula1>418</formula1>
    </dataValidation>
    <dataValidation type="whole" operator="lessThanOrEqual" allowBlank="1" showErrorMessage="1" errorTitle="Неверно" error="Заказ не может быть больше Наличия" sqref="X1367 X1390" xr:uid="{00000000-0002-0000-0000-000053050000}">
      <formula1>143</formula1>
    </dataValidation>
    <dataValidation type="whole" operator="lessThanOrEqual" allowBlank="1" showErrorMessage="1" errorTitle="Неверно" error="Заказ не может быть больше Наличия" sqref="X1368" xr:uid="{00000000-0002-0000-0000-000054050000}">
      <formula1>57</formula1>
    </dataValidation>
    <dataValidation type="whole" operator="lessThanOrEqual" allowBlank="1" showErrorMessage="1" errorTitle="Неверно" error="Заказ не может быть больше Наличия" sqref="X1369" xr:uid="{00000000-0002-0000-0000-000055050000}">
      <formula1>85</formula1>
    </dataValidation>
    <dataValidation type="whole" operator="lessThanOrEqual" allowBlank="1" showErrorMessage="1" errorTitle="Неверно" error="Заказ не может быть больше Наличия" sqref="X1373" xr:uid="{00000000-0002-0000-0000-000059050000}">
      <formula1>81</formula1>
    </dataValidation>
    <dataValidation type="whole" operator="lessThanOrEqual" allowBlank="1" showErrorMessage="1" errorTitle="Неверно" error="Заказ не может быть больше Наличия" sqref="X1374" xr:uid="{00000000-0002-0000-0000-00005A050000}">
      <formula1>280</formula1>
    </dataValidation>
    <dataValidation type="whole" operator="lessThanOrEqual" allowBlank="1" showErrorMessage="1" errorTitle="Неверно" error="Заказ не может быть больше Наличия" sqref="X1376" xr:uid="{00000000-0002-0000-0000-00005C050000}">
      <formula1>379</formula1>
    </dataValidation>
    <dataValidation type="whole" operator="lessThanOrEqual" allowBlank="1" showErrorMessage="1" errorTitle="Неверно" error="Заказ не может быть больше Наличия" sqref="X1377" xr:uid="{00000000-0002-0000-0000-00005D050000}">
      <formula1>88</formula1>
    </dataValidation>
    <dataValidation type="whole" operator="lessThanOrEqual" allowBlank="1" showErrorMessage="1" errorTitle="Неверно" error="Заказ не может быть больше Наличия" sqref="X1378" xr:uid="{00000000-0002-0000-0000-00005E050000}">
      <formula1>105</formula1>
    </dataValidation>
    <dataValidation type="whole" operator="lessThanOrEqual" allowBlank="1" showErrorMessage="1" errorTitle="Неверно" error="Заказ не может быть больше Наличия" sqref="X1379" xr:uid="{00000000-0002-0000-0000-00005F050000}">
      <formula1>532</formula1>
    </dataValidation>
    <dataValidation type="whole" operator="lessThanOrEqual" allowBlank="1" showErrorMessage="1" errorTitle="Неверно" error="Заказ не может быть больше Наличия" sqref="X1380" xr:uid="{00000000-0002-0000-0000-000060050000}">
      <formula1>92</formula1>
    </dataValidation>
    <dataValidation type="whole" operator="lessThanOrEqual" allowBlank="1" showErrorMessage="1" errorTitle="Неверно" error="Заказ не может быть больше Наличия" sqref="X1382" xr:uid="{00000000-0002-0000-0000-000062050000}">
      <formula1>87</formula1>
    </dataValidation>
    <dataValidation type="whole" operator="lessThanOrEqual" allowBlank="1" showErrorMessage="1" errorTitle="Неверно" error="Заказ не может быть больше Наличия" sqref="X1388" xr:uid="{00000000-0002-0000-0000-000068050000}">
      <formula1>74</formula1>
    </dataValidation>
    <dataValidation type="whole" operator="lessThanOrEqual" allowBlank="1" showErrorMessage="1" errorTitle="Неверно" error="Заказ не может быть больше Наличия" sqref="X1391" xr:uid="{00000000-0002-0000-0000-00006B050000}">
      <formula1>115</formula1>
    </dataValidation>
    <dataValidation type="whole" operator="lessThanOrEqual" allowBlank="1" showErrorMessage="1" errorTitle="Неверно" error="Заказ не может быть больше Наличия" sqref="X1392" xr:uid="{00000000-0002-0000-0000-00006C050000}">
      <formula1>203</formula1>
    </dataValidation>
    <dataValidation type="whole" operator="lessThanOrEqual" allowBlank="1" showErrorMessage="1" errorTitle="Неверно" error="Заказ не может быть больше Наличия" sqref="X1393" xr:uid="{00000000-0002-0000-0000-00006D050000}">
      <formula1>164</formula1>
    </dataValidation>
    <dataValidation type="whole" operator="lessThanOrEqual" allowBlank="1" showErrorMessage="1" errorTitle="Неверно" error="Заказ не может быть больше Наличия" sqref="X1394" xr:uid="{00000000-0002-0000-0000-00006E050000}">
      <formula1>73</formula1>
    </dataValidation>
    <dataValidation type="whole" operator="lessThanOrEqual" allowBlank="1" showErrorMessage="1" errorTitle="Неверно" error="Заказ не может быть больше Наличия" sqref="X1395" xr:uid="{00000000-0002-0000-0000-00006F050000}">
      <formula1>96</formula1>
    </dataValidation>
    <dataValidation type="whole" operator="lessThanOrEqual" allowBlank="1" showErrorMessage="1" errorTitle="Неверно" error="Заказ не может быть больше Наличия" sqref="X1396 X1826 X1438" xr:uid="{00000000-0002-0000-0000-000070050000}">
      <formula1>39</formula1>
    </dataValidation>
    <dataValidation type="whole" operator="lessThanOrEqual" allowBlank="1" showErrorMessage="1" errorTitle="Неверно" error="Заказ не может быть больше Наличия" sqref="X1409 X1469" xr:uid="{00000000-0002-0000-0000-00007D050000}">
      <formula1>71</formula1>
    </dataValidation>
    <dataValidation type="whole" operator="lessThanOrEqual" allowBlank="1" showErrorMessage="1" errorTitle="Неверно" error="Заказ не может быть больше Наличия" sqref="X1411 X3957 X3947 X3694 X2161 X1851 X1829 X1589 X1519 X1445" xr:uid="{00000000-0002-0000-0000-00007F050000}">
      <formula1>20</formula1>
    </dataValidation>
    <dataValidation type="whole" operator="lessThanOrEqual" allowBlank="1" showErrorMessage="1" errorTitle="Неверно" error="Заказ не может быть больше Наличия" sqref="X1440" xr:uid="{00000000-0002-0000-0000-00009C050000}">
      <formula1>43</formula1>
    </dataValidation>
    <dataValidation type="whole" operator="lessThanOrEqual" allowBlank="1" showErrorMessage="1" errorTitle="Неверно" error="Заказ не может быть больше Наличия" sqref="X1462 X4449 X3695 X3693 X2640 X2566 X2185 X2098 X1908 X1863 X1529" xr:uid="{00000000-0002-0000-0000-0000B2050000}">
      <formula1>19</formula1>
    </dataValidation>
    <dataValidation type="whole" operator="lessThanOrEqual" allowBlank="1" showErrorMessage="1" errorTitle="Неверно" error="Заказ не может быть больше Наличия" sqref="X1526" xr:uid="{00000000-0002-0000-0000-0000F2050000}">
      <formula1>83</formula1>
    </dataValidation>
    <dataValidation type="whole" operator="lessThanOrEqual" allowBlank="1" showErrorMessage="1" errorTitle="Неверно" error="Заказ не может быть больше Наличия" sqref="X1539" xr:uid="{00000000-0002-0000-0000-0000FF050000}">
      <formula1>31</formula1>
    </dataValidation>
    <dataValidation type="whole" operator="lessThanOrEqual" allowBlank="1" showErrorMessage="1" errorTitle="Неверно" error="Заказ не может быть больше Наличия" sqref="X1559" xr:uid="{00000000-0002-0000-0000-000013060000}">
      <formula1>49</formula1>
    </dataValidation>
    <dataValidation type="whole" operator="lessThanOrEqual" allowBlank="1" showErrorMessage="1" errorTitle="Неверно" error="Заказ не может быть больше Наличия" sqref="X1922 X3569 X2097 X2081" xr:uid="{00000000-0002-0000-0000-00007E070000}">
      <formula1>26</formula1>
    </dataValidation>
  </dataValidations>
  <pageMargins left="0.75" right="1" top="0.75" bottom="1" header="0.5" footer="0.5"/>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K16"/>
  <sheetViews>
    <sheetView workbookViewId="0"/>
  </sheetViews>
  <sheetFormatPr defaultColWidth="9.33203125" defaultRowHeight="14.25" x14ac:dyDescent="0.45"/>
  <cols>
    <col min="1" max="1" width="2.83203125" style="70" customWidth="1"/>
    <col min="2" max="3" width="31.83203125" style="70" customWidth="1"/>
    <col min="4" max="4" width="2.83203125" style="70" customWidth="1"/>
    <col min="5" max="5" width="35.83203125" style="71" customWidth="1"/>
    <col min="6" max="7" width="22.83203125" style="73" customWidth="1"/>
    <col min="8" max="8" width="2.83203125" style="71" customWidth="1"/>
    <col min="9" max="9" width="38.83203125" style="71" customWidth="1"/>
    <col min="10" max="11" width="16.83203125" style="73" customWidth="1"/>
    <col min="12" max="16384" width="9.33203125" style="70"/>
  </cols>
  <sheetData>
    <row r="1" spans="2:11" x14ac:dyDescent="0.45">
      <c r="E1" s="76" t="s">
        <v>5000</v>
      </c>
      <c r="F1" s="72"/>
      <c r="G1" s="77"/>
    </row>
    <row r="2" spans="2:11" x14ac:dyDescent="0.45">
      <c r="E2" s="74" t="s">
        <v>5001</v>
      </c>
      <c r="F2" s="78">
        <f>SUMPRODUCT(TDSheet!$Q$4:$Q$1048572,TDSheet!$X$4:$X$1048572)</f>
        <v>0</v>
      </c>
      <c r="G2" s="78"/>
      <c r="H2" s="79"/>
      <c r="I2" s="79"/>
      <c r="J2" s="80"/>
      <c r="K2" s="80"/>
    </row>
    <row r="3" spans="2:11" x14ac:dyDescent="0.45">
      <c r="B3" s="93"/>
      <c r="C3" s="93"/>
      <c r="E3" s="74" t="s">
        <v>5002</v>
      </c>
      <c r="F3" s="78" t="e">
        <f>SUMPRODUCT(TDSheet!#REF!,TDSheet!$X$4:$X$1048571)</f>
        <v>#REF!</v>
      </c>
      <c r="G3" s="78"/>
      <c r="H3" s="79"/>
      <c r="I3" s="79"/>
      <c r="J3" s="80"/>
      <c r="K3" s="80"/>
    </row>
    <row r="4" spans="2:11" x14ac:dyDescent="0.45">
      <c r="B4" s="91" t="s">
        <v>4999</v>
      </c>
      <c r="C4" s="92"/>
      <c r="E4" s="75" t="s">
        <v>5003</v>
      </c>
      <c r="F4" s="81" t="s">
        <v>5006</v>
      </c>
      <c r="G4" s="81" t="s">
        <v>5007</v>
      </c>
      <c r="H4" s="79"/>
      <c r="I4" s="81" t="s">
        <v>5008</v>
      </c>
      <c r="J4" s="81" t="s">
        <v>5009</v>
      </c>
      <c r="K4" s="81" t="s">
        <v>5007</v>
      </c>
    </row>
    <row r="5" spans="2:11" x14ac:dyDescent="0.45">
      <c r="B5" s="92"/>
      <c r="C5" s="92"/>
      <c r="E5" s="74" t="s">
        <v>151</v>
      </c>
      <c r="F5" s="78" t="e">
        <f>SUMPRODUCT(- -(TDSheet!$H$4:$H$1048569="Обувь"),TDSheet!#REF!,TDSheet!$X$4:$X$1048569)</f>
        <v>#REF!</v>
      </c>
      <c r="G5" s="78">
        <f>SUMIF(TDSheet!$H$4:$H$1048569,"Обувь",TDSheet!$X$4:$X$1048569)</f>
        <v>0</v>
      </c>
      <c r="H5" s="79"/>
      <c r="I5" s="82" t="s">
        <v>55</v>
      </c>
      <c r="J5" s="78" t="e">
        <f>SUMPRODUCT(- -(TDSheet!$K$4:$K$1048569="Мужчины"),TDSheet!#REF!,TDSheet!$X$4:$X$1048569)</f>
        <v>#REF!</v>
      </c>
      <c r="K5" s="78">
        <f>SUMIF(TDSheet!$K$4:$K$1048569,"Мужчины",TDSheet!$X$4:$X$1048569)</f>
        <v>0</v>
      </c>
    </row>
    <row r="6" spans="2:11" x14ac:dyDescent="0.45">
      <c r="B6" s="92"/>
      <c r="C6" s="92"/>
      <c r="E6" s="74" t="s">
        <v>27</v>
      </c>
      <c r="F6" s="78" t="e">
        <f>SUMPRODUCT(- -(TDSheet!$H$4:$H$1048569="Одежда"),TDSheet!#REF!,TDSheet!$X$4:$X$1048569)</f>
        <v>#REF!</v>
      </c>
      <c r="G6" s="78">
        <f>SUMIF(TDSheet!$H$4:$H$1048569,"Одежда",TDSheet!$X$4:$X$1048569)</f>
        <v>0</v>
      </c>
      <c r="H6" s="79"/>
      <c r="I6" s="82" t="s">
        <v>47</v>
      </c>
      <c r="J6" s="78" t="e">
        <f>SUMPRODUCT(- -(TDSheet!$K$4:$K$1048569="Женщины"),TDSheet!#REF!,TDSheet!$X$4:$X$1048569)</f>
        <v>#REF!</v>
      </c>
      <c r="K6" s="78">
        <f>SUMIF(TDSheet!$K$4:$K$1048569,"Женщины",TDSheet!$X$4:$X$1048569)</f>
        <v>0</v>
      </c>
    </row>
    <row r="7" spans="2:11" x14ac:dyDescent="0.45">
      <c r="B7" s="92"/>
      <c r="C7" s="92"/>
      <c r="E7" s="74" t="s">
        <v>112</v>
      </c>
      <c r="F7" s="78" t="e">
        <f>SUMPRODUCT(- -(TDSheet!$H$4:$H$1048569="Аксессуары"),TDSheet!#REF!,TDSheet!$X$4:$X$1048569)</f>
        <v>#REF!</v>
      </c>
      <c r="G7" s="78">
        <f>SUMIF(TDSheet!$H$4:$H$1048569,"Аксессуары",TDSheet!$X$4:$X$1048569)</f>
        <v>0</v>
      </c>
      <c r="H7" s="79"/>
      <c r="I7" s="82" t="s">
        <v>30</v>
      </c>
      <c r="J7" s="78" t="e">
        <f>SUMPRODUCT(- -(TDSheet!$K$4:$K$1048569="Дети"),TDSheet!#REF!,TDSheet!$X$4:$X$1048569)</f>
        <v>#REF!</v>
      </c>
      <c r="K7" s="78">
        <f>SUMIF(TDSheet!$K$4:$K$1048569,"Дети",TDSheet!$X$4:$X$1048569)</f>
        <v>0</v>
      </c>
    </row>
    <row r="8" spans="2:11" x14ac:dyDescent="0.45">
      <c r="B8" s="92"/>
      <c r="C8" s="92"/>
      <c r="E8" s="74" t="s">
        <v>5004</v>
      </c>
      <c r="F8" s="78" t="e">
        <f>SUMPRODUCT(- -(TDSheet!$H$4:$H$1048569="Спорт. Инвентарь"),TDSheet!#REF!,TDSheet!$X$4:$X$1048569)</f>
        <v>#REF!</v>
      </c>
      <c r="G8" s="78">
        <f>SUMIF(TDSheet!$H$4:$H$1048569,"Спорт. Инвентарь",TDSheet!$X$4:$X$1048569)</f>
        <v>0</v>
      </c>
      <c r="H8" s="79"/>
      <c r="I8" s="82" t="s">
        <v>114</v>
      </c>
      <c r="J8" s="78" t="e">
        <f>SUMPRODUCT(- -(TDSheet!$K$4:$K$1048569="Унисекс"),TDSheet!#REF!,TDSheet!$X$4:$X$1048569)</f>
        <v>#REF!</v>
      </c>
      <c r="K8" s="78">
        <f>SUMIF(TDSheet!$K$4:$K$1048569,"Унисекс",TDSheet!$X$4:$X$1048569)</f>
        <v>0</v>
      </c>
    </row>
    <row r="9" spans="2:11" x14ac:dyDescent="0.45">
      <c r="B9" s="92"/>
      <c r="C9" s="92"/>
      <c r="E9" s="74" t="s">
        <v>536</v>
      </c>
      <c r="F9" s="78" t="e">
        <f>SUMPRODUCT(- -(TDSheet!$H$4:$H$1048569="Сумки и рюкзаки"),TDSheet!#REF!,TDSheet!$X$4:$X$1048569)</f>
        <v>#REF!</v>
      </c>
      <c r="G9" s="78">
        <f>SUMIF(TDSheet!$H$4:$H$1048569,"Сумки и рюкзаки",TDSheet!$X$4:$X$1048569)</f>
        <v>0</v>
      </c>
      <c r="H9" s="79"/>
      <c r="I9" s="79"/>
      <c r="J9" s="80"/>
      <c r="K9" s="80"/>
    </row>
    <row r="10" spans="2:11" x14ac:dyDescent="0.45">
      <c r="B10" s="92"/>
      <c r="C10" s="92"/>
      <c r="E10" s="74" t="s">
        <v>5005</v>
      </c>
      <c r="F10" s="78" t="e">
        <f>SUM(F5:F9)</f>
        <v>#REF!</v>
      </c>
      <c r="G10" s="78">
        <f>SUM(G5:G9)</f>
        <v>0</v>
      </c>
      <c r="H10" s="79"/>
      <c r="I10" s="79"/>
      <c r="J10" s="80"/>
      <c r="K10" s="80"/>
    </row>
    <row r="11" spans="2:11" x14ac:dyDescent="0.45">
      <c r="B11" s="92"/>
      <c r="C11" s="92"/>
    </row>
    <row r="12" spans="2:11" x14ac:dyDescent="0.45">
      <c r="B12" s="92"/>
      <c r="C12" s="92"/>
    </row>
    <row r="13" spans="2:11" x14ac:dyDescent="0.45">
      <c r="B13" s="92"/>
      <c r="C13" s="92"/>
    </row>
    <row r="14" spans="2:11" x14ac:dyDescent="0.45">
      <c r="B14" s="92"/>
      <c r="C14" s="92"/>
    </row>
    <row r="15" spans="2:11" x14ac:dyDescent="0.45">
      <c r="B15" s="92"/>
      <c r="C15" s="92"/>
    </row>
    <row r="16" spans="2:11" x14ac:dyDescent="0.45">
      <c r="B16" s="93"/>
      <c r="C16" s="93"/>
    </row>
  </sheetData>
  <mergeCells count="3">
    <mergeCell ref="B4:C15"/>
    <mergeCell ref="B3:C3"/>
    <mergeCell ref="B16:C1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TDSheet</vt:lpstr>
      <vt:lpstr>Расчет</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maxm3</cp:lastModifiedBy>
  <dcterms:modified xsi:type="dcterms:W3CDTF">2026-08-22T09:54:01Z</dcterms:modified>
</cp:coreProperties>
</file>